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9.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https://thinkwellportal.sharepoint.com/ThinkWell Data Storage/2. Programs/Global_Gates Hub/3. Community of practice/4. Website and social media/2. Resource landing pages/Tools/"/>
    </mc:Choice>
  </mc:AlternateContent>
  <xr:revisionPtr revIDLastSave="0" documentId="8_{F34AEE67-3FBB-4821-835E-14C117C91E20}" xr6:coauthVersionLast="47" xr6:coauthVersionMax="47" xr10:uidLastSave="{00000000-0000-0000-0000-000000000000}"/>
  <workbookProtection workbookAlgorithmName="SHA-512" workbookHashValue="B4k6wvbEV3ca47RWroRFLYI180uNer5mqQJNpGZjzPj9HBfDKkwtgG0sdyAaCjHqOgtZLvfjuLbzn/ejMbOzrA==" workbookSaltValue="u8Aad74FbRunRO8YwaaKZQ==" workbookSpinCount="100000" lockStructure="1"/>
  <bookViews>
    <workbookView xWindow="-108" yWindow="-108" windowWidth="23256" windowHeight="12456" tabRatio="908" activeTab="2" xr2:uid="{00000000-000D-0000-FFFF-FFFF00000000}"/>
  </bookViews>
  <sheets>
    <sheet name="Cover" sheetId="4" r:id="rId1"/>
    <sheet name="Contents" sheetId="5" r:id="rId2"/>
    <sheet name="Step1_SC" sheetId="87" r:id="rId3"/>
    <sheet name="TS_BA" sheetId="10" r:id="rId4"/>
    <sheet name="Lbl_BA" sheetId="24" r:id="rId5"/>
    <sheet name="Count_BA" sheetId="61" r:id="rId6"/>
    <sheet name="Count_Ann_TA" sheetId="62" state="hidden" r:id="rId7"/>
    <sheet name="CURR_TA" sheetId="22" r:id="rId8"/>
    <sheet name="RES_BA" sheetId="21" r:id="rId9"/>
    <sheet name="Step2_SC" sheetId="6" r:id="rId10"/>
    <sheet name="VACC_BA" sheetId="67" r:id="rId11"/>
    <sheet name="Vacc_Ann_TA" sheetId="68" state="hidden" r:id="rId12"/>
    <sheet name="MICRO_BA" sheetId="31" r:id="rId13"/>
    <sheet name="ACTIV_Ann_TA" sheetId="32" state="hidden" r:id="rId14"/>
    <sheet name="IEC_BA" sheetId="59" r:id="rId15"/>
    <sheet name="IEC_PROD_EST_BO" sheetId="73" state="hidden" r:id="rId16"/>
    <sheet name="TRAIN_BA" sheetId="53" r:id="rId17"/>
    <sheet name="SENS_BA" sheetId="37" r:id="rId18"/>
    <sheet name="MOB_BA" sheetId="51" r:id="rId19"/>
    <sheet name="SD1_BA" sheetId="52" r:id="rId20"/>
    <sheet name="SD2_BA" sheetId="54" r:id="rId21"/>
    <sheet name="Step3_SC" sheetId="7" r:id="rId22"/>
    <sheet name="Count_BO" sheetId="63" r:id="rId23"/>
    <sheet name="VACC_BO" sheetId="69" r:id="rId24"/>
    <sheet name="MICRO_BO" sheetId="78" r:id="rId25"/>
    <sheet name="SENS_BO" sheetId="79" r:id="rId26"/>
    <sheet name="IEC_BO" sheetId="80" r:id="rId27"/>
    <sheet name="TRAIN_BO" sheetId="81" r:id="rId28"/>
    <sheet name="MOB_BO" sheetId="82" r:id="rId29"/>
    <sheet name="ROUND1_BO" sheetId="83" r:id="rId30"/>
    <sheet name="ROUND2_BO" sheetId="84" r:id="rId31"/>
    <sheet name="Count_Ann_TO" sheetId="64" state="hidden" r:id="rId32"/>
    <sheet name="Vacc_Ann_TO" sheetId="70" state="hidden" r:id="rId33"/>
    <sheet name="App_SC" sheetId="8" state="hidden" r:id="rId34"/>
    <sheet name="TS_LU" sheetId="11" state="hidden" r:id="rId35"/>
    <sheet name="ACT_LU" sheetId="34" state="hidden" r:id="rId36"/>
    <sheet name="MICRO2_LU" sheetId="35" state="hidden" r:id="rId37"/>
    <sheet name="ACT_3_LU" sheetId="36" state="hidden" r:id="rId38"/>
    <sheet name="ACT_4_LU" sheetId="38" state="hidden" r:id="rId39"/>
    <sheet name="ACT_5_LU" sheetId="39" state="hidden" r:id="rId40"/>
    <sheet name="ACT_6_LU" sheetId="40" state="hidden" r:id="rId41"/>
    <sheet name="ACT_21_LU" sheetId="74" state="hidden" r:id="rId42"/>
    <sheet name="ACT_22_LU" sheetId="75" state="hidden" r:id="rId43"/>
    <sheet name="ACT_7_LU" sheetId="41" state="hidden" r:id="rId44"/>
    <sheet name="ACT_8_LU" sheetId="42" state="hidden" r:id="rId45"/>
    <sheet name="ACT_9_LU" sheetId="43" state="hidden" r:id="rId46"/>
    <sheet name="ACT_10_LU" sheetId="44" state="hidden" r:id="rId47"/>
    <sheet name="ACT_11_LU" sheetId="45" state="hidden" r:id="rId48"/>
    <sheet name="ACT_12_LU" sheetId="46" state="hidden" r:id="rId49"/>
    <sheet name="ACT_26_LU" sheetId="94" state="hidden" r:id="rId50"/>
    <sheet name="ACT_13_LU" sheetId="47" state="hidden" r:id="rId51"/>
    <sheet name="ACT_23_LU" sheetId="76" state="hidden" r:id="rId52"/>
    <sheet name="ACT_14_LU" sheetId="48" state="hidden" r:id="rId53"/>
    <sheet name="ACT_15_LU" sheetId="49" state="hidden" r:id="rId54"/>
    <sheet name="ACT_16_LU" sheetId="50" state="hidden" r:id="rId55"/>
    <sheet name="ACT_24_LU" sheetId="77" state="hidden" r:id="rId56"/>
    <sheet name="Count_LU" sheetId="65" state="hidden" r:id="rId57"/>
    <sheet name="Vacc_LU" sheetId="71" state="hidden" r:id="rId58"/>
    <sheet name="ACT_17_LU" sheetId="55" state="hidden" r:id="rId59"/>
    <sheet name="ACT_18_LU" sheetId="56" state="hidden" r:id="rId60"/>
    <sheet name="ACT_19_LU" sheetId="57" state="hidden" r:id="rId61"/>
    <sheet name="ACT_20_LU" sheetId="58" state="hidden" r:id="rId62"/>
    <sheet name="ACT_25_LU" sheetId="93" state="hidden" r:id="rId63"/>
    <sheet name="RES_LU" sheetId="23" state="hidden" r:id="rId64"/>
    <sheet name="Step4_SC" sheetId="89" r:id="rId65"/>
    <sheet name="Summary_BO" sheetId="86" r:id="rId66"/>
    <sheet name="Analysis_P_BO" sheetId="92" r:id="rId67"/>
    <sheet name="Appendix_SC" sheetId="90" r:id="rId68"/>
    <sheet name="Chks_BO" sheetId="9" r:id="rId69"/>
    <sheet name="ModanoMeta" sheetId="95" state="veryHidden" r:id="rId70"/>
  </sheets>
  <definedNames>
    <definedName name="ACT_12_RND1_HQA">ROUND1_BO!$H$33</definedName>
    <definedName name="ACT_13_RND1_SITEB">ROUND1_BO!$H$57</definedName>
    <definedName name="ACT_26_RND1_HQA">ROUND1_BO!$H$45</definedName>
    <definedName name="Alt_Chk_1_Hdg" hidden="1">RES_BA!$B$6</definedName>
    <definedName name="Alt_Chks_Msg">Chks_BO!$I$30</definedName>
    <definedName name="Alt_Chks_Ttl_Areas">Chks_BO!$M$38</definedName>
    <definedName name="BA_Alt_Chks" hidden="1">Chks_BO!$21:$38</definedName>
    <definedName name="BA_Err_Chks" hidden="1">Chks_BO!$5:$20</definedName>
    <definedName name="BPMMC1" hidden="1">TS_BA!$5:$16</definedName>
    <definedName name="BPMMC10" hidden="1">ROUND1_BO!$36:$47</definedName>
    <definedName name="BPMMC100" hidden="1">ACTIV_Ann_TA!$314:$331</definedName>
    <definedName name="BPMMC101" hidden="1">ROUND2_BO!$33:$44</definedName>
    <definedName name="BPMMC102" hidden="1">ACT_16_LU!$5:$219</definedName>
    <definedName name="BPMMC103" hidden="1">TRAIN_BA!$5:$354</definedName>
    <definedName name="BPMMC104" hidden="1">ACTIV_Ann_TA!$98:$115</definedName>
    <definedName name="BPMMC105" hidden="1">TRAIN_BO!$5:$22</definedName>
    <definedName name="BPMMC106" hidden="1">ACT_17_LU!$5:$219</definedName>
    <definedName name="BPMMC107" hidden="1">TRAIN_BA!$355:$703</definedName>
    <definedName name="BPMMC108" hidden="1">ACTIV_Ann_TA!$116:$133</definedName>
    <definedName name="BPMMC109" hidden="1">TRAIN_BO!$23:$37</definedName>
    <definedName name="BPMMC11" hidden="1">ACT_26_LU!$5:$219</definedName>
    <definedName name="BPMMC110" hidden="1">ACT_18_LU!$5:$219</definedName>
    <definedName name="BPMMC111" hidden="1">TRAIN_BA!$704:$1052</definedName>
    <definedName name="BPMMC112" hidden="1">ACTIV_Ann_TA!$134:$151</definedName>
    <definedName name="BPMMC113" hidden="1">TRAIN_BO!$38:$52</definedName>
    <definedName name="BPMMC114" hidden="1">ACT_19_LU!$5:$219</definedName>
    <definedName name="BPMMC115" hidden="1">TRAIN_BA!$1053:$1401</definedName>
    <definedName name="BPMMC116" hidden="1">ACTIV_Ann_TA!$152:$169</definedName>
    <definedName name="BPMMC117" hidden="1">TRAIN_BO!$53:$74</definedName>
    <definedName name="BPMMC118" hidden="1">ACT_20_LU!$5:$219</definedName>
    <definedName name="BPMMC119" hidden="1">Count_BA!$5:$50</definedName>
    <definedName name="BPMMC120" hidden="1">Count_Ann_TA!$12:$29</definedName>
    <definedName name="BPMMC121" hidden="1">Count_BO!$5:$138</definedName>
    <definedName name="BPMMC122" hidden="1">Count_Ann_TO!$12:$29</definedName>
    <definedName name="BPMMC123" hidden="1">Count_LU!$5:$22</definedName>
    <definedName name="BPMMC124" hidden="1">Count_Ann_TA!$5:$11</definedName>
    <definedName name="BPMMC125" hidden="1">Count_Ann_TO!$5:$11</definedName>
    <definedName name="BPMMC126" hidden="1">VACC_BA!$5:$114</definedName>
    <definedName name="BPMMC127" hidden="1">Vacc_Ann_TA!$12:$29</definedName>
    <definedName name="BPMMC128" hidden="1">VACC_BO!$5:$25</definedName>
    <definedName name="BPMMC129" hidden="1">Vacc_Ann_TO!$12:$29</definedName>
    <definedName name="BPMMC130" hidden="1">Vacc_LU!$5:$33</definedName>
    <definedName name="BPMMC131" hidden="1">Vacc_Ann_TA!$5:$11</definedName>
    <definedName name="BPMMC132" hidden="1">Vacc_Ann_TO!$5:$11</definedName>
    <definedName name="BPMMC133" hidden="1">IEC_BA!$352:$700</definedName>
    <definedName name="BPMMC134" hidden="1">ACTIV_Ann_TA!$25:$25</definedName>
    <definedName name="BPMMC135" hidden="1">IEC_BO!$21:$32</definedName>
    <definedName name="BPMMC136" hidden="1">ACT_21_LU!$5:$219</definedName>
    <definedName name="BPMMC137" hidden="1">IEC_BA!$701:$1049</definedName>
    <definedName name="BPMMC138" hidden="1">ACTIV_Ann_TA!$26:$26</definedName>
    <definedName name="BPMMC139" hidden="1">IEC_BO!$33:$44</definedName>
    <definedName name="BPMMC140" hidden="1">ACT_22_LU!$5:$219</definedName>
    <definedName name="BPMMC141" hidden="1">SD1_BA!$1401:$1749</definedName>
    <definedName name="BPMMC142" hidden="1">ACTIV_Ann_TA!$260:$277</definedName>
    <definedName name="BPMMC143" hidden="1">ROUND1_BO!$60:$71</definedName>
    <definedName name="BPMMC144" hidden="1">ACT_23_LU!$5:$219</definedName>
    <definedName name="BPMMC145" hidden="1">SD2_BA!$1052:$1400</definedName>
    <definedName name="BPMMC146" hidden="1">ACTIV_Ann_TA!$332:$349</definedName>
    <definedName name="BPMMC147" hidden="1">ROUND2_BO!$45:$56</definedName>
    <definedName name="BPMMC148" hidden="1">ACT_24_LU!$5:$219</definedName>
    <definedName name="BPMMC17" hidden="1">Lbl_BA!$5:$29</definedName>
    <definedName name="BPMMC19" hidden="1">RES_BA!$5:$223</definedName>
    <definedName name="BPMMC2" hidden="1">TS_LU!$5:$88</definedName>
    <definedName name="BPMMC20" hidden="1">CURR_TA!$10:$24</definedName>
    <definedName name="BPMMC21" hidden="1">RES_LU!$5:$212</definedName>
    <definedName name="BPMMC22" hidden="1">CURR_TA!$5:$9</definedName>
    <definedName name="BPMMC38" hidden="1">MICRO_BA!$5:$355</definedName>
    <definedName name="BPMMC39" hidden="1">ACTIV_Ann_TA!$12:$15</definedName>
    <definedName name="BPMMC4" hidden="1">TRAIN_BA!$1402:$1750</definedName>
    <definedName name="BPMMC40" hidden="1">MICRO_BO!$5:$19</definedName>
    <definedName name="BPMMC41" hidden="1">ACT_LU!$5:$219</definedName>
    <definedName name="BPMMC42" hidden="1">ACTIV_Ann_TA!$5:$11</definedName>
    <definedName name="BPMMC43" hidden="1">MICRO_BA!$356:$703</definedName>
    <definedName name="BPMMC44" hidden="1">ACTIV_Ann_TA!$16:$17</definedName>
    <definedName name="BPMMC45" hidden="1">MICRO_BO!$20:$34</definedName>
    <definedName name="BPMMC46" hidden="1">MICRO2_LU!$5:$219</definedName>
    <definedName name="BPMMC47" hidden="1">SENS_BA!$5:$353</definedName>
    <definedName name="BPMMC48" hidden="1">ACTIV_Ann_TA!$18:$19</definedName>
    <definedName name="BPMMC49" hidden="1">SENS_BO!$5:$20</definedName>
    <definedName name="BPMMC5" hidden="1">ACTIV_Ann_TA!$170:$187</definedName>
    <definedName name="BPMMC50" hidden="1">ACT_3_LU!$5:$219</definedName>
    <definedName name="BPMMC51" hidden="1">SENS_BA!$354:$702</definedName>
    <definedName name="BPMMC52" hidden="1">ACTIV_Ann_TA!$20:$20</definedName>
    <definedName name="BPMMC53" hidden="1">SENS_BO!$21:$32</definedName>
    <definedName name="BPMMC54" hidden="1">ACT_4_LU!$5:$219</definedName>
    <definedName name="BPMMC55" hidden="1">SENS_BA!$703:$1051</definedName>
    <definedName name="BPMMC56" hidden="1">ACTIV_Ann_TA!$21:$21</definedName>
    <definedName name="BPMMC57" hidden="1">SENS_BO!$33:$44</definedName>
    <definedName name="BPMMC58" hidden="1">ACT_5_LU!$5:$219</definedName>
    <definedName name="BPMMC59" hidden="1">IEC_BA!$5:$351</definedName>
    <definedName name="BPMMC6" hidden="1">TRAIN_BO!$75:$96</definedName>
    <definedName name="BPMMC60" hidden="1">ACTIV_Ann_TA!$22:$24</definedName>
    <definedName name="BPMMC61" hidden="1">IEC_BO!$5:$20</definedName>
    <definedName name="BPMMC62" hidden="1">ACT_6_LU!$5:$219</definedName>
    <definedName name="BPMMC63" hidden="1">MOB_BA!$5:$351</definedName>
    <definedName name="BPMMC64" hidden="1">ACTIV_Ann_TA!$27:$43</definedName>
    <definedName name="BPMMC65" hidden="1">MOB_BO!$5:$20</definedName>
    <definedName name="BPMMC66" hidden="1">ACT_7_LU!$5:$219</definedName>
    <definedName name="BPMMC67" hidden="1">MOB_BA!$352:$699</definedName>
    <definedName name="BPMMC68" hidden="1">ACTIV_Ann_TA!$44:$61</definedName>
    <definedName name="BPMMC69" hidden="1">MOB_BO!$21:$32</definedName>
    <definedName name="BPMMC7" hidden="1">ACT_25_LU!$5:$219</definedName>
    <definedName name="BPMMC70" hidden="1">ACT_8_LU!$5:$219</definedName>
    <definedName name="BPMMC71" hidden="1">MOB_BA!$700:$1048</definedName>
    <definedName name="BPMMC72" hidden="1">ACTIV_Ann_TA!$62:$79</definedName>
    <definedName name="BPMMC73" hidden="1">MOB_BO!$33:$44</definedName>
    <definedName name="BPMMC74" hidden="1">ACT_9_LU!$5:$219</definedName>
    <definedName name="BPMMC75" hidden="1">MOB_BA!$1049:$1396</definedName>
    <definedName name="BPMMC76" hidden="1">ACTIV_Ann_TA!$80:$97</definedName>
    <definedName name="BPMMC77" hidden="1">MOB_BO!$45:$56</definedName>
    <definedName name="BPMMC78" hidden="1">ACT_10_LU!$5:$219</definedName>
    <definedName name="BPMMC79" hidden="1">SD1_BA!$5:$353</definedName>
    <definedName name="BPMMC8" hidden="1">SD1_BA!$703:$1051</definedName>
    <definedName name="BPMMC80" hidden="1">ACTIV_Ann_TA!$188:$205</definedName>
    <definedName name="BPMMC81" hidden="1">ROUND1_BO!$5:$23</definedName>
    <definedName name="BPMMC82" hidden="1">ACT_11_LU!$5:$219</definedName>
    <definedName name="BPMMC83" hidden="1">SD1_BA!$354:$702</definedName>
    <definedName name="BPMMC84" hidden="1">ACTIV_Ann_TA!$206:$223</definedName>
    <definedName name="BPMMC85" hidden="1">ROUND1_BO!$24:$35</definedName>
    <definedName name="BPMMC86" hidden="1">ACT_12_LU!$5:$219</definedName>
    <definedName name="BPMMC87" hidden="1">SD1_BA!$1052:$1400</definedName>
    <definedName name="BPMMC88" hidden="1">ACTIV_Ann_TA!$242:$259</definedName>
    <definedName name="BPMMC89" hidden="1">ROUND1_BO!$48:$59</definedName>
    <definedName name="BPMMC9" hidden="1">ACTIV_Ann_TA!$224:$241</definedName>
    <definedName name="BPMMC90" hidden="1">ACT_13_LU!$5:$219</definedName>
    <definedName name="BPMMC91" hidden="1">SD2_BA!$5:$353</definedName>
    <definedName name="BPMMC92" hidden="1">ACTIV_Ann_TA!$278:$295</definedName>
    <definedName name="BPMMC93" hidden="1">ROUND2_BO!$5:$20</definedName>
    <definedName name="BPMMC94" hidden="1">ACT_14_LU!$5:$219</definedName>
    <definedName name="BPMMC95" hidden="1">SD2_BA!$354:$702</definedName>
    <definedName name="BPMMC96" hidden="1">ACTIV_Ann_TA!$296:$313</definedName>
    <definedName name="BPMMC97" hidden="1">ROUND2_BO!$21:$32</definedName>
    <definedName name="BPMMC98" hidden="1">ACT_15_LU!$5:$219</definedName>
    <definedName name="BPMMC99" hidden="1">SD2_BA!$703:$1051</definedName>
    <definedName name="CA_Alt_Chks">Chks_BO!$K$36</definedName>
    <definedName name="CA_Alt_Chks_Area_Names">Chks_BO!$D$36</definedName>
    <definedName name="CA_Alt_Chks_Flags">Chks_BO!$M$36</definedName>
    <definedName name="CA_Alt_Chks_Inc">Chks_BO!$L$36</definedName>
    <definedName name="CA_Err_Chks">Chks_BO!$K$19</definedName>
    <definedName name="CA_Err_Chks_Area_Names">Chks_BO!$D$19</definedName>
    <definedName name="CA_Err_Chks_Flags">Chks_BO!$M$19</definedName>
    <definedName name="CA_Err_Chks_Inc">Chks_BO!$L$19</definedName>
    <definedName name="CB_Alt_Chks_Show_Msg">Chks_BO!$C$25</definedName>
    <definedName name="CB_Err_Chks_Show_Msg">Chks_BO!$C$9</definedName>
    <definedName name="DD_ACT_10_Meet1_Curr">MOB_BA!$I$1053</definedName>
    <definedName name="DD_ACT_11_Meet1_Curr">SD1_BA!$I$9</definedName>
    <definedName name="DD_ACT_12_Meet1_Curr">SD1_BA!$I$358</definedName>
    <definedName name="DD_ACT_13_Meet1_Curr">SD1_BA!$I$1056</definedName>
    <definedName name="DD_ACT_14_Meet1_Curr">SD2_BA!$I$9</definedName>
    <definedName name="DD_ACT_15_Meet1_Curr">SD2_BA!$I$358</definedName>
    <definedName name="DD_ACT_16_Meet1_Curr">SD2_BA!$I$707</definedName>
    <definedName name="DD_ACT_17_Meet1_Curr">TRAIN_BA!$I$9</definedName>
    <definedName name="DD_ACT_18_Meet1_Curr">TRAIN_BA!$I$359</definedName>
    <definedName name="DD_ACT_19_Meet1_Curr">TRAIN_BA!$I$708</definedName>
    <definedName name="DD_ACT_2_Meet1_Curr">MICRO_BA!$I$360</definedName>
    <definedName name="DD_ACT_20_Meet1_Curr">TRAIN_BA!$I$1057</definedName>
    <definedName name="DD_ACT_21_Meet1_Curr">IEC_BA!$I$356</definedName>
    <definedName name="DD_ACT_22_Meet1_Curr">IEC_BA!$I$705</definedName>
    <definedName name="DD_ACT_23_Meet1_Curr">SD1_BA!$I$1405</definedName>
    <definedName name="DD_ACT_24_Meet1_Curr">SD2_BA!$I$1056</definedName>
    <definedName name="DD_ACT_25_Meet1_Curr">TRAIN_BA!$I$1406</definedName>
    <definedName name="DD_ACT_26_Meet1_Curr">SD1_BA!$I$707</definedName>
    <definedName name="DD_ACT_3_Meet1_Curr">SENS_BA!$I$9</definedName>
    <definedName name="DD_ACT_4_Meet1_Curr">SENS_BA!$I$358</definedName>
    <definedName name="DD_ACT_5_Meet1_Curr">SENS_BA!$I$707</definedName>
    <definedName name="DD_ACT_6_Meet1_Curr">IEC_BA!$I$9</definedName>
    <definedName name="DD_ACT_7_Meet1_Curr">MOB_BA!$I$9</definedName>
    <definedName name="DD_ACT_8_Meet1_Curr">MOB_BA!$I$356</definedName>
    <definedName name="DD_ACT_9_Meet1_Curr">MOB_BA!$I$704</definedName>
    <definedName name="DD_ACT_Meet1_Curr">MICRO_BA!$I$9</definedName>
    <definedName name="DD_TS_Denom">TS_BA!$I$15</definedName>
    <definedName name="DD_TS_Fin_Yr_End_Mth">TS_BA!$H$10</definedName>
    <definedName name="Err_Chks_Msg">Chks_BO!$I$14</definedName>
    <definedName name="Err_Chks_Ttl_Areas">Chks_BO!$M$20</definedName>
    <definedName name="HL_ACT_10_SOC_MOB_4">MOB_BO!$H$54</definedName>
    <definedName name="HL_ACT_11_RND1_SITEA">ROUND1_BO!$H$21</definedName>
    <definedName name="HL_ACT_14_RND2_SITEA">ROUND2_BO!$H$18</definedName>
    <definedName name="HL_ACT_15_RND2HQA">ROUND2_BO!$H$30</definedName>
    <definedName name="HL_ACT_16_RND2_SITEB">ROUND2_BO!$H$42</definedName>
    <definedName name="HL_ACT_2_Dist_Micro_Ass">MICRO_BA!$B$358</definedName>
    <definedName name="HL_ACT_2_Number_Dist_Micro">MICRO_BO!$H$30</definedName>
    <definedName name="HL_ACT_21_COMM_PRETEST">IEC_BO!$H$30</definedName>
    <definedName name="HL_ACT_22_COMM_PROD">IEC_BO!$H$42</definedName>
    <definedName name="HL_ACT_23_RND1_HQB">ROUND1_BO!$H$69</definedName>
    <definedName name="HL_ACT_24_RND2_HQB">ROUND2_BO!$H$54</definedName>
    <definedName name="HL_ACT_3_Number_Nat_Sens">SENS_BO!$H$18</definedName>
    <definedName name="HL_ACT_4_SENS">SENS_BO!$H$30</definedName>
    <definedName name="HL_ACT_5_Number_Local_Sens">SENS_BO!$H$42</definedName>
    <definedName name="HL_ACT_6_COMM_DESIGN">IEC_BO!$H$18</definedName>
    <definedName name="HL_ACT_7_SOC_MOB_1">MOB_BO!$H$18</definedName>
    <definedName name="HL_ACT_8_SOC_MOB_2">MOB_BO!$H$30</definedName>
    <definedName name="HL_ACT_9_SOC_MOB_3">MOB_BO!$H$42</definedName>
    <definedName name="HL_ACT_Nat_Microplanning">MICRO_BA!$B$7</definedName>
    <definedName name="HL_ACT_Nat_Micrp_Out">MICRO_BO!$C$8</definedName>
    <definedName name="HL_ACT_Number_Nat_Micro">MICRO_BO!$H$17</definedName>
    <definedName name="HL_Alt_Chk">Chks_BO!$B$23</definedName>
    <definedName name="HL_Alt_Chk_1" hidden="1">RES_BA!$H$212</definedName>
    <definedName name="HL_Cost_per_Statistics">Summary_BO!$B$150</definedName>
    <definedName name="HL_Count_Ass">Count_BA!$B$7</definedName>
    <definedName name="HL_Count_Ass_A">Count_Ann_TA!$B$14</definedName>
    <definedName name="HL_Count_Out">Count_BO!$B$7</definedName>
    <definedName name="HL_Count_Out_A">Count_Ann_TO!$B$14</definedName>
    <definedName name="HL_Err_Chk">Chks_BO!$B$7</definedName>
    <definedName name="HL_Home">Contents!$B$1</definedName>
    <definedName name="HL_RES_AnnDiscountRate">CURR_TA!$I$22</definedName>
    <definedName name="HL_RES_Ass">RES_BA!$B$6</definedName>
    <definedName name="HL_RES_Curr_Options">CURR_TA!$C$11</definedName>
    <definedName name="HL_RES_Exchange_Rates">CURR_TA!$J$12</definedName>
    <definedName name="HL_Sheet_Main" hidden="1">Cover!$A$1</definedName>
    <definedName name="HL_Sheet_Main_10" hidden="1">MICRO_BA!$A$1</definedName>
    <definedName name="HL_Sheet_Main_11" hidden="1">ACTIV_Ann_TA!$A$1</definedName>
    <definedName name="HL_Sheet_Main_12" hidden="1">Summary_BO!$A$1</definedName>
    <definedName name="HL_Sheet_Main_13" hidden="1">ACT_LU!$A$1</definedName>
    <definedName name="HL_Sheet_Main_14" hidden="1">MICRO2_LU!$A$1</definedName>
    <definedName name="HL_Sheet_Main_15" hidden="1">ACT_3_LU!$A$1</definedName>
    <definedName name="HL_Sheet_Main_16" hidden="1">SENS_BA!$A$1</definedName>
    <definedName name="HL_Sheet_Main_17" hidden="1">ACT_4_LU!$A$1</definedName>
    <definedName name="HL_Sheet_Main_18" hidden="1">CURR_TA!$A$1</definedName>
    <definedName name="HL_Sheet_Main_19" hidden="1">RES_LU!$A$1</definedName>
    <definedName name="HL_Sheet_Main_2" hidden="1">Contents!$A$1</definedName>
    <definedName name="HL_Sheet_Main_20" hidden="1">Lbl_BA!$A$1</definedName>
    <definedName name="HL_Sheet_Main_21" hidden="1">ACT_5_LU!$A$1</definedName>
    <definedName name="HL_Sheet_Main_22" hidden="1">ACT_6_LU!$A$1</definedName>
    <definedName name="HL_Sheet_Main_23" hidden="1">ACT_7_LU!$A$1</definedName>
    <definedName name="HL_Sheet_Main_24" hidden="1">ACT_8_LU!$A$1</definedName>
    <definedName name="HL_Sheet_Main_25" hidden="1">ACT_9_LU!$A$1</definedName>
    <definedName name="HL_Sheet_Main_26" hidden="1">ACT_10_LU!$A$1</definedName>
    <definedName name="HL_Sheet_Main_27" hidden="1">ACT_11_LU!$A$1</definedName>
    <definedName name="HL_Sheet_Main_28" hidden="1">ACT_12_LU!$A$1</definedName>
    <definedName name="HL_Sheet_Main_29" hidden="1">ACT_13_LU!$A$1</definedName>
    <definedName name="HL_Sheet_Main_3" hidden="1">Step2_SC!$A$1</definedName>
    <definedName name="HL_Sheet_Main_30" hidden="1">ACT_14_LU!$A$1</definedName>
    <definedName name="HL_Sheet_Main_31" hidden="1">ACT_15_LU!$A$1</definedName>
    <definedName name="HL_Sheet_Main_32" hidden="1">ACT_16_LU!$A$1</definedName>
    <definedName name="HL_Sheet_Main_33" hidden="1">MOB_BA!$A$1</definedName>
    <definedName name="HL_Sheet_Main_34" hidden="1">SD1_BA!$A$1</definedName>
    <definedName name="HL_Sheet_Main_35" hidden="1">TRAIN_BA!$A$1</definedName>
    <definedName name="HL_Sheet_Main_36" hidden="1">SD2_BA!$A$1</definedName>
    <definedName name="HL_Sheet_Main_37" hidden="1">ACT_17_LU!$A$1</definedName>
    <definedName name="HL_Sheet_Main_38" hidden="1">ACT_18_LU!$A$1</definedName>
    <definedName name="HL_Sheet_Main_39" hidden="1">ACT_19_LU!$A$1</definedName>
    <definedName name="HL_Sheet_Main_4" hidden="1">Step3_SC!$A$1</definedName>
    <definedName name="HL_Sheet_Main_40" hidden="1">ACT_20_LU!$A$1</definedName>
    <definedName name="HL_Sheet_Main_41" hidden="1">IEC_BA!$A$1</definedName>
    <definedName name="HL_Sheet_Main_42" hidden="1">MICRO_BO!$A$1</definedName>
    <definedName name="HL_Sheet_Main_43" hidden="1">Count_BA!$A$1</definedName>
    <definedName name="HL_Sheet_Main_44" hidden="1">Count_Ann_TA!$A$1</definedName>
    <definedName name="HL_Sheet_Main_45" hidden="1">Count_BO!$A$1</definedName>
    <definedName name="HL_Sheet_Main_46" hidden="1">Count_Ann_TO!$A$1</definedName>
    <definedName name="HL_Sheet_Main_47" hidden="1">Count_LU!$A$1</definedName>
    <definedName name="HL_Sheet_Main_48" hidden="1">IEC_PROD_EST_BO!$A$1</definedName>
    <definedName name="HL_Sheet_Main_49" hidden="1">VACC_BA!$A$1</definedName>
    <definedName name="HL_Sheet_Main_5" hidden="1">App_SC!$A$1</definedName>
    <definedName name="HL_Sheet_Main_50" hidden="1">Vacc_Ann_TA!$A$1</definedName>
    <definedName name="HL_Sheet_Main_51" hidden="1">VACC_BO!$A$1</definedName>
    <definedName name="HL_Sheet_Main_52" hidden="1">Vacc_Ann_TO!$A$1</definedName>
    <definedName name="HL_Sheet_Main_53" hidden="1">Vacc_LU!$A$1</definedName>
    <definedName name="HL_Sheet_Main_54" hidden="1">ACT_21_LU!$A$1</definedName>
    <definedName name="HL_Sheet_Main_55" hidden="1">ACT_22_LU!$A$1</definedName>
    <definedName name="HL_Sheet_Main_56" hidden="1">ACT_23_LU!$A$1</definedName>
    <definedName name="HL_Sheet_Main_57" hidden="1">ACT_24_LU!$A$1</definedName>
    <definedName name="HL_Sheet_Main_58" hidden="1">SENS_BO!$A$1</definedName>
    <definedName name="HL_Sheet_Main_59" hidden="1">IEC_BO!$A$1</definedName>
    <definedName name="HL_Sheet_Main_6" hidden="1">Chks_BO!$A$1</definedName>
    <definedName name="HL_Sheet_Main_60" hidden="1">TRAIN_BO!$A$1</definedName>
    <definedName name="HL_Sheet_Main_61" hidden="1">MOB_BO!$A$1</definedName>
    <definedName name="HL_Sheet_Main_62" hidden="1">ROUND1_BO!$A$1</definedName>
    <definedName name="HL_Sheet_Main_63" hidden="1">ROUND2_BO!$A$1</definedName>
    <definedName name="HL_Sheet_Main_64" hidden="1">Step1_SC!$A$1</definedName>
    <definedName name="HL_Sheet_Main_65" hidden="1">Analysis_P_BO!$A$1</definedName>
    <definedName name="HL_Sheet_Main_66" hidden="1">Step4_SC!$A$1</definedName>
    <definedName name="HL_Sheet_Main_67" hidden="1">Appendix_SC!$A$1</definedName>
    <definedName name="HL_Sheet_Main_68" hidden="1">ACT_25_LU!$A$1</definedName>
    <definedName name="HL_Sheet_Main_69" hidden="1">ACT_26_LU!$A$1</definedName>
    <definedName name="HL_Sheet_Main_7" hidden="1">TS_BA!$A$1</definedName>
    <definedName name="HL_Sheet_Main_8" hidden="1">TS_LU!$A$1</definedName>
    <definedName name="HL_Sheet_Main_9" hidden="1">RES_BA!$A$1</definedName>
    <definedName name="HL_TOC_1" hidden="1">Chks_BO!$B$7</definedName>
    <definedName name="HL_TOC_10" hidden="1">SD1_BA!$B$1403</definedName>
    <definedName name="HL_TOC_100" hidden="1">Vacc_LU!$B$7</definedName>
    <definedName name="HL_TOC_101" hidden="1">IEC_BA!$B$354</definedName>
    <definedName name="HL_TOC_104" hidden="1">ACT_21_LU!$B$7</definedName>
    <definedName name="HL_TOC_105" hidden="1">IEC_BA!$B$703</definedName>
    <definedName name="HL_TOC_108" hidden="1">ACT_22_LU!$B$7</definedName>
    <definedName name="HL_TOC_11" hidden="1">ACTIV_Ann_TA!$B$262</definedName>
    <definedName name="HL_TOC_12" hidden="1">MICRO2_LU!$B$7</definedName>
    <definedName name="HL_TOC_13" hidden="1">SENS_BA!$B$7</definedName>
    <definedName name="HL_TOC_14" hidden="1">TRAIN_BA!$B$1404</definedName>
    <definedName name="HL_TOC_15" hidden="1">SENS_BO!$B$7</definedName>
    <definedName name="HL_TOC_16" hidden="1">ACT_3_LU!$B$7</definedName>
    <definedName name="HL_TOC_17" hidden="1">RES_BA!$B$6</definedName>
    <definedName name="HL_TOC_18" hidden="1">RES_LU!$B$7</definedName>
    <definedName name="HL_TOC_19" hidden="1">Lbl_BA!$B$6</definedName>
    <definedName name="HL_TOC_2" hidden="1">Chks_BO!$B$23</definedName>
    <definedName name="HL_TOC_20" hidden="1">Lbl_BA!$B$8</definedName>
    <definedName name="HL_TOC_21" hidden="1">Lbl_BA!$B$13</definedName>
    <definedName name="HL_TOC_22" hidden="1">Lbl_BA!$B$25</definedName>
    <definedName name="HL_TOC_23" hidden="1">SENS_BA!$B$356</definedName>
    <definedName name="HL_TOC_24" hidden="1">ACT_23_LU!$B$7</definedName>
    <definedName name="HL_TOC_25" hidden="1">SD2_BA!$B$1054</definedName>
    <definedName name="HL_TOC_26" hidden="1">ACT_4_LU!$B$7</definedName>
    <definedName name="HL_TOC_27" hidden="1">SENS_BA!$B$705</definedName>
    <definedName name="HL_TOC_28" hidden="1">ACTIV_Ann_TA!$B$334</definedName>
    <definedName name="HL_TOC_29" hidden="1">ACTIV_Ann_TA!$B$172</definedName>
    <definedName name="HL_TOC_3" hidden="1">TS_BA!$B$7</definedName>
    <definedName name="HL_TOC_30" hidden="1">ACT_5_LU!$B$7</definedName>
    <definedName name="HL_TOC_31" hidden="1">IEC_BA!$B$7</definedName>
    <definedName name="HL_TOC_32" hidden="1">ACTIV_Ann_TA!$B$23</definedName>
    <definedName name="HL_TOC_33" hidden="1">IEC_BO!$B$7</definedName>
    <definedName name="HL_TOC_34" hidden="1">ACT_6_LU!$B$7</definedName>
    <definedName name="HL_TOC_35" hidden="1">MOB_BA!$B$7</definedName>
    <definedName name="HL_TOC_36" hidden="1">ACT_24_LU!$B$7</definedName>
    <definedName name="HL_TOC_37" hidden="1">MOB_BO!$B$7</definedName>
    <definedName name="HL_TOC_38" hidden="1">ACT_7_LU!$B$7</definedName>
    <definedName name="HL_TOC_39" hidden="1">MOB_BA!$B$354</definedName>
    <definedName name="HL_TOC_4" hidden="1">TS_LU!$B$7</definedName>
    <definedName name="HL_TOC_40" hidden="1">ACTIV_Ann_TA!$B$46</definedName>
    <definedName name="HL_TOC_41" hidden="1">ACT_25_LU!$B$7</definedName>
    <definedName name="HL_TOC_42" hidden="1">ACT_8_LU!$B$7</definedName>
    <definedName name="HL_TOC_43" hidden="1">MOB_BA!$B$702</definedName>
    <definedName name="HL_TOC_44" hidden="1">ACTIV_Ann_TA!$B$64</definedName>
    <definedName name="HL_TOC_45" hidden="1">SD1_BA!$B$705</definedName>
    <definedName name="HL_TOC_46" hidden="1">ACT_9_LU!$B$7</definedName>
    <definedName name="HL_TOC_47" hidden="1">MOB_BA!$B$1051</definedName>
    <definedName name="HL_TOC_48" hidden="1">ACTIV_Ann_TA!$B$82</definedName>
    <definedName name="HL_TOC_49" hidden="1">ACTIV_Ann_TA!$B$226</definedName>
    <definedName name="HL_TOC_5" hidden="1">MICRO_BA!$B$7</definedName>
    <definedName name="HL_TOC_50" hidden="1">ACT_10_LU!$B$7</definedName>
    <definedName name="HL_TOC_51" hidden="1">SD1_BA!$B$7</definedName>
    <definedName name="HL_TOC_52" hidden="1">ACTIV_Ann_TA!$B$190</definedName>
    <definedName name="HL_TOC_53" hidden="1">ROUND1_BO!$B$7</definedName>
    <definedName name="HL_TOC_54" hidden="1">ACT_11_LU!$B$7</definedName>
    <definedName name="HL_TOC_55" hidden="1">SD1_BA!$B$356</definedName>
    <definedName name="HL_TOC_56" hidden="1">ACTIV_Ann_TA!$B$208</definedName>
    <definedName name="HL_TOC_57" hidden="1">ACT_26_LU!$B$7</definedName>
    <definedName name="HL_TOC_58" hidden="1">ACT_12_LU!$B$7</definedName>
    <definedName name="HL_TOC_59" hidden="1">SD1_BA!$B$1054</definedName>
    <definedName name="HL_TOC_6" hidden="1">ACTIV_Ann_TA!$B$14</definedName>
    <definedName name="HL_TOC_60" hidden="1">ACTIV_Ann_TA!$B$244</definedName>
    <definedName name="HL_TOC_62" hidden="1">ACT_13_LU!$B$7</definedName>
    <definedName name="HL_TOC_63" hidden="1">SD2_BA!$B$7</definedName>
    <definedName name="HL_TOC_64" hidden="1">ACTIV_Ann_TA!$B$280</definedName>
    <definedName name="HL_TOC_65" hidden="1">ROUND2_BO!$B$7</definedName>
    <definedName name="HL_TOC_66" hidden="1">ACT_14_LU!$B$7</definedName>
    <definedName name="HL_TOC_67" hidden="1">SD2_BA!$B$356</definedName>
    <definedName name="HL_TOC_68" hidden="1">ACTIV_Ann_TA!$B$298</definedName>
    <definedName name="HL_TOC_7" hidden="1">MICRO_BO!$B$6</definedName>
    <definedName name="HL_TOC_70" hidden="1">ACT_15_LU!$B$7</definedName>
    <definedName name="HL_TOC_71" hidden="1">SD2_BA!$B$705</definedName>
    <definedName name="HL_TOC_72" hidden="1">ACTIV_Ann_TA!$B$316</definedName>
    <definedName name="HL_TOC_74" hidden="1">ACT_16_LU!$B$7</definedName>
    <definedName name="HL_TOC_75" hidden="1">TRAIN_BA!$B$7</definedName>
    <definedName name="HL_TOC_76" hidden="1">ACTIV_Ann_TA!$B$100</definedName>
    <definedName name="HL_TOC_77" hidden="1">TRAIN_BO!$B$6</definedName>
    <definedName name="HL_TOC_78" hidden="1">ACT_17_LU!$B$7</definedName>
    <definedName name="HL_TOC_79" hidden="1">TRAIN_BA!$B$357</definedName>
    <definedName name="HL_TOC_8" hidden="1">ACT_LU!$B$7</definedName>
    <definedName name="HL_TOC_80" hidden="1">ACTIV_Ann_TA!$B$118</definedName>
    <definedName name="HL_TOC_82" hidden="1">ACT_18_LU!$B$7</definedName>
    <definedName name="HL_TOC_83" hidden="1">TRAIN_BA!$B$706</definedName>
    <definedName name="HL_TOC_84" hidden="1">ACTIV_Ann_TA!$B$136</definedName>
    <definedName name="HL_TOC_86" hidden="1">ACT_19_LU!$B$7</definedName>
    <definedName name="HL_TOC_87" hidden="1">TRAIN_BA!$B$1055</definedName>
    <definedName name="HL_TOC_88" hidden="1">ACTIV_Ann_TA!$B$154</definedName>
    <definedName name="HL_TOC_9" hidden="1">MICRO_BA!$B$358</definedName>
    <definedName name="HL_TOC_90" hidden="1">ACT_20_LU!$B$7</definedName>
    <definedName name="HL_TOC_91" hidden="1">Count_BA!$B$7</definedName>
    <definedName name="HL_TOC_92" hidden="1">Count_Ann_TA!$B$14</definedName>
    <definedName name="HL_TOC_93" hidden="1">Count_BO!$B$7</definedName>
    <definedName name="HL_TOC_94" hidden="1">Count_Ann_TO!$B$14</definedName>
    <definedName name="HL_TOC_95" hidden="1">Count_LU!$B$7</definedName>
    <definedName name="HL_TOC_96" hidden="1">VACC_BA!$B$7</definedName>
    <definedName name="HL_TOC_97" hidden="1">Vacc_Ann_TA!$B$14</definedName>
    <definedName name="HL_TOC_98" hidden="1">VACC_BO!$B$7</definedName>
    <definedName name="HL_TOC_99" hidden="1">Vacc_Ann_TO!$B$14</definedName>
    <definedName name="HL_Vacc_Applied_Currency">VACC_BA!$K$49</definedName>
    <definedName name="HL_Vacc_Ass">VACC_BA!$B$7</definedName>
    <definedName name="HL_Vacc_Ass_A">Vacc_Ann_TA!$B$14</definedName>
    <definedName name="HL_Vacc_NET_PROC_PROSP">VACC_BA!$I$58</definedName>
    <definedName name="HL_Vacc_NET_PROC_REQ_RETRO">VACC_BA!$N$58</definedName>
    <definedName name="HL_Vacc_Out">VACC_BO!$B$7</definedName>
    <definedName name="HL_Vacc_Out_A">Vacc_Ann_TO!$B$14</definedName>
    <definedName name="HL_Vacc_PRICE_PER_DOSE_ECON">VACC_BA!$L$54</definedName>
    <definedName name="HL_Vacc_PRICE_PER_DOSE_FIN">VACC_BA!$K$54</definedName>
    <definedName name="HL_Vacc_Sel_Pros_Retro">VACC_BA!$L$5</definedName>
    <definedName name="HL_Vacc_TOT_ADM_RETRO">VACC_BA!$P$36</definedName>
    <definedName name="HL_Vacc_TOT_ADMIN_PROSP">VACC_BA!$K$36</definedName>
    <definedName name="HL_Vacc_TOT_REQ_RETRO">VACC_BA!$P$45</definedName>
    <definedName name="HL_Vacc_TOT_REQU_PROSP">VACC_BA!$K$45</definedName>
    <definedName name="Lbl_Country">Lbl_BA!$G$6</definedName>
    <definedName name="Lbl_Facility_1">Lbl_BA!$D$15</definedName>
    <definedName name="Lbl_First_Admin_Div">Lbl_BA!$G$9</definedName>
    <definedName name="Lbl_Hospital_Facilities">Lbl_BA!$D$14</definedName>
    <definedName name="Lbl_Non_Hospital_Health_Facilities">Lbl_BA!$G$14</definedName>
    <definedName name="Lbl_Pop_Segment_1">Lbl_BA!$D$26</definedName>
    <definedName name="Lbl_Second_Admin_Div">Lbl_BA!$G$10</definedName>
    <definedName name="Lbl_Third_Admin_Div">Lbl_BA!$G$11</definedName>
    <definedName name="LU_ACT_10_Allowances">ACT_10_LU!$D$59:$D$93</definedName>
    <definedName name="LU_ACT_10_Equipment">ACT_10_LU!$D$139:$D$173</definedName>
    <definedName name="LU_ACT_10_Meet_Curr">ACT_10_LU!$D$14:$D$15</definedName>
    <definedName name="LU_ACT_10_ODCS">ACT_10_LU!$D$178:$D$212</definedName>
    <definedName name="LU_ACT_10_Pers_Res">ACT_10_LU!$D$20:$D$54</definedName>
    <definedName name="LU_ACT_10_Supplies">ACT_10_LU!$D$99:$D$133</definedName>
    <definedName name="LU_ACT_11_Allowances">ACT_11_LU!$D$59:$D$93</definedName>
    <definedName name="LU_ACT_11_Equipment">ACT_11_LU!$D$139:$D$173</definedName>
    <definedName name="LU_ACT_11_Meet_Curr">ACT_11_LU!$D$14:$D$15</definedName>
    <definedName name="LU_ACT_11_ODCS">ACT_11_LU!$D$178:$D$212</definedName>
    <definedName name="LU_ACT_11_Pers_Res">ACT_11_LU!$D$20:$D$54</definedName>
    <definedName name="LU_ACT_11_Supplies">ACT_11_LU!$D$99:$D$133</definedName>
    <definedName name="LU_ACT_12_Allowances">ACT_12_LU!$D$59:$D$93</definedName>
    <definedName name="LU_ACT_12_Equipment">ACT_12_LU!$D$139:$D$173</definedName>
    <definedName name="LU_ACT_12_Meet_Curr">ACT_12_LU!$D$14:$D$15</definedName>
    <definedName name="LU_ACT_12_ODCS">ACT_12_LU!$D$178:$D$212</definedName>
    <definedName name="LU_ACT_12_Pers_Res">ACT_12_LU!$D$20:$D$54</definedName>
    <definedName name="LU_ACT_12_Supplies">ACT_12_LU!$D$99:$D$133</definedName>
    <definedName name="LU_ACT_13_Allowances">ACT_13_LU!$D$59:$D$93</definedName>
    <definedName name="LU_ACT_13_Equipment">ACT_13_LU!$D$139:$D$173</definedName>
    <definedName name="LU_ACT_13_Meet_Curr">ACT_13_LU!$D$14:$D$15</definedName>
    <definedName name="LU_ACT_13_ODCS">ACT_13_LU!$D$178:$D$212</definedName>
    <definedName name="LU_ACT_13_Pers_Res">ACT_13_LU!$D$20:$D$54</definedName>
    <definedName name="LU_ACT_13_Supplies">ACT_13_LU!$D$99:$D$133</definedName>
    <definedName name="LU_ACT_14_Allowances">ACT_14_LU!$D$59:$D$93</definedName>
    <definedName name="LU_ACT_14_Equipment">ACT_14_LU!$D$139:$D$173</definedName>
    <definedName name="LU_ACT_14_Meet_Curr">ACT_14_LU!$D$14:$D$15</definedName>
    <definedName name="LU_ACT_14_ODCS">ACT_14_LU!$D$178:$D$212</definedName>
    <definedName name="LU_ACT_14_Pers_Res">ACT_14_LU!$D$20:$D$54</definedName>
    <definedName name="LU_ACT_14_Supplies">ACT_14_LU!$D$99:$D$133</definedName>
    <definedName name="LU_ACT_15_Allowances">ACT_15_LU!$D$59:$D$93</definedName>
    <definedName name="LU_ACT_15_Equipment">ACT_15_LU!$D$139:$D$173</definedName>
    <definedName name="LU_ACT_15_Meet_Curr">ACT_15_LU!$D$14:$D$15</definedName>
    <definedName name="LU_ACT_15_ODCS">ACT_15_LU!$D$178:$D$212</definedName>
    <definedName name="LU_ACT_15_Pers_Res">ACT_15_LU!$D$20:$D$54</definedName>
    <definedName name="LU_ACT_15_Supplies">ACT_15_LU!$D$99:$D$133</definedName>
    <definedName name="LU_ACT_16_Allowances">ACT_16_LU!$D$59:$D$93</definedName>
    <definedName name="LU_ACT_16_Equipment">ACT_16_LU!$D$139:$D$173</definedName>
    <definedName name="LU_ACT_16_Meet_Curr">ACT_16_LU!$D$14:$D$15</definedName>
    <definedName name="LU_ACT_16_ODCS">ACT_16_LU!$D$178:$D$212</definedName>
    <definedName name="LU_ACT_16_Pers_Res">ACT_16_LU!$D$20:$D$54</definedName>
    <definedName name="LU_ACT_16_Supplies">ACT_16_LU!$D$99:$D$133</definedName>
    <definedName name="LU_ACT_17_Allowances">ACT_17_LU!$D$59:$D$93</definedName>
    <definedName name="LU_ACT_17_Equipment">ACT_17_LU!$D$139:$D$173</definedName>
    <definedName name="LU_ACT_17_Meet_Curr">ACT_17_LU!$D$14:$D$15</definedName>
    <definedName name="LU_ACT_17_ODCS">ACT_17_LU!$D$178:$D$212</definedName>
    <definedName name="LU_ACT_17_Pers_Res">ACT_17_LU!$D$20:$D$54</definedName>
    <definedName name="LU_ACT_17_Supplies">ACT_17_LU!$D$99:$D$133</definedName>
    <definedName name="LU_ACT_18_Allowances">ACT_18_LU!$D$59:$D$93</definedName>
    <definedName name="LU_ACT_18_Equipment">ACT_18_LU!$D$139:$D$173</definedName>
    <definedName name="LU_ACT_18_Meet_Curr">ACT_18_LU!$D$14:$D$15</definedName>
    <definedName name="LU_ACT_18_ODCS">ACT_18_LU!$D$178:$D$212</definedName>
    <definedName name="LU_ACT_18_Pers_Res">ACT_18_LU!$D$20:$D$54</definedName>
    <definedName name="LU_ACT_18_Supplies">ACT_18_LU!$D$99:$D$133</definedName>
    <definedName name="LU_ACT_19_Allowances">ACT_19_LU!$D$59:$D$93</definedName>
    <definedName name="LU_ACT_19_Equipment">ACT_19_LU!$D$139:$D$173</definedName>
    <definedName name="LU_ACT_19_Meet_Curr">ACT_19_LU!$D$14:$D$15</definedName>
    <definedName name="LU_ACT_19_ODCS">ACT_19_LU!$D$178:$D$212</definedName>
    <definedName name="LU_ACT_19_Pers_Res">ACT_19_LU!$D$20:$D$54</definedName>
    <definedName name="LU_ACT_19_Supplies">ACT_19_LU!$D$99:$D$133</definedName>
    <definedName name="LU_ACT_2_Allowances">MICRO2_LU!$D$59:$D$93</definedName>
    <definedName name="LU_ACT_2_Equipment">MICRO2_LU!$D$139:$D$173</definedName>
    <definedName name="LU_ACT_2_Meet_Curr">MICRO2_LU!$D$14:$D$15</definedName>
    <definedName name="LU_ACT_2_ODCS">MICRO2_LU!$D$178:$D$212</definedName>
    <definedName name="LU_ACT_2_Pers_Res">MICRO2_LU!$D$20:$D$54</definedName>
    <definedName name="LU_ACT_2_Supplies">MICRO2_LU!$D$99:$D$133</definedName>
    <definedName name="LU_ACT_20_Allowances">ACT_20_LU!$D$59:$D$93</definedName>
    <definedName name="LU_ACT_20_Equipment">ACT_20_LU!$D$139:$D$173</definedName>
    <definedName name="LU_ACT_20_Meet_Curr">ACT_20_LU!$D$14:$D$15</definedName>
    <definedName name="LU_ACT_20_ODCS">ACT_20_LU!$D$178:$D$212</definedName>
    <definedName name="LU_ACT_20_Pers_Res">ACT_20_LU!$D$20:$D$54</definedName>
    <definedName name="LU_ACT_20_Supplies">ACT_20_LU!$D$99:$D$133</definedName>
    <definedName name="LU_ACT_21_Allowances">ACT_21_LU!$D$59:$D$93</definedName>
    <definedName name="LU_ACT_21_Equipment">ACT_21_LU!$D$139:$D$173</definedName>
    <definedName name="LU_ACT_21_Meet_Curr">ACT_21_LU!$D$14:$D$15</definedName>
    <definedName name="LU_ACT_21_ODCS">ACT_21_LU!$D$178:$D$212</definedName>
    <definedName name="LU_ACT_21_Pers_Res">ACT_21_LU!$D$20:$D$54</definedName>
    <definedName name="LU_ACT_21_Supplies">ACT_21_LU!$D$99:$D$133</definedName>
    <definedName name="LU_ACT_22_Allowances">ACT_22_LU!$D$59:$D$93</definedName>
    <definedName name="LU_ACT_22_Equipment">ACT_22_LU!$D$139:$D$173</definedName>
    <definedName name="LU_ACT_22_Meet_Curr">ACT_22_LU!$D$14:$D$15</definedName>
    <definedName name="LU_ACT_22_ODCS">ACT_22_LU!$D$178:$D$212</definedName>
    <definedName name="LU_ACT_22_Pers_Res">ACT_22_LU!$D$20:$D$54</definedName>
    <definedName name="LU_ACT_22_Supplies">ACT_22_LU!$D$99:$D$133</definedName>
    <definedName name="LU_ACT_23_Allowances">ACT_23_LU!$D$59:$D$93</definedName>
    <definedName name="LU_ACT_23_Equipment">ACT_23_LU!$D$139:$D$173</definedName>
    <definedName name="LU_ACT_23_Meet_Curr">ACT_23_LU!$D$14:$D$15</definedName>
    <definedName name="LU_ACT_23_ODCS">ACT_23_LU!$D$178:$D$212</definedName>
    <definedName name="LU_ACT_23_Pers_Res">ACT_23_LU!$D$20:$D$54</definedName>
    <definedName name="LU_ACT_23_Supplies">ACT_23_LU!$D$99:$D$133</definedName>
    <definedName name="LU_ACT_24_Allowances">ACT_24_LU!$D$59:$D$93</definedName>
    <definedName name="LU_ACT_24_Equipment">ACT_24_LU!$D$139:$D$173</definedName>
    <definedName name="LU_ACT_24_Meet_Curr">ACT_24_LU!$D$14:$D$15</definedName>
    <definedName name="LU_ACT_24_ODCS">ACT_24_LU!$D$178:$D$212</definedName>
    <definedName name="LU_ACT_24_Pers_Res">ACT_24_LU!$D$20:$D$54</definedName>
    <definedName name="LU_ACT_24_Supplies">ACT_24_LU!$D$99:$D$133</definedName>
    <definedName name="LU_ACT_25_Allowances">ACT_25_LU!$D$59:$D$93</definedName>
    <definedName name="LU_ACT_25_Equipment">ACT_25_LU!$D$139:$D$173</definedName>
    <definedName name="LU_ACT_25_Meet_Curr">ACT_25_LU!$D$14:$D$15</definedName>
    <definedName name="LU_ACT_25_ODCS">ACT_25_LU!$D$178:$D$212</definedName>
    <definedName name="LU_ACT_25_Pers_Res">ACT_25_LU!$D$20:$D$54</definedName>
    <definedName name="LU_ACT_25_Supplies">ACT_25_LU!$D$99:$D$133</definedName>
    <definedName name="LU_ACT_26_Allowances">ACT_26_LU!$D$59:$D$93</definedName>
    <definedName name="LU_ACT_26_Equipment">ACT_26_LU!$D$139:$D$173</definedName>
    <definedName name="LU_ACT_26_Meet_Curr">ACT_26_LU!$D$14:$D$15</definedName>
    <definedName name="LU_ACT_26_ODCS">ACT_26_LU!$D$178:$D$212</definedName>
    <definedName name="LU_ACT_26_Pers_Res">ACT_26_LU!$D$20:$D$54</definedName>
    <definedName name="LU_ACT_26_Supplies">ACT_26_LU!$D$99:$D$133</definedName>
    <definedName name="LU_ACT_3_Allowances">ACT_3_LU!$D$59:$D$93</definedName>
    <definedName name="LU_ACT_3_Equipment">ACT_3_LU!$D$139:$D$173</definedName>
    <definedName name="LU_ACT_3_Meet_Curr">ACT_3_LU!$D$14:$D$15</definedName>
    <definedName name="LU_ACT_3_ODCS">ACT_3_LU!$D$178:$D$212</definedName>
    <definedName name="LU_ACT_3_Pers_Res">ACT_3_LU!$D$20:$D$54</definedName>
    <definedName name="LU_ACT_3_Supplies">ACT_3_LU!$D$99:$D$133</definedName>
    <definedName name="LU_ACT_4_Allowances">ACT_4_LU!$D$59:$D$93</definedName>
    <definedName name="LU_ACT_4_Equipment">ACT_4_LU!$D$139:$D$173</definedName>
    <definedName name="LU_ACT_4_Meet_Curr">ACT_4_LU!$D$14:$D$15</definedName>
    <definedName name="LU_ACT_4_ODCS">ACT_4_LU!$D$178:$D$212</definedName>
    <definedName name="LU_ACT_4_Pers_Res">ACT_4_LU!$D$20:$D$54</definedName>
    <definedName name="LU_ACT_4_Supplies">ACT_4_LU!$D$99:$D$133</definedName>
    <definedName name="LU_ACT_5_Allowances">ACT_5_LU!$D$59:$D$93</definedName>
    <definedName name="LU_ACT_5_Equipment">ACT_5_LU!$D$139:$D$173</definedName>
    <definedName name="LU_ACT_5_Meet_Curr">ACT_5_LU!$D$14:$D$15</definedName>
    <definedName name="LU_ACT_5_ODCS">ACT_5_LU!$D$178:$D$212</definedName>
    <definedName name="LU_ACT_5_Pers_Res">ACT_5_LU!$D$20:$D$54</definedName>
    <definedName name="LU_ACT_5_Supplies">ACT_5_LU!$D$99:$D$133</definedName>
    <definedName name="LU_ACT_6_Allowances">ACT_6_LU!$D$59:$D$93</definedName>
    <definedName name="LU_ACT_6_Equipment">ACT_6_LU!$D$139:$D$173</definedName>
    <definedName name="LU_ACT_6_Meet_Curr">ACT_6_LU!$D$14:$D$15</definedName>
    <definedName name="LU_ACT_6_ODCS">ACT_6_LU!$D$178:$D$212</definedName>
    <definedName name="LU_ACT_6_Pers_Res">ACT_6_LU!$D$20:$D$54</definedName>
    <definedName name="LU_ACT_6_Supplies">ACT_6_LU!$D$99:$D$133</definedName>
    <definedName name="LU_ACT_7_Allowances">ACT_7_LU!$D$59:$D$93</definedName>
    <definedName name="LU_ACT_7_Equipment">ACT_7_LU!$D$139:$D$173</definedName>
    <definedName name="LU_ACT_7_Meet_Curr">ACT_7_LU!$D$14:$D$15</definedName>
    <definedName name="LU_ACT_7_ODCS">ACT_7_LU!$D$178:$D$212</definedName>
    <definedName name="LU_ACT_7_Pers_Res">ACT_7_LU!$D$20:$D$54</definedName>
    <definedName name="LU_ACT_7_Supplies">ACT_7_LU!$D$99:$D$133</definedName>
    <definedName name="LU_ACT_8_Allowances">ACT_8_LU!$D$59:$D$93</definedName>
    <definedName name="LU_ACT_8_Equipment">ACT_8_LU!$D$139:$D$173</definedName>
    <definedName name="LU_ACT_8_Meet_Curr">ACT_8_LU!$D$14:$D$15</definedName>
    <definedName name="LU_ACT_8_ODCS">ACT_8_LU!$D$178:$D$212</definedName>
    <definedName name="LU_ACT_8_Pers_Res">ACT_8_LU!$D$20:$D$54</definedName>
    <definedName name="LU_ACT_8_Supplies">ACT_8_LU!$D$99:$D$133</definedName>
    <definedName name="LU_ACT_9_Allowances">ACT_9_LU!$D$59:$D$93</definedName>
    <definedName name="LU_ACT_9_Equipment">ACT_9_LU!$D$139:$D$173</definedName>
    <definedName name="LU_ACT_9_Meet_Curr">ACT_9_LU!$D$14:$D$15</definedName>
    <definedName name="LU_ACT_9_ODCS">ACT_9_LU!$D$178:$D$212</definedName>
    <definedName name="LU_ACT_9_Pers_Res">ACT_9_LU!$D$20:$D$54</definedName>
    <definedName name="LU_ACT_9_Supplies">ACT_9_LU!$D$99:$D$133</definedName>
    <definedName name="LU_ACT_Allowances">ACT_LU!$D$59:$D$93</definedName>
    <definedName name="LU_ACT_Equipment">ACT_LU!$D$139:$D$173</definedName>
    <definedName name="LU_ACT_Meet_Curr">ACT_LU!$D$14:$D$15</definedName>
    <definedName name="LU_ACT_ODCS">ACT_LU!$D$178:$D$212</definedName>
    <definedName name="LU_ACT_Pers_Res">ACT_LU!$D$20:$D$54</definedName>
    <definedName name="LU_ACT_Supplies">ACT_LU!$D$99:$D$133</definedName>
    <definedName name="LU_RES_Allowances">RES_LU!$D$58:$D$92</definedName>
    <definedName name="LU_RES_Curr">RES_LU!$D$12:$D$13</definedName>
    <definedName name="LU_RES_Equip">RES_LU!$D$138:$D$172</definedName>
    <definedName name="LU_RES_ODC">RES_LU!$D$178:$D$212</definedName>
    <definedName name="LU_RES_Personnel">RES_LU!$D$18:$D$52</definedName>
    <definedName name="LU_RES_Supplies">RES_LU!$D$98:$D$132</definedName>
    <definedName name="LU_TS_Denom">TS_LU!$D$77:$D$80</definedName>
    <definedName name="LU_TS_Denom_Conv">TS_LU!$D$85:$D$88</definedName>
    <definedName name="LU_TS_Mth_Days">TS_LU!$D$12:$D$42</definedName>
    <definedName name="LU_TS_Mth_Names">TS_LU!$D$47:$D$58</definedName>
    <definedName name="LU_Vacc_Currency">Vacc_LU!$D$18:$D$19</definedName>
    <definedName name="LU_Vacc_PROS_RETRO">Vacc_LU!$D$12:$D$13</definedName>
    <definedName name="MdoLsk" hidden="1">"XuEsxGD3R7u02rioiW4z1baCzoRug+IGopNj5IqL8q2pvj8ZF9Xu8kb7PsbL4lEw"</definedName>
    <definedName name="MdoMwb" hidden="1">"This workbook is a Modano modular workbook."</definedName>
    <definedName name="MdoRsu" hidden="1">"mAcX/GxFvYvFqysD2aV1Vw=="</definedName>
    <definedName name="MdoStgs" hidden="1">"{9ACDAA86-B119-4F20-9869-5030CD2E97BC}"</definedName>
    <definedName name="ModanoMetaDataXml" hidden="1">ModanoMeta!$A$1</definedName>
    <definedName name="Model_Name">Cover!$C$10</definedName>
    <definedName name="_xlnm.Print_Area" localSheetId="46">ACT_10_LU!$B$1:$G$62</definedName>
    <definedName name="_xlnm.Print_Area" localSheetId="47">ACT_11_LU!$B$1:$G$62</definedName>
    <definedName name="_xlnm.Print_Area" localSheetId="48">ACT_12_LU!$B$1:$G$62</definedName>
    <definedName name="_xlnm.Print_Area" localSheetId="50">ACT_13_LU!$B$1:$G$62</definedName>
    <definedName name="_xlnm.Print_Area" localSheetId="52">ACT_14_LU!$B$1:$G$62</definedName>
    <definedName name="_xlnm.Print_Area" localSheetId="53">ACT_15_LU!$B$1:$G$62</definedName>
    <definedName name="_xlnm.Print_Area" localSheetId="54">ACT_16_LU!$B$1:$G$62</definedName>
    <definedName name="_xlnm.Print_Area" localSheetId="58">ACT_17_LU!$B$1:$G$62</definedName>
    <definedName name="_xlnm.Print_Area" localSheetId="59">ACT_18_LU!$B$1:$G$62</definedName>
    <definedName name="_xlnm.Print_Area" localSheetId="60">ACT_19_LU!$B$1:$G$62</definedName>
    <definedName name="_xlnm.Print_Area" localSheetId="61">ACT_20_LU!$B$1:$G$62</definedName>
    <definedName name="_xlnm.Print_Area" localSheetId="41">ACT_21_LU!$B$1:$G$62</definedName>
    <definedName name="_xlnm.Print_Area" localSheetId="42">ACT_22_LU!$B$1:$G$62</definedName>
    <definedName name="_xlnm.Print_Area" localSheetId="51">ACT_23_LU!$B$1:$G$62</definedName>
    <definedName name="_xlnm.Print_Area" localSheetId="55">ACT_24_LU!$B$1:$G$62</definedName>
    <definedName name="_xlnm.Print_Area" localSheetId="62">ACT_25_LU!$B$1:$G$58</definedName>
    <definedName name="_xlnm.Print_Area" localSheetId="49">ACT_26_LU!$B$1:$G$58</definedName>
    <definedName name="_xlnm.Print_Area" localSheetId="37">ACT_3_LU!$B$1:$G$62</definedName>
    <definedName name="_xlnm.Print_Area" localSheetId="38">ACT_4_LU!$B$1:$G$62</definedName>
    <definedName name="_xlnm.Print_Area" localSheetId="39">ACT_5_LU!$B$1:$G$62</definedName>
    <definedName name="_xlnm.Print_Area" localSheetId="40">ACT_6_LU!$B$1:$G$62</definedName>
    <definedName name="_xlnm.Print_Area" localSheetId="43">ACT_7_LU!$B$1:$G$62</definedName>
    <definedName name="_xlnm.Print_Area" localSheetId="44">ACT_8_LU!$B$1:$G$62</definedName>
    <definedName name="_xlnm.Print_Area" localSheetId="45">ACT_9_LU!$B$1:$G$62</definedName>
    <definedName name="_xlnm.Print_Area" localSheetId="35">ACT_LU!$B$1:$G$62</definedName>
    <definedName name="_xlnm.Print_Area" localSheetId="13">ACTIV_Ann_TA!$B$1:$R$15</definedName>
    <definedName name="_xlnm.Print_Area" localSheetId="66">Analysis_P_BO!$B$1:$Q$90</definedName>
    <definedName name="_xlnm.Print_Area" localSheetId="33">App_SC!$B$1:$N$30</definedName>
    <definedName name="_xlnm.Print_Area" localSheetId="67">Appendix_SC!$B$1:$N$30</definedName>
    <definedName name="_xlnm.Print_Area" localSheetId="68">Chks_BO!$B$1:$Q$38</definedName>
    <definedName name="_xlnm.Print_Area" localSheetId="1">Contents!$B$1:$Q$68</definedName>
    <definedName name="_xlnm.Print_Area" localSheetId="6">Count_Ann_TA!$B$1:$R$29</definedName>
    <definedName name="_xlnm.Print_Area" localSheetId="31">Count_Ann_TO!$B$1:$R$29</definedName>
    <definedName name="_xlnm.Print_Area" localSheetId="5">Count_BA!$B$1:$Q$50</definedName>
    <definedName name="_xlnm.Print_Area" localSheetId="22">Count_BO!$B$1:$R$138</definedName>
    <definedName name="_xlnm.Print_Area" localSheetId="56">Count_LU!$B$1:$G$40</definedName>
    <definedName name="_xlnm.Print_Area" localSheetId="0">Cover!$A$1:$Q$26</definedName>
    <definedName name="_xlnm.Print_Area" localSheetId="7">CURR_TA!$B$1:$Q$24</definedName>
    <definedName name="_xlnm.Print_Area" localSheetId="14">IEC_BA!$B$1:$Q$392</definedName>
    <definedName name="_xlnm.Print_Area" localSheetId="26">IEC_BO!$B$1:$Q$80</definedName>
    <definedName name="_xlnm.Print_Area" localSheetId="15">IEC_PROD_EST_BO!$B$1:$Q$40</definedName>
    <definedName name="_xlnm.Print_Area" localSheetId="4">Lbl_BA!$B$1:$Q$29</definedName>
    <definedName name="_xlnm.Print_Area" localSheetId="12">MICRO_BA!$B$1:$Q$322</definedName>
    <definedName name="_xlnm.Print_Area" localSheetId="24">MICRO_BO!$B$1:$Q$67</definedName>
    <definedName name="_xlnm.Print_Area" localSheetId="36">MICRO2_LU!$B$1:$G$62</definedName>
    <definedName name="_xlnm.Print_Area" localSheetId="18">MOB_BA!$B$1:$Q$318</definedName>
    <definedName name="_xlnm.Print_Area" localSheetId="28">MOB_BO!$B$1:$Q$92</definedName>
    <definedName name="_xlnm.Print_Area" localSheetId="8">RES_BA!$B$1:$Y$223</definedName>
    <definedName name="_xlnm.Print_Area" localSheetId="63">RES_LU!$B$1:$G$76</definedName>
    <definedName name="_xlnm.Print_Area" localSheetId="29">ROUND1_BO!$B$1:$Q$107</definedName>
    <definedName name="_xlnm.Print_Area" localSheetId="30">ROUND2_BO!$B$1:$Q$92</definedName>
    <definedName name="_xlnm.Print_Area" localSheetId="19">SD1_BA!$B$1:$Q$320</definedName>
    <definedName name="_xlnm.Print_Area" localSheetId="20">SD2_BA!$B$1:$Q$320</definedName>
    <definedName name="_xlnm.Print_Area" localSheetId="17">SENS_BA!$B$1:$Q$446</definedName>
    <definedName name="_xlnm.Print_Area" localSheetId="25">SENS_BO!$B$1:$Q$80</definedName>
    <definedName name="_xlnm.Print_Area" localSheetId="2">Step1_SC!$A$1:$R$27</definedName>
    <definedName name="_xlnm.Print_Area" localSheetId="9">Step2_SC!$B$1:$N$30</definedName>
    <definedName name="_xlnm.Print_Area" localSheetId="21">Step3_SC!$B$1:$N$33</definedName>
    <definedName name="_xlnm.Print_Area" localSheetId="64">Step4_SC!$B$1:$N$30</definedName>
    <definedName name="_xlnm.Print_Area" localSheetId="65">Summary_BO!$B$1:$Q$53</definedName>
    <definedName name="_xlnm.Print_Area" localSheetId="16">TRAIN_BA!$B$1:$Q$321</definedName>
    <definedName name="_xlnm.Print_Area" localSheetId="27">TRAIN_BO!$B$1:$Q$96</definedName>
    <definedName name="_xlnm.Print_Area" localSheetId="3">TS_BA!$B$1:$Q$16</definedName>
    <definedName name="_xlnm.Print_Area" localSheetId="34">TS_LU!$B$1:$G$40</definedName>
    <definedName name="_xlnm.Print_Area" localSheetId="11">Vacc_Ann_TA!$B$1:$R$29</definedName>
    <definedName name="_xlnm.Print_Area" localSheetId="32">Vacc_Ann_TO!$B$1:$R$29</definedName>
    <definedName name="_xlnm.Print_Area" localSheetId="10">VACC_BA!$B$1:$Q$114</definedName>
    <definedName name="_xlnm.Print_Area" localSheetId="23">VACC_BO!$B$1:$Q$4</definedName>
    <definedName name="_xlnm.Print_Area" localSheetId="57">Vacc_LU!$B$1:$G$33</definedName>
    <definedName name="_xlnm.Print_Titles" localSheetId="46">ACT_10_LU!$1:$4</definedName>
    <definedName name="_xlnm.Print_Titles" localSheetId="47">ACT_11_LU!$1:$4</definedName>
    <definedName name="_xlnm.Print_Titles" localSheetId="48">ACT_12_LU!$1:$4</definedName>
    <definedName name="_xlnm.Print_Titles" localSheetId="50">ACT_13_LU!$1:$4</definedName>
    <definedName name="_xlnm.Print_Titles" localSheetId="52">ACT_14_LU!$1:$4</definedName>
    <definedName name="_xlnm.Print_Titles" localSheetId="53">ACT_15_LU!$1:$4</definedName>
    <definedName name="_xlnm.Print_Titles" localSheetId="54">ACT_16_LU!$1:$4</definedName>
    <definedName name="_xlnm.Print_Titles" localSheetId="58">ACT_17_LU!$1:$4</definedName>
    <definedName name="_xlnm.Print_Titles" localSheetId="59">ACT_18_LU!$1:$4</definedName>
    <definedName name="_xlnm.Print_Titles" localSheetId="60">ACT_19_LU!$1:$4</definedName>
    <definedName name="_xlnm.Print_Titles" localSheetId="61">ACT_20_LU!$1:$4</definedName>
    <definedName name="_xlnm.Print_Titles" localSheetId="41">ACT_21_LU!$1:$4</definedName>
    <definedName name="_xlnm.Print_Titles" localSheetId="42">ACT_22_LU!$1:$4</definedName>
    <definedName name="_xlnm.Print_Titles" localSheetId="51">ACT_23_LU!$1:$4</definedName>
    <definedName name="_xlnm.Print_Titles" localSheetId="55">ACT_24_LU!$1:$4</definedName>
    <definedName name="_xlnm.Print_Titles" localSheetId="62">ACT_25_LU!$1:$4</definedName>
    <definedName name="_xlnm.Print_Titles" localSheetId="49">ACT_26_LU!$1:$4</definedName>
    <definedName name="_xlnm.Print_Titles" localSheetId="38">ACT_4_LU!$1:$4</definedName>
    <definedName name="_xlnm.Print_Titles" localSheetId="39">ACT_5_LU!$1:$4</definedName>
    <definedName name="_xlnm.Print_Titles" localSheetId="43">ACT_7_LU!$1:$4</definedName>
    <definedName name="_xlnm.Print_Titles" localSheetId="44">ACT_8_LU!$1:$4</definedName>
    <definedName name="_xlnm.Print_Titles" localSheetId="45">ACT_9_LU!$1:$4</definedName>
    <definedName name="_xlnm.Print_Titles" localSheetId="13">ACTIV_Ann_TA!$1:$11</definedName>
    <definedName name="_xlnm.Print_Titles" localSheetId="66">Analysis_P_BO!$1:$15</definedName>
    <definedName name="_xlnm.Print_Titles" localSheetId="68">Chks_BO!$1:$6</definedName>
    <definedName name="_xlnm.Print_Titles" localSheetId="1">Contents!$1:$7</definedName>
    <definedName name="_xlnm.Print_Titles" localSheetId="6">Count_Ann_TA!$1:$11</definedName>
    <definedName name="_xlnm.Print_Titles" localSheetId="31">Count_Ann_TO!$1:$11</definedName>
    <definedName name="_xlnm.Print_Titles" localSheetId="5">Count_BA!$1:$4</definedName>
    <definedName name="_xlnm.Print_Titles" localSheetId="22">Count_BO!$1:$4</definedName>
    <definedName name="_xlnm.Print_Titles" localSheetId="7">CURR_TA!$1:$9</definedName>
    <definedName name="_xlnm.Print_Titles" localSheetId="14">IEC_BA!$1:$4</definedName>
    <definedName name="_xlnm.Print_Titles" localSheetId="26">IEC_BO!$1:$4</definedName>
    <definedName name="_xlnm.Print_Titles" localSheetId="15">IEC_PROD_EST_BO!$1:$6</definedName>
    <definedName name="_xlnm.Print_Titles" localSheetId="4">Lbl_BA!$1:$4</definedName>
    <definedName name="_xlnm.Print_Titles" localSheetId="12">MICRO_BA!$1:$4</definedName>
    <definedName name="_xlnm.Print_Titles" localSheetId="24">MICRO_BO!$1:$4</definedName>
    <definedName name="_xlnm.Print_Titles" localSheetId="36">MICRO2_LU!$1:$4</definedName>
    <definedName name="_xlnm.Print_Titles" localSheetId="18">MOB_BA!$1:$4</definedName>
    <definedName name="_xlnm.Print_Titles" localSheetId="28">MOB_BO!$1:$4</definedName>
    <definedName name="_xlnm.Print_Titles" localSheetId="8">RES_BA!$1:$4</definedName>
    <definedName name="_xlnm.Print_Titles" localSheetId="29">ROUND1_BO!$1:$4</definedName>
    <definedName name="_xlnm.Print_Titles" localSheetId="30">ROUND2_BO!$1:$4</definedName>
    <definedName name="_xlnm.Print_Titles" localSheetId="19">SD1_BA!$1:$4</definedName>
    <definedName name="_xlnm.Print_Titles" localSheetId="20">SD2_BA!$1:$4</definedName>
    <definedName name="_xlnm.Print_Titles" localSheetId="17">SENS_BA!$1:$4</definedName>
    <definedName name="_xlnm.Print_Titles" localSheetId="25">SENS_BO!$1:$4</definedName>
    <definedName name="_xlnm.Print_Titles" localSheetId="65">Summary_BO!$1:$7</definedName>
    <definedName name="_xlnm.Print_Titles" localSheetId="16">TRAIN_BA!$1:$4</definedName>
    <definedName name="_xlnm.Print_Titles" localSheetId="27">TRAIN_BO!$1:$4</definedName>
    <definedName name="_xlnm.Print_Titles" localSheetId="3">TS_BA!$1:$4</definedName>
    <definedName name="_xlnm.Print_Titles" localSheetId="11">Vacc_Ann_TA!$1:$11</definedName>
    <definedName name="_xlnm.Print_Titles" localSheetId="32">Vacc_Ann_TO!$1:$11</definedName>
    <definedName name="_xlnm.Print_Titles" localSheetId="10">VACC_BA!$1:$4</definedName>
    <definedName name="_xlnm.Print_Titles" localSheetId="23">VACC_BO!$1:$4</definedName>
    <definedName name="_xlnm.Print_Titles" localSheetId="57">Vacc_LU!$1:$4</definedName>
    <definedName name="RES_Appl_Currency">RES_BA!$I$10</definedName>
    <definedName name="RES_Curr_1">CURR_TA!$D$13</definedName>
    <definedName name="RES_Curr_2">CURR_TA!$D$14</definedName>
    <definedName name="TBXBST" localSheetId="46" hidden="1">"|B|LU|B|"</definedName>
    <definedName name="TBXBST" localSheetId="47" hidden="1">"|B|LU|B|"</definedName>
    <definedName name="TBXBST" localSheetId="48" hidden="1">"|B|LU|B|"</definedName>
    <definedName name="TBXBST" localSheetId="50" hidden="1">"|B|LU|B|"</definedName>
    <definedName name="TBXBST" localSheetId="52" hidden="1">"|B|LU|B|"</definedName>
    <definedName name="TBXBST" localSheetId="53" hidden="1">"|B|LU|B|"</definedName>
    <definedName name="TBXBST" localSheetId="54" hidden="1">"|B|LU|B|"</definedName>
    <definedName name="TBXBST" localSheetId="58" hidden="1">"|B|LU|B|"</definedName>
    <definedName name="TBXBST" localSheetId="59" hidden="1">"|B|LU|B|"</definedName>
    <definedName name="TBXBST" localSheetId="60" hidden="1">"|B|LU|B|"</definedName>
    <definedName name="TBXBST" localSheetId="61" hidden="1">"|B|LU|B|"</definedName>
    <definedName name="TBXBST" localSheetId="41" hidden="1">"|B|LU|B|"</definedName>
    <definedName name="TBXBST" localSheetId="42" hidden="1">"|B|LU|B|"</definedName>
    <definedName name="TBXBST" localSheetId="51" hidden="1">"|B|LU|B|"</definedName>
    <definedName name="TBXBST" localSheetId="55" hidden="1">"|B|LU|B|"</definedName>
    <definedName name="TBXBST" localSheetId="62" hidden="1">"|B|LU|B|"</definedName>
    <definedName name="TBXBST" localSheetId="49" hidden="1">"|B|LU|B|"</definedName>
    <definedName name="TBXBST" localSheetId="37" hidden="1">"|B|LU|B|"</definedName>
    <definedName name="TBXBST" localSheetId="38" hidden="1">"|B|LU|B|"</definedName>
    <definedName name="TBXBST" localSheetId="39" hidden="1">"|B|LU|B|"</definedName>
    <definedName name="TBXBST" localSheetId="40" hidden="1">"|B|LU|B|"</definedName>
    <definedName name="TBXBST" localSheetId="43" hidden="1">"|B|LU|B|"</definedName>
    <definedName name="TBXBST" localSheetId="44" hidden="1">"|B|LU|B|"</definedName>
    <definedName name="TBXBST" localSheetId="45" hidden="1">"|B|LU|B|"</definedName>
    <definedName name="TBXBST" localSheetId="35" hidden="1">"|B|LU|B|"</definedName>
    <definedName name="TBXBST" localSheetId="13" hidden="1">"|B|TA|B||T|All|T||N|1|N||FTSCN|10|FTSCN||TSP|0|TSP|"</definedName>
    <definedName name="TBXBST" localSheetId="66" hidden="1">"|B|BO|B||P|"</definedName>
    <definedName name="TBXBST" localSheetId="33" hidden="1">"|B|SC|B|"</definedName>
    <definedName name="TBXBST" localSheetId="67" hidden="1">"|B|SC|B|"</definedName>
    <definedName name="TBXBST" localSheetId="68" hidden="1">"|B|BO|B|"</definedName>
    <definedName name="TBXBST" localSheetId="1" hidden="1">"|B|Contents|B|"</definedName>
    <definedName name="TBXBST" localSheetId="6" hidden="1">"|B|TA|B||T|All|T||N|1|N||FTSCN|10|FTSCN||TSP|0|TSP|"</definedName>
    <definedName name="TBXBST" localSheetId="31" hidden="1">"|B|TO|B||T|All|T||N|1|N||FTSCN|10|FTSCN||TSP|0|TSP|"</definedName>
    <definedName name="TBXBST" localSheetId="5" hidden="1">"|B|BA|B|"</definedName>
    <definedName name="TBXBST" localSheetId="22" hidden="1">"|B|BO|B|"</definedName>
    <definedName name="TBXBST" localSheetId="56" hidden="1">"|B|LU|B|"</definedName>
    <definedName name="TBXBST" localSheetId="0" hidden="1">"|B|Cover|B|"</definedName>
    <definedName name="TBXBST" localSheetId="7" hidden="1">"|B|TA|B||T|All|T||N|1|N||FTSCN|10|FTSCN||TSP|0|TSP|"</definedName>
    <definedName name="TBXBST" localSheetId="14" hidden="1">"|B|BA|B|"</definedName>
    <definedName name="TBXBST" localSheetId="26" hidden="1">"|B|BO|B|"</definedName>
    <definedName name="TBXBST" localSheetId="15" hidden="1">"|B|BO|B|"</definedName>
    <definedName name="TBXBST" localSheetId="4" hidden="1">"|B|BA|B|"</definedName>
    <definedName name="TBXBST" localSheetId="12" hidden="1">"|B|BA|B|"</definedName>
    <definedName name="TBXBST" localSheetId="24" hidden="1">"|B|BO|B|"</definedName>
    <definedName name="TBXBST" localSheetId="36" hidden="1">"|B|LU|B|"</definedName>
    <definedName name="TBXBST" localSheetId="18" hidden="1">"|B|BA|B|"</definedName>
    <definedName name="TBXBST" localSheetId="28" hidden="1">"|B|BO|B|"</definedName>
    <definedName name="TBXBST" localSheetId="8" hidden="1">"|B|BA|B|"</definedName>
    <definedName name="TBXBST" localSheetId="63" hidden="1">"|B|LU|B|"</definedName>
    <definedName name="TBXBST" localSheetId="29" hidden="1">"|B|BO|B|"</definedName>
    <definedName name="TBXBST" localSheetId="30" hidden="1">"|B|BO|B|"</definedName>
    <definedName name="TBXBST" localSheetId="19" hidden="1">"|B|BA|B|"</definedName>
    <definedName name="TBXBST" localSheetId="20" hidden="1">"|B|BA|B|"</definedName>
    <definedName name="TBXBST" localSheetId="17" hidden="1">"|B|BA|B|"</definedName>
    <definedName name="TBXBST" localSheetId="25" hidden="1">"|B|BO|B|"</definedName>
    <definedName name="TBXBST" localSheetId="2" hidden="1">"|B|SC|B|"</definedName>
    <definedName name="TBXBST" localSheetId="9" hidden="1">"|B|SC|B|"</definedName>
    <definedName name="TBXBST" localSheetId="21" hidden="1">"|B|SC|B|"</definedName>
    <definedName name="TBXBST" localSheetId="64" hidden="1">"|B|SC|B|"</definedName>
    <definedName name="TBXBST" localSheetId="65" hidden="1">"|B|BO|B|"</definedName>
    <definedName name="TBXBST" localSheetId="16" hidden="1">"|B|BA|B|"</definedName>
    <definedName name="TBXBST" localSheetId="27" hidden="1">"|B|BO|B|"</definedName>
    <definedName name="TBXBST" localSheetId="3" hidden="1">"|B|BA|B|"</definedName>
    <definedName name="TBXBST" localSheetId="34" hidden="1">"|B|LU|B|"</definedName>
    <definedName name="TBXBST" localSheetId="11" hidden="1">"|B|TA|B||T|All|T||N|1|N||FTSCN|10|FTSCN||TSP|0|TSP|"</definedName>
    <definedName name="TBXBST" localSheetId="32" hidden="1">"|B|TO|B||T|All|T||N|1|N||FTSCN|10|FTSCN||TSP|0|TSP|"</definedName>
    <definedName name="TBXBST" localSheetId="10" hidden="1">"|B|BA|B|"</definedName>
    <definedName name="TBXBST" localSheetId="23" hidden="1">"|B|BO|B|"</definedName>
    <definedName name="TBXBST" localSheetId="57" hidden="1">"|B|LU|B|"</definedName>
    <definedName name="TOC_Hdg_1" hidden="1">Chks_BO!$B$7</definedName>
    <definedName name="TOC_Hdg_10" hidden="1">SD1_BA!$B$1403</definedName>
    <definedName name="TOC_Hdg_100" hidden="1">Vacc_LU!$B$7</definedName>
    <definedName name="TOC_Hdg_101" hidden="1">IEC_BA!$B$354</definedName>
    <definedName name="TOC_Hdg_104" hidden="1">ACT_21_LU!$B$7</definedName>
    <definedName name="TOC_Hdg_105" hidden="1">IEC_BA!$B$703</definedName>
    <definedName name="TOC_Hdg_108" hidden="1">ACT_22_LU!$B$7</definedName>
    <definedName name="TOC_Hdg_11" hidden="1">ACTIV_Ann_TA!$B$262</definedName>
    <definedName name="TOC_Hdg_12" hidden="1">MICRO2_LU!$B$7</definedName>
    <definedName name="TOC_Hdg_13" hidden="1">SENS_BA!$B$7</definedName>
    <definedName name="TOC_Hdg_14" hidden="1">TRAIN_BA!$B$1404</definedName>
    <definedName name="TOC_Hdg_15" hidden="1">SENS_BO!$B$7</definedName>
    <definedName name="TOC_Hdg_16" hidden="1">ACT_3_LU!$B$7</definedName>
    <definedName name="TOC_Hdg_17" hidden="1">RES_BA!$B$6</definedName>
    <definedName name="TOC_Hdg_18" hidden="1">RES_LU!$B$7</definedName>
    <definedName name="TOC_Hdg_19" hidden="1">Lbl_BA!$B$6</definedName>
    <definedName name="TOC_Hdg_2" hidden="1">Chks_BO!$B$23</definedName>
    <definedName name="TOC_Hdg_20" hidden="1">Lbl_BA!$B$8</definedName>
    <definedName name="TOC_Hdg_21" hidden="1">Lbl_BA!$B$13</definedName>
    <definedName name="TOC_Hdg_22" hidden="1">Lbl_BA!$B$25</definedName>
    <definedName name="TOC_Hdg_23" hidden="1">SENS_BA!$B$356</definedName>
    <definedName name="TOC_Hdg_24" hidden="1">ACT_23_LU!$B$7</definedName>
    <definedName name="TOC_Hdg_25" hidden="1">SD2_BA!$B$1054</definedName>
    <definedName name="TOC_Hdg_26" hidden="1">ACT_4_LU!$B$7</definedName>
    <definedName name="TOC_Hdg_27" hidden="1">SENS_BA!$B$705</definedName>
    <definedName name="TOC_Hdg_28" hidden="1">ACTIV_Ann_TA!$B$334</definedName>
    <definedName name="TOC_Hdg_29" hidden="1">ACTIV_Ann_TA!$B$172</definedName>
    <definedName name="TOC_Hdg_3" hidden="1">TS_BA!$B$7</definedName>
    <definedName name="TOC_Hdg_30" hidden="1">ACT_5_LU!$B$7</definedName>
    <definedName name="TOC_Hdg_31" hidden="1">IEC_BA!$B$7</definedName>
    <definedName name="TOC_Hdg_32" hidden="1">ACTIV_Ann_TA!$B$23</definedName>
    <definedName name="TOC_Hdg_33" hidden="1">IEC_BO!$B$7</definedName>
    <definedName name="TOC_Hdg_34" hidden="1">ACT_6_LU!$B$7</definedName>
    <definedName name="TOC_Hdg_35" hidden="1">MOB_BA!$B$7</definedName>
    <definedName name="TOC_Hdg_36" hidden="1">ACT_24_LU!$B$7</definedName>
    <definedName name="TOC_Hdg_37" hidden="1">MOB_BO!$B$7</definedName>
    <definedName name="TOC_Hdg_38" hidden="1">ACT_7_LU!$B$7</definedName>
    <definedName name="TOC_Hdg_39" hidden="1">MOB_BA!$B$354</definedName>
    <definedName name="TOC_Hdg_4" hidden="1">TS_LU!$B$7</definedName>
    <definedName name="TOC_Hdg_40" hidden="1">ACTIV_Ann_TA!$B$46</definedName>
    <definedName name="TOC_Hdg_41" hidden="1">ACT_25_LU!$B$7</definedName>
    <definedName name="TOC_Hdg_42" hidden="1">ACT_8_LU!$B$7</definedName>
    <definedName name="TOC_Hdg_43" hidden="1">MOB_BA!$B$702</definedName>
    <definedName name="TOC_Hdg_44" hidden="1">ACTIV_Ann_TA!$B$64</definedName>
    <definedName name="TOC_Hdg_45" hidden="1">SD1_BA!$B$705</definedName>
    <definedName name="TOC_Hdg_46" hidden="1">ACT_9_LU!$B$7</definedName>
    <definedName name="TOC_Hdg_47" hidden="1">MOB_BA!$B$1051</definedName>
    <definedName name="TOC_Hdg_48" hidden="1">ACTIV_Ann_TA!$B$82</definedName>
    <definedName name="TOC_Hdg_49" hidden="1">ACTIV_Ann_TA!$B$226</definedName>
    <definedName name="TOC_Hdg_5" hidden="1">MICRO_BA!$B$7</definedName>
    <definedName name="TOC_Hdg_50" hidden="1">ACT_10_LU!$B$7</definedName>
    <definedName name="TOC_Hdg_51" hidden="1">SD1_BA!$B$7</definedName>
    <definedName name="TOC_Hdg_52" hidden="1">ACTIV_Ann_TA!$B$190</definedName>
    <definedName name="TOC_Hdg_53" hidden="1">ROUND1_BO!$B$7</definedName>
    <definedName name="TOC_Hdg_54" hidden="1">ACT_11_LU!$B$7</definedName>
    <definedName name="TOC_Hdg_55" hidden="1">SD1_BA!$B$356</definedName>
    <definedName name="TOC_Hdg_56" hidden="1">ACTIV_Ann_TA!$B$208</definedName>
    <definedName name="TOC_Hdg_57" hidden="1">ACT_26_LU!$B$7</definedName>
    <definedName name="TOC_Hdg_58" hidden="1">ACT_12_LU!$B$7</definedName>
    <definedName name="TOC_Hdg_59" hidden="1">SD1_BA!$B$1054</definedName>
    <definedName name="TOC_Hdg_6" hidden="1">ACTIV_Ann_TA!$B$14</definedName>
    <definedName name="TOC_Hdg_60" hidden="1">ACTIV_Ann_TA!$B$244</definedName>
    <definedName name="TOC_Hdg_62" hidden="1">ACT_13_LU!$B$7</definedName>
    <definedName name="TOC_Hdg_63" hidden="1">SD2_BA!$B$7</definedName>
    <definedName name="TOC_Hdg_64" hidden="1">ACTIV_Ann_TA!$B$280</definedName>
    <definedName name="TOC_Hdg_65" hidden="1">ROUND2_BO!$B$7</definedName>
    <definedName name="TOC_Hdg_66" hidden="1">ACT_14_LU!$B$7</definedName>
    <definedName name="TOC_Hdg_67" hidden="1">SD2_BA!$B$356</definedName>
    <definedName name="TOC_Hdg_68" hidden="1">ACTIV_Ann_TA!$B$298</definedName>
    <definedName name="TOC_Hdg_7" hidden="1">MICRO_BO!$B$6</definedName>
    <definedName name="TOC_Hdg_70" hidden="1">ACT_15_LU!$B$7</definedName>
    <definedName name="TOC_Hdg_71" hidden="1">SD2_BA!$B$705</definedName>
    <definedName name="TOC_Hdg_72" hidden="1">ACTIV_Ann_TA!$B$316</definedName>
    <definedName name="TOC_Hdg_74" hidden="1">ACT_16_LU!$B$7</definedName>
    <definedName name="TOC_Hdg_75" hidden="1">TRAIN_BA!$B$7</definedName>
    <definedName name="TOC_Hdg_76" hidden="1">ACTIV_Ann_TA!$B$100</definedName>
    <definedName name="TOC_Hdg_77" hidden="1">TRAIN_BO!$B$6</definedName>
    <definedName name="TOC_Hdg_78" hidden="1">ACT_17_LU!$B$7</definedName>
    <definedName name="TOC_Hdg_79" hidden="1">TRAIN_BA!$B$357</definedName>
    <definedName name="TOC_Hdg_8" hidden="1">ACT_LU!$B$7</definedName>
    <definedName name="TOC_Hdg_80" hidden="1">ACTIV_Ann_TA!$B$118</definedName>
    <definedName name="TOC_Hdg_82" hidden="1">ACT_18_LU!$B$7</definedName>
    <definedName name="TOC_Hdg_83" hidden="1">TRAIN_BA!$B$706</definedName>
    <definedName name="TOC_Hdg_84" hidden="1">ACTIV_Ann_TA!$B$136</definedName>
    <definedName name="TOC_Hdg_86" hidden="1">ACT_19_LU!$B$7</definedName>
    <definedName name="TOC_Hdg_87" hidden="1">TRAIN_BA!$B$1055</definedName>
    <definedName name="TOC_Hdg_88" hidden="1">ACTIV_Ann_TA!$B$154</definedName>
    <definedName name="TOC_Hdg_9" hidden="1">MICRO_BA!$B$358</definedName>
    <definedName name="TOC_Hdg_90" hidden="1">ACT_20_LU!$B$7</definedName>
    <definedName name="TOC_Hdg_91" hidden="1">Count_BA!$B$7</definedName>
    <definedName name="TOC_Hdg_92" hidden="1">Count_Ann_TA!$B$14</definedName>
    <definedName name="TOC_Hdg_93" hidden="1">Count_BO!$B$7</definedName>
    <definedName name="TOC_Hdg_94" hidden="1">Count_Ann_TO!$B$14</definedName>
    <definedName name="TOC_Hdg_95" hidden="1">Count_LU!$B$7</definedName>
    <definedName name="TOC_Hdg_96" hidden="1">VACC_BA!$B$7</definedName>
    <definedName name="TOC_Hdg_97" hidden="1">Vacc_Ann_TA!$B$14</definedName>
    <definedName name="TOC_Hdg_98" hidden="1">VACC_BO!$B$7</definedName>
    <definedName name="TOC_Hdg_99" hidden="1">Vacc_Ann_TO!$B$14</definedName>
    <definedName name="TS_Billion">TS_LU!$D$88</definedName>
    <definedName name="TS_Currency">TS_BA!$H$15</definedName>
    <definedName name="TS_Days_In_Wk">TS_LU!$D$66</definedName>
    <definedName name="TS_Denom_Conv_Fact">TS_BA!$H$16</definedName>
    <definedName name="TS_End_Date">TS_BA!$H$14</definedName>
    <definedName name="TS_First_Fin_Yr">TS_BA!$H$11</definedName>
    <definedName name="TS_Halves_In_Yr">TS_LU!$D$72</definedName>
    <definedName name="TS_Hrs_In_Day">TS_LU!$D$65</definedName>
    <definedName name="TS_Million">TS_LU!$D$87</definedName>
    <definedName name="TS_Mins_In_Hr">TS_LU!$D$64</definedName>
    <definedName name="TS_Mths_In_Half">TS_LU!$D$68</definedName>
    <definedName name="TS_Mths_In_Qtr">TS_LU!$D$67</definedName>
    <definedName name="TS_Mths_In_Yr">TS_LU!$D$69</definedName>
    <definedName name="TS_Qtrs_In_Half">TS_LU!$D$70</definedName>
    <definedName name="TS_Qtrs_In_Yr">TS_LU!$D$71</definedName>
    <definedName name="TS_Secs_In_Min">TS_LU!$D$63</definedName>
    <definedName name="TS_Start_Date">TS_BA!$H$13</definedName>
    <definedName name="TS_Term">TS_BA!$H$12</definedName>
    <definedName name="TS_Thousand">TS_LU!$D$86</definedName>
  </definedNames>
  <calcPr calcId="191029" calcMode="manual" calcCompleted="0"/>
  <fileRecoveryPr autoRecover="0"/>
  <extLst>
    <ext xmlns:x14="http://schemas.microsoft.com/office/spreadsheetml/2009/9/main" uri="{79F54976-1DA5-4618-B147-4CDE4B953A38}">
      <x14:workbookPr defaultImageDpi="15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5" i="63" l="1"/>
  <c r="K65" i="63"/>
  <c r="J65" i="63"/>
  <c r="H25" i="4" l="1"/>
  <c r="H24" i="4"/>
  <c r="C9" i="4" l="1"/>
  <c r="K1203" i="54" l="1"/>
  <c r="K854" i="54"/>
  <c r="K505" i="54"/>
  <c r="K156" i="54"/>
  <c r="K1552" i="52"/>
  <c r="K1203" i="52"/>
  <c r="K854" i="52"/>
  <c r="K505" i="52"/>
  <c r="K1199" i="51"/>
  <c r="K851" i="51"/>
  <c r="K502" i="51"/>
  <c r="K154" i="51"/>
  <c r="K854" i="37"/>
  <c r="K505" i="37"/>
  <c r="K156" i="37"/>
  <c r="K1553" i="53"/>
  <c r="K1204" i="53"/>
  <c r="K855" i="53"/>
  <c r="K506" i="53"/>
  <c r="I22" i="69"/>
  <c r="I23" i="69"/>
  <c r="I111" i="67"/>
  <c r="J111" i="67"/>
  <c r="K111" i="67"/>
  <c r="L111" i="67"/>
  <c r="I112" i="67"/>
  <c r="J112" i="67"/>
  <c r="K112" i="67"/>
  <c r="L112" i="67"/>
  <c r="C22" i="69"/>
  <c r="C23" i="69"/>
  <c r="D111" i="67"/>
  <c r="D18" i="71" s="1"/>
  <c r="D112" i="67"/>
  <c r="D19" i="71" s="1"/>
  <c r="I1210" i="54"/>
  <c r="J1210" i="54"/>
  <c r="K1210" i="54"/>
  <c r="L1210" i="54"/>
  <c r="I1211" i="54"/>
  <c r="J1211" i="54"/>
  <c r="K1211" i="54"/>
  <c r="L1211" i="54"/>
  <c r="D1210" i="54"/>
  <c r="Q46" i="84" s="1"/>
  <c r="D1211" i="54"/>
  <c r="S1057" i="54" s="1"/>
  <c r="I861" i="54"/>
  <c r="J861" i="54"/>
  <c r="K861" i="54"/>
  <c r="L861" i="54"/>
  <c r="I862" i="54"/>
  <c r="J862" i="54"/>
  <c r="K862" i="54"/>
  <c r="L862" i="54"/>
  <c r="D861" i="54"/>
  <c r="O1016" i="54" s="1"/>
  <c r="D862" i="54"/>
  <c r="S978" i="54" s="1"/>
  <c r="I512" i="54"/>
  <c r="J512" i="54"/>
  <c r="K512" i="54"/>
  <c r="L512" i="54"/>
  <c r="I513" i="54"/>
  <c r="J513" i="54"/>
  <c r="K513" i="54"/>
  <c r="L513" i="54"/>
  <c r="D512" i="54"/>
  <c r="Q22" i="84" s="1"/>
  <c r="D513" i="54"/>
  <c r="S667" i="54" s="1"/>
  <c r="I163" i="54"/>
  <c r="J163" i="54"/>
  <c r="K163" i="54"/>
  <c r="L163" i="54"/>
  <c r="I164" i="54"/>
  <c r="J164" i="54"/>
  <c r="K164" i="54"/>
  <c r="L164" i="54"/>
  <c r="D163" i="54"/>
  <c r="O318" i="54" s="1"/>
  <c r="D164" i="54"/>
  <c r="S280" i="54" s="1"/>
  <c r="I1559" i="52"/>
  <c r="J1559" i="52"/>
  <c r="K1559" i="52"/>
  <c r="L1559" i="52"/>
  <c r="I1560" i="52"/>
  <c r="J1560" i="52"/>
  <c r="K1560" i="52"/>
  <c r="L1560" i="52"/>
  <c r="D1559" i="52"/>
  <c r="Q61" i="83" s="1"/>
  <c r="D1560" i="52"/>
  <c r="S1714" i="52" s="1"/>
  <c r="I1210" i="52"/>
  <c r="J1210" i="52"/>
  <c r="K1210" i="52"/>
  <c r="L1210" i="52"/>
  <c r="I1211" i="52"/>
  <c r="J1211" i="52"/>
  <c r="K1211" i="52"/>
  <c r="L1211" i="52"/>
  <c r="D1210" i="52"/>
  <c r="O1365" i="52" s="1"/>
  <c r="D1211" i="52"/>
  <c r="S1327" i="52" s="1"/>
  <c r="I861" i="52"/>
  <c r="J861" i="52"/>
  <c r="K861" i="52"/>
  <c r="L861" i="52"/>
  <c r="I862" i="52"/>
  <c r="J862" i="52"/>
  <c r="K862" i="52"/>
  <c r="L862" i="52"/>
  <c r="D861" i="52"/>
  <c r="Q37" i="83" s="1"/>
  <c r="D862" i="52"/>
  <c r="S1016" i="52" s="1"/>
  <c r="I512" i="52"/>
  <c r="J512" i="52"/>
  <c r="K512" i="52"/>
  <c r="L512" i="52"/>
  <c r="I513" i="52"/>
  <c r="J513" i="52"/>
  <c r="K513" i="52"/>
  <c r="L513" i="52"/>
  <c r="D512" i="52"/>
  <c r="O667" i="52" s="1"/>
  <c r="D513" i="52"/>
  <c r="S629" i="52" s="1"/>
  <c r="I163" i="52"/>
  <c r="J163" i="52"/>
  <c r="K163" i="52"/>
  <c r="L163" i="52"/>
  <c r="I164" i="52"/>
  <c r="J164" i="52"/>
  <c r="K164" i="52"/>
  <c r="L164" i="52"/>
  <c r="D163" i="52"/>
  <c r="Q10" i="83" s="1"/>
  <c r="D164" i="52"/>
  <c r="S318" i="52" s="1"/>
  <c r="I1206" i="51"/>
  <c r="J1206" i="51"/>
  <c r="K1206" i="51"/>
  <c r="L1206" i="51"/>
  <c r="I1207" i="51"/>
  <c r="J1207" i="51"/>
  <c r="K1207" i="51"/>
  <c r="L1207" i="51"/>
  <c r="D1206" i="51"/>
  <c r="Q46" i="82" s="1"/>
  <c r="D1207" i="51"/>
  <c r="S1172" i="51" s="1"/>
  <c r="I858" i="51"/>
  <c r="J858" i="51"/>
  <c r="K858" i="51"/>
  <c r="L858" i="51"/>
  <c r="I859" i="51"/>
  <c r="J859" i="51"/>
  <c r="K859" i="51"/>
  <c r="L859" i="51"/>
  <c r="D858" i="51"/>
  <c r="O1013" i="51" s="1"/>
  <c r="D859" i="51"/>
  <c r="Q900" i="51" s="1"/>
  <c r="I509" i="51"/>
  <c r="J509" i="51"/>
  <c r="K509" i="51"/>
  <c r="L509" i="51"/>
  <c r="I510" i="51"/>
  <c r="J510" i="51"/>
  <c r="K510" i="51"/>
  <c r="L510" i="51"/>
  <c r="D509" i="51"/>
  <c r="O664" i="51" s="1"/>
  <c r="D510" i="51"/>
  <c r="Q626" i="51" s="1"/>
  <c r="I161" i="51"/>
  <c r="J161" i="51"/>
  <c r="K161" i="51"/>
  <c r="L161" i="51"/>
  <c r="I162" i="51"/>
  <c r="J162" i="51"/>
  <c r="K162" i="51"/>
  <c r="L162" i="51"/>
  <c r="D161" i="51"/>
  <c r="O10" i="82" s="1"/>
  <c r="D162" i="51"/>
  <c r="S316" i="51" s="1"/>
  <c r="I859" i="59"/>
  <c r="J859" i="59"/>
  <c r="K859" i="59"/>
  <c r="L859" i="59"/>
  <c r="I860" i="59"/>
  <c r="J860" i="59"/>
  <c r="K860" i="59"/>
  <c r="L860" i="59"/>
  <c r="Q976" i="59"/>
  <c r="S939" i="59"/>
  <c r="S901" i="59"/>
  <c r="D859" i="59"/>
  <c r="D14" i="75" s="1"/>
  <c r="D860" i="59"/>
  <c r="Q706" i="59" s="1"/>
  <c r="I510" i="59"/>
  <c r="J510" i="59"/>
  <c r="K510" i="59"/>
  <c r="L510" i="59"/>
  <c r="I511" i="59"/>
  <c r="J511" i="59"/>
  <c r="K511" i="59"/>
  <c r="L511" i="59"/>
  <c r="Q627" i="59"/>
  <c r="S590" i="59"/>
  <c r="S552" i="59"/>
  <c r="D510" i="59"/>
  <c r="O665" i="59" s="1"/>
  <c r="D511" i="59"/>
  <c r="Q357" i="59" s="1"/>
  <c r="I161" i="59"/>
  <c r="J161" i="59"/>
  <c r="K161" i="59"/>
  <c r="L161" i="59"/>
  <c r="I162" i="59"/>
  <c r="J162" i="59"/>
  <c r="K162" i="59"/>
  <c r="L162" i="59"/>
  <c r="Q278" i="59"/>
  <c r="S241" i="59"/>
  <c r="S203" i="59"/>
  <c r="D161" i="59"/>
  <c r="D14" i="40" s="1"/>
  <c r="D162" i="59"/>
  <c r="Q10" i="59" s="1"/>
  <c r="I95" i="81"/>
  <c r="I96" i="81"/>
  <c r="I1560" i="53"/>
  <c r="J1560" i="53"/>
  <c r="K1560" i="53"/>
  <c r="L1560" i="53"/>
  <c r="I1561" i="53"/>
  <c r="J1561" i="53"/>
  <c r="K1561" i="53"/>
  <c r="L1561" i="53"/>
  <c r="D95" i="81"/>
  <c r="D96" i="81"/>
  <c r="D1560" i="53"/>
  <c r="M1677" i="53" s="1"/>
  <c r="D1561" i="53"/>
  <c r="O76" i="81" s="1"/>
  <c r="I73" i="81"/>
  <c r="I74" i="81"/>
  <c r="I1211" i="53"/>
  <c r="J1211" i="53"/>
  <c r="K1211" i="53"/>
  <c r="L1211" i="53"/>
  <c r="I1212" i="53"/>
  <c r="J1212" i="53"/>
  <c r="K1212" i="53"/>
  <c r="L1212" i="53"/>
  <c r="D73" i="81"/>
  <c r="D74" i="81"/>
  <c r="D1211" i="53"/>
  <c r="V1206" i="53" s="1"/>
  <c r="D1212" i="53"/>
  <c r="Q1058" i="53" s="1"/>
  <c r="I862" i="53"/>
  <c r="J862" i="53"/>
  <c r="K862" i="53"/>
  <c r="L862" i="53"/>
  <c r="I863" i="53"/>
  <c r="J863" i="53"/>
  <c r="K863" i="53"/>
  <c r="L863" i="53"/>
  <c r="D862" i="53"/>
  <c r="O1017" i="53" s="1"/>
  <c r="D863" i="53"/>
  <c r="Q709" i="53" s="1"/>
  <c r="I164" i="53"/>
  <c r="J164" i="53"/>
  <c r="K164" i="53"/>
  <c r="L164" i="53"/>
  <c r="I165" i="53"/>
  <c r="J165" i="53"/>
  <c r="K165" i="53"/>
  <c r="L165" i="53"/>
  <c r="D164" i="53"/>
  <c r="D14" i="55" s="1"/>
  <c r="D165" i="53"/>
  <c r="S319" i="53" s="1"/>
  <c r="I861" i="37"/>
  <c r="J861" i="37"/>
  <c r="K861" i="37"/>
  <c r="L861" i="37"/>
  <c r="I862" i="37"/>
  <c r="J862" i="37"/>
  <c r="K862" i="37"/>
  <c r="L862" i="37"/>
  <c r="D861" i="37"/>
  <c r="O1016" i="37" s="1"/>
  <c r="D862" i="37"/>
  <c r="Q708" i="37" s="1"/>
  <c r="I512" i="37"/>
  <c r="J512" i="37"/>
  <c r="K512" i="37"/>
  <c r="L512" i="37"/>
  <c r="I513" i="37"/>
  <c r="J513" i="37"/>
  <c r="K513" i="37"/>
  <c r="L513" i="37"/>
  <c r="D512" i="37"/>
  <c r="D14" i="38" s="1"/>
  <c r="D513" i="37"/>
  <c r="Q359" i="37" s="1"/>
  <c r="I163" i="37"/>
  <c r="J163" i="37"/>
  <c r="K163" i="37"/>
  <c r="L163" i="37"/>
  <c r="I164" i="37"/>
  <c r="J164" i="37"/>
  <c r="K164" i="37"/>
  <c r="L164" i="37"/>
  <c r="D163" i="37"/>
  <c r="O318" i="37" s="1"/>
  <c r="D164" i="37"/>
  <c r="Q10" i="37" s="1"/>
  <c r="I513" i="31"/>
  <c r="J513" i="31"/>
  <c r="K513" i="31"/>
  <c r="L513" i="31"/>
  <c r="I514" i="31"/>
  <c r="J514" i="31"/>
  <c r="K514" i="31"/>
  <c r="L514" i="31"/>
  <c r="D513" i="31"/>
  <c r="D14" i="35" s="1"/>
  <c r="D514" i="31"/>
  <c r="Q361" i="31" s="1"/>
  <c r="I165" i="31"/>
  <c r="J165" i="31"/>
  <c r="K165" i="31"/>
  <c r="L165" i="31"/>
  <c r="I166" i="31"/>
  <c r="J166" i="31"/>
  <c r="K166" i="31"/>
  <c r="L166" i="31"/>
  <c r="D165" i="31"/>
  <c r="O320" i="31" s="1"/>
  <c r="D166" i="31"/>
  <c r="D15" i="34" s="1"/>
  <c r="D12" i="23"/>
  <c r="D13" i="23"/>
  <c r="H211" i="21"/>
  <c r="J216" i="21"/>
  <c r="J217" i="21"/>
  <c r="D217" i="21"/>
  <c r="U90" i="21" s="1"/>
  <c r="D216" i="21"/>
  <c r="R13" i="21" s="1"/>
  <c r="I513" i="53"/>
  <c r="J513" i="53"/>
  <c r="K513" i="53"/>
  <c r="L513" i="53"/>
  <c r="I514" i="53"/>
  <c r="J514" i="53"/>
  <c r="K514" i="53"/>
  <c r="L514" i="53"/>
  <c r="D513" i="53"/>
  <c r="O24" i="81" s="1"/>
  <c r="D514" i="53"/>
  <c r="Q360" i="53" s="1"/>
  <c r="K157" i="53"/>
  <c r="K852" i="59"/>
  <c r="K503" i="59"/>
  <c r="K158" i="31"/>
  <c r="K506" i="31"/>
  <c r="N94" i="67"/>
  <c r="O94" i="67"/>
  <c r="J94" i="67"/>
  <c r="I94" i="67"/>
  <c r="Q203" i="59" l="1"/>
  <c r="Q552" i="59"/>
  <c r="Q901" i="59"/>
  <c r="Q241" i="59"/>
  <c r="Q590" i="59"/>
  <c r="Q939" i="59"/>
  <c r="S278" i="59"/>
  <c r="S627" i="59"/>
  <c r="S976" i="59"/>
  <c r="Q316" i="59"/>
  <c r="Q665" i="59"/>
  <c r="Q1014" i="59"/>
  <c r="M10" i="59"/>
  <c r="S316" i="59"/>
  <c r="M357" i="59"/>
  <c r="S665" i="59"/>
  <c r="M706" i="59"/>
  <c r="S1014" i="59"/>
  <c r="S13" i="21"/>
  <c r="O10" i="59"/>
  <c r="D15" i="40"/>
  <c r="S127" i="59" s="1"/>
  <c r="O357" i="59"/>
  <c r="D15" i="74"/>
  <c r="L22" i="80" s="1"/>
  <c r="O706" i="59"/>
  <c r="D15" i="75"/>
  <c r="S825" i="59" s="1"/>
  <c r="R52" i="21"/>
  <c r="S10" i="59"/>
  <c r="S357" i="59"/>
  <c r="S706" i="59"/>
  <c r="Q166" i="59"/>
  <c r="Q515" i="59"/>
  <c r="Q864" i="59"/>
  <c r="S166" i="59"/>
  <c r="S515" i="59"/>
  <c r="S864" i="59"/>
  <c r="M245" i="31"/>
  <c r="Q282" i="31"/>
  <c r="M361" i="31"/>
  <c r="Q9" i="78"/>
  <c r="O361" i="31"/>
  <c r="Q170" i="31"/>
  <c r="O207" i="31"/>
  <c r="S361" i="31"/>
  <c r="S593" i="31"/>
  <c r="Q630" i="31"/>
  <c r="S668" i="31"/>
  <c r="D15" i="35"/>
  <c r="S479" i="31" s="1"/>
  <c r="M170" i="31"/>
  <c r="Q593" i="31"/>
  <c r="S630" i="31"/>
  <c r="Q245" i="31"/>
  <c r="Q668" i="31"/>
  <c r="S518" i="31"/>
  <c r="M10" i="31"/>
  <c r="Q555" i="31"/>
  <c r="Q518" i="31"/>
  <c r="S10" i="31"/>
  <c r="S555" i="31"/>
  <c r="Q941" i="54"/>
  <c r="M1252" i="54"/>
  <c r="U507" i="54"/>
  <c r="O22" i="84"/>
  <c r="D15" i="49"/>
  <c r="M1016" i="54"/>
  <c r="Q1327" i="54"/>
  <c r="S359" i="54"/>
  <c r="Q1365" i="54"/>
  <c r="O46" i="84"/>
  <c r="Q517" i="54"/>
  <c r="U856" i="54"/>
  <c r="M1057" i="54"/>
  <c r="D15" i="77"/>
  <c r="Q1176" i="54" s="1"/>
  <c r="M554" i="54"/>
  <c r="M866" i="54"/>
  <c r="Q1057" i="54"/>
  <c r="M629" i="54"/>
  <c r="Q866" i="54"/>
  <c r="U1205" i="54"/>
  <c r="M318" i="54"/>
  <c r="Q667" i="54"/>
  <c r="M941" i="54"/>
  <c r="Q1215" i="54"/>
  <c r="Q318" i="54"/>
  <c r="U158" i="54"/>
  <c r="Q554" i="54"/>
  <c r="Q1016" i="54"/>
  <c r="Q1252" i="54"/>
  <c r="M10" i="54"/>
  <c r="M168" i="54"/>
  <c r="M359" i="54"/>
  <c r="Q592" i="54"/>
  <c r="M708" i="54"/>
  <c r="Q1290" i="54"/>
  <c r="Q168" i="54"/>
  <c r="O359" i="54"/>
  <c r="M1327" i="54"/>
  <c r="M243" i="54"/>
  <c r="Q359" i="54"/>
  <c r="Q629" i="54"/>
  <c r="Q243" i="54"/>
  <c r="O10" i="52"/>
  <c r="Q708" i="52"/>
  <c r="M280" i="52"/>
  <c r="O10" i="83"/>
  <c r="U507" i="52"/>
  <c r="U158" i="52"/>
  <c r="M592" i="52"/>
  <c r="U1205" i="52"/>
  <c r="Q243" i="52"/>
  <c r="M1365" i="52"/>
  <c r="Q903" i="52"/>
  <c r="Q1564" i="52"/>
  <c r="Q978" i="52"/>
  <c r="D15" i="76"/>
  <c r="J61" i="83" s="1"/>
  <c r="M10" i="52"/>
  <c r="M359" i="52"/>
  <c r="Q10" i="52"/>
  <c r="Q280" i="52"/>
  <c r="M517" i="52"/>
  <c r="M708" i="52"/>
  <c r="Q941" i="52"/>
  <c r="Q1365" i="52"/>
  <c r="M1601" i="52"/>
  <c r="S10" i="52"/>
  <c r="Q318" i="52"/>
  <c r="Q517" i="52"/>
  <c r="O708" i="52"/>
  <c r="M978" i="52"/>
  <c r="M1057" i="52"/>
  <c r="Q1601" i="52"/>
  <c r="Q1639" i="52"/>
  <c r="Q168" i="52"/>
  <c r="D15" i="45"/>
  <c r="J10" i="83" s="1"/>
  <c r="Q592" i="52"/>
  <c r="S708" i="52"/>
  <c r="Q1016" i="52"/>
  <c r="M1215" i="52"/>
  <c r="M1406" i="52"/>
  <c r="M1676" i="52"/>
  <c r="M205" i="52"/>
  <c r="M667" i="52"/>
  <c r="U856" i="52"/>
  <c r="O37" i="83"/>
  <c r="Q1215" i="52"/>
  <c r="Q1406" i="52"/>
  <c r="Q1676" i="52"/>
  <c r="Q205" i="52"/>
  <c r="Q667" i="52"/>
  <c r="Q866" i="52"/>
  <c r="D15" i="94"/>
  <c r="Q827" i="52" s="1"/>
  <c r="M1290" i="52"/>
  <c r="S1406" i="52"/>
  <c r="Q1714" i="52"/>
  <c r="M903" i="52"/>
  <c r="Q1290" i="52"/>
  <c r="U1554" i="52"/>
  <c r="O61" i="83"/>
  <c r="O10" i="51"/>
  <c r="S10" i="51"/>
  <c r="M98" i="51"/>
  <c r="D15" i="41"/>
  <c r="J10" i="82" s="1"/>
  <c r="S127" i="51"/>
  <c r="S166" i="51"/>
  <c r="D15" i="43"/>
  <c r="J34" i="82" s="1"/>
  <c r="S278" i="51"/>
  <c r="M1114" i="51"/>
  <c r="M1248" i="51"/>
  <c r="Q69" i="51"/>
  <c r="M664" i="51"/>
  <c r="Q10" i="51"/>
  <c r="S69" i="51"/>
  <c r="Q166" i="51"/>
  <c r="Q316" i="51"/>
  <c r="Q1114" i="51"/>
  <c r="Q1248" i="51"/>
  <c r="S1114" i="51"/>
  <c r="Q1286" i="51"/>
  <c r="M39" i="51"/>
  <c r="O98" i="51"/>
  <c r="Q203" i="51"/>
  <c r="U853" i="51"/>
  <c r="M1054" i="51"/>
  <c r="M1143" i="51"/>
  <c r="M1323" i="51"/>
  <c r="O39" i="51"/>
  <c r="S98" i="51"/>
  <c r="S203" i="51"/>
  <c r="M863" i="51"/>
  <c r="O1054" i="51"/>
  <c r="M1172" i="51"/>
  <c r="Q1323" i="51"/>
  <c r="S39" i="51"/>
  <c r="M127" i="51"/>
  <c r="Q241" i="51"/>
  <c r="U504" i="51"/>
  <c r="M938" i="51"/>
  <c r="Q1054" i="51"/>
  <c r="Q1172" i="51"/>
  <c r="Q1361" i="51"/>
  <c r="M69" i="51"/>
  <c r="O127" i="51"/>
  <c r="S241" i="51"/>
  <c r="M514" i="51"/>
  <c r="M1013" i="51"/>
  <c r="S1054" i="51"/>
  <c r="U1201" i="51"/>
  <c r="O46" i="82"/>
  <c r="M10" i="51"/>
  <c r="O69" i="51"/>
  <c r="Q127" i="51"/>
  <c r="Q278" i="51"/>
  <c r="M589" i="51"/>
  <c r="Q1013" i="51"/>
  <c r="M1083" i="51"/>
  <c r="Q1211" i="51"/>
  <c r="D15" i="44"/>
  <c r="J46" i="82" s="1"/>
  <c r="W507" i="37"/>
  <c r="Q517" i="37"/>
  <c r="O629" i="37"/>
  <c r="Q629" i="37"/>
  <c r="Q941" i="37"/>
  <c r="M10" i="37"/>
  <c r="Q243" i="37"/>
  <c r="S517" i="37"/>
  <c r="S629" i="37"/>
  <c r="M708" i="37"/>
  <c r="S941" i="37"/>
  <c r="O10" i="37"/>
  <c r="S243" i="37"/>
  <c r="O554" i="37"/>
  <c r="Q667" i="37"/>
  <c r="O708" i="37"/>
  <c r="Q978" i="37"/>
  <c r="S10" i="37"/>
  <c r="Q280" i="37"/>
  <c r="M359" i="37"/>
  <c r="Q554" i="37"/>
  <c r="S667" i="37"/>
  <c r="S708" i="37"/>
  <c r="S978" i="37"/>
  <c r="Q168" i="37"/>
  <c r="S280" i="37"/>
  <c r="O359" i="37"/>
  <c r="S554" i="37"/>
  <c r="Q22" i="79"/>
  <c r="Q866" i="37"/>
  <c r="Q1016" i="37"/>
  <c r="S168" i="37"/>
  <c r="Q318" i="37"/>
  <c r="S359" i="37"/>
  <c r="Q592" i="37"/>
  <c r="D15" i="38"/>
  <c r="Q507" i="37" s="1"/>
  <c r="S866" i="37"/>
  <c r="S1016" i="37"/>
  <c r="O243" i="37"/>
  <c r="Q205" i="37"/>
  <c r="S318" i="37"/>
  <c r="U507" i="37"/>
  <c r="S592" i="37"/>
  <c r="Q903" i="37"/>
  <c r="D15" i="39"/>
  <c r="S797" i="37" s="1"/>
  <c r="S205" i="37"/>
  <c r="D15" i="36"/>
  <c r="S129" i="37" s="1"/>
  <c r="S903" i="37"/>
  <c r="Q9" i="81"/>
  <c r="Q11" i="53"/>
  <c r="S1216" i="53"/>
  <c r="V159" i="53"/>
  <c r="Q1253" i="53"/>
  <c r="S206" i="53"/>
  <c r="O555" i="53"/>
  <c r="S1291" i="53"/>
  <c r="M668" i="53"/>
  <c r="Q867" i="53"/>
  <c r="S1328" i="53"/>
  <c r="M1407" i="53"/>
  <c r="Q1017" i="53"/>
  <c r="S1366" i="53"/>
  <c r="V1555" i="53"/>
  <c r="O1677" i="53"/>
  <c r="O281" i="53"/>
  <c r="S1058" i="53"/>
  <c r="Q555" i="53"/>
  <c r="Q668" i="53"/>
  <c r="S11" i="53"/>
  <c r="Q244" i="53"/>
  <c r="D15" i="55"/>
  <c r="J9" i="81" s="1"/>
  <c r="S867" i="53"/>
  <c r="S1017" i="53"/>
  <c r="U1206" i="53"/>
  <c r="O1328" i="53"/>
  <c r="Q1565" i="53"/>
  <c r="Q1677" i="53"/>
  <c r="M360" i="53"/>
  <c r="S555" i="53"/>
  <c r="Q24" i="81"/>
  <c r="U159" i="53"/>
  <c r="S244" i="53"/>
  <c r="Q904" i="53"/>
  <c r="D15" i="57"/>
  <c r="S798" i="53" s="1"/>
  <c r="Q1216" i="53"/>
  <c r="Q1328" i="53"/>
  <c r="S1565" i="53"/>
  <c r="S1677" i="53"/>
  <c r="S360" i="53"/>
  <c r="M593" i="53"/>
  <c r="D15" i="56"/>
  <c r="S479" i="53" s="1"/>
  <c r="S904" i="53"/>
  <c r="O1602" i="53"/>
  <c r="Q1715" i="53"/>
  <c r="U508" i="53"/>
  <c r="Q593" i="53"/>
  <c r="D14" i="56"/>
  <c r="Q169" i="53"/>
  <c r="Q281" i="53"/>
  <c r="Q942" i="53"/>
  <c r="O1253" i="53"/>
  <c r="Q1366" i="53"/>
  <c r="Q1602" i="53"/>
  <c r="S1715" i="53"/>
  <c r="V508" i="53"/>
  <c r="O630" i="53"/>
  <c r="S169" i="53"/>
  <c r="S281" i="53"/>
  <c r="M709" i="53"/>
  <c r="S942" i="53"/>
  <c r="S1602" i="53"/>
  <c r="Q76" i="81"/>
  <c r="M518" i="53"/>
  <c r="Q630" i="53"/>
  <c r="M11" i="53"/>
  <c r="O206" i="53"/>
  <c r="Q319" i="53"/>
  <c r="O709" i="53"/>
  <c r="Q979" i="53"/>
  <c r="M1058" i="53"/>
  <c r="S1253" i="53"/>
  <c r="Q54" i="81"/>
  <c r="S1407" i="53"/>
  <c r="Q1640" i="53"/>
  <c r="Q518" i="53"/>
  <c r="S630" i="53"/>
  <c r="O11" i="53"/>
  <c r="Q206" i="53"/>
  <c r="S709" i="53"/>
  <c r="S979" i="53"/>
  <c r="O1058" i="53"/>
  <c r="Q1291" i="53"/>
  <c r="U1555" i="53"/>
  <c r="S1640" i="53"/>
  <c r="T13" i="21"/>
  <c r="O518" i="53"/>
  <c r="O593" i="53"/>
  <c r="O668" i="53"/>
  <c r="S508" i="53"/>
  <c r="U13" i="21"/>
  <c r="R90" i="21"/>
  <c r="T90" i="21"/>
  <c r="J24" i="81"/>
  <c r="S668" i="53"/>
  <c r="Q479" i="53"/>
  <c r="O360" i="53"/>
  <c r="S518" i="53"/>
  <c r="S593" i="53"/>
  <c r="M555" i="53"/>
  <c r="M630" i="53"/>
  <c r="R168" i="21"/>
  <c r="R129" i="21"/>
  <c r="S168" i="21"/>
  <c r="S129" i="21"/>
  <c r="S90" i="21"/>
  <c r="S52" i="21"/>
  <c r="U168" i="21"/>
  <c r="U129" i="21"/>
  <c r="T52" i="21"/>
  <c r="T129" i="21"/>
  <c r="U52" i="21"/>
  <c r="Q160" i="31"/>
  <c r="Q100" i="31"/>
  <c r="L9" i="78"/>
  <c r="J9" i="78"/>
  <c r="S160" i="31"/>
  <c r="S131" i="31"/>
  <c r="Q131" i="31"/>
  <c r="S100" i="31"/>
  <c r="T168" i="21"/>
  <c r="Q10" i="31"/>
  <c r="M207" i="31"/>
  <c r="O282" i="31"/>
  <c r="D14" i="34"/>
  <c r="O630" i="31"/>
  <c r="O22" i="78"/>
  <c r="M630" i="31"/>
  <c r="M555" i="31"/>
  <c r="M668" i="31"/>
  <c r="M593" i="31"/>
  <c r="M518" i="31"/>
  <c r="U160" i="31"/>
  <c r="Q207" i="31"/>
  <c r="S282" i="31"/>
  <c r="O555" i="31"/>
  <c r="S449" i="31"/>
  <c r="O168" i="37"/>
  <c r="W160" i="31"/>
  <c r="S207" i="31"/>
  <c r="O668" i="31"/>
  <c r="Q479" i="31"/>
  <c r="Q320" i="31"/>
  <c r="M320" i="31"/>
  <c r="O9" i="78"/>
  <c r="M282" i="31"/>
  <c r="O170" i="31"/>
  <c r="O245" i="31"/>
  <c r="S320" i="31"/>
  <c r="U508" i="31"/>
  <c r="O593" i="31"/>
  <c r="W508" i="31"/>
  <c r="Q22" i="78"/>
  <c r="M318" i="37"/>
  <c r="M243" i="37"/>
  <c r="M168" i="37"/>
  <c r="D14" i="36"/>
  <c r="W158" i="37"/>
  <c r="U158" i="37"/>
  <c r="Q10" i="79"/>
  <c r="O280" i="37"/>
  <c r="O205" i="37"/>
  <c r="O10" i="79"/>
  <c r="M280" i="37"/>
  <c r="M205" i="37"/>
  <c r="O10" i="31"/>
  <c r="S170" i="31"/>
  <c r="S245" i="31"/>
  <c r="O518" i="31"/>
  <c r="L22" i="78"/>
  <c r="S508" i="31"/>
  <c r="Q508" i="31"/>
  <c r="M517" i="37"/>
  <c r="M592" i="37"/>
  <c r="M667" i="37"/>
  <c r="M903" i="37"/>
  <c r="M978" i="37"/>
  <c r="O34" i="79"/>
  <c r="M169" i="53"/>
  <c r="M244" i="53"/>
  <c r="M319" i="53"/>
  <c r="M904" i="53"/>
  <c r="M979" i="53"/>
  <c r="O39" i="81"/>
  <c r="M1216" i="53"/>
  <c r="M1291" i="53"/>
  <c r="M1366" i="53"/>
  <c r="D15" i="58"/>
  <c r="M1565" i="53"/>
  <c r="M1640" i="53"/>
  <c r="M1715" i="53"/>
  <c r="D15" i="93"/>
  <c r="M166" i="59"/>
  <c r="M241" i="59"/>
  <c r="M316" i="59"/>
  <c r="Q156" i="59"/>
  <c r="M552" i="59"/>
  <c r="M627" i="59"/>
  <c r="O22" i="80"/>
  <c r="Q446" i="59"/>
  <c r="M864" i="59"/>
  <c r="M939" i="59"/>
  <c r="M1014" i="59"/>
  <c r="Q854" i="59"/>
  <c r="M203" i="51"/>
  <c r="M278" i="51"/>
  <c r="Q10" i="82"/>
  <c r="Q446" i="51"/>
  <c r="O517" i="37"/>
  <c r="O592" i="37"/>
  <c r="O667" i="37"/>
  <c r="S507" i="37"/>
  <c r="O903" i="37"/>
  <c r="O978" i="37"/>
  <c r="Q34" i="79"/>
  <c r="O169" i="53"/>
  <c r="O244" i="53"/>
  <c r="O319" i="53"/>
  <c r="O904" i="53"/>
  <c r="O979" i="53"/>
  <c r="Q39" i="81"/>
  <c r="O1216" i="53"/>
  <c r="O1291" i="53"/>
  <c r="O1366" i="53"/>
  <c r="D14" i="58"/>
  <c r="O1565" i="53"/>
  <c r="O1640" i="53"/>
  <c r="O1715" i="53"/>
  <c r="D14" i="93"/>
  <c r="O166" i="59"/>
  <c r="O241" i="59"/>
  <c r="O316" i="59"/>
  <c r="O552" i="59"/>
  <c r="O627" i="59"/>
  <c r="Q22" i="80"/>
  <c r="S446" i="59"/>
  <c r="O864" i="59"/>
  <c r="O939" i="59"/>
  <c r="O1014" i="59"/>
  <c r="S854" i="59"/>
  <c r="O203" i="51"/>
  <c r="O278" i="51"/>
  <c r="Q156" i="51"/>
  <c r="S446" i="51"/>
  <c r="S386" i="51"/>
  <c r="S626" i="51"/>
  <c r="S551" i="51"/>
  <c r="O446" i="51"/>
  <c r="O386" i="51"/>
  <c r="S475" i="51"/>
  <c r="S417" i="51"/>
  <c r="S357" i="51"/>
  <c r="Q475" i="51"/>
  <c r="Q417" i="51"/>
  <c r="Q357" i="51"/>
  <c r="S664" i="51"/>
  <c r="S589" i="51"/>
  <c r="S514" i="51"/>
  <c r="O475" i="51"/>
  <c r="O417" i="51"/>
  <c r="O357" i="51"/>
  <c r="M475" i="51"/>
  <c r="S448" i="54"/>
  <c r="Q448" i="54"/>
  <c r="L22" i="84"/>
  <c r="J22" i="84"/>
  <c r="S507" i="54"/>
  <c r="Q507" i="54"/>
  <c r="S478" i="54"/>
  <c r="U856" i="37"/>
  <c r="U857" i="53"/>
  <c r="U505" i="59"/>
  <c r="Q476" i="59"/>
  <c r="J34" i="80"/>
  <c r="U156" i="51"/>
  <c r="D14" i="41"/>
  <c r="Q664" i="51"/>
  <c r="S975" i="51"/>
  <c r="S900" i="51"/>
  <c r="S705" i="51"/>
  <c r="Q705" i="51"/>
  <c r="S1013" i="51"/>
  <c r="S938" i="51"/>
  <c r="S863" i="51"/>
  <c r="O705" i="51"/>
  <c r="Q938" i="51"/>
  <c r="W856" i="37"/>
  <c r="D14" i="39"/>
  <c r="V857" i="53"/>
  <c r="D14" i="57"/>
  <c r="O1407" i="53"/>
  <c r="L10" i="80"/>
  <c r="W505" i="59"/>
  <c r="D14" i="74"/>
  <c r="S476" i="59"/>
  <c r="L34" i="80"/>
  <c r="W156" i="51"/>
  <c r="M357" i="51"/>
  <c r="D15" i="42"/>
  <c r="Q975" i="51"/>
  <c r="S1201" i="51"/>
  <c r="Q1201" i="51"/>
  <c r="L46" i="82"/>
  <c r="Q478" i="54"/>
  <c r="M554" i="37"/>
  <c r="M629" i="37"/>
  <c r="O22" i="79"/>
  <c r="M866" i="37"/>
  <c r="M941" i="37"/>
  <c r="M1016" i="37"/>
  <c r="M206" i="53"/>
  <c r="M281" i="53"/>
  <c r="O9" i="81"/>
  <c r="M867" i="53"/>
  <c r="M942" i="53"/>
  <c r="M1017" i="53"/>
  <c r="M1253" i="53"/>
  <c r="M1328" i="53"/>
  <c r="O54" i="81"/>
  <c r="Q1407" i="53"/>
  <c r="M1602" i="53"/>
  <c r="M203" i="59"/>
  <c r="M278" i="59"/>
  <c r="O10" i="80"/>
  <c r="M515" i="59"/>
  <c r="M590" i="59"/>
  <c r="M665" i="59"/>
  <c r="Q505" i="59"/>
  <c r="M901" i="59"/>
  <c r="M976" i="59"/>
  <c r="O34" i="80"/>
  <c r="Q795" i="59"/>
  <c r="Q39" i="51"/>
  <c r="Q98" i="51"/>
  <c r="M166" i="51"/>
  <c r="M241" i="51"/>
  <c r="M316" i="51"/>
  <c r="M386" i="51"/>
  <c r="Q514" i="51"/>
  <c r="M705" i="51"/>
  <c r="Q797" i="52"/>
  <c r="J37" i="83"/>
  <c r="Q856" i="52"/>
  <c r="O866" i="37"/>
  <c r="O941" i="37"/>
  <c r="O867" i="53"/>
  <c r="O942" i="53"/>
  <c r="O203" i="59"/>
  <c r="O278" i="59"/>
  <c r="Q10" i="80"/>
  <c r="S97" i="59"/>
  <c r="O515" i="59"/>
  <c r="O590" i="59"/>
  <c r="S505" i="59"/>
  <c r="O901" i="59"/>
  <c r="O976" i="59"/>
  <c r="Q34" i="80"/>
  <c r="S795" i="59"/>
  <c r="O166" i="51"/>
  <c r="O241" i="51"/>
  <c r="O316" i="51"/>
  <c r="Q386" i="51"/>
  <c r="Q551" i="51"/>
  <c r="Q99" i="52"/>
  <c r="Q158" i="52"/>
  <c r="Q478" i="37"/>
  <c r="U156" i="59"/>
  <c r="Q127" i="59"/>
  <c r="J22" i="80"/>
  <c r="U854" i="59"/>
  <c r="Q825" i="59"/>
  <c r="M417" i="51"/>
  <c r="Q824" i="51"/>
  <c r="L34" i="82"/>
  <c r="S1146" i="54"/>
  <c r="Q1146" i="54"/>
  <c r="L46" i="84"/>
  <c r="J46" i="84"/>
  <c r="S1205" i="54"/>
  <c r="Q1205" i="54"/>
  <c r="S1176" i="54"/>
  <c r="W156" i="59"/>
  <c r="W854" i="59"/>
  <c r="M446" i="51"/>
  <c r="Q589" i="51"/>
  <c r="Q863" i="51"/>
  <c r="O1083" i="51"/>
  <c r="O1143" i="51"/>
  <c r="W1201" i="51"/>
  <c r="S1248" i="51"/>
  <c r="S1323" i="51"/>
  <c r="D14" i="44"/>
  <c r="W158" i="52"/>
  <c r="S205" i="52"/>
  <c r="S280" i="52"/>
  <c r="D14" i="45"/>
  <c r="O359" i="52"/>
  <c r="S517" i="52"/>
  <c r="S592" i="52"/>
  <c r="S667" i="52"/>
  <c r="W856" i="52"/>
  <c r="S903" i="52"/>
  <c r="S978" i="52"/>
  <c r="D14" i="94"/>
  <c r="O1057" i="52"/>
  <c r="S1215" i="52"/>
  <c r="S1290" i="52"/>
  <c r="S1365" i="52"/>
  <c r="W1554" i="52"/>
  <c r="S1601" i="52"/>
  <c r="S1676" i="52"/>
  <c r="D14" i="76"/>
  <c r="O10" i="54"/>
  <c r="S168" i="54"/>
  <c r="S243" i="54"/>
  <c r="S318" i="54"/>
  <c r="W507" i="54"/>
  <c r="S554" i="54"/>
  <c r="S629" i="54"/>
  <c r="D14" i="49"/>
  <c r="O708" i="54"/>
  <c r="S866" i="54"/>
  <c r="S941" i="54"/>
  <c r="S1016" i="54"/>
  <c r="W1205" i="54"/>
  <c r="S1252" i="54"/>
  <c r="S1327" i="54"/>
  <c r="D14" i="77"/>
  <c r="M551" i="51"/>
  <c r="M626" i="51"/>
  <c r="O22" i="82"/>
  <c r="M900" i="51"/>
  <c r="M975" i="51"/>
  <c r="O34" i="82"/>
  <c r="Q1083" i="51"/>
  <c r="Q1143" i="51"/>
  <c r="M1211" i="51"/>
  <c r="M1286" i="51"/>
  <c r="M1361" i="51"/>
  <c r="M168" i="52"/>
  <c r="M243" i="52"/>
  <c r="M318" i="52"/>
  <c r="Q359" i="52"/>
  <c r="M554" i="52"/>
  <c r="M629" i="52"/>
  <c r="O25" i="83"/>
  <c r="M866" i="52"/>
  <c r="M941" i="52"/>
  <c r="M1016" i="52"/>
  <c r="Q1057" i="52"/>
  <c r="M1252" i="52"/>
  <c r="M1327" i="52"/>
  <c r="O49" i="83"/>
  <c r="M1564" i="52"/>
  <c r="M1639" i="52"/>
  <c r="M1714" i="52"/>
  <c r="Q10" i="54"/>
  <c r="M205" i="54"/>
  <c r="M280" i="54"/>
  <c r="O10" i="84"/>
  <c r="M517" i="54"/>
  <c r="M592" i="54"/>
  <c r="M667" i="54"/>
  <c r="Q708" i="54"/>
  <c r="M903" i="54"/>
  <c r="M978" i="54"/>
  <c r="O34" i="84"/>
  <c r="M1215" i="54"/>
  <c r="M1290" i="54"/>
  <c r="M1365" i="54"/>
  <c r="O551" i="51"/>
  <c r="O626" i="51"/>
  <c r="Q22" i="82"/>
  <c r="O900" i="51"/>
  <c r="O975" i="51"/>
  <c r="Q34" i="82"/>
  <c r="S1083" i="51"/>
  <c r="S1143" i="51"/>
  <c r="O1211" i="51"/>
  <c r="O1286" i="51"/>
  <c r="O1361" i="51"/>
  <c r="O168" i="52"/>
  <c r="O243" i="52"/>
  <c r="O318" i="52"/>
  <c r="S359" i="52"/>
  <c r="O554" i="52"/>
  <c r="O629" i="52"/>
  <c r="Q25" i="83"/>
  <c r="O866" i="52"/>
  <c r="O941" i="52"/>
  <c r="O1016" i="52"/>
  <c r="S1057" i="52"/>
  <c r="O1252" i="52"/>
  <c r="O1327" i="52"/>
  <c r="Q49" i="83"/>
  <c r="O1564" i="52"/>
  <c r="O1639" i="52"/>
  <c r="O1714" i="52"/>
  <c r="S10" i="54"/>
  <c r="O205" i="54"/>
  <c r="O280" i="54"/>
  <c r="Q10" i="84"/>
  <c r="O517" i="54"/>
  <c r="O592" i="54"/>
  <c r="O667" i="54"/>
  <c r="S708" i="54"/>
  <c r="O903" i="54"/>
  <c r="O978" i="54"/>
  <c r="Q34" i="84"/>
  <c r="O1215" i="54"/>
  <c r="O1290" i="54"/>
  <c r="O1365" i="54"/>
  <c r="Q554" i="52"/>
  <c r="Q629" i="52"/>
  <c r="D15" i="46"/>
  <c r="Q1252" i="52"/>
  <c r="Q1327" i="52"/>
  <c r="D15" i="47"/>
  <c r="Q205" i="54"/>
  <c r="Q280" i="54"/>
  <c r="D15" i="48"/>
  <c r="Q903" i="54"/>
  <c r="Q978" i="54"/>
  <c r="D15" i="50"/>
  <c r="W504" i="51"/>
  <c r="D14" i="42"/>
  <c r="W853" i="51"/>
  <c r="D14" i="43"/>
  <c r="O1114" i="51"/>
  <c r="O1172" i="51"/>
  <c r="S1211" i="51"/>
  <c r="S1286" i="51"/>
  <c r="S1361" i="51"/>
  <c r="S168" i="52"/>
  <c r="S243" i="52"/>
  <c r="W507" i="52"/>
  <c r="S554" i="52"/>
  <c r="D14" i="46"/>
  <c r="S866" i="52"/>
  <c r="S941" i="52"/>
  <c r="W1205" i="52"/>
  <c r="S1252" i="52"/>
  <c r="D14" i="47"/>
  <c r="O1406" i="52"/>
  <c r="S1564" i="52"/>
  <c r="S1639" i="52"/>
  <c r="W158" i="54"/>
  <c r="S205" i="54"/>
  <c r="D14" i="48"/>
  <c r="S517" i="54"/>
  <c r="S592" i="54"/>
  <c r="W856" i="54"/>
  <c r="S903" i="54"/>
  <c r="D14" i="50"/>
  <c r="O1057" i="54"/>
  <c r="S1215" i="54"/>
  <c r="S1290" i="54"/>
  <c r="S1365" i="54"/>
  <c r="O514" i="51"/>
  <c r="O589" i="51"/>
  <c r="O863" i="51"/>
  <c r="O938" i="51"/>
  <c r="O1248" i="51"/>
  <c r="O1323" i="51"/>
  <c r="O205" i="52"/>
  <c r="O280" i="52"/>
  <c r="O517" i="52"/>
  <c r="O592" i="52"/>
  <c r="O903" i="52"/>
  <c r="O978" i="52"/>
  <c r="O1215" i="52"/>
  <c r="O1290" i="52"/>
  <c r="O1601" i="52"/>
  <c r="O1676" i="52"/>
  <c r="O168" i="54"/>
  <c r="O243" i="54"/>
  <c r="O554" i="54"/>
  <c r="O629" i="54"/>
  <c r="O866" i="54"/>
  <c r="O941" i="54"/>
  <c r="O1252" i="54"/>
  <c r="O1327" i="54"/>
  <c r="C1366" i="54"/>
  <c r="D178" i="77" s="1"/>
  <c r="C1367" i="54"/>
  <c r="D179" i="77" s="1"/>
  <c r="C1368" i="54"/>
  <c r="D180" i="77" s="1"/>
  <c r="C1369" i="54"/>
  <c r="D181" i="77" s="1"/>
  <c r="C1370" i="54"/>
  <c r="D182" i="77" s="1"/>
  <c r="C1371" i="54"/>
  <c r="D183" i="77" s="1"/>
  <c r="C1372" i="54"/>
  <c r="D184" i="77" s="1"/>
  <c r="C1373" i="54"/>
  <c r="D185" i="77" s="1"/>
  <c r="C1374" i="54"/>
  <c r="D186" i="77" s="1"/>
  <c r="C1375" i="54"/>
  <c r="D187" i="77" s="1"/>
  <c r="C1376" i="54"/>
  <c r="D188" i="77" s="1"/>
  <c r="C1377" i="54"/>
  <c r="D189" i="77" s="1"/>
  <c r="C1378" i="54"/>
  <c r="D190" i="77" s="1"/>
  <c r="C1379" i="54"/>
  <c r="D191" i="77" s="1"/>
  <c r="C1380" i="54"/>
  <c r="D192" i="77" s="1"/>
  <c r="C1381" i="54"/>
  <c r="D193" i="77" s="1"/>
  <c r="C1382" i="54"/>
  <c r="D194" i="77" s="1"/>
  <c r="C1383" i="54"/>
  <c r="D195" i="77" s="1"/>
  <c r="C1384" i="54"/>
  <c r="D196" i="77" s="1"/>
  <c r="C1385" i="54"/>
  <c r="D197" i="77" s="1"/>
  <c r="C1386" i="54"/>
  <c r="D198" i="77" s="1"/>
  <c r="C1387" i="54"/>
  <c r="D199" i="77" s="1"/>
  <c r="C1388" i="54"/>
  <c r="D200" i="77" s="1"/>
  <c r="C1389" i="54"/>
  <c r="D201" i="77" s="1"/>
  <c r="C1390" i="54"/>
  <c r="D202" i="77" s="1"/>
  <c r="C1391" i="54"/>
  <c r="D203" i="77" s="1"/>
  <c r="C1392" i="54"/>
  <c r="D204" i="77" s="1"/>
  <c r="C1393" i="54"/>
  <c r="D205" i="77" s="1"/>
  <c r="C1394" i="54"/>
  <c r="D206" i="77" s="1"/>
  <c r="C1395" i="54"/>
  <c r="D207" i="77" s="1"/>
  <c r="C1396" i="54"/>
  <c r="D208" i="77" s="1"/>
  <c r="C1397" i="54"/>
  <c r="D209" i="77" s="1"/>
  <c r="C1398" i="54"/>
  <c r="D210" i="77" s="1"/>
  <c r="C1399" i="54"/>
  <c r="D211" i="77" s="1"/>
  <c r="C1400" i="54"/>
  <c r="D212" i="77" s="1"/>
  <c r="C1017" i="54"/>
  <c r="D178" i="50" s="1"/>
  <c r="C1018" i="54"/>
  <c r="D179" i="50" s="1"/>
  <c r="C1019" i="54"/>
  <c r="D180" i="50" s="1"/>
  <c r="C1020" i="54"/>
  <c r="D181" i="50" s="1"/>
  <c r="C1021" i="54"/>
  <c r="D182" i="50" s="1"/>
  <c r="C1022" i="54"/>
  <c r="D183" i="50" s="1"/>
  <c r="C1023" i="54"/>
  <c r="D184" i="50" s="1"/>
  <c r="C1024" i="54"/>
  <c r="D185" i="50" s="1"/>
  <c r="C1025" i="54"/>
  <c r="D186" i="50" s="1"/>
  <c r="C1026" i="54"/>
  <c r="D187" i="50" s="1"/>
  <c r="C1027" i="54"/>
  <c r="D188" i="50" s="1"/>
  <c r="C1028" i="54"/>
  <c r="D189" i="50" s="1"/>
  <c r="C1029" i="54"/>
  <c r="D190" i="50" s="1"/>
  <c r="C1030" i="54"/>
  <c r="D191" i="50" s="1"/>
  <c r="C1031" i="54"/>
  <c r="D192" i="50" s="1"/>
  <c r="C1032" i="54"/>
  <c r="D193" i="50" s="1"/>
  <c r="C1033" i="54"/>
  <c r="D194" i="50" s="1"/>
  <c r="C1034" i="54"/>
  <c r="D195" i="50" s="1"/>
  <c r="C1035" i="54"/>
  <c r="D196" i="50" s="1"/>
  <c r="C1036" i="54"/>
  <c r="D197" i="50" s="1"/>
  <c r="C1037" i="54"/>
  <c r="D198" i="50" s="1"/>
  <c r="C1038" i="54"/>
  <c r="D199" i="50" s="1"/>
  <c r="C1039" i="54"/>
  <c r="D200" i="50" s="1"/>
  <c r="C1040" i="54"/>
  <c r="D201" i="50" s="1"/>
  <c r="C1041" i="54"/>
  <c r="D202" i="50" s="1"/>
  <c r="C1042" i="54"/>
  <c r="D203" i="50" s="1"/>
  <c r="C1043" i="54"/>
  <c r="D204" i="50" s="1"/>
  <c r="C1044" i="54"/>
  <c r="D205" i="50" s="1"/>
  <c r="C1045" i="54"/>
  <c r="D206" i="50" s="1"/>
  <c r="C1046" i="54"/>
  <c r="D207" i="50" s="1"/>
  <c r="C1047" i="54"/>
  <c r="D208" i="50" s="1"/>
  <c r="C1048" i="54"/>
  <c r="D209" i="50" s="1"/>
  <c r="C1049" i="54"/>
  <c r="D210" i="50" s="1"/>
  <c r="C1050" i="54"/>
  <c r="D211" i="50" s="1"/>
  <c r="C1051" i="54"/>
  <c r="D212" i="50" s="1"/>
  <c r="C668" i="54"/>
  <c r="D178" i="49" s="1"/>
  <c r="C669" i="54"/>
  <c r="D179" i="49" s="1"/>
  <c r="C670" i="54"/>
  <c r="D180" i="49" s="1"/>
  <c r="C671" i="54"/>
  <c r="D181" i="49" s="1"/>
  <c r="C672" i="54"/>
  <c r="D182" i="49" s="1"/>
  <c r="C673" i="54"/>
  <c r="D183" i="49" s="1"/>
  <c r="C674" i="54"/>
  <c r="D184" i="49" s="1"/>
  <c r="C675" i="54"/>
  <c r="D185" i="49" s="1"/>
  <c r="C676" i="54"/>
  <c r="D186" i="49" s="1"/>
  <c r="C677" i="54"/>
  <c r="D187" i="49" s="1"/>
  <c r="C678" i="54"/>
  <c r="D188" i="49" s="1"/>
  <c r="C679" i="54"/>
  <c r="D189" i="49" s="1"/>
  <c r="C680" i="54"/>
  <c r="D190" i="49" s="1"/>
  <c r="C681" i="54"/>
  <c r="D191" i="49" s="1"/>
  <c r="C682" i="54"/>
  <c r="D192" i="49" s="1"/>
  <c r="C683" i="54"/>
  <c r="D193" i="49" s="1"/>
  <c r="C684" i="54"/>
  <c r="D194" i="49" s="1"/>
  <c r="C685" i="54"/>
  <c r="D195" i="49" s="1"/>
  <c r="C686" i="54"/>
  <c r="D196" i="49" s="1"/>
  <c r="C687" i="54"/>
  <c r="D197" i="49" s="1"/>
  <c r="C688" i="54"/>
  <c r="D198" i="49" s="1"/>
  <c r="C689" i="54"/>
  <c r="D199" i="49" s="1"/>
  <c r="C690" i="54"/>
  <c r="D200" i="49" s="1"/>
  <c r="C691" i="54"/>
  <c r="D201" i="49" s="1"/>
  <c r="C692" i="54"/>
  <c r="D202" i="49" s="1"/>
  <c r="C693" i="54"/>
  <c r="D203" i="49" s="1"/>
  <c r="C694" i="54"/>
  <c r="D204" i="49" s="1"/>
  <c r="C695" i="54"/>
  <c r="D205" i="49" s="1"/>
  <c r="C696" i="54"/>
  <c r="D206" i="49" s="1"/>
  <c r="C697" i="54"/>
  <c r="D207" i="49" s="1"/>
  <c r="C698" i="54"/>
  <c r="D208" i="49" s="1"/>
  <c r="C699" i="54"/>
  <c r="D209" i="49" s="1"/>
  <c r="C700" i="54"/>
  <c r="D210" i="49" s="1"/>
  <c r="C701" i="54"/>
  <c r="D211" i="49" s="1"/>
  <c r="C702" i="54"/>
  <c r="D212" i="49" s="1"/>
  <c r="C319" i="54"/>
  <c r="D178" i="48" s="1"/>
  <c r="C320" i="54"/>
  <c r="D179" i="48" s="1"/>
  <c r="C321" i="54"/>
  <c r="D180" i="48" s="1"/>
  <c r="C322" i="54"/>
  <c r="D181" i="48" s="1"/>
  <c r="C323" i="54"/>
  <c r="D182" i="48" s="1"/>
  <c r="C324" i="54"/>
  <c r="D183" i="48" s="1"/>
  <c r="C325" i="54"/>
  <c r="D184" i="48" s="1"/>
  <c r="C326" i="54"/>
  <c r="D185" i="48" s="1"/>
  <c r="C327" i="54"/>
  <c r="D186" i="48" s="1"/>
  <c r="C328" i="54"/>
  <c r="D187" i="48" s="1"/>
  <c r="C329" i="54"/>
  <c r="D188" i="48" s="1"/>
  <c r="C330" i="54"/>
  <c r="D189" i="48" s="1"/>
  <c r="C331" i="54"/>
  <c r="D190" i="48" s="1"/>
  <c r="C332" i="54"/>
  <c r="D191" i="48" s="1"/>
  <c r="C333" i="54"/>
  <c r="D192" i="48" s="1"/>
  <c r="C334" i="54"/>
  <c r="D193" i="48" s="1"/>
  <c r="C335" i="54"/>
  <c r="D194" i="48" s="1"/>
  <c r="C336" i="54"/>
  <c r="D195" i="48" s="1"/>
  <c r="C337" i="54"/>
  <c r="D196" i="48" s="1"/>
  <c r="C338" i="54"/>
  <c r="D197" i="48" s="1"/>
  <c r="C339" i="54"/>
  <c r="D198" i="48" s="1"/>
  <c r="C340" i="54"/>
  <c r="D199" i="48" s="1"/>
  <c r="C341" i="54"/>
  <c r="D200" i="48" s="1"/>
  <c r="C342" i="54"/>
  <c r="D201" i="48" s="1"/>
  <c r="C343" i="54"/>
  <c r="D202" i="48" s="1"/>
  <c r="C344" i="54"/>
  <c r="D203" i="48" s="1"/>
  <c r="C345" i="54"/>
  <c r="D204" i="48" s="1"/>
  <c r="C346" i="54"/>
  <c r="D205" i="48" s="1"/>
  <c r="C347" i="54"/>
  <c r="D206" i="48" s="1"/>
  <c r="C348" i="54"/>
  <c r="D207" i="48" s="1"/>
  <c r="C349" i="54"/>
  <c r="D208" i="48" s="1"/>
  <c r="C350" i="54"/>
  <c r="D209" i="48" s="1"/>
  <c r="C351" i="54"/>
  <c r="D210" i="48" s="1"/>
  <c r="C352" i="54"/>
  <c r="D211" i="48" s="1"/>
  <c r="C353" i="54"/>
  <c r="D212" i="48" s="1"/>
  <c r="C1715" i="52"/>
  <c r="D178" i="76" s="1"/>
  <c r="C1716" i="52"/>
  <c r="D179" i="76" s="1"/>
  <c r="C1717" i="52"/>
  <c r="D180" i="76" s="1"/>
  <c r="C1718" i="52"/>
  <c r="D181" i="76" s="1"/>
  <c r="C1719" i="52"/>
  <c r="D182" i="76" s="1"/>
  <c r="C1720" i="52"/>
  <c r="D183" i="76" s="1"/>
  <c r="C1721" i="52"/>
  <c r="D184" i="76" s="1"/>
  <c r="C1722" i="52"/>
  <c r="D185" i="76" s="1"/>
  <c r="C1723" i="52"/>
  <c r="D186" i="76" s="1"/>
  <c r="C1724" i="52"/>
  <c r="D187" i="76" s="1"/>
  <c r="C1725" i="52"/>
  <c r="D188" i="76" s="1"/>
  <c r="C1726" i="52"/>
  <c r="D189" i="76" s="1"/>
  <c r="C1727" i="52"/>
  <c r="D190" i="76" s="1"/>
  <c r="C1728" i="52"/>
  <c r="D191" i="76" s="1"/>
  <c r="C1729" i="52"/>
  <c r="D192" i="76" s="1"/>
  <c r="C1730" i="52"/>
  <c r="D193" i="76" s="1"/>
  <c r="C1731" i="52"/>
  <c r="D194" i="76" s="1"/>
  <c r="C1732" i="52"/>
  <c r="D195" i="76" s="1"/>
  <c r="C1733" i="52"/>
  <c r="D196" i="76" s="1"/>
  <c r="C1734" i="52"/>
  <c r="D197" i="76" s="1"/>
  <c r="C1735" i="52"/>
  <c r="D198" i="76" s="1"/>
  <c r="C1736" i="52"/>
  <c r="D199" i="76" s="1"/>
  <c r="C1737" i="52"/>
  <c r="D200" i="76" s="1"/>
  <c r="C1738" i="52"/>
  <c r="D201" i="76" s="1"/>
  <c r="C1739" i="52"/>
  <c r="D202" i="76" s="1"/>
  <c r="C1740" i="52"/>
  <c r="D203" i="76" s="1"/>
  <c r="C1741" i="52"/>
  <c r="D204" i="76" s="1"/>
  <c r="C1742" i="52"/>
  <c r="D205" i="76" s="1"/>
  <c r="C1743" i="52"/>
  <c r="D206" i="76" s="1"/>
  <c r="C1744" i="52"/>
  <c r="D207" i="76" s="1"/>
  <c r="C1745" i="52"/>
  <c r="D208" i="76" s="1"/>
  <c r="C1746" i="52"/>
  <c r="D209" i="76" s="1"/>
  <c r="C1747" i="52"/>
  <c r="D210" i="76" s="1"/>
  <c r="C1748" i="52"/>
  <c r="D211" i="76" s="1"/>
  <c r="C1749" i="52"/>
  <c r="D212" i="76" s="1"/>
  <c r="C1366" i="52"/>
  <c r="D178" i="47" s="1"/>
  <c r="C1367" i="52"/>
  <c r="D179" i="47" s="1"/>
  <c r="C1368" i="52"/>
  <c r="D180" i="47" s="1"/>
  <c r="C1369" i="52"/>
  <c r="D181" i="47" s="1"/>
  <c r="C1370" i="52"/>
  <c r="D182" i="47" s="1"/>
  <c r="C1371" i="52"/>
  <c r="D183" i="47" s="1"/>
  <c r="C1372" i="52"/>
  <c r="D184" i="47" s="1"/>
  <c r="C1373" i="52"/>
  <c r="D185" i="47" s="1"/>
  <c r="C1374" i="52"/>
  <c r="D186" i="47" s="1"/>
  <c r="C1375" i="52"/>
  <c r="D187" i="47" s="1"/>
  <c r="C1376" i="52"/>
  <c r="D188" i="47" s="1"/>
  <c r="C1377" i="52"/>
  <c r="D189" i="47" s="1"/>
  <c r="C1378" i="52"/>
  <c r="D190" i="47" s="1"/>
  <c r="C1379" i="52"/>
  <c r="D191" i="47" s="1"/>
  <c r="C1380" i="52"/>
  <c r="D192" i="47" s="1"/>
  <c r="C1381" i="52"/>
  <c r="D193" i="47" s="1"/>
  <c r="C1382" i="52"/>
  <c r="D194" i="47" s="1"/>
  <c r="C1383" i="52"/>
  <c r="D195" i="47" s="1"/>
  <c r="C1384" i="52"/>
  <c r="D196" i="47" s="1"/>
  <c r="C1385" i="52"/>
  <c r="D197" i="47" s="1"/>
  <c r="C1386" i="52"/>
  <c r="D198" i="47" s="1"/>
  <c r="C1387" i="52"/>
  <c r="D199" i="47" s="1"/>
  <c r="C1388" i="52"/>
  <c r="D200" i="47" s="1"/>
  <c r="C1389" i="52"/>
  <c r="D201" i="47" s="1"/>
  <c r="C1390" i="52"/>
  <c r="D202" i="47" s="1"/>
  <c r="C1391" i="52"/>
  <c r="D203" i="47" s="1"/>
  <c r="C1392" i="52"/>
  <c r="D204" i="47" s="1"/>
  <c r="C1393" i="52"/>
  <c r="D205" i="47" s="1"/>
  <c r="C1394" i="52"/>
  <c r="D206" i="47" s="1"/>
  <c r="C1395" i="52"/>
  <c r="D207" i="47" s="1"/>
  <c r="C1396" i="52"/>
  <c r="D208" i="47" s="1"/>
  <c r="C1397" i="52"/>
  <c r="D209" i="47" s="1"/>
  <c r="C1398" i="52"/>
  <c r="D210" i="47" s="1"/>
  <c r="C1399" i="52"/>
  <c r="D211" i="47" s="1"/>
  <c r="C1400" i="52"/>
  <c r="D212" i="47" s="1"/>
  <c r="C1017" i="52"/>
  <c r="D178" i="94" s="1"/>
  <c r="C1018" i="52"/>
  <c r="D179" i="94" s="1"/>
  <c r="C1019" i="52"/>
  <c r="D180" i="94" s="1"/>
  <c r="C1020" i="52"/>
  <c r="D181" i="94" s="1"/>
  <c r="C1021" i="52"/>
  <c r="D182" i="94" s="1"/>
  <c r="C1022" i="52"/>
  <c r="D183" i="94" s="1"/>
  <c r="C1023" i="52"/>
  <c r="D184" i="94" s="1"/>
  <c r="C1024" i="52"/>
  <c r="D185" i="94" s="1"/>
  <c r="C1025" i="52"/>
  <c r="D186" i="94" s="1"/>
  <c r="C1026" i="52"/>
  <c r="D187" i="94" s="1"/>
  <c r="C1027" i="52"/>
  <c r="D188" i="94" s="1"/>
  <c r="C1028" i="52"/>
  <c r="D189" i="94" s="1"/>
  <c r="C1029" i="52"/>
  <c r="D190" i="94" s="1"/>
  <c r="C1030" i="52"/>
  <c r="D191" i="94" s="1"/>
  <c r="C1031" i="52"/>
  <c r="D192" i="94" s="1"/>
  <c r="C1032" i="52"/>
  <c r="D193" i="94" s="1"/>
  <c r="C1033" i="52"/>
  <c r="D194" i="94" s="1"/>
  <c r="C1034" i="52"/>
  <c r="D195" i="94" s="1"/>
  <c r="C1035" i="52"/>
  <c r="D196" i="94" s="1"/>
  <c r="C1036" i="52"/>
  <c r="D197" i="94" s="1"/>
  <c r="C1037" i="52"/>
  <c r="D198" i="94" s="1"/>
  <c r="C1038" i="52"/>
  <c r="D199" i="94" s="1"/>
  <c r="C1039" i="52"/>
  <c r="D200" i="94" s="1"/>
  <c r="C1040" i="52"/>
  <c r="D201" i="94" s="1"/>
  <c r="C1041" i="52"/>
  <c r="D202" i="94" s="1"/>
  <c r="C1042" i="52"/>
  <c r="D203" i="94" s="1"/>
  <c r="C1043" i="52"/>
  <c r="D204" i="94" s="1"/>
  <c r="C1044" i="52"/>
  <c r="D205" i="94" s="1"/>
  <c r="C1045" i="52"/>
  <c r="D206" i="94" s="1"/>
  <c r="C1046" i="52"/>
  <c r="D207" i="94" s="1"/>
  <c r="C1047" i="52"/>
  <c r="D208" i="94" s="1"/>
  <c r="C1048" i="52"/>
  <c r="D209" i="94" s="1"/>
  <c r="C1049" i="52"/>
  <c r="D210" i="94" s="1"/>
  <c r="C1050" i="52"/>
  <c r="D211" i="94" s="1"/>
  <c r="C1051" i="52"/>
  <c r="D212" i="94" s="1"/>
  <c r="C668" i="52"/>
  <c r="D178" i="46" s="1"/>
  <c r="C669" i="52"/>
  <c r="D179" i="46" s="1"/>
  <c r="C670" i="52"/>
  <c r="D180" i="46" s="1"/>
  <c r="C671" i="52"/>
  <c r="D181" i="46" s="1"/>
  <c r="C672" i="52"/>
  <c r="D182" i="46" s="1"/>
  <c r="C673" i="52"/>
  <c r="D183" i="46" s="1"/>
  <c r="C674" i="52"/>
  <c r="D184" i="46" s="1"/>
  <c r="C675" i="52"/>
  <c r="D185" i="46" s="1"/>
  <c r="C676" i="52"/>
  <c r="D186" i="46" s="1"/>
  <c r="C677" i="52"/>
  <c r="D187" i="46" s="1"/>
  <c r="C678" i="52"/>
  <c r="D188" i="46" s="1"/>
  <c r="C679" i="52"/>
  <c r="D189" i="46" s="1"/>
  <c r="C680" i="52"/>
  <c r="D190" i="46" s="1"/>
  <c r="C681" i="52"/>
  <c r="D191" i="46" s="1"/>
  <c r="C682" i="52"/>
  <c r="D192" i="46" s="1"/>
  <c r="C683" i="52"/>
  <c r="D193" i="46" s="1"/>
  <c r="C684" i="52"/>
  <c r="D194" i="46" s="1"/>
  <c r="C685" i="52"/>
  <c r="D195" i="46" s="1"/>
  <c r="C686" i="52"/>
  <c r="D196" i="46" s="1"/>
  <c r="C687" i="52"/>
  <c r="D197" i="46" s="1"/>
  <c r="C688" i="52"/>
  <c r="D198" i="46" s="1"/>
  <c r="C689" i="52"/>
  <c r="D199" i="46" s="1"/>
  <c r="C690" i="52"/>
  <c r="D200" i="46" s="1"/>
  <c r="C691" i="52"/>
  <c r="D201" i="46" s="1"/>
  <c r="C692" i="52"/>
  <c r="D202" i="46" s="1"/>
  <c r="C693" i="52"/>
  <c r="D203" i="46" s="1"/>
  <c r="C694" i="52"/>
  <c r="D204" i="46" s="1"/>
  <c r="C695" i="52"/>
  <c r="D205" i="46" s="1"/>
  <c r="C696" i="52"/>
  <c r="D206" i="46" s="1"/>
  <c r="C697" i="52"/>
  <c r="D207" i="46" s="1"/>
  <c r="C698" i="52"/>
  <c r="D208" i="46" s="1"/>
  <c r="C699" i="52"/>
  <c r="D209" i="46" s="1"/>
  <c r="C700" i="52"/>
  <c r="D210" i="46" s="1"/>
  <c r="C701" i="52"/>
  <c r="D211" i="46" s="1"/>
  <c r="C702" i="52"/>
  <c r="D212" i="46" s="1"/>
  <c r="C319" i="52"/>
  <c r="D178" i="45" s="1"/>
  <c r="C320" i="52"/>
  <c r="D179" i="45" s="1"/>
  <c r="C321" i="52"/>
  <c r="D180" i="45" s="1"/>
  <c r="C322" i="52"/>
  <c r="D181" i="45" s="1"/>
  <c r="C323" i="52"/>
  <c r="D182" i="45" s="1"/>
  <c r="C324" i="52"/>
  <c r="D183" i="45" s="1"/>
  <c r="C325" i="52"/>
  <c r="D184" i="45" s="1"/>
  <c r="C326" i="52"/>
  <c r="D185" i="45" s="1"/>
  <c r="C327" i="52"/>
  <c r="D186" i="45" s="1"/>
  <c r="C328" i="52"/>
  <c r="D187" i="45" s="1"/>
  <c r="C329" i="52"/>
  <c r="D188" i="45" s="1"/>
  <c r="C330" i="52"/>
  <c r="D189" i="45" s="1"/>
  <c r="C331" i="52"/>
  <c r="D190" i="45" s="1"/>
  <c r="C332" i="52"/>
  <c r="D191" i="45" s="1"/>
  <c r="C333" i="52"/>
  <c r="D192" i="45" s="1"/>
  <c r="C334" i="52"/>
  <c r="D193" i="45" s="1"/>
  <c r="C335" i="52"/>
  <c r="D194" i="45" s="1"/>
  <c r="C336" i="52"/>
  <c r="D195" i="45" s="1"/>
  <c r="C337" i="52"/>
  <c r="D196" i="45" s="1"/>
  <c r="C338" i="52"/>
  <c r="D197" i="45" s="1"/>
  <c r="C339" i="52"/>
  <c r="D198" i="45" s="1"/>
  <c r="C340" i="52"/>
  <c r="D199" i="45" s="1"/>
  <c r="C341" i="52"/>
  <c r="D200" i="45" s="1"/>
  <c r="C342" i="52"/>
  <c r="D201" i="45" s="1"/>
  <c r="C343" i="52"/>
  <c r="D202" i="45" s="1"/>
  <c r="C344" i="52"/>
  <c r="D203" i="45" s="1"/>
  <c r="C345" i="52"/>
  <c r="D204" i="45" s="1"/>
  <c r="C346" i="52"/>
  <c r="D205" i="45" s="1"/>
  <c r="C347" i="52"/>
  <c r="D206" i="45" s="1"/>
  <c r="C348" i="52"/>
  <c r="D207" i="45" s="1"/>
  <c r="C349" i="52"/>
  <c r="D208" i="45" s="1"/>
  <c r="C350" i="52"/>
  <c r="D209" i="45" s="1"/>
  <c r="C351" i="52"/>
  <c r="D210" i="45" s="1"/>
  <c r="C352" i="52"/>
  <c r="D211" i="45" s="1"/>
  <c r="C353" i="52"/>
  <c r="D212" i="45" s="1"/>
  <c r="C1362" i="51"/>
  <c r="D178" i="44" s="1"/>
  <c r="C1363" i="51"/>
  <c r="D179" i="44" s="1"/>
  <c r="C1364" i="51"/>
  <c r="D180" i="44" s="1"/>
  <c r="C1365" i="51"/>
  <c r="D181" i="44" s="1"/>
  <c r="C1366" i="51"/>
  <c r="D182" i="44" s="1"/>
  <c r="C1367" i="51"/>
  <c r="D183" i="44" s="1"/>
  <c r="C1368" i="51"/>
  <c r="D184" i="44" s="1"/>
  <c r="C1369" i="51"/>
  <c r="D185" i="44" s="1"/>
  <c r="C1370" i="51"/>
  <c r="D186" i="44" s="1"/>
  <c r="C1371" i="51"/>
  <c r="D187" i="44" s="1"/>
  <c r="C1372" i="51"/>
  <c r="D188" i="44" s="1"/>
  <c r="C1373" i="51"/>
  <c r="D189" i="44" s="1"/>
  <c r="C1374" i="51"/>
  <c r="D190" i="44" s="1"/>
  <c r="C1375" i="51"/>
  <c r="D191" i="44" s="1"/>
  <c r="C1376" i="51"/>
  <c r="D192" i="44" s="1"/>
  <c r="C1377" i="51"/>
  <c r="D193" i="44" s="1"/>
  <c r="C1378" i="51"/>
  <c r="D194" i="44" s="1"/>
  <c r="C1379" i="51"/>
  <c r="D195" i="44" s="1"/>
  <c r="C1380" i="51"/>
  <c r="D196" i="44" s="1"/>
  <c r="C1381" i="51"/>
  <c r="D197" i="44" s="1"/>
  <c r="C1382" i="51"/>
  <c r="D198" i="44" s="1"/>
  <c r="C1383" i="51"/>
  <c r="D199" i="44" s="1"/>
  <c r="C1384" i="51"/>
  <c r="D200" i="44" s="1"/>
  <c r="C1385" i="51"/>
  <c r="D201" i="44" s="1"/>
  <c r="C1386" i="51"/>
  <c r="D202" i="44" s="1"/>
  <c r="C1387" i="51"/>
  <c r="D203" i="44" s="1"/>
  <c r="C1388" i="51"/>
  <c r="D204" i="44" s="1"/>
  <c r="C1389" i="51"/>
  <c r="D205" i="44" s="1"/>
  <c r="C1390" i="51"/>
  <c r="D206" i="44" s="1"/>
  <c r="C1391" i="51"/>
  <c r="D207" i="44" s="1"/>
  <c r="C1392" i="51"/>
  <c r="D208" i="44" s="1"/>
  <c r="C1393" i="51"/>
  <c r="D209" i="44" s="1"/>
  <c r="C1394" i="51"/>
  <c r="D210" i="44" s="1"/>
  <c r="C1395" i="51"/>
  <c r="D211" i="44" s="1"/>
  <c r="C1396" i="51"/>
  <c r="D212" i="44" s="1"/>
  <c r="C1014" i="51"/>
  <c r="D178" i="43" s="1"/>
  <c r="C1015" i="51"/>
  <c r="D179" i="43" s="1"/>
  <c r="C1016" i="51"/>
  <c r="D180" i="43" s="1"/>
  <c r="C1017" i="51"/>
  <c r="D181" i="43" s="1"/>
  <c r="C1018" i="51"/>
  <c r="D182" i="43" s="1"/>
  <c r="C1019" i="51"/>
  <c r="D183" i="43" s="1"/>
  <c r="C1020" i="51"/>
  <c r="D184" i="43" s="1"/>
  <c r="C1021" i="51"/>
  <c r="D185" i="43" s="1"/>
  <c r="C1022" i="51"/>
  <c r="D186" i="43" s="1"/>
  <c r="C1023" i="51"/>
  <c r="D187" i="43" s="1"/>
  <c r="C1024" i="51"/>
  <c r="D188" i="43" s="1"/>
  <c r="C1025" i="51"/>
  <c r="D189" i="43" s="1"/>
  <c r="C1026" i="51"/>
  <c r="D190" i="43" s="1"/>
  <c r="C1027" i="51"/>
  <c r="D191" i="43" s="1"/>
  <c r="C1028" i="51"/>
  <c r="D192" i="43" s="1"/>
  <c r="C1029" i="51"/>
  <c r="D193" i="43" s="1"/>
  <c r="C1030" i="51"/>
  <c r="D194" i="43" s="1"/>
  <c r="C1031" i="51"/>
  <c r="D195" i="43" s="1"/>
  <c r="C1032" i="51"/>
  <c r="D196" i="43" s="1"/>
  <c r="C1033" i="51"/>
  <c r="D197" i="43" s="1"/>
  <c r="C1034" i="51"/>
  <c r="D198" i="43" s="1"/>
  <c r="C1035" i="51"/>
  <c r="D199" i="43" s="1"/>
  <c r="C1036" i="51"/>
  <c r="D200" i="43" s="1"/>
  <c r="C1037" i="51"/>
  <c r="D201" i="43" s="1"/>
  <c r="C1038" i="51"/>
  <c r="D202" i="43" s="1"/>
  <c r="C1039" i="51"/>
  <c r="D203" i="43" s="1"/>
  <c r="C1040" i="51"/>
  <c r="D204" i="43" s="1"/>
  <c r="C1041" i="51"/>
  <c r="D205" i="43" s="1"/>
  <c r="C1042" i="51"/>
  <c r="D206" i="43" s="1"/>
  <c r="C1043" i="51"/>
  <c r="D207" i="43" s="1"/>
  <c r="C1044" i="51"/>
  <c r="D208" i="43" s="1"/>
  <c r="C1045" i="51"/>
  <c r="D209" i="43" s="1"/>
  <c r="C1046" i="51"/>
  <c r="D210" i="43" s="1"/>
  <c r="C1047" i="51"/>
  <c r="D211" i="43" s="1"/>
  <c r="C1048" i="51"/>
  <c r="D212" i="43" s="1"/>
  <c r="C665" i="51"/>
  <c r="D178" i="42" s="1"/>
  <c r="C666" i="51"/>
  <c r="D179" i="42" s="1"/>
  <c r="C667" i="51"/>
  <c r="D180" i="42" s="1"/>
  <c r="C668" i="51"/>
  <c r="D181" i="42" s="1"/>
  <c r="C669" i="51"/>
  <c r="D182" i="42" s="1"/>
  <c r="C670" i="51"/>
  <c r="D183" i="42" s="1"/>
  <c r="C671" i="51"/>
  <c r="D184" i="42" s="1"/>
  <c r="C672" i="51"/>
  <c r="D185" i="42" s="1"/>
  <c r="C673" i="51"/>
  <c r="D186" i="42" s="1"/>
  <c r="C674" i="51"/>
  <c r="D187" i="42" s="1"/>
  <c r="C675" i="51"/>
  <c r="D188" i="42" s="1"/>
  <c r="C676" i="51"/>
  <c r="D189" i="42" s="1"/>
  <c r="C677" i="51"/>
  <c r="D190" i="42" s="1"/>
  <c r="C678" i="51"/>
  <c r="D191" i="42" s="1"/>
  <c r="C679" i="51"/>
  <c r="D192" i="42" s="1"/>
  <c r="C680" i="51"/>
  <c r="D193" i="42" s="1"/>
  <c r="C681" i="51"/>
  <c r="D194" i="42" s="1"/>
  <c r="C682" i="51"/>
  <c r="D195" i="42" s="1"/>
  <c r="C683" i="51"/>
  <c r="D196" i="42" s="1"/>
  <c r="C684" i="51"/>
  <c r="D197" i="42" s="1"/>
  <c r="C685" i="51"/>
  <c r="D198" i="42" s="1"/>
  <c r="C686" i="51"/>
  <c r="D199" i="42" s="1"/>
  <c r="C687" i="51"/>
  <c r="D200" i="42" s="1"/>
  <c r="C688" i="51"/>
  <c r="D201" i="42" s="1"/>
  <c r="C689" i="51"/>
  <c r="D202" i="42" s="1"/>
  <c r="C690" i="51"/>
  <c r="D203" i="42" s="1"/>
  <c r="C691" i="51"/>
  <c r="D204" i="42" s="1"/>
  <c r="C692" i="51"/>
  <c r="D205" i="42" s="1"/>
  <c r="C693" i="51"/>
  <c r="D206" i="42" s="1"/>
  <c r="C694" i="51"/>
  <c r="D207" i="42" s="1"/>
  <c r="C695" i="51"/>
  <c r="D208" i="42" s="1"/>
  <c r="C696" i="51"/>
  <c r="D209" i="42" s="1"/>
  <c r="C697" i="51"/>
  <c r="D210" i="42" s="1"/>
  <c r="C698" i="51"/>
  <c r="D211" i="42" s="1"/>
  <c r="C699" i="51"/>
  <c r="D212" i="42" s="1"/>
  <c r="C317" i="51"/>
  <c r="D178" i="41" s="1"/>
  <c r="C318" i="51"/>
  <c r="D179" i="41" s="1"/>
  <c r="C319" i="51"/>
  <c r="D180" i="41" s="1"/>
  <c r="C320" i="51"/>
  <c r="D181" i="41" s="1"/>
  <c r="C321" i="51"/>
  <c r="D182" i="41" s="1"/>
  <c r="C322" i="51"/>
  <c r="D183" i="41" s="1"/>
  <c r="C323" i="51"/>
  <c r="D184" i="41" s="1"/>
  <c r="C324" i="51"/>
  <c r="D185" i="41" s="1"/>
  <c r="C325" i="51"/>
  <c r="D186" i="41" s="1"/>
  <c r="C326" i="51"/>
  <c r="D187" i="41" s="1"/>
  <c r="C327" i="51"/>
  <c r="D188" i="41" s="1"/>
  <c r="C328" i="51"/>
  <c r="D189" i="41" s="1"/>
  <c r="C329" i="51"/>
  <c r="D190" i="41" s="1"/>
  <c r="C330" i="51"/>
  <c r="D191" i="41" s="1"/>
  <c r="C331" i="51"/>
  <c r="D192" i="41" s="1"/>
  <c r="C332" i="51"/>
  <c r="D193" i="41" s="1"/>
  <c r="C333" i="51"/>
  <c r="D194" i="41" s="1"/>
  <c r="C334" i="51"/>
  <c r="D195" i="41" s="1"/>
  <c r="C335" i="51"/>
  <c r="D196" i="41" s="1"/>
  <c r="C336" i="51"/>
  <c r="D197" i="41" s="1"/>
  <c r="C337" i="51"/>
  <c r="D198" i="41" s="1"/>
  <c r="C338" i="51"/>
  <c r="D199" i="41" s="1"/>
  <c r="C339" i="51"/>
  <c r="D200" i="41" s="1"/>
  <c r="C340" i="51"/>
  <c r="D201" i="41" s="1"/>
  <c r="C341" i="51"/>
  <c r="D202" i="41" s="1"/>
  <c r="C342" i="51"/>
  <c r="D203" i="41" s="1"/>
  <c r="C343" i="51"/>
  <c r="D204" i="41" s="1"/>
  <c r="C344" i="51"/>
  <c r="D205" i="41" s="1"/>
  <c r="C345" i="51"/>
  <c r="D206" i="41" s="1"/>
  <c r="C346" i="51"/>
  <c r="D207" i="41" s="1"/>
  <c r="C347" i="51"/>
  <c r="D208" i="41" s="1"/>
  <c r="C348" i="51"/>
  <c r="D209" i="41" s="1"/>
  <c r="C349" i="51"/>
  <c r="D210" i="41" s="1"/>
  <c r="C350" i="51"/>
  <c r="D211" i="41" s="1"/>
  <c r="C351" i="51"/>
  <c r="D212" i="41" s="1"/>
  <c r="C1015" i="59"/>
  <c r="D178" i="75" s="1"/>
  <c r="C1016" i="59"/>
  <c r="D179" i="75" s="1"/>
  <c r="C1017" i="59"/>
  <c r="D180" i="75" s="1"/>
  <c r="C1018" i="59"/>
  <c r="D181" i="75" s="1"/>
  <c r="C1019" i="59"/>
  <c r="D182" i="75" s="1"/>
  <c r="C1020" i="59"/>
  <c r="D183" i="75" s="1"/>
  <c r="C1021" i="59"/>
  <c r="D184" i="75" s="1"/>
  <c r="C1022" i="59"/>
  <c r="D185" i="75" s="1"/>
  <c r="C1023" i="59"/>
  <c r="D186" i="75" s="1"/>
  <c r="C1024" i="59"/>
  <c r="D187" i="75" s="1"/>
  <c r="C1025" i="59"/>
  <c r="D188" i="75" s="1"/>
  <c r="C1026" i="59"/>
  <c r="D189" i="75" s="1"/>
  <c r="C1027" i="59"/>
  <c r="D190" i="75" s="1"/>
  <c r="C1028" i="59"/>
  <c r="D191" i="75" s="1"/>
  <c r="C1029" i="59"/>
  <c r="D192" i="75" s="1"/>
  <c r="C1030" i="59"/>
  <c r="D193" i="75" s="1"/>
  <c r="C1031" i="59"/>
  <c r="D194" i="75" s="1"/>
  <c r="C1032" i="59"/>
  <c r="D195" i="75" s="1"/>
  <c r="C1033" i="59"/>
  <c r="D196" i="75" s="1"/>
  <c r="C1034" i="59"/>
  <c r="D197" i="75" s="1"/>
  <c r="C1035" i="59"/>
  <c r="D198" i="75" s="1"/>
  <c r="C1036" i="59"/>
  <c r="D199" i="75" s="1"/>
  <c r="C1037" i="59"/>
  <c r="D200" i="75" s="1"/>
  <c r="C1038" i="59"/>
  <c r="D201" i="75" s="1"/>
  <c r="C1039" i="59"/>
  <c r="D202" i="75" s="1"/>
  <c r="C1040" i="59"/>
  <c r="D203" i="75" s="1"/>
  <c r="C1041" i="59"/>
  <c r="D204" i="75" s="1"/>
  <c r="C1042" i="59"/>
  <c r="D205" i="75" s="1"/>
  <c r="C1043" i="59"/>
  <c r="D206" i="75" s="1"/>
  <c r="C1044" i="59"/>
  <c r="D207" i="75" s="1"/>
  <c r="C1045" i="59"/>
  <c r="D208" i="75" s="1"/>
  <c r="C1046" i="59"/>
  <c r="D209" i="75" s="1"/>
  <c r="C1047" i="59"/>
  <c r="D210" i="75" s="1"/>
  <c r="C1048" i="59"/>
  <c r="D211" i="75" s="1"/>
  <c r="C1049" i="59"/>
  <c r="D212" i="75" s="1"/>
  <c r="C666" i="59"/>
  <c r="D178" i="74" s="1"/>
  <c r="C667" i="59"/>
  <c r="D179" i="74" s="1"/>
  <c r="C668" i="59"/>
  <c r="D180" i="74" s="1"/>
  <c r="C669" i="59"/>
  <c r="D181" i="74" s="1"/>
  <c r="C670" i="59"/>
  <c r="D182" i="74" s="1"/>
  <c r="C671" i="59"/>
  <c r="D183" i="74" s="1"/>
  <c r="C672" i="59"/>
  <c r="D184" i="74" s="1"/>
  <c r="C673" i="59"/>
  <c r="D185" i="74" s="1"/>
  <c r="C674" i="59"/>
  <c r="D186" i="74" s="1"/>
  <c r="C675" i="59"/>
  <c r="D187" i="74" s="1"/>
  <c r="C676" i="59"/>
  <c r="D188" i="74" s="1"/>
  <c r="C677" i="59"/>
  <c r="D189" i="74" s="1"/>
  <c r="C678" i="59"/>
  <c r="D190" i="74" s="1"/>
  <c r="C679" i="59"/>
  <c r="D191" i="74" s="1"/>
  <c r="C680" i="59"/>
  <c r="D192" i="74" s="1"/>
  <c r="C681" i="59"/>
  <c r="D193" i="74" s="1"/>
  <c r="C682" i="59"/>
  <c r="D194" i="74" s="1"/>
  <c r="C683" i="59"/>
  <c r="D195" i="74" s="1"/>
  <c r="C684" i="59"/>
  <c r="D196" i="74" s="1"/>
  <c r="C685" i="59"/>
  <c r="D197" i="74" s="1"/>
  <c r="C686" i="59"/>
  <c r="D198" i="74" s="1"/>
  <c r="C687" i="59"/>
  <c r="D199" i="74" s="1"/>
  <c r="C688" i="59"/>
  <c r="D200" i="74" s="1"/>
  <c r="C689" i="59"/>
  <c r="D201" i="74" s="1"/>
  <c r="C690" i="59"/>
  <c r="D202" i="74" s="1"/>
  <c r="C691" i="59"/>
  <c r="D203" i="74" s="1"/>
  <c r="C692" i="59"/>
  <c r="D204" i="74" s="1"/>
  <c r="C693" i="59"/>
  <c r="D205" i="74" s="1"/>
  <c r="C694" i="59"/>
  <c r="D206" i="74" s="1"/>
  <c r="C695" i="59"/>
  <c r="D207" i="74" s="1"/>
  <c r="C696" i="59"/>
  <c r="D208" i="74" s="1"/>
  <c r="C697" i="59"/>
  <c r="D209" i="74" s="1"/>
  <c r="C698" i="59"/>
  <c r="D210" i="74" s="1"/>
  <c r="C699" i="59"/>
  <c r="D211" i="74" s="1"/>
  <c r="C700" i="59"/>
  <c r="D212" i="74" s="1"/>
  <c r="C317" i="59"/>
  <c r="D178" i="40" s="1"/>
  <c r="C318" i="59"/>
  <c r="D179" i="40" s="1"/>
  <c r="C319" i="59"/>
  <c r="D180" i="40" s="1"/>
  <c r="C320" i="59"/>
  <c r="D181" i="40" s="1"/>
  <c r="C321" i="59"/>
  <c r="D182" i="40" s="1"/>
  <c r="C322" i="59"/>
  <c r="D183" i="40" s="1"/>
  <c r="C323" i="59"/>
  <c r="D184" i="40" s="1"/>
  <c r="C324" i="59"/>
  <c r="D185" i="40" s="1"/>
  <c r="C325" i="59"/>
  <c r="D186" i="40" s="1"/>
  <c r="C326" i="59"/>
  <c r="D187" i="40" s="1"/>
  <c r="C327" i="59"/>
  <c r="D188" i="40" s="1"/>
  <c r="C328" i="59"/>
  <c r="D189" i="40" s="1"/>
  <c r="C329" i="59"/>
  <c r="D190" i="40" s="1"/>
  <c r="C330" i="59"/>
  <c r="D191" i="40" s="1"/>
  <c r="C331" i="59"/>
  <c r="D192" i="40" s="1"/>
  <c r="C332" i="59"/>
  <c r="D193" i="40" s="1"/>
  <c r="C333" i="59"/>
  <c r="D194" i="40" s="1"/>
  <c r="C334" i="59"/>
  <c r="D195" i="40" s="1"/>
  <c r="C335" i="59"/>
  <c r="D196" i="40" s="1"/>
  <c r="C336" i="59"/>
  <c r="D197" i="40" s="1"/>
  <c r="C337" i="59"/>
  <c r="D198" i="40" s="1"/>
  <c r="C338" i="59"/>
  <c r="D199" i="40" s="1"/>
  <c r="C339" i="59"/>
  <c r="D200" i="40" s="1"/>
  <c r="C340" i="59"/>
  <c r="D201" i="40" s="1"/>
  <c r="C341" i="59"/>
  <c r="D202" i="40" s="1"/>
  <c r="C342" i="59"/>
  <c r="D203" i="40" s="1"/>
  <c r="C343" i="59"/>
  <c r="D204" i="40" s="1"/>
  <c r="C344" i="59"/>
  <c r="D205" i="40" s="1"/>
  <c r="C345" i="59"/>
  <c r="D206" i="40" s="1"/>
  <c r="C346" i="59"/>
  <c r="D207" i="40" s="1"/>
  <c r="C347" i="59"/>
  <c r="D208" i="40" s="1"/>
  <c r="C348" i="59"/>
  <c r="D209" i="40" s="1"/>
  <c r="C349" i="59"/>
  <c r="D210" i="40" s="1"/>
  <c r="C350" i="59"/>
  <c r="D211" i="40" s="1"/>
  <c r="C351" i="59"/>
  <c r="D212" i="40" s="1"/>
  <c r="C1716" i="53"/>
  <c r="D178" i="93" s="1"/>
  <c r="C1717" i="53"/>
  <c r="D179" i="93" s="1"/>
  <c r="C1718" i="53"/>
  <c r="D180" i="93" s="1"/>
  <c r="C1719" i="53"/>
  <c r="D181" i="93" s="1"/>
  <c r="C1720" i="53"/>
  <c r="D182" i="93" s="1"/>
  <c r="C1721" i="53"/>
  <c r="D183" i="93" s="1"/>
  <c r="C1722" i="53"/>
  <c r="D184" i="93" s="1"/>
  <c r="C1723" i="53"/>
  <c r="D185" i="93" s="1"/>
  <c r="C1724" i="53"/>
  <c r="D186" i="93" s="1"/>
  <c r="C1725" i="53"/>
  <c r="D187" i="93" s="1"/>
  <c r="C1726" i="53"/>
  <c r="D188" i="93" s="1"/>
  <c r="C1727" i="53"/>
  <c r="D189" i="93" s="1"/>
  <c r="C1728" i="53"/>
  <c r="D190" i="93" s="1"/>
  <c r="C1729" i="53"/>
  <c r="D191" i="93" s="1"/>
  <c r="C1730" i="53"/>
  <c r="D192" i="93" s="1"/>
  <c r="C1731" i="53"/>
  <c r="D193" i="93" s="1"/>
  <c r="C1732" i="53"/>
  <c r="D194" i="93" s="1"/>
  <c r="C1733" i="53"/>
  <c r="D195" i="93" s="1"/>
  <c r="C1734" i="53"/>
  <c r="D196" i="93" s="1"/>
  <c r="C1735" i="53"/>
  <c r="D197" i="93" s="1"/>
  <c r="C1736" i="53"/>
  <c r="D198" i="93" s="1"/>
  <c r="C1737" i="53"/>
  <c r="D199" i="93" s="1"/>
  <c r="C1738" i="53"/>
  <c r="D200" i="93" s="1"/>
  <c r="C1739" i="53"/>
  <c r="D201" i="93" s="1"/>
  <c r="C1740" i="53"/>
  <c r="D202" i="93" s="1"/>
  <c r="C1741" i="53"/>
  <c r="D203" i="93" s="1"/>
  <c r="C1742" i="53"/>
  <c r="D204" i="93" s="1"/>
  <c r="C1743" i="53"/>
  <c r="D205" i="93" s="1"/>
  <c r="C1744" i="53"/>
  <c r="D206" i="93" s="1"/>
  <c r="C1745" i="53"/>
  <c r="D207" i="93" s="1"/>
  <c r="C1746" i="53"/>
  <c r="D208" i="93" s="1"/>
  <c r="C1747" i="53"/>
  <c r="D209" i="93" s="1"/>
  <c r="C1748" i="53"/>
  <c r="D210" i="93" s="1"/>
  <c r="C1749" i="53"/>
  <c r="D211" i="93" s="1"/>
  <c r="C1750" i="53"/>
  <c r="D212" i="93" s="1"/>
  <c r="C1367" i="53"/>
  <c r="D178" i="58" s="1"/>
  <c r="C1368" i="53"/>
  <c r="D179" i="58" s="1"/>
  <c r="C1369" i="53"/>
  <c r="D180" i="58" s="1"/>
  <c r="C1370" i="53"/>
  <c r="D181" i="58" s="1"/>
  <c r="C1371" i="53"/>
  <c r="D182" i="58" s="1"/>
  <c r="C1372" i="53"/>
  <c r="D183" i="58" s="1"/>
  <c r="C1373" i="53"/>
  <c r="D184" i="58" s="1"/>
  <c r="C1374" i="53"/>
  <c r="D185" i="58" s="1"/>
  <c r="C1375" i="53"/>
  <c r="D186" i="58" s="1"/>
  <c r="C1376" i="53"/>
  <c r="D187" i="58" s="1"/>
  <c r="C1377" i="53"/>
  <c r="D188" i="58" s="1"/>
  <c r="C1378" i="53"/>
  <c r="D189" i="58" s="1"/>
  <c r="C1379" i="53"/>
  <c r="D190" i="58" s="1"/>
  <c r="C1380" i="53"/>
  <c r="D191" i="58" s="1"/>
  <c r="C1381" i="53"/>
  <c r="D192" i="58" s="1"/>
  <c r="C1382" i="53"/>
  <c r="D193" i="58" s="1"/>
  <c r="C1383" i="53"/>
  <c r="D194" i="58" s="1"/>
  <c r="C1384" i="53"/>
  <c r="D195" i="58" s="1"/>
  <c r="C1385" i="53"/>
  <c r="D196" i="58" s="1"/>
  <c r="C1386" i="53"/>
  <c r="D197" i="58" s="1"/>
  <c r="C1387" i="53"/>
  <c r="D198" i="58" s="1"/>
  <c r="C1388" i="53"/>
  <c r="D199" i="58" s="1"/>
  <c r="C1389" i="53"/>
  <c r="D200" i="58" s="1"/>
  <c r="C1390" i="53"/>
  <c r="D201" i="58" s="1"/>
  <c r="C1391" i="53"/>
  <c r="D202" i="58" s="1"/>
  <c r="C1392" i="53"/>
  <c r="D203" i="58" s="1"/>
  <c r="C1393" i="53"/>
  <c r="D204" i="58" s="1"/>
  <c r="C1394" i="53"/>
  <c r="D205" i="58" s="1"/>
  <c r="C1395" i="53"/>
  <c r="D206" i="58" s="1"/>
  <c r="C1396" i="53"/>
  <c r="D207" i="58" s="1"/>
  <c r="C1397" i="53"/>
  <c r="D208" i="58" s="1"/>
  <c r="C1398" i="53"/>
  <c r="D209" i="58" s="1"/>
  <c r="C1399" i="53"/>
  <c r="D210" i="58" s="1"/>
  <c r="C1400" i="53"/>
  <c r="D211" i="58" s="1"/>
  <c r="C1401" i="53"/>
  <c r="D212" i="58" s="1"/>
  <c r="C1018" i="53"/>
  <c r="D178" i="57" s="1"/>
  <c r="C1019" i="53"/>
  <c r="D179" i="57" s="1"/>
  <c r="C1020" i="53"/>
  <c r="D180" i="57" s="1"/>
  <c r="C1021" i="53"/>
  <c r="D181" i="57" s="1"/>
  <c r="C1022" i="53"/>
  <c r="D182" i="57" s="1"/>
  <c r="C1023" i="53"/>
  <c r="D183" i="57" s="1"/>
  <c r="C1024" i="53"/>
  <c r="D184" i="57" s="1"/>
  <c r="C1025" i="53"/>
  <c r="D185" i="57" s="1"/>
  <c r="C1026" i="53"/>
  <c r="D186" i="57" s="1"/>
  <c r="C1027" i="53"/>
  <c r="D187" i="57" s="1"/>
  <c r="C1028" i="53"/>
  <c r="D188" i="57" s="1"/>
  <c r="C1029" i="53"/>
  <c r="D189" i="57" s="1"/>
  <c r="C1030" i="53"/>
  <c r="D190" i="57" s="1"/>
  <c r="C1031" i="53"/>
  <c r="D191" i="57" s="1"/>
  <c r="C1032" i="53"/>
  <c r="D192" i="57" s="1"/>
  <c r="C1033" i="53"/>
  <c r="D193" i="57" s="1"/>
  <c r="C1034" i="53"/>
  <c r="D194" i="57" s="1"/>
  <c r="C1035" i="53"/>
  <c r="D195" i="57" s="1"/>
  <c r="C1036" i="53"/>
  <c r="D196" i="57" s="1"/>
  <c r="C1037" i="53"/>
  <c r="D197" i="57" s="1"/>
  <c r="C1038" i="53"/>
  <c r="D198" i="57" s="1"/>
  <c r="C1039" i="53"/>
  <c r="D199" i="57" s="1"/>
  <c r="C1040" i="53"/>
  <c r="D200" i="57" s="1"/>
  <c r="C1041" i="53"/>
  <c r="D201" i="57" s="1"/>
  <c r="C1042" i="53"/>
  <c r="D202" i="57" s="1"/>
  <c r="C1043" i="53"/>
  <c r="D203" i="57" s="1"/>
  <c r="C1044" i="53"/>
  <c r="D204" i="57" s="1"/>
  <c r="C1045" i="53"/>
  <c r="D205" i="57" s="1"/>
  <c r="C1046" i="53"/>
  <c r="D206" i="57" s="1"/>
  <c r="C1047" i="53"/>
  <c r="D207" i="57" s="1"/>
  <c r="C1048" i="53"/>
  <c r="D208" i="57" s="1"/>
  <c r="C1049" i="53"/>
  <c r="D209" i="57" s="1"/>
  <c r="C1050" i="53"/>
  <c r="D210" i="57" s="1"/>
  <c r="C1051" i="53"/>
  <c r="D211" i="57" s="1"/>
  <c r="C1052" i="53"/>
  <c r="D212" i="57" s="1"/>
  <c r="C669" i="53"/>
  <c r="D178" i="56" s="1"/>
  <c r="C670" i="53"/>
  <c r="D179" i="56" s="1"/>
  <c r="C671" i="53"/>
  <c r="D180" i="56" s="1"/>
  <c r="C672" i="53"/>
  <c r="D181" i="56" s="1"/>
  <c r="C673" i="53"/>
  <c r="D182" i="56" s="1"/>
  <c r="C674" i="53"/>
  <c r="D183" i="56" s="1"/>
  <c r="C675" i="53"/>
  <c r="D184" i="56" s="1"/>
  <c r="C676" i="53"/>
  <c r="D185" i="56" s="1"/>
  <c r="C677" i="53"/>
  <c r="D186" i="56" s="1"/>
  <c r="C678" i="53"/>
  <c r="D187" i="56" s="1"/>
  <c r="C679" i="53"/>
  <c r="D188" i="56" s="1"/>
  <c r="C680" i="53"/>
  <c r="D189" i="56" s="1"/>
  <c r="C681" i="53"/>
  <c r="D190" i="56" s="1"/>
  <c r="C682" i="53"/>
  <c r="D191" i="56" s="1"/>
  <c r="C683" i="53"/>
  <c r="D192" i="56" s="1"/>
  <c r="C684" i="53"/>
  <c r="D193" i="56" s="1"/>
  <c r="C685" i="53"/>
  <c r="D194" i="56" s="1"/>
  <c r="C686" i="53"/>
  <c r="D195" i="56" s="1"/>
  <c r="C687" i="53"/>
  <c r="D196" i="56" s="1"/>
  <c r="C688" i="53"/>
  <c r="D197" i="56" s="1"/>
  <c r="C689" i="53"/>
  <c r="D198" i="56" s="1"/>
  <c r="C690" i="53"/>
  <c r="D199" i="56" s="1"/>
  <c r="C691" i="53"/>
  <c r="D200" i="56" s="1"/>
  <c r="C692" i="53"/>
  <c r="D201" i="56" s="1"/>
  <c r="C693" i="53"/>
  <c r="D202" i="56" s="1"/>
  <c r="C694" i="53"/>
  <c r="D203" i="56" s="1"/>
  <c r="C695" i="53"/>
  <c r="D204" i="56" s="1"/>
  <c r="C696" i="53"/>
  <c r="D205" i="56" s="1"/>
  <c r="C697" i="53"/>
  <c r="D206" i="56" s="1"/>
  <c r="C698" i="53"/>
  <c r="D207" i="56" s="1"/>
  <c r="C699" i="53"/>
  <c r="D208" i="56" s="1"/>
  <c r="C700" i="53"/>
  <c r="D209" i="56" s="1"/>
  <c r="C701" i="53"/>
  <c r="D210" i="56" s="1"/>
  <c r="C702" i="53"/>
  <c r="D211" i="56" s="1"/>
  <c r="C703" i="53"/>
  <c r="D212" i="56" s="1"/>
  <c r="C320" i="53"/>
  <c r="D178" i="55" s="1"/>
  <c r="C321" i="53"/>
  <c r="D179" i="55" s="1"/>
  <c r="C322" i="53"/>
  <c r="D180" i="55" s="1"/>
  <c r="C323" i="53"/>
  <c r="D181" i="55" s="1"/>
  <c r="C324" i="53"/>
  <c r="D182" i="55" s="1"/>
  <c r="C325" i="53"/>
  <c r="D183" i="55" s="1"/>
  <c r="C326" i="53"/>
  <c r="D184" i="55" s="1"/>
  <c r="C327" i="53"/>
  <c r="D185" i="55" s="1"/>
  <c r="C328" i="53"/>
  <c r="D186" i="55" s="1"/>
  <c r="C329" i="53"/>
  <c r="D187" i="55" s="1"/>
  <c r="C330" i="53"/>
  <c r="D188" i="55" s="1"/>
  <c r="C331" i="53"/>
  <c r="D189" i="55" s="1"/>
  <c r="C332" i="53"/>
  <c r="D190" i="55" s="1"/>
  <c r="C333" i="53"/>
  <c r="D191" i="55" s="1"/>
  <c r="C334" i="53"/>
  <c r="D192" i="55" s="1"/>
  <c r="C335" i="53"/>
  <c r="D193" i="55" s="1"/>
  <c r="C336" i="53"/>
  <c r="D194" i="55" s="1"/>
  <c r="C337" i="53"/>
  <c r="D195" i="55" s="1"/>
  <c r="C338" i="53"/>
  <c r="D196" i="55" s="1"/>
  <c r="C339" i="53"/>
  <c r="D197" i="55" s="1"/>
  <c r="C340" i="53"/>
  <c r="D198" i="55" s="1"/>
  <c r="C341" i="53"/>
  <c r="D199" i="55" s="1"/>
  <c r="C342" i="53"/>
  <c r="D200" i="55" s="1"/>
  <c r="C343" i="53"/>
  <c r="D201" i="55" s="1"/>
  <c r="C344" i="53"/>
  <c r="D202" i="55" s="1"/>
  <c r="C345" i="53"/>
  <c r="D203" i="55" s="1"/>
  <c r="C346" i="53"/>
  <c r="D204" i="55" s="1"/>
  <c r="C347" i="53"/>
  <c r="D205" i="55" s="1"/>
  <c r="C348" i="53"/>
  <c r="D206" i="55" s="1"/>
  <c r="C349" i="53"/>
  <c r="D207" i="55" s="1"/>
  <c r="C350" i="53"/>
  <c r="D208" i="55" s="1"/>
  <c r="C351" i="53"/>
  <c r="D209" i="55" s="1"/>
  <c r="C352" i="53"/>
  <c r="D210" i="55" s="1"/>
  <c r="C353" i="53"/>
  <c r="D211" i="55" s="1"/>
  <c r="C354" i="53"/>
  <c r="D212" i="55" s="1"/>
  <c r="C1017" i="37"/>
  <c r="D178" i="39" s="1"/>
  <c r="C1018" i="37"/>
  <c r="D179" i="39" s="1"/>
  <c r="C1019" i="37"/>
  <c r="D180" i="39" s="1"/>
  <c r="C1020" i="37"/>
  <c r="D181" i="39" s="1"/>
  <c r="C1021" i="37"/>
  <c r="D182" i="39" s="1"/>
  <c r="C1022" i="37"/>
  <c r="D183" i="39" s="1"/>
  <c r="C1023" i="37"/>
  <c r="D184" i="39" s="1"/>
  <c r="C1024" i="37"/>
  <c r="D185" i="39" s="1"/>
  <c r="C1025" i="37"/>
  <c r="D186" i="39" s="1"/>
  <c r="C1026" i="37"/>
  <c r="D187" i="39" s="1"/>
  <c r="C1027" i="37"/>
  <c r="D188" i="39" s="1"/>
  <c r="C1028" i="37"/>
  <c r="D189" i="39" s="1"/>
  <c r="C1029" i="37"/>
  <c r="D190" i="39" s="1"/>
  <c r="C1030" i="37"/>
  <c r="D191" i="39" s="1"/>
  <c r="C1031" i="37"/>
  <c r="D192" i="39" s="1"/>
  <c r="C1032" i="37"/>
  <c r="D193" i="39" s="1"/>
  <c r="C1033" i="37"/>
  <c r="D194" i="39" s="1"/>
  <c r="C1034" i="37"/>
  <c r="D195" i="39" s="1"/>
  <c r="C1035" i="37"/>
  <c r="D196" i="39" s="1"/>
  <c r="C1036" i="37"/>
  <c r="D197" i="39" s="1"/>
  <c r="C1037" i="37"/>
  <c r="D198" i="39" s="1"/>
  <c r="C1038" i="37"/>
  <c r="D199" i="39" s="1"/>
  <c r="C1039" i="37"/>
  <c r="D200" i="39" s="1"/>
  <c r="C1040" i="37"/>
  <c r="D201" i="39" s="1"/>
  <c r="C1041" i="37"/>
  <c r="D202" i="39" s="1"/>
  <c r="C1042" i="37"/>
  <c r="D203" i="39" s="1"/>
  <c r="C1043" i="37"/>
  <c r="D204" i="39" s="1"/>
  <c r="C1044" i="37"/>
  <c r="D205" i="39" s="1"/>
  <c r="C1045" i="37"/>
  <c r="D206" i="39" s="1"/>
  <c r="C1046" i="37"/>
  <c r="D207" i="39" s="1"/>
  <c r="C1047" i="37"/>
  <c r="D208" i="39" s="1"/>
  <c r="C1048" i="37"/>
  <c r="D209" i="39" s="1"/>
  <c r="C1049" i="37"/>
  <c r="D210" i="39" s="1"/>
  <c r="C1050" i="37"/>
  <c r="D211" i="39" s="1"/>
  <c r="C1051" i="37"/>
  <c r="D212" i="39" s="1"/>
  <c r="C668" i="37"/>
  <c r="D178" i="38" s="1"/>
  <c r="C669" i="37"/>
  <c r="D179" i="38" s="1"/>
  <c r="C670" i="37"/>
  <c r="D180" i="38" s="1"/>
  <c r="C671" i="37"/>
  <c r="D181" i="38" s="1"/>
  <c r="C672" i="37"/>
  <c r="D182" i="38" s="1"/>
  <c r="C673" i="37"/>
  <c r="D183" i="38" s="1"/>
  <c r="C674" i="37"/>
  <c r="D184" i="38" s="1"/>
  <c r="C675" i="37"/>
  <c r="D185" i="38" s="1"/>
  <c r="C676" i="37"/>
  <c r="D186" i="38" s="1"/>
  <c r="C677" i="37"/>
  <c r="D187" i="38" s="1"/>
  <c r="C678" i="37"/>
  <c r="D188" i="38" s="1"/>
  <c r="C679" i="37"/>
  <c r="D189" i="38" s="1"/>
  <c r="C680" i="37"/>
  <c r="D190" i="38" s="1"/>
  <c r="C681" i="37"/>
  <c r="D191" i="38" s="1"/>
  <c r="C682" i="37"/>
  <c r="D192" i="38" s="1"/>
  <c r="C683" i="37"/>
  <c r="D193" i="38" s="1"/>
  <c r="C684" i="37"/>
  <c r="D194" i="38" s="1"/>
  <c r="C685" i="37"/>
  <c r="D195" i="38" s="1"/>
  <c r="C686" i="37"/>
  <c r="D196" i="38" s="1"/>
  <c r="C687" i="37"/>
  <c r="D197" i="38" s="1"/>
  <c r="C688" i="37"/>
  <c r="D198" i="38" s="1"/>
  <c r="C689" i="37"/>
  <c r="D199" i="38" s="1"/>
  <c r="C690" i="37"/>
  <c r="D200" i="38" s="1"/>
  <c r="C691" i="37"/>
  <c r="D201" i="38" s="1"/>
  <c r="C692" i="37"/>
  <c r="D202" i="38" s="1"/>
  <c r="C693" i="37"/>
  <c r="D203" i="38" s="1"/>
  <c r="C694" i="37"/>
  <c r="D204" i="38" s="1"/>
  <c r="C695" i="37"/>
  <c r="D205" i="38" s="1"/>
  <c r="C696" i="37"/>
  <c r="D206" i="38" s="1"/>
  <c r="C697" i="37"/>
  <c r="D207" i="38" s="1"/>
  <c r="C698" i="37"/>
  <c r="D208" i="38" s="1"/>
  <c r="C699" i="37"/>
  <c r="D209" i="38" s="1"/>
  <c r="C700" i="37"/>
  <c r="D210" i="38" s="1"/>
  <c r="C701" i="37"/>
  <c r="D211" i="38" s="1"/>
  <c r="C702" i="37"/>
  <c r="D212" i="38" s="1"/>
  <c r="C319" i="37"/>
  <c r="D178" i="36" s="1"/>
  <c r="C320" i="37"/>
  <c r="D179" i="36" s="1"/>
  <c r="C321" i="37"/>
  <c r="D180" i="36" s="1"/>
  <c r="C322" i="37"/>
  <c r="D181" i="36" s="1"/>
  <c r="C323" i="37"/>
  <c r="D182" i="36" s="1"/>
  <c r="C324" i="37"/>
  <c r="D183" i="36" s="1"/>
  <c r="C325" i="37"/>
  <c r="D184" i="36" s="1"/>
  <c r="C326" i="37"/>
  <c r="D185" i="36" s="1"/>
  <c r="C327" i="37"/>
  <c r="D186" i="36" s="1"/>
  <c r="C328" i="37"/>
  <c r="D187" i="36" s="1"/>
  <c r="C329" i="37"/>
  <c r="D188" i="36" s="1"/>
  <c r="C330" i="37"/>
  <c r="D189" i="36" s="1"/>
  <c r="C331" i="37"/>
  <c r="D190" i="36" s="1"/>
  <c r="C332" i="37"/>
  <c r="D191" i="36" s="1"/>
  <c r="C333" i="37"/>
  <c r="D192" i="36" s="1"/>
  <c r="C334" i="37"/>
  <c r="D193" i="36" s="1"/>
  <c r="C335" i="37"/>
  <c r="D194" i="36" s="1"/>
  <c r="C336" i="37"/>
  <c r="D195" i="36" s="1"/>
  <c r="C337" i="37"/>
  <c r="D196" i="36" s="1"/>
  <c r="C338" i="37"/>
  <c r="D197" i="36" s="1"/>
  <c r="C339" i="37"/>
  <c r="D198" i="36" s="1"/>
  <c r="C340" i="37"/>
  <c r="D199" i="36" s="1"/>
  <c r="C341" i="37"/>
  <c r="D200" i="36" s="1"/>
  <c r="C342" i="37"/>
  <c r="D201" i="36" s="1"/>
  <c r="C343" i="37"/>
  <c r="D202" i="36" s="1"/>
  <c r="C344" i="37"/>
  <c r="D203" i="36" s="1"/>
  <c r="C345" i="37"/>
  <c r="D204" i="36" s="1"/>
  <c r="C346" i="37"/>
  <c r="D205" i="36" s="1"/>
  <c r="C347" i="37"/>
  <c r="D206" i="36" s="1"/>
  <c r="C348" i="37"/>
  <c r="D207" i="36" s="1"/>
  <c r="C349" i="37"/>
  <c r="D208" i="36" s="1"/>
  <c r="C350" i="37"/>
  <c r="D209" i="36" s="1"/>
  <c r="C351" i="37"/>
  <c r="D210" i="36" s="1"/>
  <c r="C352" i="37"/>
  <c r="D211" i="36" s="1"/>
  <c r="C353" i="37"/>
  <c r="D212" i="36" s="1"/>
  <c r="C669" i="31"/>
  <c r="D178" i="35" s="1"/>
  <c r="C670" i="31"/>
  <c r="D179" i="35" s="1"/>
  <c r="C671" i="31"/>
  <c r="D180" i="35" s="1"/>
  <c r="C672" i="31"/>
  <c r="D181" i="35" s="1"/>
  <c r="C673" i="31"/>
  <c r="D182" i="35" s="1"/>
  <c r="C674" i="31"/>
  <c r="D183" i="35" s="1"/>
  <c r="C675" i="31"/>
  <c r="D184" i="35" s="1"/>
  <c r="C676" i="31"/>
  <c r="D185" i="35" s="1"/>
  <c r="C677" i="31"/>
  <c r="D186" i="35" s="1"/>
  <c r="C678" i="31"/>
  <c r="D187" i="35" s="1"/>
  <c r="C679" i="31"/>
  <c r="D188" i="35" s="1"/>
  <c r="C680" i="31"/>
  <c r="D189" i="35" s="1"/>
  <c r="C681" i="31"/>
  <c r="D190" i="35" s="1"/>
  <c r="C682" i="31"/>
  <c r="D191" i="35" s="1"/>
  <c r="C683" i="31"/>
  <c r="D192" i="35" s="1"/>
  <c r="C684" i="31"/>
  <c r="D193" i="35" s="1"/>
  <c r="C685" i="31"/>
  <c r="D194" i="35" s="1"/>
  <c r="C686" i="31"/>
  <c r="D195" i="35" s="1"/>
  <c r="C687" i="31"/>
  <c r="D196" i="35" s="1"/>
  <c r="C688" i="31"/>
  <c r="D197" i="35" s="1"/>
  <c r="C689" i="31"/>
  <c r="D198" i="35" s="1"/>
  <c r="C690" i="31"/>
  <c r="D199" i="35" s="1"/>
  <c r="C691" i="31"/>
  <c r="D200" i="35" s="1"/>
  <c r="C692" i="31"/>
  <c r="D201" i="35" s="1"/>
  <c r="C693" i="31"/>
  <c r="D202" i="35" s="1"/>
  <c r="C694" i="31"/>
  <c r="D203" i="35" s="1"/>
  <c r="C695" i="31"/>
  <c r="D204" i="35" s="1"/>
  <c r="C696" i="31"/>
  <c r="D205" i="35" s="1"/>
  <c r="C697" i="31"/>
  <c r="D206" i="35" s="1"/>
  <c r="C698" i="31"/>
  <c r="D207" i="35" s="1"/>
  <c r="C699" i="31"/>
  <c r="D208" i="35" s="1"/>
  <c r="C700" i="31"/>
  <c r="D209" i="35" s="1"/>
  <c r="C701" i="31"/>
  <c r="D210" i="35" s="1"/>
  <c r="C702" i="31"/>
  <c r="D211" i="35" s="1"/>
  <c r="C703" i="31"/>
  <c r="D212" i="35" s="1"/>
  <c r="C321" i="31"/>
  <c r="D178" i="34" s="1"/>
  <c r="C322" i="31"/>
  <c r="D179" i="34" s="1"/>
  <c r="C323" i="31"/>
  <c r="D180" i="34" s="1"/>
  <c r="C324" i="31"/>
  <c r="D181" i="34" s="1"/>
  <c r="C325" i="31"/>
  <c r="D182" i="34" s="1"/>
  <c r="C326" i="31"/>
  <c r="D183" i="34" s="1"/>
  <c r="C327" i="31"/>
  <c r="D184" i="34" s="1"/>
  <c r="C328" i="31"/>
  <c r="D185" i="34" s="1"/>
  <c r="C329" i="31"/>
  <c r="D186" i="34" s="1"/>
  <c r="C330" i="31"/>
  <c r="D187" i="34" s="1"/>
  <c r="C331" i="31"/>
  <c r="D188" i="34" s="1"/>
  <c r="C332" i="31"/>
  <c r="D189" i="34" s="1"/>
  <c r="C333" i="31"/>
  <c r="D190" i="34" s="1"/>
  <c r="C334" i="31"/>
  <c r="D191" i="34" s="1"/>
  <c r="C335" i="31"/>
  <c r="D192" i="34" s="1"/>
  <c r="C336" i="31"/>
  <c r="D193" i="34" s="1"/>
  <c r="C337" i="31"/>
  <c r="D194" i="34" s="1"/>
  <c r="C338" i="31"/>
  <c r="D195" i="34" s="1"/>
  <c r="C339" i="31"/>
  <c r="D196" i="34" s="1"/>
  <c r="C340" i="31"/>
  <c r="D197" i="34" s="1"/>
  <c r="C341" i="31"/>
  <c r="D198" i="34" s="1"/>
  <c r="C342" i="31"/>
  <c r="D199" i="34" s="1"/>
  <c r="C343" i="31"/>
  <c r="D200" i="34" s="1"/>
  <c r="C344" i="31"/>
  <c r="D201" i="34" s="1"/>
  <c r="C345" i="31"/>
  <c r="D202" i="34" s="1"/>
  <c r="C346" i="31"/>
  <c r="D203" i="34" s="1"/>
  <c r="C347" i="31"/>
  <c r="D204" i="34" s="1"/>
  <c r="C348" i="31"/>
  <c r="D205" i="34" s="1"/>
  <c r="C349" i="31"/>
  <c r="D206" i="34" s="1"/>
  <c r="C350" i="31"/>
  <c r="D207" i="34" s="1"/>
  <c r="C351" i="31"/>
  <c r="D208" i="34" s="1"/>
  <c r="C352" i="31"/>
  <c r="D209" i="34" s="1"/>
  <c r="C353" i="31"/>
  <c r="D210" i="34" s="1"/>
  <c r="C354" i="31"/>
  <c r="D211" i="34" s="1"/>
  <c r="C355" i="31"/>
  <c r="D212" i="34" s="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P169" i="21"/>
  <c r="U169" i="21" s="1"/>
  <c r="P170" i="21"/>
  <c r="S170" i="21" s="1"/>
  <c r="P171" i="21"/>
  <c r="U171" i="21" s="1"/>
  <c r="P172" i="21"/>
  <c r="S172" i="21" s="1"/>
  <c r="P173" i="21"/>
  <c r="S173" i="21" s="1"/>
  <c r="P174" i="21"/>
  <c r="S174" i="21" s="1"/>
  <c r="P175" i="21"/>
  <c r="S175" i="21" s="1"/>
  <c r="P176" i="21"/>
  <c r="S176" i="21" s="1"/>
  <c r="P177" i="21"/>
  <c r="S177" i="21" s="1"/>
  <c r="P178" i="21"/>
  <c r="U178" i="21" s="1"/>
  <c r="P179" i="21"/>
  <c r="S179" i="21" s="1"/>
  <c r="P180" i="21"/>
  <c r="U180" i="21" s="1"/>
  <c r="P181" i="21"/>
  <c r="S181" i="21" s="1"/>
  <c r="P182" i="21"/>
  <c r="U182" i="21" s="1"/>
  <c r="P183" i="21"/>
  <c r="U183" i="21" s="1"/>
  <c r="P184" i="21"/>
  <c r="S184" i="21" s="1"/>
  <c r="P185" i="21"/>
  <c r="U185" i="21" s="1"/>
  <c r="P186" i="21"/>
  <c r="U186" i="21" s="1"/>
  <c r="P187" i="21"/>
  <c r="S187" i="21" s="1"/>
  <c r="P188" i="21"/>
  <c r="U188" i="21" s="1"/>
  <c r="P189" i="21"/>
  <c r="S189" i="21" s="1"/>
  <c r="P190" i="21"/>
  <c r="U190" i="21" s="1"/>
  <c r="P191" i="21"/>
  <c r="U191" i="21" s="1"/>
  <c r="P192" i="21"/>
  <c r="S192" i="21" s="1"/>
  <c r="P193" i="21"/>
  <c r="U193" i="21" s="1"/>
  <c r="P194" i="21"/>
  <c r="U194" i="21" s="1"/>
  <c r="P195" i="21"/>
  <c r="S195" i="21" s="1"/>
  <c r="P196" i="21"/>
  <c r="U196" i="21" s="1"/>
  <c r="P197" i="21"/>
  <c r="S197" i="21" s="1"/>
  <c r="P198" i="21"/>
  <c r="U198" i="21" s="1"/>
  <c r="P199" i="21"/>
  <c r="S199" i="21" s="1"/>
  <c r="P200" i="21"/>
  <c r="S200" i="21" s="1"/>
  <c r="P201" i="21"/>
  <c r="U201" i="21" s="1"/>
  <c r="P202" i="21"/>
  <c r="U202" i="21" s="1"/>
  <c r="P203" i="21"/>
  <c r="S203" i="21" s="1"/>
  <c r="O169" i="21"/>
  <c r="T169" i="21" s="1"/>
  <c r="O170" i="21"/>
  <c r="R170" i="21" s="1"/>
  <c r="O171" i="21"/>
  <c r="T171" i="21" s="1"/>
  <c r="O172" i="21"/>
  <c r="R172" i="21" s="1"/>
  <c r="O173" i="21"/>
  <c r="R173" i="21" s="1"/>
  <c r="O174" i="21"/>
  <c r="T174" i="21" s="1"/>
  <c r="O175" i="21"/>
  <c r="T175" i="21" s="1"/>
  <c r="O176" i="21"/>
  <c r="T176" i="21" s="1"/>
  <c r="O177" i="21"/>
  <c r="T177" i="21" s="1"/>
  <c r="O178" i="21"/>
  <c r="R178" i="21" s="1"/>
  <c r="O179" i="21"/>
  <c r="T179" i="21" s="1"/>
  <c r="O180" i="21"/>
  <c r="R180" i="21" s="1"/>
  <c r="O181" i="21"/>
  <c r="R181" i="21" s="1"/>
  <c r="O182" i="21"/>
  <c r="T182" i="21" s="1"/>
  <c r="O183" i="21"/>
  <c r="T183" i="21" s="1"/>
  <c r="O184" i="21"/>
  <c r="T184" i="21" s="1"/>
  <c r="O185" i="21"/>
  <c r="T185" i="21" s="1"/>
  <c r="O186" i="21"/>
  <c r="R186" i="21" s="1"/>
  <c r="O187" i="21"/>
  <c r="T187" i="21" s="1"/>
  <c r="O188" i="21"/>
  <c r="R188" i="21" s="1"/>
  <c r="O189" i="21"/>
  <c r="R189" i="21" s="1"/>
  <c r="O190" i="21"/>
  <c r="T190" i="21" s="1"/>
  <c r="O191" i="21"/>
  <c r="R191" i="21" s="1"/>
  <c r="O192" i="21"/>
  <c r="T192" i="21" s="1"/>
  <c r="O193" i="21"/>
  <c r="T193" i="21" s="1"/>
  <c r="O194" i="21"/>
  <c r="R194" i="21" s="1"/>
  <c r="O195" i="21"/>
  <c r="T195" i="21" s="1"/>
  <c r="O196" i="21"/>
  <c r="R196" i="21" s="1"/>
  <c r="O197" i="21"/>
  <c r="T197" i="21" s="1"/>
  <c r="O198" i="21"/>
  <c r="T198" i="21" s="1"/>
  <c r="O199" i="21"/>
  <c r="R199" i="21" s="1"/>
  <c r="O200" i="21"/>
  <c r="T200" i="21" s="1"/>
  <c r="O201" i="21"/>
  <c r="R201" i="21" s="1"/>
  <c r="O202" i="21"/>
  <c r="R202" i="21" s="1"/>
  <c r="O203" i="21"/>
  <c r="R203" i="21" s="1"/>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C1328" i="54"/>
  <c r="D139" i="77" s="1"/>
  <c r="C1329" i="54"/>
  <c r="D140" i="77" s="1"/>
  <c r="C1330" i="54"/>
  <c r="D141" i="77" s="1"/>
  <c r="C1331" i="54"/>
  <c r="D142" i="77" s="1"/>
  <c r="C1332" i="54"/>
  <c r="D143" i="77" s="1"/>
  <c r="C1333" i="54"/>
  <c r="D144" i="77" s="1"/>
  <c r="C1334" i="54"/>
  <c r="D145" i="77" s="1"/>
  <c r="C1335" i="54"/>
  <c r="D146" i="77" s="1"/>
  <c r="C1336" i="54"/>
  <c r="D147" i="77" s="1"/>
  <c r="C1337" i="54"/>
  <c r="D148" i="77" s="1"/>
  <c r="C1338" i="54"/>
  <c r="D149" i="77" s="1"/>
  <c r="C1339" i="54"/>
  <c r="D150" i="77" s="1"/>
  <c r="C1340" i="54"/>
  <c r="D151" i="77" s="1"/>
  <c r="C1341" i="54"/>
  <c r="D152" i="77" s="1"/>
  <c r="C1342" i="54"/>
  <c r="D153" i="77" s="1"/>
  <c r="C1343" i="54"/>
  <c r="D154" i="77" s="1"/>
  <c r="C1344" i="54"/>
  <c r="D155" i="77" s="1"/>
  <c r="C1345" i="54"/>
  <c r="D156" i="77" s="1"/>
  <c r="C1346" i="54"/>
  <c r="D157" i="77" s="1"/>
  <c r="C1347" i="54"/>
  <c r="D158" i="77" s="1"/>
  <c r="C1348" i="54"/>
  <c r="D159" i="77" s="1"/>
  <c r="C1349" i="54"/>
  <c r="D160" i="77" s="1"/>
  <c r="C1350" i="54"/>
  <c r="D161" i="77" s="1"/>
  <c r="C1351" i="54"/>
  <c r="D162" i="77" s="1"/>
  <c r="C1352" i="54"/>
  <c r="D163" i="77" s="1"/>
  <c r="C1353" i="54"/>
  <c r="D164" i="77" s="1"/>
  <c r="C1354" i="54"/>
  <c r="D165" i="77" s="1"/>
  <c r="C1355" i="54"/>
  <c r="D166" i="77" s="1"/>
  <c r="C1356" i="54"/>
  <c r="D167" i="77" s="1"/>
  <c r="C1357" i="54"/>
  <c r="D168" i="77" s="1"/>
  <c r="C1358" i="54"/>
  <c r="D169" i="77" s="1"/>
  <c r="C1359" i="54"/>
  <c r="D170" i="77" s="1"/>
  <c r="C1360" i="54"/>
  <c r="D171" i="77" s="1"/>
  <c r="C1361" i="54"/>
  <c r="D172" i="77" s="1"/>
  <c r="C1362" i="54"/>
  <c r="D173" i="77" s="1"/>
  <c r="C979" i="54"/>
  <c r="D139" i="50" s="1"/>
  <c r="C980" i="54"/>
  <c r="D140" i="50" s="1"/>
  <c r="C981" i="54"/>
  <c r="D141" i="50" s="1"/>
  <c r="C982" i="54"/>
  <c r="D142" i="50" s="1"/>
  <c r="C983" i="54"/>
  <c r="D143" i="50" s="1"/>
  <c r="C984" i="54"/>
  <c r="D144" i="50" s="1"/>
  <c r="C985" i="54"/>
  <c r="D145" i="50" s="1"/>
  <c r="C986" i="54"/>
  <c r="D146" i="50" s="1"/>
  <c r="C987" i="54"/>
  <c r="D147" i="50" s="1"/>
  <c r="C988" i="54"/>
  <c r="D148" i="50" s="1"/>
  <c r="C989" i="54"/>
  <c r="D149" i="50" s="1"/>
  <c r="C990" i="54"/>
  <c r="D150" i="50" s="1"/>
  <c r="C991" i="54"/>
  <c r="D151" i="50" s="1"/>
  <c r="C992" i="54"/>
  <c r="D152" i="50" s="1"/>
  <c r="C993" i="54"/>
  <c r="D153" i="50" s="1"/>
  <c r="C994" i="54"/>
  <c r="D154" i="50" s="1"/>
  <c r="C995" i="54"/>
  <c r="D155" i="50" s="1"/>
  <c r="C996" i="54"/>
  <c r="D156" i="50" s="1"/>
  <c r="C997" i="54"/>
  <c r="D157" i="50" s="1"/>
  <c r="C998" i="54"/>
  <c r="D158" i="50" s="1"/>
  <c r="C999" i="54"/>
  <c r="D159" i="50" s="1"/>
  <c r="C1000" i="54"/>
  <c r="D160" i="50" s="1"/>
  <c r="C1001" i="54"/>
  <c r="D161" i="50" s="1"/>
  <c r="C1002" i="54"/>
  <c r="D162" i="50" s="1"/>
  <c r="C1003" i="54"/>
  <c r="D163" i="50" s="1"/>
  <c r="C1004" i="54"/>
  <c r="D164" i="50" s="1"/>
  <c r="C1005" i="54"/>
  <c r="D165" i="50" s="1"/>
  <c r="C1006" i="54"/>
  <c r="D166" i="50" s="1"/>
  <c r="C1007" i="54"/>
  <c r="D167" i="50" s="1"/>
  <c r="C1008" i="54"/>
  <c r="D168" i="50" s="1"/>
  <c r="C1009" i="54"/>
  <c r="D169" i="50" s="1"/>
  <c r="C1010" i="54"/>
  <c r="D170" i="50" s="1"/>
  <c r="C1011" i="54"/>
  <c r="D171" i="50" s="1"/>
  <c r="C1012" i="54"/>
  <c r="D172" i="50" s="1"/>
  <c r="C1013" i="54"/>
  <c r="D173" i="50" s="1"/>
  <c r="C630" i="54"/>
  <c r="D139" i="49" s="1"/>
  <c r="C631" i="54"/>
  <c r="D140" i="49" s="1"/>
  <c r="C632" i="54"/>
  <c r="D141" i="49" s="1"/>
  <c r="C633" i="54"/>
  <c r="D142" i="49" s="1"/>
  <c r="C634" i="54"/>
  <c r="D143" i="49" s="1"/>
  <c r="C635" i="54"/>
  <c r="D144" i="49" s="1"/>
  <c r="C636" i="54"/>
  <c r="D145" i="49" s="1"/>
  <c r="C637" i="54"/>
  <c r="D146" i="49" s="1"/>
  <c r="C638" i="54"/>
  <c r="D147" i="49" s="1"/>
  <c r="C639" i="54"/>
  <c r="D148" i="49" s="1"/>
  <c r="C640" i="54"/>
  <c r="D149" i="49" s="1"/>
  <c r="C641" i="54"/>
  <c r="D150" i="49" s="1"/>
  <c r="C642" i="54"/>
  <c r="D151" i="49" s="1"/>
  <c r="C643" i="54"/>
  <c r="D152" i="49" s="1"/>
  <c r="C644" i="54"/>
  <c r="D153" i="49" s="1"/>
  <c r="C645" i="54"/>
  <c r="D154" i="49" s="1"/>
  <c r="C646" i="54"/>
  <c r="D155" i="49" s="1"/>
  <c r="C647" i="54"/>
  <c r="D156" i="49" s="1"/>
  <c r="C648" i="54"/>
  <c r="D157" i="49" s="1"/>
  <c r="C649" i="54"/>
  <c r="D158" i="49" s="1"/>
  <c r="C650" i="54"/>
  <c r="D159" i="49" s="1"/>
  <c r="C651" i="54"/>
  <c r="D160" i="49" s="1"/>
  <c r="C652" i="54"/>
  <c r="D161" i="49" s="1"/>
  <c r="C653" i="54"/>
  <c r="D162" i="49" s="1"/>
  <c r="C654" i="54"/>
  <c r="D163" i="49" s="1"/>
  <c r="C655" i="54"/>
  <c r="D164" i="49" s="1"/>
  <c r="C656" i="54"/>
  <c r="D165" i="49" s="1"/>
  <c r="C657" i="54"/>
  <c r="D166" i="49" s="1"/>
  <c r="C658" i="54"/>
  <c r="D167" i="49" s="1"/>
  <c r="C659" i="54"/>
  <c r="D168" i="49" s="1"/>
  <c r="C660" i="54"/>
  <c r="D169" i="49" s="1"/>
  <c r="C661" i="54"/>
  <c r="D170" i="49" s="1"/>
  <c r="C662" i="54"/>
  <c r="D171" i="49" s="1"/>
  <c r="C663" i="54"/>
  <c r="D172" i="49" s="1"/>
  <c r="C664" i="54"/>
  <c r="D173" i="49" s="1"/>
  <c r="C281" i="54"/>
  <c r="D139" i="48" s="1"/>
  <c r="C282" i="54"/>
  <c r="D140" i="48" s="1"/>
  <c r="C283" i="54"/>
  <c r="D141" i="48" s="1"/>
  <c r="C284" i="54"/>
  <c r="D142" i="48" s="1"/>
  <c r="C285" i="54"/>
  <c r="D143" i="48" s="1"/>
  <c r="C286" i="54"/>
  <c r="D144" i="48" s="1"/>
  <c r="C287" i="54"/>
  <c r="D145" i="48" s="1"/>
  <c r="C288" i="54"/>
  <c r="D146" i="48" s="1"/>
  <c r="C289" i="54"/>
  <c r="D147" i="48" s="1"/>
  <c r="C290" i="54"/>
  <c r="D148" i="48" s="1"/>
  <c r="C291" i="54"/>
  <c r="D149" i="48" s="1"/>
  <c r="C292" i="54"/>
  <c r="D150" i="48" s="1"/>
  <c r="C293" i="54"/>
  <c r="D151" i="48" s="1"/>
  <c r="C294" i="54"/>
  <c r="D152" i="48" s="1"/>
  <c r="C295" i="54"/>
  <c r="D153" i="48" s="1"/>
  <c r="C296" i="54"/>
  <c r="D154" i="48" s="1"/>
  <c r="C297" i="54"/>
  <c r="D155" i="48" s="1"/>
  <c r="C298" i="54"/>
  <c r="D156" i="48" s="1"/>
  <c r="C299" i="54"/>
  <c r="D157" i="48" s="1"/>
  <c r="C300" i="54"/>
  <c r="D158" i="48" s="1"/>
  <c r="C301" i="54"/>
  <c r="D159" i="48" s="1"/>
  <c r="C302" i="54"/>
  <c r="D160" i="48" s="1"/>
  <c r="C303" i="54"/>
  <c r="D161" i="48" s="1"/>
  <c r="C304" i="54"/>
  <c r="D162" i="48" s="1"/>
  <c r="C305" i="54"/>
  <c r="D163" i="48" s="1"/>
  <c r="C306" i="54"/>
  <c r="D164" i="48" s="1"/>
  <c r="C307" i="54"/>
  <c r="D165" i="48" s="1"/>
  <c r="C308" i="54"/>
  <c r="D166" i="48" s="1"/>
  <c r="C309" i="54"/>
  <c r="D167" i="48" s="1"/>
  <c r="C310" i="54"/>
  <c r="D168" i="48" s="1"/>
  <c r="C311" i="54"/>
  <c r="D169" i="48" s="1"/>
  <c r="C312" i="54"/>
  <c r="D170" i="48" s="1"/>
  <c r="C313" i="54"/>
  <c r="D171" i="48" s="1"/>
  <c r="C314" i="54"/>
  <c r="D172" i="48" s="1"/>
  <c r="C315" i="54"/>
  <c r="D173" i="48" s="1"/>
  <c r="C1677" i="52"/>
  <c r="D139" i="76" s="1"/>
  <c r="C1678" i="52"/>
  <c r="D140" i="76" s="1"/>
  <c r="C1679" i="52"/>
  <c r="D141" i="76" s="1"/>
  <c r="C1680" i="52"/>
  <c r="D142" i="76" s="1"/>
  <c r="C1681" i="52"/>
  <c r="D143" i="76" s="1"/>
  <c r="C1682" i="52"/>
  <c r="D144" i="76" s="1"/>
  <c r="C1683" i="52"/>
  <c r="D145" i="76" s="1"/>
  <c r="C1684" i="52"/>
  <c r="D146" i="76" s="1"/>
  <c r="C1685" i="52"/>
  <c r="D147" i="76" s="1"/>
  <c r="C1686" i="52"/>
  <c r="D148" i="76" s="1"/>
  <c r="C1687" i="52"/>
  <c r="D149" i="76" s="1"/>
  <c r="C1688" i="52"/>
  <c r="D150" i="76" s="1"/>
  <c r="C1689" i="52"/>
  <c r="D151" i="76" s="1"/>
  <c r="C1690" i="52"/>
  <c r="D152" i="76" s="1"/>
  <c r="C1691" i="52"/>
  <c r="D153" i="76" s="1"/>
  <c r="C1692" i="52"/>
  <c r="D154" i="76" s="1"/>
  <c r="C1693" i="52"/>
  <c r="D155" i="76" s="1"/>
  <c r="C1694" i="52"/>
  <c r="D156" i="76" s="1"/>
  <c r="C1695" i="52"/>
  <c r="D157" i="76" s="1"/>
  <c r="C1696" i="52"/>
  <c r="D158" i="76" s="1"/>
  <c r="C1697" i="52"/>
  <c r="D159" i="76" s="1"/>
  <c r="C1698" i="52"/>
  <c r="D160" i="76" s="1"/>
  <c r="C1699" i="52"/>
  <c r="D161" i="76" s="1"/>
  <c r="C1700" i="52"/>
  <c r="D162" i="76" s="1"/>
  <c r="C1701" i="52"/>
  <c r="D163" i="76" s="1"/>
  <c r="C1702" i="52"/>
  <c r="D164" i="76" s="1"/>
  <c r="C1703" i="52"/>
  <c r="D165" i="76" s="1"/>
  <c r="C1704" i="52"/>
  <c r="D166" i="76" s="1"/>
  <c r="C1705" i="52"/>
  <c r="D167" i="76" s="1"/>
  <c r="C1706" i="52"/>
  <c r="D168" i="76" s="1"/>
  <c r="C1707" i="52"/>
  <c r="D169" i="76" s="1"/>
  <c r="C1708" i="52"/>
  <c r="D170" i="76" s="1"/>
  <c r="C1709" i="52"/>
  <c r="D171" i="76" s="1"/>
  <c r="C1710" i="52"/>
  <c r="D172" i="76" s="1"/>
  <c r="C1711" i="52"/>
  <c r="D173" i="76" s="1"/>
  <c r="C1328" i="52"/>
  <c r="D139" i="47" s="1"/>
  <c r="C1329" i="52"/>
  <c r="D140" i="47" s="1"/>
  <c r="C1330" i="52"/>
  <c r="D141" i="47" s="1"/>
  <c r="C1331" i="52"/>
  <c r="D142" i="47" s="1"/>
  <c r="C1332" i="52"/>
  <c r="D143" i="47" s="1"/>
  <c r="C1333" i="52"/>
  <c r="D144" i="47" s="1"/>
  <c r="C1334" i="52"/>
  <c r="D145" i="47" s="1"/>
  <c r="C1335" i="52"/>
  <c r="D146" i="47" s="1"/>
  <c r="C1336" i="52"/>
  <c r="D147" i="47" s="1"/>
  <c r="C1337" i="52"/>
  <c r="D148" i="47" s="1"/>
  <c r="C1338" i="52"/>
  <c r="D149" i="47" s="1"/>
  <c r="C1339" i="52"/>
  <c r="D150" i="47" s="1"/>
  <c r="C1340" i="52"/>
  <c r="D151" i="47" s="1"/>
  <c r="C1341" i="52"/>
  <c r="D152" i="47" s="1"/>
  <c r="C1342" i="52"/>
  <c r="D153" i="47" s="1"/>
  <c r="C1343" i="52"/>
  <c r="D154" i="47" s="1"/>
  <c r="C1344" i="52"/>
  <c r="D155" i="47" s="1"/>
  <c r="C1345" i="52"/>
  <c r="D156" i="47" s="1"/>
  <c r="C1346" i="52"/>
  <c r="D157" i="47" s="1"/>
  <c r="C1347" i="52"/>
  <c r="D158" i="47" s="1"/>
  <c r="C1348" i="52"/>
  <c r="D159" i="47" s="1"/>
  <c r="C1349" i="52"/>
  <c r="D160" i="47" s="1"/>
  <c r="C1350" i="52"/>
  <c r="D161" i="47" s="1"/>
  <c r="C1351" i="52"/>
  <c r="D162" i="47" s="1"/>
  <c r="C1352" i="52"/>
  <c r="D163" i="47" s="1"/>
  <c r="C1353" i="52"/>
  <c r="D164" i="47" s="1"/>
  <c r="C1354" i="52"/>
  <c r="D165" i="47" s="1"/>
  <c r="C1355" i="52"/>
  <c r="D166" i="47" s="1"/>
  <c r="C1356" i="52"/>
  <c r="D167" i="47" s="1"/>
  <c r="C1357" i="52"/>
  <c r="D168" i="47" s="1"/>
  <c r="C1358" i="52"/>
  <c r="D169" i="47" s="1"/>
  <c r="C1359" i="52"/>
  <c r="D170" i="47" s="1"/>
  <c r="C1360" i="52"/>
  <c r="D171" i="47" s="1"/>
  <c r="C1361" i="52"/>
  <c r="D172" i="47" s="1"/>
  <c r="C1362" i="52"/>
  <c r="D173" i="47" s="1"/>
  <c r="C979" i="52"/>
  <c r="D139" i="94" s="1"/>
  <c r="C980" i="52"/>
  <c r="D140" i="94" s="1"/>
  <c r="C981" i="52"/>
  <c r="D141" i="94" s="1"/>
  <c r="C982" i="52"/>
  <c r="D142" i="94" s="1"/>
  <c r="C983" i="52"/>
  <c r="D143" i="94" s="1"/>
  <c r="C984" i="52"/>
  <c r="D144" i="94" s="1"/>
  <c r="C985" i="52"/>
  <c r="D145" i="94" s="1"/>
  <c r="C986" i="52"/>
  <c r="D146" i="94" s="1"/>
  <c r="C987" i="52"/>
  <c r="D147" i="94" s="1"/>
  <c r="C988" i="52"/>
  <c r="D148" i="94" s="1"/>
  <c r="C989" i="52"/>
  <c r="D149" i="94" s="1"/>
  <c r="C990" i="52"/>
  <c r="D150" i="94" s="1"/>
  <c r="C991" i="52"/>
  <c r="D151" i="94" s="1"/>
  <c r="C992" i="52"/>
  <c r="D152" i="94" s="1"/>
  <c r="C993" i="52"/>
  <c r="D153" i="94" s="1"/>
  <c r="C994" i="52"/>
  <c r="D154" i="94" s="1"/>
  <c r="C995" i="52"/>
  <c r="D155" i="94" s="1"/>
  <c r="C996" i="52"/>
  <c r="D156" i="94" s="1"/>
  <c r="C997" i="52"/>
  <c r="D157" i="94" s="1"/>
  <c r="C998" i="52"/>
  <c r="D158" i="94" s="1"/>
  <c r="C999" i="52"/>
  <c r="D159" i="94" s="1"/>
  <c r="C1000" i="52"/>
  <c r="D160" i="94" s="1"/>
  <c r="C1001" i="52"/>
  <c r="D161" i="94" s="1"/>
  <c r="C1002" i="52"/>
  <c r="D162" i="94" s="1"/>
  <c r="C1003" i="52"/>
  <c r="D163" i="94" s="1"/>
  <c r="C1004" i="52"/>
  <c r="D164" i="94" s="1"/>
  <c r="C1005" i="52"/>
  <c r="D165" i="94" s="1"/>
  <c r="C1006" i="52"/>
  <c r="D166" i="94" s="1"/>
  <c r="C1007" i="52"/>
  <c r="D167" i="94" s="1"/>
  <c r="C1008" i="52"/>
  <c r="D168" i="94" s="1"/>
  <c r="C1009" i="52"/>
  <c r="D169" i="94" s="1"/>
  <c r="C1010" i="52"/>
  <c r="D170" i="94" s="1"/>
  <c r="C1011" i="52"/>
  <c r="D171" i="94" s="1"/>
  <c r="C1012" i="52"/>
  <c r="D172" i="94" s="1"/>
  <c r="C1013" i="52"/>
  <c r="D173" i="94" s="1"/>
  <c r="C630" i="52"/>
  <c r="D139" i="46" s="1"/>
  <c r="C631" i="52"/>
  <c r="D140" i="46" s="1"/>
  <c r="C632" i="52"/>
  <c r="D141" i="46" s="1"/>
  <c r="C633" i="52"/>
  <c r="D142" i="46" s="1"/>
  <c r="C634" i="52"/>
  <c r="D143" i="46" s="1"/>
  <c r="C635" i="52"/>
  <c r="D144" i="46" s="1"/>
  <c r="C636" i="52"/>
  <c r="D145" i="46" s="1"/>
  <c r="C637" i="52"/>
  <c r="D146" i="46" s="1"/>
  <c r="C638" i="52"/>
  <c r="D147" i="46" s="1"/>
  <c r="C639" i="52"/>
  <c r="D148" i="46" s="1"/>
  <c r="C640" i="52"/>
  <c r="D149" i="46" s="1"/>
  <c r="C641" i="52"/>
  <c r="D150" i="46" s="1"/>
  <c r="C642" i="52"/>
  <c r="D151" i="46" s="1"/>
  <c r="C643" i="52"/>
  <c r="D152" i="46" s="1"/>
  <c r="C644" i="52"/>
  <c r="D153" i="46" s="1"/>
  <c r="C645" i="52"/>
  <c r="D154" i="46" s="1"/>
  <c r="C646" i="52"/>
  <c r="D155" i="46" s="1"/>
  <c r="C647" i="52"/>
  <c r="D156" i="46" s="1"/>
  <c r="C648" i="52"/>
  <c r="D157" i="46" s="1"/>
  <c r="C649" i="52"/>
  <c r="D158" i="46" s="1"/>
  <c r="C650" i="52"/>
  <c r="D159" i="46" s="1"/>
  <c r="C651" i="52"/>
  <c r="D160" i="46" s="1"/>
  <c r="C652" i="52"/>
  <c r="D161" i="46" s="1"/>
  <c r="C653" i="52"/>
  <c r="D162" i="46" s="1"/>
  <c r="C654" i="52"/>
  <c r="D163" i="46" s="1"/>
  <c r="C655" i="52"/>
  <c r="D164" i="46" s="1"/>
  <c r="C656" i="52"/>
  <c r="D165" i="46" s="1"/>
  <c r="C657" i="52"/>
  <c r="D166" i="46" s="1"/>
  <c r="C658" i="52"/>
  <c r="D167" i="46" s="1"/>
  <c r="C659" i="52"/>
  <c r="D168" i="46" s="1"/>
  <c r="C660" i="52"/>
  <c r="D169" i="46" s="1"/>
  <c r="C661" i="52"/>
  <c r="D170" i="46" s="1"/>
  <c r="C662" i="52"/>
  <c r="D171" i="46" s="1"/>
  <c r="C663" i="52"/>
  <c r="D172" i="46" s="1"/>
  <c r="C664" i="52"/>
  <c r="D173" i="46" s="1"/>
  <c r="C281" i="52"/>
  <c r="D139" i="45" s="1"/>
  <c r="C282" i="52"/>
  <c r="D140" i="45" s="1"/>
  <c r="C283" i="52"/>
  <c r="D141" i="45" s="1"/>
  <c r="C284" i="52"/>
  <c r="D142" i="45" s="1"/>
  <c r="C285" i="52"/>
  <c r="D143" i="45" s="1"/>
  <c r="C286" i="52"/>
  <c r="D144" i="45" s="1"/>
  <c r="C287" i="52"/>
  <c r="D145" i="45" s="1"/>
  <c r="C288" i="52"/>
  <c r="D146" i="45" s="1"/>
  <c r="C289" i="52"/>
  <c r="D147" i="45" s="1"/>
  <c r="C290" i="52"/>
  <c r="D148" i="45" s="1"/>
  <c r="C291" i="52"/>
  <c r="D149" i="45" s="1"/>
  <c r="C292" i="52"/>
  <c r="D150" i="45" s="1"/>
  <c r="C293" i="52"/>
  <c r="D151" i="45" s="1"/>
  <c r="C294" i="52"/>
  <c r="D152" i="45" s="1"/>
  <c r="C295" i="52"/>
  <c r="D153" i="45" s="1"/>
  <c r="C296" i="52"/>
  <c r="D154" i="45" s="1"/>
  <c r="C297" i="52"/>
  <c r="D155" i="45" s="1"/>
  <c r="C298" i="52"/>
  <c r="D156" i="45" s="1"/>
  <c r="C299" i="52"/>
  <c r="D157" i="45" s="1"/>
  <c r="C300" i="52"/>
  <c r="D158" i="45" s="1"/>
  <c r="C301" i="52"/>
  <c r="D159" i="45" s="1"/>
  <c r="C302" i="52"/>
  <c r="D160" i="45" s="1"/>
  <c r="C303" i="52"/>
  <c r="D161" i="45" s="1"/>
  <c r="C304" i="52"/>
  <c r="D162" i="45" s="1"/>
  <c r="C305" i="52"/>
  <c r="D163" i="45" s="1"/>
  <c r="C306" i="52"/>
  <c r="D164" i="45" s="1"/>
  <c r="C307" i="52"/>
  <c r="D165" i="45" s="1"/>
  <c r="C308" i="52"/>
  <c r="D166" i="45" s="1"/>
  <c r="C309" i="52"/>
  <c r="D167" i="45" s="1"/>
  <c r="C310" i="52"/>
  <c r="D168" i="45" s="1"/>
  <c r="C311" i="52"/>
  <c r="D169" i="45" s="1"/>
  <c r="C312" i="52"/>
  <c r="D170" i="45" s="1"/>
  <c r="C313" i="52"/>
  <c r="D171" i="45" s="1"/>
  <c r="C314" i="52"/>
  <c r="D172" i="45" s="1"/>
  <c r="C315" i="52"/>
  <c r="D173" i="45" s="1"/>
  <c r="C1324" i="51"/>
  <c r="D139" i="44" s="1"/>
  <c r="C1325" i="51"/>
  <c r="D140" i="44" s="1"/>
  <c r="C1326" i="51"/>
  <c r="D141" i="44" s="1"/>
  <c r="C1327" i="51"/>
  <c r="D142" i="44" s="1"/>
  <c r="C1328" i="51"/>
  <c r="D143" i="44" s="1"/>
  <c r="C1329" i="51"/>
  <c r="D144" i="44" s="1"/>
  <c r="C1330" i="51"/>
  <c r="D145" i="44" s="1"/>
  <c r="C1331" i="51"/>
  <c r="D146" i="44" s="1"/>
  <c r="C1332" i="51"/>
  <c r="D147" i="44" s="1"/>
  <c r="C1333" i="51"/>
  <c r="D148" i="44" s="1"/>
  <c r="C1334" i="51"/>
  <c r="D149" i="44" s="1"/>
  <c r="C1335" i="51"/>
  <c r="D150" i="44" s="1"/>
  <c r="C1336" i="51"/>
  <c r="D151" i="44" s="1"/>
  <c r="C1337" i="51"/>
  <c r="D152" i="44" s="1"/>
  <c r="C1338" i="51"/>
  <c r="D153" i="44" s="1"/>
  <c r="C1339" i="51"/>
  <c r="D154" i="44" s="1"/>
  <c r="C1340" i="51"/>
  <c r="D155" i="44" s="1"/>
  <c r="C1341" i="51"/>
  <c r="D156" i="44" s="1"/>
  <c r="C1342" i="51"/>
  <c r="D157" i="44" s="1"/>
  <c r="C1343" i="51"/>
  <c r="D158" i="44" s="1"/>
  <c r="C1344" i="51"/>
  <c r="D159" i="44" s="1"/>
  <c r="C1345" i="51"/>
  <c r="D160" i="44" s="1"/>
  <c r="C1346" i="51"/>
  <c r="D161" i="44" s="1"/>
  <c r="C1347" i="51"/>
  <c r="D162" i="44" s="1"/>
  <c r="C1348" i="51"/>
  <c r="D163" i="44" s="1"/>
  <c r="C1349" i="51"/>
  <c r="D164" i="44" s="1"/>
  <c r="C1350" i="51"/>
  <c r="D165" i="44" s="1"/>
  <c r="C1351" i="51"/>
  <c r="D166" i="44" s="1"/>
  <c r="C1352" i="51"/>
  <c r="D167" i="44" s="1"/>
  <c r="C1353" i="51"/>
  <c r="D168" i="44" s="1"/>
  <c r="C1354" i="51"/>
  <c r="D169" i="44" s="1"/>
  <c r="C1355" i="51"/>
  <c r="D170" i="44" s="1"/>
  <c r="C1356" i="51"/>
  <c r="D171" i="44" s="1"/>
  <c r="C1357" i="51"/>
  <c r="D172" i="44" s="1"/>
  <c r="C1358" i="51"/>
  <c r="D173" i="44" s="1"/>
  <c r="C976" i="51"/>
  <c r="D139" i="43" s="1"/>
  <c r="C977" i="51"/>
  <c r="D140" i="43" s="1"/>
  <c r="C978" i="51"/>
  <c r="D141" i="43" s="1"/>
  <c r="C979" i="51"/>
  <c r="D142" i="43" s="1"/>
  <c r="C980" i="51"/>
  <c r="D143" i="43" s="1"/>
  <c r="C981" i="51"/>
  <c r="D144" i="43" s="1"/>
  <c r="C982" i="51"/>
  <c r="D145" i="43" s="1"/>
  <c r="C983" i="51"/>
  <c r="D146" i="43" s="1"/>
  <c r="C984" i="51"/>
  <c r="D147" i="43" s="1"/>
  <c r="C985" i="51"/>
  <c r="D148" i="43" s="1"/>
  <c r="C986" i="51"/>
  <c r="D149" i="43" s="1"/>
  <c r="C987" i="51"/>
  <c r="D150" i="43" s="1"/>
  <c r="C988" i="51"/>
  <c r="D151" i="43" s="1"/>
  <c r="C989" i="51"/>
  <c r="D152" i="43" s="1"/>
  <c r="C990" i="51"/>
  <c r="D153" i="43" s="1"/>
  <c r="C991" i="51"/>
  <c r="D154" i="43" s="1"/>
  <c r="C992" i="51"/>
  <c r="D155" i="43" s="1"/>
  <c r="C993" i="51"/>
  <c r="D156" i="43" s="1"/>
  <c r="C994" i="51"/>
  <c r="D157" i="43" s="1"/>
  <c r="C995" i="51"/>
  <c r="D158" i="43" s="1"/>
  <c r="C996" i="51"/>
  <c r="D159" i="43" s="1"/>
  <c r="C997" i="51"/>
  <c r="D160" i="43" s="1"/>
  <c r="C998" i="51"/>
  <c r="D161" i="43" s="1"/>
  <c r="C999" i="51"/>
  <c r="D162" i="43" s="1"/>
  <c r="C1000" i="51"/>
  <c r="D163" i="43" s="1"/>
  <c r="C1001" i="51"/>
  <c r="D164" i="43" s="1"/>
  <c r="C1002" i="51"/>
  <c r="D165" i="43" s="1"/>
  <c r="C1003" i="51"/>
  <c r="D166" i="43" s="1"/>
  <c r="C1004" i="51"/>
  <c r="D167" i="43" s="1"/>
  <c r="C1005" i="51"/>
  <c r="D168" i="43" s="1"/>
  <c r="C1006" i="51"/>
  <c r="D169" i="43" s="1"/>
  <c r="C1007" i="51"/>
  <c r="D170" i="43" s="1"/>
  <c r="C1008" i="51"/>
  <c r="D171" i="43" s="1"/>
  <c r="C1009" i="51"/>
  <c r="D172" i="43" s="1"/>
  <c r="C1010" i="51"/>
  <c r="D173" i="43" s="1"/>
  <c r="C627" i="51"/>
  <c r="D139" i="42" s="1"/>
  <c r="C628" i="51"/>
  <c r="D140" i="42" s="1"/>
  <c r="C629" i="51"/>
  <c r="D141" i="42" s="1"/>
  <c r="C630" i="51"/>
  <c r="D142" i="42" s="1"/>
  <c r="C631" i="51"/>
  <c r="D143" i="42" s="1"/>
  <c r="C632" i="51"/>
  <c r="D144" i="42" s="1"/>
  <c r="C633" i="51"/>
  <c r="D145" i="42" s="1"/>
  <c r="C634" i="51"/>
  <c r="D146" i="42" s="1"/>
  <c r="C635" i="51"/>
  <c r="D147" i="42" s="1"/>
  <c r="C636" i="51"/>
  <c r="D148" i="42" s="1"/>
  <c r="C637" i="51"/>
  <c r="D149" i="42" s="1"/>
  <c r="C638" i="51"/>
  <c r="D150" i="42" s="1"/>
  <c r="C639" i="51"/>
  <c r="D151" i="42" s="1"/>
  <c r="C640" i="51"/>
  <c r="D152" i="42" s="1"/>
  <c r="C641" i="51"/>
  <c r="D153" i="42" s="1"/>
  <c r="C642" i="51"/>
  <c r="D154" i="42" s="1"/>
  <c r="C643" i="51"/>
  <c r="D155" i="42" s="1"/>
  <c r="C644" i="51"/>
  <c r="D156" i="42" s="1"/>
  <c r="C645" i="51"/>
  <c r="D157" i="42" s="1"/>
  <c r="C646" i="51"/>
  <c r="D158" i="42" s="1"/>
  <c r="C647" i="51"/>
  <c r="D159" i="42" s="1"/>
  <c r="C648" i="51"/>
  <c r="D160" i="42" s="1"/>
  <c r="C649" i="51"/>
  <c r="D161" i="42" s="1"/>
  <c r="C650" i="51"/>
  <c r="D162" i="42" s="1"/>
  <c r="C651" i="51"/>
  <c r="D163" i="42" s="1"/>
  <c r="C652" i="51"/>
  <c r="D164" i="42" s="1"/>
  <c r="C653" i="51"/>
  <c r="D165" i="42" s="1"/>
  <c r="C654" i="51"/>
  <c r="D166" i="42" s="1"/>
  <c r="C655" i="51"/>
  <c r="D167" i="42" s="1"/>
  <c r="C656" i="51"/>
  <c r="D168" i="42" s="1"/>
  <c r="C657" i="51"/>
  <c r="D169" i="42" s="1"/>
  <c r="C658" i="51"/>
  <c r="D170" i="42" s="1"/>
  <c r="C659" i="51"/>
  <c r="D171" i="42" s="1"/>
  <c r="C660" i="51"/>
  <c r="D172" i="42" s="1"/>
  <c r="C661" i="51"/>
  <c r="D173" i="42" s="1"/>
  <c r="C279" i="51"/>
  <c r="D139" i="41" s="1"/>
  <c r="C280" i="51"/>
  <c r="D140" i="41" s="1"/>
  <c r="C281" i="51"/>
  <c r="D141" i="41" s="1"/>
  <c r="C282" i="51"/>
  <c r="D142" i="41" s="1"/>
  <c r="C283" i="51"/>
  <c r="D143" i="41" s="1"/>
  <c r="C284" i="51"/>
  <c r="D144" i="41" s="1"/>
  <c r="C285" i="51"/>
  <c r="D145" i="41" s="1"/>
  <c r="C286" i="51"/>
  <c r="D146" i="41" s="1"/>
  <c r="C287" i="51"/>
  <c r="D147" i="41" s="1"/>
  <c r="C288" i="51"/>
  <c r="D148" i="41" s="1"/>
  <c r="C289" i="51"/>
  <c r="D149" i="41" s="1"/>
  <c r="C290" i="51"/>
  <c r="D150" i="41" s="1"/>
  <c r="C291" i="51"/>
  <c r="D151" i="41" s="1"/>
  <c r="C292" i="51"/>
  <c r="D152" i="41" s="1"/>
  <c r="C293" i="51"/>
  <c r="D153" i="41" s="1"/>
  <c r="C294" i="51"/>
  <c r="D154" i="41" s="1"/>
  <c r="C295" i="51"/>
  <c r="D155" i="41" s="1"/>
  <c r="C296" i="51"/>
  <c r="D156" i="41" s="1"/>
  <c r="C297" i="51"/>
  <c r="D157" i="41" s="1"/>
  <c r="C298" i="51"/>
  <c r="D158" i="41" s="1"/>
  <c r="C299" i="51"/>
  <c r="D159" i="41" s="1"/>
  <c r="C300" i="51"/>
  <c r="D160" i="41" s="1"/>
  <c r="C301" i="51"/>
  <c r="D161" i="41" s="1"/>
  <c r="C302" i="51"/>
  <c r="D162" i="41" s="1"/>
  <c r="C303" i="51"/>
  <c r="D163" i="41" s="1"/>
  <c r="C304" i="51"/>
  <c r="D164" i="41" s="1"/>
  <c r="C305" i="51"/>
  <c r="D165" i="41" s="1"/>
  <c r="C306" i="51"/>
  <c r="D166" i="41" s="1"/>
  <c r="C307" i="51"/>
  <c r="D167" i="41" s="1"/>
  <c r="C308" i="51"/>
  <c r="D168" i="41" s="1"/>
  <c r="C309" i="51"/>
  <c r="D169" i="41" s="1"/>
  <c r="C310" i="51"/>
  <c r="D170" i="41" s="1"/>
  <c r="C311" i="51"/>
  <c r="D171" i="41" s="1"/>
  <c r="C312" i="51"/>
  <c r="D172" i="41" s="1"/>
  <c r="C313" i="51"/>
  <c r="D173" i="41" s="1"/>
  <c r="C977" i="59"/>
  <c r="D139" i="75" s="1"/>
  <c r="C978" i="59"/>
  <c r="D140" i="75" s="1"/>
  <c r="C979" i="59"/>
  <c r="D141" i="75" s="1"/>
  <c r="C980" i="59"/>
  <c r="D142" i="75" s="1"/>
  <c r="C981" i="59"/>
  <c r="D143" i="75" s="1"/>
  <c r="C982" i="59"/>
  <c r="D144" i="75" s="1"/>
  <c r="C983" i="59"/>
  <c r="D145" i="75" s="1"/>
  <c r="C984" i="59"/>
  <c r="D146" i="75" s="1"/>
  <c r="C985" i="59"/>
  <c r="D147" i="75" s="1"/>
  <c r="C986" i="59"/>
  <c r="D148" i="75" s="1"/>
  <c r="C987" i="59"/>
  <c r="D149" i="75" s="1"/>
  <c r="C988" i="59"/>
  <c r="D150" i="75" s="1"/>
  <c r="C989" i="59"/>
  <c r="D151" i="75" s="1"/>
  <c r="C990" i="59"/>
  <c r="D152" i="75" s="1"/>
  <c r="C991" i="59"/>
  <c r="D153" i="75" s="1"/>
  <c r="C992" i="59"/>
  <c r="D154" i="75" s="1"/>
  <c r="C993" i="59"/>
  <c r="D155" i="75" s="1"/>
  <c r="C994" i="59"/>
  <c r="D156" i="75" s="1"/>
  <c r="C995" i="59"/>
  <c r="D157" i="75" s="1"/>
  <c r="C996" i="59"/>
  <c r="D158" i="75" s="1"/>
  <c r="C997" i="59"/>
  <c r="D159" i="75" s="1"/>
  <c r="C998" i="59"/>
  <c r="D160" i="75" s="1"/>
  <c r="C999" i="59"/>
  <c r="D161" i="75" s="1"/>
  <c r="C1000" i="59"/>
  <c r="D162" i="75" s="1"/>
  <c r="C1001" i="59"/>
  <c r="D163" i="75" s="1"/>
  <c r="C1002" i="59"/>
  <c r="D164" i="75" s="1"/>
  <c r="C1003" i="59"/>
  <c r="D165" i="75" s="1"/>
  <c r="C1004" i="59"/>
  <c r="D166" i="75" s="1"/>
  <c r="C1005" i="59"/>
  <c r="D167" i="75" s="1"/>
  <c r="C1006" i="59"/>
  <c r="D168" i="75" s="1"/>
  <c r="C1007" i="59"/>
  <c r="D169" i="75" s="1"/>
  <c r="C1008" i="59"/>
  <c r="D170" i="75" s="1"/>
  <c r="C1009" i="59"/>
  <c r="D171" i="75" s="1"/>
  <c r="C1010" i="59"/>
  <c r="D172" i="75" s="1"/>
  <c r="C1011" i="59"/>
  <c r="D173" i="75" s="1"/>
  <c r="C628" i="59"/>
  <c r="D139" i="74" s="1"/>
  <c r="C629" i="59"/>
  <c r="D140" i="74" s="1"/>
  <c r="C630" i="59"/>
  <c r="D141" i="74" s="1"/>
  <c r="C631" i="59"/>
  <c r="D142" i="74" s="1"/>
  <c r="C632" i="59"/>
  <c r="D143" i="74" s="1"/>
  <c r="C633" i="59"/>
  <c r="D144" i="74" s="1"/>
  <c r="C634" i="59"/>
  <c r="D145" i="74" s="1"/>
  <c r="C635" i="59"/>
  <c r="D146" i="74" s="1"/>
  <c r="C636" i="59"/>
  <c r="D147" i="74" s="1"/>
  <c r="C637" i="59"/>
  <c r="D148" i="74" s="1"/>
  <c r="C638" i="59"/>
  <c r="D149" i="74" s="1"/>
  <c r="C639" i="59"/>
  <c r="D150" i="74" s="1"/>
  <c r="C640" i="59"/>
  <c r="D151" i="74" s="1"/>
  <c r="C641" i="59"/>
  <c r="D152" i="74" s="1"/>
  <c r="C642" i="59"/>
  <c r="D153" i="74" s="1"/>
  <c r="C643" i="59"/>
  <c r="D154" i="74" s="1"/>
  <c r="C644" i="59"/>
  <c r="D155" i="74" s="1"/>
  <c r="C645" i="59"/>
  <c r="D156" i="74" s="1"/>
  <c r="C646" i="59"/>
  <c r="D157" i="74" s="1"/>
  <c r="C647" i="59"/>
  <c r="D158" i="74" s="1"/>
  <c r="C648" i="59"/>
  <c r="D159" i="74" s="1"/>
  <c r="C649" i="59"/>
  <c r="D160" i="74" s="1"/>
  <c r="C650" i="59"/>
  <c r="D161" i="74" s="1"/>
  <c r="C651" i="59"/>
  <c r="D162" i="74" s="1"/>
  <c r="C652" i="59"/>
  <c r="D163" i="74" s="1"/>
  <c r="C653" i="59"/>
  <c r="D164" i="74" s="1"/>
  <c r="C654" i="59"/>
  <c r="D165" i="74" s="1"/>
  <c r="C655" i="59"/>
  <c r="D166" i="74" s="1"/>
  <c r="C656" i="59"/>
  <c r="D167" i="74" s="1"/>
  <c r="C657" i="59"/>
  <c r="D168" i="74" s="1"/>
  <c r="C658" i="59"/>
  <c r="D169" i="74" s="1"/>
  <c r="C659" i="59"/>
  <c r="D170" i="74" s="1"/>
  <c r="C660" i="59"/>
  <c r="D171" i="74" s="1"/>
  <c r="C661" i="59"/>
  <c r="D172" i="74" s="1"/>
  <c r="C662" i="59"/>
  <c r="D173" i="74" s="1"/>
  <c r="C279" i="59"/>
  <c r="D139" i="40" s="1"/>
  <c r="C280" i="59"/>
  <c r="D140" i="40" s="1"/>
  <c r="C281" i="59"/>
  <c r="D141" i="40" s="1"/>
  <c r="C282" i="59"/>
  <c r="D142" i="40" s="1"/>
  <c r="C283" i="59"/>
  <c r="D143" i="40" s="1"/>
  <c r="C284" i="59"/>
  <c r="D144" i="40" s="1"/>
  <c r="C285" i="59"/>
  <c r="D145" i="40" s="1"/>
  <c r="C286" i="59"/>
  <c r="D146" i="40" s="1"/>
  <c r="C287" i="59"/>
  <c r="D147" i="40" s="1"/>
  <c r="C288" i="59"/>
  <c r="D148" i="40" s="1"/>
  <c r="C289" i="59"/>
  <c r="D149" i="40" s="1"/>
  <c r="C290" i="59"/>
  <c r="D150" i="40" s="1"/>
  <c r="C291" i="59"/>
  <c r="D151" i="40" s="1"/>
  <c r="C292" i="59"/>
  <c r="D152" i="40" s="1"/>
  <c r="C293" i="59"/>
  <c r="D153" i="40" s="1"/>
  <c r="C294" i="59"/>
  <c r="D154" i="40" s="1"/>
  <c r="C295" i="59"/>
  <c r="D155" i="40" s="1"/>
  <c r="C296" i="59"/>
  <c r="D156" i="40" s="1"/>
  <c r="C297" i="59"/>
  <c r="D157" i="40" s="1"/>
  <c r="C298" i="59"/>
  <c r="D158" i="40" s="1"/>
  <c r="C299" i="59"/>
  <c r="D159" i="40" s="1"/>
  <c r="C300" i="59"/>
  <c r="D160" i="40" s="1"/>
  <c r="C301" i="59"/>
  <c r="D161" i="40" s="1"/>
  <c r="C302" i="59"/>
  <c r="D162" i="40" s="1"/>
  <c r="C303" i="59"/>
  <c r="D163" i="40" s="1"/>
  <c r="C304" i="59"/>
  <c r="D164" i="40" s="1"/>
  <c r="C305" i="59"/>
  <c r="D165" i="40" s="1"/>
  <c r="C306" i="59"/>
  <c r="D166" i="40" s="1"/>
  <c r="C307" i="59"/>
  <c r="D167" i="40" s="1"/>
  <c r="C308" i="59"/>
  <c r="D168" i="40" s="1"/>
  <c r="C309" i="59"/>
  <c r="D169" i="40" s="1"/>
  <c r="C310" i="59"/>
  <c r="D170" i="40" s="1"/>
  <c r="C311" i="59"/>
  <c r="D171" i="40" s="1"/>
  <c r="C312" i="59"/>
  <c r="D172" i="40" s="1"/>
  <c r="C313" i="59"/>
  <c r="D173" i="40" s="1"/>
  <c r="C1678" i="53"/>
  <c r="D139" i="93" s="1"/>
  <c r="C1679" i="53"/>
  <c r="D140" i="93" s="1"/>
  <c r="C1680" i="53"/>
  <c r="D141" i="93" s="1"/>
  <c r="C1681" i="53"/>
  <c r="D142" i="93" s="1"/>
  <c r="C1682" i="53"/>
  <c r="D143" i="93" s="1"/>
  <c r="C1683" i="53"/>
  <c r="D144" i="93" s="1"/>
  <c r="C1684" i="53"/>
  <c r="D145" i="93" s="1"/>
  <c r="C1685" i="53"/>
  <c r="D146" i="93" s="1"/>
  <c r="C1686" i="53"/>
  <c r="D147" i="93" s="1"/>
  <c r="C1687" i="53"/>
  <c r="D148" i="93" s="1"/>
  <c r="C1688" i="53"/>
  <c r="D149" i="93" s="1"/>
  <c r="C1689" i="53"/>
  <c r="D150" i="93" s="1"/>
  <c r="C1690" i="53"/>
  <c r="D151" i="93" s="1"/>
  <c r="C1691" i="53"/>
  <c r="D152" i="93" s="1"/>
  <c r="C1692" i="53"/>
  <c r="D153" i="93" s="1"/>
  <c r="C1693" i="53"/>
  <c r="D154" i="93" s="1"/>
  <c r="C1694" i="53"/>
  <c r="D155" i="93" s="1"/>
  <c r="C1695" i="53"/>
  <c r="D156" i="93" s="1"/>
  <c r="C1696" i="53"/>
  <c r="D157" i="93" s="1"/>
  <c r="C1697" i="53"/>
  <c r="D158" i="93" s="1"/>
  <c r="C1698" i="53"/>
  <c r="D159" i="93" s="1"/>
  <c r="C1699" i="53"/>
  <c r="D160" i="93" s="1"/>
  <c r="C1700" i="53"/>
  <c r="D161" i="93" s="1"/>
  <c r="C1701" i="53"/>
  <c r="D162" i="93" s="1"/>
  <c r="C1702" i="53"/>
  <c r="D163" i="93" s="1"/>
  <c r="C1703" i="53"/>
  <c r="D164" i="93" s="1"/>
  <c r="C1704" i="53"/>
  <c r="D165" i="93" s="1"/>
  <c r="C1705" i="53"/>
  <c r="D166" i="93" s="1"/>
  <c r="C1706" i="53"/>
  <c r="D167" i="93" s="1"/>
  <c r="C1707" i="53"/>
  <c r="D168" i="93" s="1"/>
  <c r="C1708" i="53"/>
  <c r="D169" i="93" s="1"/>
  <c r="C1709" i="53"/>
  <c r="D170" i="93" s="1"/>
  <c r="C1710" i="53"/>
  <c r="D171" i="93" s="1"/>
  <c r="C1711" i="53"/>
  <c r="D172" i="93" s="1"/>
  <c r="C1712" i="53"/>
  <c r="D173" i="93" s="1"/>
  <c r="C1329" i="53"/>
  <c r="D139" i="58" s="1"/>
  <c r="C1330" i="53"/>
  <c r="D140" i="58" s="1"/>
  <c r="C1331" i="53"/>
  <c r="D141" i="58" s="1"/>
  <c r="C1332" i="53"/>
  <c r="D142" i="58" s="1"/>
  <c r="C1333" i="53"/>
  <c r="D143" i="58" s="1"/>
  <c r="C1334" i="53"/>
  <c r="D144" i="58" s="1"/>
  <c r="C1335" i="53"/>
  <c r="D145" i="58" s="1"/>
  <c r="C1336" i="53"/>
  <c r="D146" i="58" s="1"/>
  <c r="C1337" i="53"/>
  <c r="D147" i="58" s="1"/>
  <c r="C1338" i="53"/>
  <c r="D148" i="58" s="1"/>
  <c r="C1339" i="53"/>
  <c r="D149" i="58" s="1"/>
  <c r="C1340" i="53"/>
  <c r="D150" i="58" s="1"/>
  <c r="C1341" i="53"/>
  <c r="D151" i="58" s="1"/>
  <c r="C1342" i="53"/>
  <c r="D152" i="58" s="1"/>
  <c r="C1343" i="53"/>
  <c r="D153" i="58" s="1"/>
  <c r="C1344" i="53"/>
  <c r="D154" i="58" s="1"/>
  <c r="C1345" i="53"/>
  <c r="D155" i="58" s="1"/>
  <c r="C1346" i="53"/>
  <c r="D156" i="58" s="1"/>
  <c r="C1347" i="53"/>
  <c r="D157" i="58" s="1"/>
  <c r="C1348" i="53"/>
  <c r="D158" i="58" s="1"/>
  <c r="C1349" i="53"/>
  <c r="D159" i="58" s="1"/>
  <c r="C1350" i="53"/>
  <c r="D160" i="58" s="1"/>
  <c r="C1351" i="53"/>
  <c r="D161" i="58" s="1"/>
  <c r="C1352" i="53"/>
  <c r="D162" i="58" s="1"/>
  <c r="C1353" i="53"/>
  <c r="D163" i="58" s="1"/>
  <c r="C1354" i="53"/>
  <c r="D164" i="58" s="1"/>
  <c r="C1355" i="53"/>
  <c r="D165" i="58" s="1"/>
  <c r="C1356" i="53"/>
  <c r="D166" i="58" s="1"/>
  <c r="C1357" i="53"/>
  <c r="D167" i="58" s="1"/>
  <c r="C1358" i="53"/>
  <c r="D168" i="58" s="1"/>
  <c r="C1359" i="53"/>
  <c r="D169" i="58" s="1"/>
  <c r="C1360" i="53"/>
  <c r="D170" i="58" s="1"/>
  <c r="C1361" i="53"/>
  <c r="D171" i="58" s="1"/>
  <c r="C1362" i="53"/>
  <c r="D172" i="58" s="1"/>
  <c r="C1363" i="53"/>
  <c r="D173" i="58" s="1"/>
  <c r="C980" i="53"/>
  <c r="D139" i="57" s="1"/>
  <c r="C981" i="53"/>
  <c r="D140" i="57" s="1"/>
  <c r="C982" i="53"/>
  <c r="D141" i="57" s="1"/>
  <c r="C983" i="53"/>
  <c r="D142" i="57" s="1"/>
  <c r="C984" i="53"/>
  <c r="D143" i="57" s="1"/>
  <c r="C985" i="53"/>
  <c r="D144" i="57" s="1"/>
  <c r="C986" i="53"/>
  <c r="D145" i="57" s="1"/>
  <c r="C987" i="53"/>
  <c r="D146" i="57" s="1"/>
  <c r="C988" i="53"/>
  <c r="D147" i="57" s="1"/>
  <c r="C989" i="53"/>
  <c r="D148" i="57" s="1"/>
  <c r="C990" i="53"/>
  <c r="D149" i="57" s="1"/>
  <c r="C991" i="53"/>
  <c r="D150" i="57" s="1"/>
  <c r="C992" i="53"/>
  <c r="D151" i="57" s="1"/>
  <c r="C993" i="53"/>
  <c r="D152" i="57" s="1"/>
  <c r="C994" i="53"/>
  <c r="D153" i="57" s="1"/>
  <c r="C995" i="53"/>
  <c r="D154" i="57" s="1"/>
  <c r="C996" i="53"/>
  <c r="D155" i="57" s="1"/>
  <c r="C997" i="53"/>
  <c r="D156" i="57" s="1"/>
  <c r="C998" i="53"/>
  <c r="D157" i="57" s="1"/>
  <c r="C999" i="53"/>
  <c r="D158" i="57" s="1"/>
  <c r="C1000" i="53"/>
  <c r="D159" i="57" s="1"/>
  <c r="C1001" i="53"/>
  <c r="D160" i="57" s="1"/>
  <c r="C1002" i="53"/>
  <c r="D161" i="57" s="1"/>
  <c r="C1003" i="53"/>
  <c r="D162" i="57" s="1"/>
  <c r="C1004" i="53"/>
  <c r="D163" i="57" s="1"/>
  <c r="C1005" i="53"/>
  <c r="D164" i="57" s="1"/>
  <c r="C1006" i="53"/>
  <c r="D165" i="57" s="1"/>
  <c r="C1007" i="53"/>
  <c r="D166" i="57" s="1"/>
  <c r="C1008" i="53"/>
  <c r="D167" i="57" s="1"/>
  <c r="C1009" i="53"/>
  <c r="D168" i="57" s="1"/>
  <c r="C1010" i="53"/>
  <c r="D169" i="57" s="1"/>
  <c r="C1011" i="53"/>
  <c r="D170" i="57" s="1"/>
  <c r="C1012" i="53"/>
  <c r="D171" i="57" s="1"/>
  <c r="C1013" i="53"/>
  <c r="D172" i="57" s="1"/>
  <c r="C1014" i="53"/>
  <c r="D173" i="57" s="1"/>
  <c r="C631" i="53"/>
  <c r="D139" i="56" s="1"/>
  <c r="C632" i="53"/>
  <c r="D140" i="56" s="1"/>
  <c r="C633" i="53"/>
  <c r="D141" i="56" s="1"/>
  <c r="C634" i="53"/>
  <c r="D142" i="56" s="1"/>
  <c r="C635" i="53"/>
  <c r="D143" i="56" s="1"/>
  <c r="C636" i="53"/>
  <c r="D144" i="56" s="1"/>
  <c r="C637" i="53"/>
  <c r="D145" i="56" s="1"/>
  <c r="C638" i="53"/>
  <c r="D146" i="56" s="1"/>
  <c r="C639" i="53"/>
  <c r="D147" i="56" s="1"/>
  <c r="C640" i="53"/>
  <c r="D148" i="56" s="1"/>
  <c r="C641" i="53"/>
  <c r="D149" i="56" s="1"/>
  <c r="C642" i="53"/>
  <c r="D150" i="56" s="1"/>
  <c r="C643" i="53"/>
  <c r="D151" i="56" s="1"/>
  <c r="C644" i="53"/>
  <c r="D152" i="56" s="1"/>
  <c r="C645" i="53"/>
  <c r="D153" i="56" s="1"/>
  <c r="C646" i="53"/>
  <c r="D154" i="56" s="1"/>
  <c r="C647" i="53"/>
  <c r="D155" i="56" s="1"/>
  <c r="C648" i="53"/>
  <c r="D156" i="56" s="1"/>
  <c r="C649" i="53"/>
  <c r="D157" i="56" s="1"/>
  <c r="C650" i="53"/>
  <c r="D158" i="56" s="1"/>
  <c r="C651" i="53"/>
  <c r="D159" i="56" s="1"/>
  <c r="C652" i="53"/>
  <c r="D160" i="56" s="1"/>
  <c r="C653" i="53"/>
  <c r="D161" i="56" s="1"/>
  <c r="C654" i="53"/>
  <c r="D162" i="56" s="1"/>
  <c r="C655" i="53"/>
  <c r="D163" i="56" s="1"/>
  <c r="C656" i="53"/>
  <c r="D164" i="56" s="1"/>
  <c r="C657" i="53"/>
  <c r="D165" i="56" s="1"/>
  <c r="C658" i="53"/>
  <c r="D166" i="56" s="1"/>
  <c r="C659" i="53"/>
  <c r="D167" i="56" s="1"/>
  <c r="C660" i="53"/>
  <c r="D168" i="56" s="1"/>
  <c r="C661" i="53"/>
  <c r="D169" i="56" s="1"/>
  <c r="C662" i="53"/>
  <c r="D170" i="56" s="1"/>
  <c r="C663" i="53"/>
  <c r="D171" i="56" s="1"/>
  <c r="C664" i="53"/>
  <c r="D172" i="56" s="1"/>
  <c r="C665" i="53"/>
  <c r="D173" i="56" s="1"/>
  <c r="C282" i="53"/>
  <c r="D139" i="55" s="1"/>
  <c r="C283" i="53"/>
  <c r="D140" i="55" s="1"/>
  <c r="C284" i="53"/>
  <c r="D141" i="55" s="1"/>
  <c r="C285" i="53"/>
  <c r="D142" i="55" s="1"/>
  <c r="C286" i="53"/>
  <c r="D143" i="55" s="1"/>
  <c r="C287" i="53"/>
  <c r="D144" i="55" s="1"/>
  <c r="C288" i="53"/>
  <c r="D145" i="55" s="1"/>
  <c r="C289" i="53"/>
  <c r="D146" i="55" s="1"/>
  <c r="C290" i="53"/>
  <c r="D147" i="55" s="1"/>
  <c r="C291" i="53"/>
  <c r="D148" i="55" s="1"/>
  <c r="C292" i="53"/>
  <c r="D149" i="55" s="1"/>
  <c r="C293" i="53"/>
  <c r="D150" i="55" s="1"/>
  <c r="C294" i="53"/>
  <c r="D151" i="55" s="1"/>
  <c r="C295" i="53"/>
  <c r="D152" i="55" s="1"/>
  <c r="C296" i="53"/>
  <c r="D153" i="55" s="1"/>
  <c r="C297" i="53"/>
  <c r="D154" i="55" s="1"/>
  <c r="C298" i="53"/>
  <c r="D155" i="55" s="1"/>
  <c r="C299" i="53"/>
  <c r="D156" i="55" s="1"/>
  <c r="C300" i="53"/>
  <c r="D157" i="55" s="1"/>
  <c r="C301" i="53"/>
  <c r="D158" i="55" s="1"/>
  <c r="C302" i="53"/>
  <c r="D159" i="55" s="1"/>
  <c r="C303" i="53"/>
  <c r="D160" i="55" s="1"/>
  <c r="C304" i="53"/>
  <c r="D161" i="55" s="1"/>
  <c r="C305" i="53"/>
  <c r="D162" i="55" s="1"/>
  <c r="C306" i="53"/>
  <c r="D163" i="55" s="1"/>
  <c r="C307" i="53"/>
  <c r="D164" i="55" s="1"/>
  <c r="C308" i="53"/>
  <c r="D165" i="55" s="1"/>
  <c r="C309" i="53"/>
  <c r="D166" i="55" s="1"/>
  <c r="C310" i="53"/>
  <c r="D167" i="55" s="1"/>
  <c r="C311" i="53"/>
  <c r="D168" i="55" s="1"/>
  <c r="C312" i="53"/>
  <c r="D169" i="55" s="1"/>
  <c r="C313" i="53"/>
  <c r="D170" i="55" s="1"/>
  <c r="C314" i="53"/>
  <c r="D171" i="55" s="1"/>
  <c r="C315" i="53"/>
  <c r="D172" i="55" s="1"/>
  <c r="C316" i="53"/>
  <c r="D173" i="55" s="1"/>
  <c r="C979" i="37"/>
  <c r="D139" i="39" s="1"/>
  <c r="C980" i="37"/>
  <c r="D140" i="39" s="1"/>
  <c r="C981" i="37"/>
  <c r="D141" i="39" s="1"/>
  <c r="C982" i="37"/>
  <c r="D142" i="39" s="1"/>
  <c r="C983" i="37"/>
  <c r="D143" i="39" s="1"/>
  <c r="C984" i="37"/>
  <c r="D144" i="39" s="1"/>
  <c r="C985" i="37"/>
  <c r="D145" i="39" s="1"/>
  <c r="C986" i="37"/>
  <c r="D146" i="39" s="1"/>
  <c r="C987" i="37"/>
  <c r="D147" i="39" s="1"/>
  <c r="C988" i="37"/>
  <c r="D148" i="39" s="1"/>
  <c r="C989" i="37"/>
  <c r="D149" i="39" s="1"/>
  <c r="C990" i="37"/>
  <c r="D150" i="39" s="1"/>
  <c r="C991" i="37"/>
  <c r="D151" i="39" s="1"/>
  <c r="C992" i="37"/>
  <c r="D152" i="39" s="1"/>
  <c r="C993" i="37"/>
  <c r="D153" i="39" s="1"/>
  <c r="C994" i="37"/>
  <c r="D154" i="39" s="1"/>
  <c r="C995" i="37"/>
  <c r="D155" i="39" s="1"/>
  <c r="C996" i="37"/>
  <c r="D156" i="39" s="1"/>
  <c r="C997" i="37"/>
  <c r="D157" i="39" s="1"/>
  <c r="C998" i="37"/>
  <c r="D158" i="39" s="1"/>
  <c r="C999" i="37"/>
  <c r="D159" i="39" s="1"/>
  <c r="C1000" i="37"/>
  <c r="D160" i="39" s="1"/>
  <c r="C1001" i="37"/>
  <c r="D161" i="39" s="1"/>
  <c r="C1002" i="37"/>
  <c r="D162" i="39" s="1"/>
  <c r="C1003" i="37"/>
  <c r="D163" i="39" s="1"/>
  <c r="C1004" i="37"/>
  <c r="D164" i="39" s="1"/>
  <c r="C1005" i="37"/>
  <c r="D165" i="39" s="1"/>
  <c r="C1006" i="37"/>
  <c r="D166" i="39" s="1"/>
  <c r="C1007" i="37"/>
  <c r="D167" i="39" s="1"/>
  <c r="C1008" i="37"/>
  <c r="D168" i="39" s="1"/>
  <c r="C1009" i="37"/>
  <c r="D169" i="39" s="1"/>
  <c r="C1010" i="37"/>
  <c r="D170" i="39" s="1"/>
  <c r="C1011" i="37"/>
  <c r="D171" i="39" s="1"/>
  <c r="C1012" i="37"/>
  <c r="D172" i="39" s="1"/>
  <c r="C1013" i="37"/>
  <c r="D173" i="39" s="1"/>
  <c r="C630" i="37"/>
  <c r="D139" i="38" s="1"/>
  <c r="C631" i="37"/>
  <c r="D140" i="38" s="1"/>
  <c r="C632" i="37"/>
  <c r="D141" i="38" s="1"/>
  <c r="C633" i="37"/>
  <c r="D142" i="38" s="1"/>
  <c r="C634" i="37"/>
  <c r="D143" i="38" s="1"/>
  <c r="C635" i="37"/>
  <c r="D144" i="38" s="1"/>
  <c r="C636" i="37"/>
  <c r="D145" i="38" s="1"/>
  <c r="C637" i="37"/>
  <c r="D146" i="38" s="1"/>
  <c r="C638" i="37"/>
  <c r="D147" i="38" s="1"/>
  <c r="C639" i="37"/>
  <c r="D148" i="38" s="1"/>
  <c r="C640" i="37"/>
  <c r="D149" i="38" s="1"/>
  <c r="C641" i="37"/>
  <c r="D150" i="38" s="1"/>
  <c r="C642" i="37"/>
  <c r="D151" i="38" s="1"/>
  <c r="C643" i="37"/>
  <c r="D152" i="38" s="1"/>
  <c r="C644" i="37"/>
  <c r="D153" i="38" s="1"/>
  <c r="C645" i="37"/>
  <c r="D154" i="38" s="1"/>
  <c r="C646" i="37"/>
  <c r="D155" i="38" s="1"/>
  <c r="C647" i="37"/>
  <c r="D156" i="38" s="1"/>
  <c r="C648" i="37"/>
  <c r="D157" i="38" s="1"/>
  <c r="C649" i="37"/>
  <c r="D158" i="38" s="1"/>
  <c r="C650" i="37"/>
  <c r="D159" i="38" s="1"/>
  <c r="C651" i="37"/>
  <c r="D160" i="38" s="1"/>
  <c r="C652" i="37"/>
  <c r="D161" i="38" s="1"/>
  <c r="C653" i="37"/>
  <c r="D162" i="38" s="1"/>
  <c r="C654" i="37"/>
  <c r="D163" i="38" s="1"/>
  <c r="C655" i="37"/>
  <c r="D164" i="38" s="1"/>
  <c r="C656" i="37"/>
  <c r="D165" i="38" s="1"/>
  <c r="C657" i="37"/>
  <c r="D166" i="38" s="1"/>
  <c r="C658" i="37"/>
  <c r="D167" i="38" s="1"/>
  <c r="C659" i="37"/>
  <c r="D168" i="38" s="1"/>
  <c r="C660" i="37"/>
  <c r="D169" i="38" s="1"/>
  <c r="C661" i="37"/>
  <c r="D170" i="38" s="1"/>
  <c r="C662" i="37"/>
  <c r="D171" i="38" s="1"/>
  <c r="C663" i="37"/>
  <c r="D172" i="38" s="1"/>
  <c r="C664" i="37"/>
  <c r="D173" i="38" s="1"/>
  <c r="C281" i="37"/>
  <c r="D139" i="36" s="1"/>
  <c r="C282" i="37"/>
  <c r="D140" i="36" s="1"/>
  <c r="C283" i="37"/>
  <c r="D141" i="36" s="1"/>
  <c r="C284" i="37"/>
  <c r="D142" i="36" s="1"/>
  <c r="C285" i="37"/>
  <c r="D143" i="36" s="1"/>
  <c r="C286" i="37"/>
  <c r="D144" i="36" s="1"/>
  <c r="C287" i="37"/>
  <c r="D145" i="36" s="1"/>
  <c r="C288" i="37"/>
  <c r="D146" i="36" s="1"/>
  <c r="C289" i="37"/>
  <c r="D147" i="36" s="1"/>
  <c r="C290" i="37"/>
  <c r="D148" i="36" s="1"/>
  <c r="C291" i="37"/>
  <c r="D149" i="36" s="1"/>
  <c r="C292" i="37"/>
  <c r="D150" i="36" s="1"/>
  <c r="C293" i="37"/>
  <c r="D151" i="36" s="1"/>
  <c r="C294" i="37"/>
  <c r="D152" i="36" s="1"/>
  <c r="C295" i="37"/>
  <c r="D153" i="36" s="1"/>
  <c r="C296" i="37"/>
  <c r="D154" i="36" s="1"/>
  <c r="C297" i="37"/>
  <c r="D155" i="36" s="1"/>
  <c r="C298" i="37"/>
  <c r="D156" i="36" s="1"/>
  <c r="C299" i="37"/>
  <c r="D157" i="36" s="1"/>
  <c r="C300" i="37"/>
  <c r="D158" i="36" s="1"/>
  <c r="C301" i="37"/>
  <c r="D159" i="36" s="1"/>
  <c r="C302" i="37"/>
  <c r="D160" i="36" s="1"/>
  <c r="C303" i="37"/>
  <c r="D161" i="36" s="1"/>
  <c r="C304" i="37"/>
  <c r="D162" i="36" s="1"/>
  <c r="C305" i="37"/>
  <c r="D163" i="36" s="1"/>
  <c r="C306" i="37"/>
  <c r="D164" i="36" s="1"/>
  <c r="C307" i="37"/>
  <c r="D165" i="36" s="1"/>
  <c r="C308" i="37"/>
  <c r="D166" i="36" s="1"/>
  <c r="C309" i="37"/>
  <c r="D167" i="36" s="1"/>
  <c r="C310" i="37"/>
  <c r="D168" i="36" s="1"/>
  <c r="C311" i="37"/>
  <c r="D169" i="36" s="1"/>
  <c r="C312" i="37"/>
  <c r="D170" i="36" s="1"/>
  <c r="C313" i="37"/>
  <c r="D171" i="36" s="1"/>
  <c r="C314" i="37"/>
  <c r="D172" i="36" s="1"/>
  <c r="C315" i="37"/>
  <c r="D173" i="36" s="1"/>
  <c r="C631" i="31"/>
  <c r="D139" i="35" s="1"/>
  <c r="C632" i="31"/>
  <c r="D140" i="35" s="1"/>
  <c r="C633" i="31"/>
  <c r="D141" i="35" s="1"/>
  <c r="C634" i="31"/>
  <c r="D142" i="35" s="1"/>
  <c r="C635" i="31"/>
  <c r="D143" i="35" s="1"/>
  <c r="C636" i="31"/>
  <c r="D144" i="35" s="1"/>
  <c r="C637" i="31"/>
  <c r="D145" i="35" s="1"/>
  <c r="C638" i="31"/>
  <c r="D146" i="35" s="1"/>
  <c r="C639" i="31"/>
  <c r="D147" i="35" s="1"/>
  <c r="C640" i="31"/>
  <c r="D148" i="35" s="1"/>
  <c r="C641" i="31"/>
  <c r="D149" i="35" s="1"/>
  <c r="C642" i="31"/>
  <c r="D150" i="35" s="1"/>
  <c r="C643" i="31"/>
  <c r="D151" i="35" s="1"/>
  <c r="C644" i="31"/>
  <c r="D152" i="35" s="1"/>
  <c r="C645" i="31"/>
  <c r="D153" i="35" s="1"/>
  <c r="C646" i="31"/>
  <c r="D154" i="35" s="1"/>
  <c r="C647" i="31"/>
  <c r="D155" i="35" s="1"/>
  <c r="C648" i="31"/>
  <c r="D156" i="35" s="1"/>
  <c r="C649" i="31"/>
  <c r="D157" i="35" s="1"/>
  <c r="C650" i="31"/>
  <c r="D158" i="35" s="1"/>
  <c r="C651" i="31"/>
  <c r="D159" i="35" s="1"/>
  <c r="C652" i="31"/>
  <c r="D160" i="35" s="1"/>
  <c r="C653" i="31"/>
  <c r="D161" i="35" s="1"/>
  <c r="C654" i="31"/>
  <c r="D162" i="35" s="1"/>
  <c r="C655" i="31"/>
  <c r="D163" i="35" s="1"/>
  <c r="C656" i="31"/>
  <c r="D164" i="35" s="1"/>
  <c r="C657" i="31"/>
  <c r="D165" i="35" s="1"/>
  <c r="C658" i="31"/>
  <c r="D166" i="35" s="1"/>
  <c r="C659" i="31"/>
  <c r="D167" i="35" s="1"/>
  <c r="C660" i="31"/>
  <c r="D168" i="35" s="1"/>
  <c r="C661" i="31"/>
  <c r="D169" i="35" s="1"/>
  <c r="C662" i="31"/>
  <c r="D170" i="35" s="1"/>
  <c r="C663" i="31"/>
  <c r="D171" i="35" s="1"/>
  <c r="C664" i="31"/>
  <c r="D172" i="35" s="1"/>
  <c r="C665" i="31"/>
  <c r="D173" i="35" s="1"/>
  <c r="C283" i="31"/>
  <c r="D139" i="34" s="1"/>
  <c r="C284" i="31"/>
  <c r="D140" i="34" s="1"/>
  <c r="C285" i="31"/>
  <c r="D141" i="34" s="1"/>
  <c r="C286" i="31"/>
  <c r="D142" i="34" s="1"/>
  <c r="C287" i="31"/>
  <c r="D143" i="34" s="1"/>
  <c r="C288" i="31"/>
  <c r="D144" i="34" s="1"/>
  <c r="C289" i="31"/>
  <c r="D145" i="34" s="1"/>
  <c r="C290" i="31"/>
  <c r="D146" i="34" s="1"/>
  <c r="C291" i="31"/>
  <c r="D147" i="34" s="1"/>
  <c r="C292" i="31"/>
  <c r="D148" i="34" s="1"/>
  <c r="C293" i="31"/>
  <c r="D149" i="34" s="1"/>
  <c r="C294" i="31"/>
  <c r="D150" i="34" s="1"/>
  <c r="C295" i="31"/>
  <c r="D151" i="34" s="1"/>
  <c r="C296" i="31"/>
  <c r="D152" i="34" s="1"/>
  <c r="C297" i="31"/>
  <c r="D153" i="34" s="1"/>
  <c r="C298" i="31"/>
  <c r="D154" i="34" s="1"/>
  <c r="C299" i="31"/>
  <c r="D155" i="34" s="1"/>
  <c r="C300" i="31"/>
  <c r="D156" i="34" s="1"/>
  <c r="C301" i="31"/>
  <c r="D157" i="34" s="1"/>
  <c r="C302" i="31"/>
  <c r="D158" i="34" s="1"/>
  <c r="C303" i="31"/>
  <c r="D159" i="34" s="1"/>
  <c r="C304" i="31"/>
  <c r="D160" i="34" s="1"/>
  <c r="C305" i="31"/>
  <c r="D161" i="34" s="1"/>
  <c r="C306" i="31"/>
  <c r="D162" i="34" s="1"/>
  <c r="C307" i="31"/>
  <c r="D163" i="34" s="1"/>
  <c r="C308" i="31"/>
  <c r="D164" i="34" s="1"/>
  <c r="C309" i="31"/>
  <c r="D165" i="34" s="1"/>
  <c r="C310" i="31"/>
  <c r="D166" i="34" s="1"/>
  <c r="C311" i="31"/>
  <c r="D167" i="34" s="1"/>
  <c r="C312" i="31"/>
  <c r="D168" i="34" s="1"/>
  <c r="C313" i="31"/>
  <c r="D169" i="34" s="1"/>
  <c r="C314" i="31"/>
  <c r="D170" i="34" s="1"/>
  <c r="C315" i="31"/>
  <c r="D171" i="34" s="1"/>
  <c r="C316" i="31"/>
  <c r="D172" i="34" s="1"/>
  <c r="C317" i="31"/>
  <c r="D173" i="34" s="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P130" i="21"/>
  <c r="U130" i="21" s="1"/>
  <c r="P131" i="21"/>
  <c r="U131" i="21" s="1"/>
  <c r="P132" i="21"/>
  <c r="S132" i="21" s="1"/>
  <c r="P133" i="21"/>
  <c r="U133" i="21" s="1"/>
  <c r="P134" i="21"/>
  <c r="U134" i="21" s="1"/>
  <c r="P135" i="21"/>
  <c r="U135" i="21" s="1"/>
  <c r="P136" i="21"/>
  <c r="U136" i="21" s="1"/>
  <c r="P137" i="21"/>
  <c r="S137" i="21" s="1"/>
  <c r="P138" i="21"/>
  <c r="U138" i="21" s="1"/>
  <c r="P139" i="21"/>
  <c r="U139" i="21" s="1"/>
  <c r="P140" i="21"/>
  <c r="S140" i="21" s="1"/>
  <c r="P141" i="21"/>
  <c r="U141" i="21" s="1"/>
  <c r="P142" i="21"/>
  <c r="U142" i="21" s="1"/>
  <c r="P143" i="21"/>
  <c r="U143" i="21" s="1"/>
  <c r="P144" i="21"/>
  <c r="U144" i="21" s="1"/>
  <c r="P145" i="21"/>
  <c r="S145" i="21" s="1"/>
  <c r="P146" i="21"/>
  <c r="U146" i="21" s="1"/>
  <c r="P147" i="21"/>
  <c r="U147" i="21" s="1"/>
  <c r="P148" i="21"/>
  <c r="S148" i="21" s="1"/>
  <c r="P149" i="21"/>
  <c r="U149" i="21" s="1"/>
  <c r="P150" i="21"/>
  <c r="S150" i="21" s="1"/>
  <c r="P151" i="21"/>
  <c r="U151" i="21" s="1"/>
  <c r="P152" i="21"/>
  <c r="S152" i="21" s="1"/>
  <c r="P153" i="21"/>
  <c r="U153" i="21" s="1"/>
  <c r="P154" i="21"/>
  <c r="U154" i="21" s="1"/>
  <c r="P155" i="21"/>
  <c r="U155" i="21" s="1"/>
  <c r="P156" i="21"/>
  <c r="U156" i="21" s="1"/>
  <c r="P157" i="21"/>
  <c r="U157" i="21" s="1"/>
  <c r="P158" i="21"/>
  <c r="U158" i="21" s="1"/>
  <c r="P159" i="21"/>
  <c r="S159" i="21" s="1"/>
  <c r="P160" i="21"/>
  <c r="S160" i="21" s="1"/>
  <c r="P161" i="21"/>
  <c r="S161" i="21" s="1"/>
  <c r="P162" i="21"/>
  <c r="U162" i="21" s="1"/>
  <c r="P163" i="21"/>
  <c r="U163" i="21" s="1"/>
  <c r="P164" i="21"/>
  <c r="U164" i="21" s="1"/>
  <c r="O130" i="21"/>
  <c r="Y130" i="21" s="1"/>
  <c r="O131" i="21"/>
  <c r="Y131" i="21" s="1"/>
  <c r="O132" i="21"/>
  <c r="X132" i="21" s="1"/>
  <c r="O133" i="21"/>
  <c r="Y133" i="21" s="1"/>
  <c r="O134" i="21"/>
  <c r="T134" i="21" s="1"/>
  <c r="O135" i="21"/>
  <c r="X135" i="21" s="1"/>
  <c r="O136" i="21"/>
  <c r="X136" i="21" s="1"/>
  <c r="O137" i="21"/>
  <c r="Y137" i="21" s="1"/>
  <c r="O138" i="21"/>
  <c r="X138" i="21" s="1"/>
  <c r="O139" i="21"/>
  <c r="Y139" i="21" s="1"/>
  <c r="O140" i="21"/>
  <c r="R140" i="21" s="1"/>
  <c r="O141" i="21"/>
  <c r="Y141" i="21" s="1"/>
  <c r="O142" i="21"/>
  <c r="Y142" i="21" s="1"/>
  <c r="O143" i="21"/>
  <c r="Y143" i="21" s="1"/>
  <c r="O144" i="21"/>
  <c r="X144" i="21" s="1"/>
  <c r="O145" i="21"/>
  <c r="Y145" i="21" s="1"/>
  <c r="O146" i="21"/>
  <c r="Y146" i="21" s="1"/>
  <c r="O147" i="21"/>
  <c r="Y147" i="21" s="1"/>
  <c r="O148" i="21"/>
  <c r="Y148" i="21" s="1"/>
  <c r="O149" i="21"/>
  <c r="Y149" i="21" s="1"/>
  <c r="O150" i="21"/>
  <c r="X150" i="21" s="1"/>
  <c r="O151" i="21"/>
  <c r="X151" i="21" s="1"/>
  <c r="O152" i="21"/>
  <c r="Y152" i="21" s="1"/>
  <c r="O153" i="21"/>
  <c r="X153" i="21" s="1"/>
  <c r="O154" i="21"/>
  <c r="X154" i="21" s="1"/>
  <c r="O155" i="21"/>
  <c r="Y155" i="21" s="1"/>
  <c r="O156" i="21"/>
  <c r="X156" i="21" s="1"/>
  <c r="O157" i="21"/>
  <c r="Y157" i="21" s="1"/>
  <c r="O158" i="21"/>
  <c r="R158" i="21" s="1"/>
  <c r="O159" i="21"/>
  <c r="Y159" i="21" s="1"/>
  <c r="O160" i="21"/>
  <c r="Y160" i="21" s="1"/>
  <c r="O161" i="21"/>
  <c r="Y161" i="21" s="1"/>
  <c r="O162" i="21"/>
  <c r="X162" i="21" s="1"/>
  <c r="O163" i="21"/>
  <c r="Y163" i="21" s="1"/>
  <c r="O164" i="21"/>
  <c r="R164" i="21" s="1"/>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C1291" i="54"/>
  <c r="D99" i="77" s="1"/>
  <c r="C1292" i="54"/>
  <c r="D100" i="77" s="1"/>
  <c r="C1293" i="54"/>
  <c r="D101" i="77" s="1"/>
  <c r="C1294" i="54"/>
  <c r="D102" i="77" s="1"/>
  <c r="C1295" i="54"/>
  <c r="D103" i="77" s="1"/>
  <c r="C1296" i="54"/>
  <c r="D104" i="77" s="1"/>
  <c r="C1297" i="54"/>
  <c r="D105" i="77" s="1"/>
  <c r="C1298" i="54"/>
  <c r="D106" i="77" s="1"/>
  <c r="C1299" i="54"/>
  <c r="D107" i="77" s="1"/>
  <c r="C1300" i="54"/>
  <c r="D108" i="77" s="1"/>
  <c r="C1301" i="54"/>
  <c r="D109" i="77" s="1"/>
  <c r="C1302" i="54"/>
  <c r="D110" i="77" s="1"/>
  <c r="C1303" i="54"/>
  <c r="D111" i="77" s="1"/>
  <c r="C1304" i="54"/>
  <c r="D112" i="77" s="1"/>
  <c r="C1305" i="54"/>
  <c r="D113" i="77" s="1"/>
  <c r="C1306" i="54"/>
  <c r="D114" i="77" s="1"/>
  <c r="C1307" i="54"/>
  <c r="D115" i="77" s="1"/>
  <c r="C1308" i="54"/>
  <c r="D116" i="77" s="1"/>
  <c r="C1309" i="54"/>
  <c r="D117" i="77" s="1"/>
  <c r="C1310" i="54"/>
  <c r="D118" i="77" s="1"/>
  <c r="C1311" i="54"/>
  <c r="D119" i="77" s="1"/>
  <c r="C1312" i="54"/>
  <c r="D120" i="77" s="1"/>
  <c r="C1313" i="54"/>
  <c r="D121" i="77" s="1"/>
  <c r="C1314" i="54"/>
  <c r="D122" i="77" s="1"/>
  <c r="C1315" i="54"/>
  <c r="D123" i="77" s="1"/>
  <c r="C1316" i="54"/>
  <c r="D124" i="77" s="1"/>
  <c r="C1317" i="54"/>
  <c r="D125" i="77" s="1"/>
  <c r="C1318" i="54"/>
  <c r="D126" i="77" s="1"/>
  <c r="C1319" i="54"/>
  <c r="D127" i="77" s="1"/>
  <c r="C1320" i="54"/>
  <c r="D128" i="77" s="1"/>
  <c r="C1321" i="54"/>
  <c r="D129" i="77" s="1"/>
  <c r="C1322" i="54"/>
  <c r="D130" i="77" s="1"/>
  <c r="C1323" i="54"/>
  <c r="D131" i="77" s="1"/>
  <c r="C1324" i="54"/>
  <c r="D132" i="77" s="1"/>
  <c r="C1325" i="54"/>
  <c r="D133" i="77" s="1"/>
  <c r="C942" i="54"/>
  <c r="D99" i="50" s="1"/>
  <c r="C943" i="54"/>
  <c r="D100" i="50" s="1"/>
  <c r="C944" i="54"/>
  <c r="D101" i="50" s="1"/>
  <c r="C945" i="54"/>
  <c r="D102" i="50" s="1"/>
  <c r="C946" i="54"/>
  <c r="D103" i="50" s="1"/>
  <c r="C947" i="54"/>
  <c r="D104" i="50" s="1"/>
  <c r="C948" i="54"/>
  <c r="D105" i="50" s="1"/>
  <c r="C949" i="54"/>
  <c r="D106" i="50" s="1"/>
  <c r="C950" i="54"/>
  <c r="D107" i="50" s="1"/>
  <c r="C951" i="54"/>
  <c r="D108" i="50" s="1"/>
  <c r="C952" i="54"/>
  <c r="D109" i="50" s="1"/>
  <c r="C953" i="54"/>
  <c r="D110" i="50" s="1"/>
  <c r="C954" i="54"/>
  <c r="D111" i="50" s="1"/>
  <c r="C955" i="54"/>
  <c r="D112" i="50" s="1"/>
  <c r="C956" i="54"/>
  <c r="D113" i="50" s="1"/>
  <c r="C957" i="54"/>
  <c r="D114" i="50" s="1"/>
  <c r="C958" i="54"/>
  <c r="D115" i="50" s="1"/>
  <c r="C959" i="54"/>
  <c r="D116" i="50" s="1"/>
  <c r="C960" i="54"/>
  <c r="D117" i="50" s="1"/>
  <c r="C961" i="54"/>
  <c r="D118" i="50" s="1"/>
  <c r="C962" i="54"/>
  <c r="D119" i="50" s="1"/>
  <c r="C963" i="54"/>
  <c r="D120" i="50" s="1"/>
  <c r="C964" i="54"/>
  <c r="D121" i="50" s="1"/>
  <c r="C965" i="54"/>
  <c r="D122" i="50" s="1"/>
  <c r="C966" i="54"/>
  <c r="D123" i="50" s="1"/>
  <c r="C967" i="54"/>
  <c r="D124" i="50" s="1"/>
  <c r="C968" i="54"/>
  <c r="D125" i="50" s="1"/>
  <c r="C969" i="54"/>
  <c r="D126" i="50" s="1"/>
  <c r="C970" i="54"/>
  <c r="D127" i="50" s="1"/>
  <c r="C971" i="54"/>
  <c r="D128" i="50" s="1"/>
  <c r="C972" i="54"/>
  <c r="D129" i="50" s="1"/>
  <c r="C973" i="54"/>
  <c r="D130" i="50" s="1"/>
  <c r="C974" i="54"/>
  <c r="D131" i="50" s="1"/>
  <c r="C975" i="54"/>
  <c r="D132" i="50" s="1"/>
  <c r="C976" i="54"/>
  <c r="D133" i="50" s="1"/>
  <c r="C593" i="54"/>
  <c r="D99" i="49" s="1"/>
  <c r="C594" i="54"/>
  <c r="D100" i="49" s="1"/>
  <c r="C595" i="54"/>
  <c r="D101" i="49" s="1"/>
  <c r="C596" i="54"/>
  <c r="D102" i="49" s="1"/>
  <c r="C597" i="54"/>
  <c r="D103" i="49" s="1"/>
  <c r="C598" i="54"/>
  <c r="D104" i="49" s="1"/>
  <c r="C599" i="54"/>
  <c r="D105" i="49" s="1"/>
  <c r="C600" i="54"/>
  <c r="D106" i="49" s="1"/>
  <c r="C601" i="54"/>
  <c r="D107" i="49" s="1"/>
  <c r="C602" i="54"/>
  <c r="D108" i="49" s="1"/>
  <c r="C603" i="54"/>
  <c r="D109" i="49" s="1"/>
  <c r="C604" i="54"/>
  <c r="D110" i="49" s="1"/>
  <c r="C605" i="54"/>
  <c r="D111" i="49" s="1"/>
  <c r="C606" i="54"/>
  <c r="D112" i="49" s="1"/>
  <c r="C607" i="54"/>
  <c r="D113" i="49" s="1"/>
  <c r="C608" i="54"/>
  <c r="D114" i="49" s="1"/>
  <c r="C609" i="54"/>
  <c r="D115" i="49" s="1"/>
  <c r="C610" i="54"/>
  <c r="D116" i="49" s="1"/>
  <c r="C611" i="54"/>
  <c r="D117" i="49" s="1"/>
  <c r="C612" i="54"/>
  <c r="D118" i="49" s="1"/>
  <c r="C613" i="54"/>
  <c r="D119" i="49" s="1"/>
  <c r="C614" i="54"/>
  <c r="D120" i="49" s="1"/>
  <c r="C615" i="54"/>
  <c r="D121" i="49" s="1"/>
  <c r="C616" i="54"/>
  <c r="D122" i="49" s="1"/>
  <c r="C617" i="54"/>
  <c r="D123" i="49" s="1"/>
  <c r="C618" i="54"/>
  <c r="D124" i="49" s="1"/>
  <c r="C619" i="54"/>
  <c r="D125" i="49" s="1"/>
  <c r="C620" i="54"/>
  <c r="D126" i="49" s="1"/>
  <c r="C621" i="54"/>
  <c r="D127" i="49" s="1"/>
  <c r="C622" i="54"/>
  <c r="D128" i="49" s="1"/>
  <c r="C623" i="54"/>
  <c r="D129" i="49" s="1"/>
  <c r="C624" i="54"/>
  <c r="D130" i="49" s="1"/>
  <c r="C625" i="54"/>
  <c r="D131" i="49" s="1"/>
  <c r="C626" i="54"/>
  <c r="D132" i="49" s="1"/>
  <c r="C627" i="54"/>
  <c r="D133" i="49" s="1"/>
  <c r="C244" i="54"/>
  <c r="D99" i="48" s="1"/>
  <c r="C245" i="54"/>
  <c r="D100" i="48" s="1"/>
  <c r="C246" i="54"/>
  <c r="D101" i="48" s="1"/>
  <c r="C247" i="54"/>
  <c r="D102" i="48" s="1"/>
  <c r="C248" i="54"/>
  <c r="D103" i="48" s="1"/>
  <c r="C249" i="54"/>
  <c r="D104" i="48" s="1"/>
  <c r="C250" i="54"/>
  <c r="D105" i="48" s="1"/>
  <c r="C251" i="54"/>
  <c r="D106" i="48" s="1"/>
  <c r="C252" i="54"/>
  <c r="D107" i="48" s="1"/>
  <c r="C253" i="54"/>
  <c r="D108" i="48" s="1"/>
  <c r="C254" i="54"/>
  <c r="D109" i="48" s="1"/>
  <c r="C255" i="54"/>
  <c r="D110" i="48" s="1"/>
  <c r="C256" i="54"/>
  <c r="D111" i="48" s="1"/>
  <c r="C257" i="54"/>
  <c r="D112" i="48" s="1"/>
  <c r="C258" i="54"/>
  <c r="D113" i="48" s="1"/>
  <c r="C259" i="54"/>
  <c r="D114" i="48" s="1"/>
  <c r="C260" i="54"/>
  <c r="D115" i="48" s="1"/>
  <c r="C261" i="54"/>
  <c r="D116" i="48" s="1"/>
  <c r="C262" i="54"/>
  <c r="D117" i="48" s="1"/>
  <c r="C263" i="54"/>
  <c r="D118" i="48" s="1"/>
  <c r="C264" i="54"/>
  <c r="D119" i="48" s="1"/>
  <c r="C265" i="54"/>
  <c r="D120" i="48" s="1"/>
  <c r="C266" i="54"/>
  <c r="D121" i="48" s="1"/>
  <c r="C267" i="54"/>
  <c r="D122" i="48" s="1"/>
  <c r="C268" i="54"/>
  <c r="D123" i="48" s="1"/>
  <c r="C269" i="54"/>
  <c r="D124" i="48" s="1"/>
  <c r="C270" i="54"/>
  <c r="D125" i="48" s="1"/>
  <c r="C271" i="54"/>
  <c r="D126" i="48" s="1"/>
  <c r="C272" i="54"/>
  <c r="D127" i="48" s="1"/>
  <c r="C273" i="54"/>
  <c r="D128" i="48" s="1"/>
  <c r="C274" i="54"/>
  <c r="D129" i="48" s="1"/>
  <c r="C275" i="54"/>
  <c r="D130" i="48" s="1"/>
  <c r="C276" i="54"/>
  <c r="D131" i="48" s="1"/>
  <c r="C277" i="54"/>
  <c r="D132" i="48" s="1"/>
  <c r="C278" i="54"/>
  <c r="D133" i="48" s="1"/>
  <c r="C1640" i="52"/>
  <c r="D99" i="76" s="1"/>
  <c r="C1641" i="52"/>
  <c r="D100" i="76" s="1"/>
  <c r="C1642" i="52"/>
  <c r="D101" i="76" s="1"/>
  <c r="C1643" i="52"/>
  <c r="D102" i="76" s="1"/>
  <c r="C1644" i="52"/>
  <c r="D103" i="76" s="1"/>
  <c r="C1645" i="52"/>
  <c r="D104" i="76" s="1"/>
  <c r="C1646" i="52"/>
  <c r="D105" i="76" s="1"/>
  <c r="C1647" i="52"/>
  <c r="D106" i="76" s="1"/>
  <c r="C1648" i="52"/>
  <c r="D107" i="76" s="1"/>
  <c r="C1649" i="52"/>
  <c r="D108" i="76" s="1"/>
  <c r="C1650" i="52"/>
  <c r="D109" i="76" s="1"/>
  <c r="C1651" i="52"/>
  <c r="D110" i="76" s="1"/>
  <c r="C1652" i="52"/>
  <c r="D111" i="76" s="1"/>
  <c r="C1653" i="52"/>
  <c r="D112" i="76" s="1"/>
  <c r="C1654" i="52"/>
  <c r="D113" i="76" s="1"/>
  <c r="C1655" i="52"/>
  <c r="D114" i="76" s="1"/>
  <c r="C1656" i="52"/>
  <c r="D115" i="76" s="1"/>
  <c r="C1657" i="52"/>
  <c r="D116" i="76" s="1"/>
  <c r="C1658" i="52"/>
  <c r="D117" i="76" s="1"/>
  <c r="C1659" i="52"/>
  <c r="D118" i="76" s="1"/>
  <c r="C1660" i="52"/>
  <c r="D119" i="76" s="1"/>
  <c r="C1661" i="52"/>
  <c r="D120" i="76" s="1"/>
  <c r="C1662" i="52"/>
  <c r="D121" i="76" s="1"/>
  <c r="C1663" i="52"/>
  <c r="D122" i="76" s="1"/>
  <c r="C1664" i="52"/>
  <c r="D123" i="76" s="1"/>
  <c r="C1665" i="52"/>
  <c r="D124" i="76" s="1"/>
  <c r="C1666" i="52"/>
  <c r="D125" i="76" s="1"/>
  <c r="C1667" i="52"/>
  <c r="D126" i="76" s="1"/>
  <c r="C1668" i="52"/>
  <c r="D127" i="76" s="1"/>
  <c r="C1669" i="52"/>
  <c r="D128" i="76" s="1"/>
  <c r="C1670" i="52"/>
  <c r="D129" i="76" s="1"/>
  <c r="C1671" i="52"/>
  <c r="D130" i="76" s="1"/>
  <c r="C1672" i="52"/>
  <c r="D131" i="76" s="1"/>
  <c r="C1673" i="52"/>
  <c r="D132" i="76" s="1"/>
  <c r="C1674" i="52"/>
  <c r="D133" i="76" s="1"/>
  <c r="C1291" i="52"/>
  <c r="D99" i="47" s="1"/>
  <c r="C1292" i="52"/>
  <c r="D100" i="47" s="1"/>
  <c r="C1293" i="52"/>
  <c r="D101" i="47" s="1"/>
  <c r="C1294" i="52"/>
  <c r="D102" i="47" s="1"/>
  <c r="C1295" i="52"/>
  <c r="D103" i="47" s="1"/>
  <c r="C1296" i="52"/>
  <c r="D104" i="47" s="1"/>
  <c r="C1297" i="52"/>
  <c r="D105" i="47" s="1"/>
  <c r="C1298" i="52"/>
  <c r="D106" i="47" s="1"/>
  <c r="C1299" i="52"/>
  <c r="D107" i="47" s="1"/>
  <c r="C1300" i="52"/>
  <c r="D108" i="47" s="1"/>
  <c r="C1301" i="52"/>
  <c r="D109" i="47" s="1"/>
  <c r="C1302" i="52"/>
  <c r="D110" i="47" s="1"/>
  <c r="C1303" i="52"/>
  <c r="D111" i="47" s="1"/>
  <c r="C1304" i="52"/>
  <c r="D112" i="47" s="1"/>
  <c r="C1305" i="52"/>
  <c r="D113" i="47" s="1"/>
  <c r="C1306" i="52"/>
  <c r="D114" i="47" s="1"/>
  <c r="C1307" i="52"/>
  <c r="D115" i="47" s="1"/>
  <c r="C1308" i="52"/>
  <c r="D116" i="47" s="1"/>
  <c r="C1309" i="52"/>
  <c r="D117" i="47" s="1"/>
  <c r="C1310" i="52"/>
  <c r="D118" i="47" s="1"/>
  <c r="C1311" i="52"/>
  <c r="D119" i="47" s="1"/>
  <c r="C1312" i="52"/>
  <c r="D120" i="47" s="1"/>
  <c r="C1313" i="52"/>
  <c r="D121" i="47" s="1"/>
  <c r="C1314" i="52"/>
  <c r="D122" i="47" s="1"/>
  <c r="C1315" i="52"/>
  <c r="D123" i="47" s="1"/>
  <c r="C1316" i="52"/>
  <c r="D124" i="47" s="1"/>
  <c r="C1317" i="52"/>
  <c r="D125" i="47" s="1"/>
  <c r="C1318" i="52"/>
  <c r="D126" i="47" s="1"/>
  <c r="C1319" i="52"/>
  <c r="D127" i="47" s="1"/>
  <c r="C1320" i="52"/>
  <c r="D128" i="47" s="1"/>
  <c r="C1321" i="52"/>
  <c r="D129" i="47" s="1"/>
  <c r="C1322" i="52"/>
  <c r="D130" i="47" s="1"/>
  <c r="C1323" i="52"/>
  <c r="D131" i="47" s="1"/>
  <c r="C1324" i="52"/>
  <c r="D132" i="47" s="1"/>
  <c r="C1325" i="52"/>
  <c r="D133" i="47" s="1"/>
  <c r="C942" i="52"/>
  <c r="D99" i="94" s="1"/>
  <c r="C943" i="52"/>
  <c r="D100" i="94" s="1"/>
  <c r="C944" i="52"/>
  <c r="D101" i="94" s="1"/>
  <c r="C945" i="52"/>
  <c r="D102" i="94" s="1"/>
  <c r="C946" i="52"/>
  <c r="D103" i="94" s="1"/>
  <c r="C947" i="52"/>
  <c r="D104" i="94" s="1"/>
  <c r="C948" i="52"/>
  <c r="D105" i="94" s="1"/>
  <c r="C949" i="52"/>
  <c r="D106" i="94" s="1"/>
  <c r="C950" i="52"/>
  <c r="D107" i="94" s="1"/>
  <c r="C951" i="52"/>
  <c r="D108" i="94" s="1"/>
  <c r="C952" i="52"/>
  <c r="D109" i="94" s="1"/>
  <c r="C953" i="52"/>
  <c r="D110" i="94" s="1"/>
  <c r="C954" i="52"/>
  <c r="D111" i="94" s="1"/>
  <c r="C955" i="52"/>
  <c r="D112" i="94" s="1"/>
  <c r="C956" i="52"/>
  <c r="D113" i="94" s="1"/>
  <c r="C957" i="52"/>
  <c r="D114" i="94" s="1"/>
  <c r="C958" i="52"/>
  <c r="D115" i="94" s="1"/>
  <c r="C959" i="52"/>
  <c r="D116" i="94" s="1"/>
  <c r="C960" i="52"/>
  <c r="D117" i="94" s="1"/>
  <c r="C961" i="52"/>
  <c r="D118" i="94" s="1"/>
  <c r="C962" i="52"/>
  <c r="D119" i="94" s="1"/>
  <c r="C963" i="52"/>
  <c r="D120" i="94" s="1"/>
  <c r="C964" i="52"/>
  <c r="D121" i="94" s="1"/>
  <c r="C965" i="52"/>
  <c r="D122" i="94" s="1"/>
  <c r="C966" i="52"/>
  <c r="D123" i="94" s="1"/>
  <c r="C967" i="52"/>
  <c r="D124" i="94" s="1"/>
  <c r="C968" i="52"/>
  <c r="D125" i="94" s="1"/>
  <c r="C969" i="52"/>
  <c r="D126" i="94" s="1"/>
  <c r="C970" i="52"/>
  <c r="D127" i="94" s="1"/>
  <c r="C971" i="52"/>
  <c r="D128" i="94" s="1"/>
  <c r="C972" i="52"/>
  <c r="D129" i="94" s="1"/>
  <c r="C973" i="52"/>
  <c r="D130" i="94" s="1"/>
  <c r="C974" i="52"/>
  <c r="D131" i="94" s="1"/>
  <c r="C975" i="52"/>
  <c r="D132" i="94" s="1"/>
  <c r="C976" i="52"/>
  <c r="D133" i="94" s="1"/>
  <c r="C593" i="52"/>
  <c r="D99" i="46" s="1"/>
  <c r="C594" i="52"/>
  <c r="D100" i="46" s="1"/>
  <c r="C595" i="52"/>
  <c r="D101" i="46" s="1"/>
  <c r="C596" i="52"/>
  <c r="D102" i="46" s="1"/>
  <c r="C597" i="52"/>
  <c r="D103" i="46" s="1"/>
  <c r="C598" i="52"/>
  <c r="D104" i="46" s="1"/>
  <c r="C599" i="52"/>
  <c r="D105" i="46" s="1"/>
  <c r="C600" i="52"/>
  <c r="D106" i="46" s="1"/>
  <c r="C601" i="52"/>
  <c r="D107" i="46" s="1"/>
  <c r="C602" i="52"/>
  <c r="D108" i="46" s="1"/>
  <c r="C603" i="52"/>
  <c r="D109" i="46" s="1"/>
  <c r="C604" i="52"/>
  <c r="D110" i="46" s="1"/>
  <c r="C605" i="52"/>
  <c r="D111" i="46" s="1"/>
  <c r="C606" i="52"/>
  <c r="D112" i="46" s="1"/>
  <c r="C607" i="52"/>
  <c r="D113" i="46" s="1"/>
  <c r="C608" i="52"/>
  <c r="D114" i="46" s="1"/>
  <c r="C609" i="52"/>
  <c r="D115" i="46" s="1"/>
  <c r="C610" i="52"/>
  <c r="D116" i="46" s="1"/>
  <c r="C611" i="52"/>
  <c r="D117" i="46" s="1"/>
  <c r="C612" i="52"/>
  <c r="D118" i="46" s="1"/>
  <c r="C613" i="52"/>
  <c r="D119" i="46" s="1"/>
  <c r="C614" i="52"/>
  <c r="D120" i="46" s="1"/>
  <c r="C615" i="52"/>
  <c r="D121" i="46" s="1"/>
  <c r="C616" i="52"/>
  <c r="D122" i="46" s="1"/>
  <c r="C617" i="52"/>
  <c r="D123" i="46" s="1"/>
  <c r="C618" i="52"/>
  <c r="D124" i="46" s="1"/>
  <c r="C619" i="52"/>
  <c r="D125" i="46" s="1"/>
  <c r="C620" i="52"/>
  <c r="D126" i="46" s="1"/>
  <c r="C621" i="52"/>
  <c r="D127" i="46" s="1"/>
  <c r="C622" i="52"/>
  <c r="D128" i="46" s="1"/>
  <c r="C623" i="52"/>
  <c r="D129" i="46" s="1"/>
  <c r="C624" i="52"/>
  <c r="D130" i="46" s="1"/>
  <c r="C625" i="52"/>
  <c r="D131" i="46" s="1"/>
  <c r="C626" i="52"/>
  <c r="D132" i="46" s="1"/>
  <c r="C627" i="52"/>
  <c r="D133" i="46" s="1"/>
  <c r="C244" i="52"/>
  <c r="D99" i="45" s="1"/>
  <c r="C245" i="52"/>
  <c r="D100" i="45" s="1"/>
  <c r="C246" i="52"/>
  <c r="D101" i="45" s="1"/>
  <c r="C247" i="52"/>
  <c r="D102" i="45" s="1"/>
  <c r="C248" i="52"/>
  <c r="D103" i="45" s="1"/>
  <c r="C249" i="52"/>
  <c r="D104" i="45" s="1"/>
  <c r="C250" i="52"/>
  <c r="D105" i="45" s="1"/>
  <c r="C251" i="52"/>
  <c r="D106" i="45" s="1"/>
  <c r="C252" i="52"/>
  <c r="D107" i="45" s="1"/>
  <c r="C253" i="52"/>
  <c r="D108" i="45" s="1"/>
  <c r="C254" i="52"/>
  <c r="D109" i="45" s="1"/>
  <c r="C255" i="52"/>
  <c r="D110" i="45" s="1"/>
  <c r="C256" i="52"/>
  <c r="D111" i="45" s="1"/>
  <c r="C257" i="52"/>
  <c r="D112" i="45" s="1"/>
  <c r="C258" i="52"/>
  <c r="D113" i="45" s="1"/>
  <c r="C259" i="52"/>
  <c r="D114" i="45" s="1"/>
  <c r="C260" i="52"/>
  <c r="D115" i="45" s="1"/>
  <c r="C261" i="52"/>
  <c r="D116" i="45" s="1"/>
  <c r="C262" i="52"/>
  <c r="D117" i="45" s="1"/>
  <c r="C263" i="52"/>
  <c r="D118" i="45" s="1"/>
  <c r="C264" i="52"/>
  <c r="D119" i="45" s="1"/>
  <c r="C265" i="52"/>
  <c r="D120" i="45" s="1"/>
  <c r="C266" i="52"/>
  <c r="D121" i="45" s="1"/>
  <c r="C267" i="52"/>
  <c r="D122" i="45" s="1"/>
  <c r="C268" i="52"/>
  <c r="D123" i="45" s="1"/>
  <c r="C269" i="52"/>
  <c r="D124" i="45" s="1"/>
  <c r="C270" i="52"/>
  <c r="D125" i="45" s="1"/>
  <c r="C271" i="52"/>
  <c r="D126" i="45" s="1"/>
  <c r="C272" i="52"/>
  <c r="D127" i="45" s="1"/>
  <c r="C273" i="52"/>
  <c r="D128" i="45" s="1"/>
  <c r="C274" i="52"/>
  <c r="D129" i="45" s="1"/>
  <c r="C275" i="52"/>
  <c r="D130" i="45" s="1"/>
  <c r="C276" i="52"/>
  <c r="D131" i="45" s="1"/>
  <c r="C277" i="52"/>
  <c r="D132" i="45" s="1"/>
  <c r="C278" i="52"/>
  <c r="D133" i="45" s="1"/>
  <c r="C1287" i="51"/>
  <c r="D99" i="44" s="1"/>
  <c r="C1288" i="51"/>
  <c r="D100" i="44" s="1"/>
  <c r="C1289" i="51"/>
  <c r="D101" i="44" s="1"/>
  <c r="C1290" i="51"/>
  <c r="D102" i="44" s="1"/>
  <c r="C1291" i="51"/>
  <c r="D103" i="44" s="1"/>
  <c r="C1292" i="51"/>
  <c r="D104" i="44" s="1"/>
  <c r="C1293" i="51"/>
  <c r="D105" i="44" s="1"/>
  <c r="C1294" i="51"/>
  <c r="D106" i="44" s="1"/>
  <c r="C1295" i="51"/>
  <c r="D107" i="44" s="1"/>
  <c r="C1296" i="51"/>
  <c r="D108" i="44" s="1"/>
  <c r="C1297" i="51"/>
  <c r="D109" i="44" s="1"/>
  <c r="C1298" i="51"/>
  <c r="D110" i="44" s="1"/>
  <c r="C1299" i="51"/>
  <c r="D111" i="44" s="1"/>
  <c r="C1300" i="51"/>
  <c r="D112" i="44" s="1"/>
  <c r="C1301" i="51"/>
  <c r="D113" i="44" s="1"/>
  <c r="C1302" i="51"/>
  <c r="D114" i="44" s="1"/>
  <c r="C1303" i="51"/>
  <c r="D115" i="44" s="1"/>
  <c r="C1304" i="51"/>
  <c r="D116" i="44" s="1"/>
  <c r="C1305" i="51"/>
  <c r="D117" i="44" s="1"/>
  <c r="C1306" i="51"/>
  <c r="D118" i="44" s="1"/>
  <c r="C1307" i="51"/>
  <c r="D119" i="44" s="1"/>
  <c r="C1308" i="51"/>
  <c r="D120" i="44" s="1"/>
  <c r="C1309" i="51"/>
  <c r="D121" i="44" s="1"/>
  <c r="C1310" i="51"/>
  <c r="D122" i="44" s="1"/>
  <c r="C1311" i="51"/>
  <c r="D123" i="44" s="1"/>
  <c r="C1312" i="51"/>
  <c r="D124" i="44" s="1"/>
  <c r="C1313" i="51"/>
  <c r="D125" i="44" s="1"/>
  <c r="C1314" i="51"/>
  <c r="D126" i="44" s="1"/>
  <c r="C1315" i="51"/>
  <c r="D127" i="44" s="1"/>
  <c r="C1316" i="51"/>
  <c r="D128" i="44" s="1"/>
  <c r="C1317" i="51"/>
  <c r="D129" i="44" s="1"/>
  <c r="C1318" i="51"/>
  <c r="D130" i="44" s="1"/>
  <c r="C1319" i="51"/>
  <c r="D131" i="44" s="1"/>
  <c r="C1320" i="51"/>
  <c r="D132" i="44" s="1"/>
  <c r="C1321" i="51"/>
  <c r="D133" i="44" s="1"/>
  <c r="C939" i="51"/>
  <c r="D99" i="43" s="1"/>
  <c r="C940" i="51"/>
  <c r="D100" i="43" s="1"/>
  <c r="C941" i="51"/>
  <c r="D101" i="43" s="1"/>
  <c r="C942" i="51"/>
  <c r="D102" i="43" s="1"/>
  <c r="C943" i="51"/>
  <c r="D103" i="43" s="1"/>
  <c r="C944" i="51"/>
  <c r="D104" i="43" s="1"/>
  <c r="C945" i="51"/>
  <c r="D105" i="43" s="1"/>
  <c r="C946" i="51"/>
  <c r="D106" i="43" s="1"/>
  <c r="C947" i="51"/>
  <c r="D107" i="43" s="1"/>
  <c r="C948" i="51"/>
  <c r="D108" i="43" s="1"/>
  <c r="C949" i="51"/>
  <c r="D109" i="43" s="1"/>
  <c r="C950" i="51"/>
  <c r="D110" i="43" s="1"/>
  <c r="C951" i="51"/>
  <c r="D111" i="43" s="1"/>
  <c r="C952" i="51"/>
  <c r="D112" i="43" s="1"/>
  <c r="C953" i="51"/>
  <c r="D113" i="43" s="1"/>
  <c r="C954" i="51"/>
  <c r="D114" i="43" s="1"/>
  <c r="C955" i="51"/>
  <c r="D115" i="43" s="1"/>
  <c r="C956" i="51"/>
  <c r="D116" i="43" s="1"/>
  <c r="C957" i="51"/>
  <c r="D117" i="43" s="1"/>
  <c r="C958" i="51"/>
  <c r="D118" i="43" s="1"/>
  <c r="C959" i="51"/>
  <c r="D119" i="43" s="1"/>
  <c r="C960" i="51"/>
  <c r="D120" i="43" s="1"/>
  <c r="C961" i="51"/>
  <c r="D121" i="43" s="1"/>
  <c r="C962" i="51"/>
  <c r="D122" i="43" s="1"/>
  <c r="C963" i="51"/>
  <c r="D123" i="43" s="1"/>
  <c r="C964" i="51"/>
  <c r="D124" i="43" s="1"/>
  <c r="C965" i="51"/>
  <c r="D125" i="43" s="1"/>
  <c r="C966" i="51"/>
  <c r="D126" i="43" s="1"/>
  <c r="C967" i="51"/>
  <c r="D127" i="43" s="1"/>
  <c r="C968" i="51"/>
  <c r="D128" i="43" s="1"/>
  <c r="C969" i="51"/>
  <c r="D129" i="43" s="1"/>
  <c r="C970" i="51"/>
  <c r="D130" i="43" s="1"/>
  <c r="C971" i="51"/>
  <c r="D131" i="43" s="1"/>
  <c r="C972" i="51"/>
  <c r="D132" i="43" s="1"/>
  <c r="C973" i="51"/>
  <c r="D133" i="43" s="1"/>
  <c r="C590" i="51"/>
  <c r="D99" i="42" s="1"/>
  <c r="C591" i="51"/>
  <c r="D100" i="42" s="1"/>
  <c r="C592" i="51"/>
  <c r="D101" i="42" s="1"/>
  <c r="C593" i="51"/>
  <c r="D102" i="42" s="1"/>
  <c r="C594" i="51"/>
  <c r="D103" i="42" s="1"/>
  <c r="C595" i="51"/>
  <c r="D104" i="42" s="1"/>
  <c r="C596" i="51"/>
  <c r="D105" i="42" s="1"/>
  <c r="C597" i="51"/>
  <c r="D106" i="42" s="1"/>
  <c r="C598" i="51"/>
  <c r="D107" i="42" s="1"/>
  <c r="C599" i="51"/>
  <c r="D108" i="42" s="1"/>
  <c r="C600" i="51"/>
  <c r="D109" i="42" s="1"/>
  <c r="C601" i="51"/>
  <c r="D110" i="42" s="1"/>
  <c r="C602" i="51"/>
  <c r="D111" i="42" s="1"/>
  <c r="C603" i="51"/>
  <c r="D112" i="42" s="1"/>
  <c r="C604" i="51"/>
  <c r="D113" i="42" s="1"/>
  <c r="C605" i="51"/>
  <c r="D114" i="42" s="1"/>
  <c r="C606" i="51"/>
  <c r="D115" i="42" s="1"/>
  <c r="C607" i="51"/>
  <c r="D116" i="42" s="1"/>
  <c r="C608" i="51"/>
  <c r="D117" i="42" s="1"/>
  <c r="C609" i="51"/>
  <c r="D118" i="42" s="1"/>
  <c r="C610" i="51"/>
  <c r="D119" i="42" s="1"/>
  <c r="C611" i="51"/>
  <c r="D120" i="42" s="1"/>
  <c r="C612" i="51"/>
  <c r="D121" i="42" s="1"/>
  <c r="C613" i="51"/>
  <c r="D122" i="42" s="1"/>
  <c r="C614" i="51"/>
  <c r="D123" i="42" s="1"/>
  <c r="C615" i="51"/>
  <c r="D124" i="42" s="1"/>
  <c r="C616" i="51"/>
  <c r="D125" i="42" s="1"/>
  <c r="C617" i="51"/>
  <c r="D126" i="42" s="1"/>
  <c r="C618" i="51"/>
  <c r="D127" i="42" s="1"/>
  <c r="C619" i="51"/>
  <c r="D128" i="42" s="1"/>
  <c r="C620" i="51"/>
  <c r="D129" i="42" s="1"/>
  <c r="C621" i="51"/>
  <c r="D130" i="42" s="1"/>
  <c r="C622" i="51"/>
  <c r="D131" i="42" s="1"/>
  <c r="C623" i="51"/>
  <c r="D132" i="42" s="1"/>
  <c r="C624" i="51"/>
  <c r="D133" i="42" s="1"/>
  <c r="C242" i="51"/>
  <c r="D99" i="41" s="1"/>
  <c r="C243" i="51"/>
  <c r="D100" i="41" s="1"/>
  <c r="C244" i="51"/>
  <c r="D101" i="41" s="1"/>
  <c r="C245" i="51"/>
  <c r="D102" i="41" s="1"/>
  <c r="C246" i="51"/>
  <c r="D103" i="41" s="1"/>
  <c r="C247" i="51"/>
  <c r="D104" i="41" s="1"/>
  <c r="C248" i="51"/>
  <c r="D105" i="41" s="1"/>
  <c r="C249" i="51"/>
  <c r="D106" i="41" s="1"/>
  <c r="C250" i="51"/>
  <c r="D107" i="41" s="1"/>
  <c r="C251" i="51"/>
  <c r="D108" i="41" s="1"/>
  <c r="C252" i="51"/>
  <c r="D109" i="41" s="1"/>
  <c r="C253" i="51"/>
  <c r="D110" i="41" s="1"/>
  <c r="C254" i="51"/>
  <c r="D111" i="41" s="1"/>
  <c r="C255" i="51"/>
  <c r="D112" i="41" s="1"/>
  <c r="C256" i="51"/>
  <c r="D113" i="41" s="1"/>
  <c r="C257" i="51"/>
  <c r="D114" i="41" s="1"/>
  <c r="C258" i="51"/>
  <c r="D115" i="41" s="1"/>
  <c r="C259" i="51"/>
  <c r="D116" i="41" s="1"/>
  <c r="C260" i="51"/>
  <c r="D117" i="41" s="1"/>
  <c r="C261" i="51"/>
  <c r="D118" i="41" s="1"/>
  <c r="C262" i="51"/>
  <c r="D119" i="41" s="1"/>
  <c r="C263" i="51"/>
  <c r="D120" i="41" s="1"/>
  <c r="C264" i="51"/>
  <c r="D121" i="41" s="1"/>
  <c r="C265" i="51"/>
  <c r="D122" i="41" s="1"/>
  <c r="C266" i="51"/>
  <c r="D123" i="41" s="1"/>
  <c r="C267" i="51"/>
  <c r="D124" i="41" s="1"/>
  <c r="C268" i="51"/>
  <c r="D125" i="41" s="1"/>
  <c r="C269" i="51"/>
  <c r="D126" i="41" s="1"/>
  <c r="C270" i="51"/>
  <c r="D127" i="41" s="1"/>
  <c r="C271" i="51"/>
  <c r="D128" i="41" s="1"/>
  <c r="C272" i="51"/>
  <c r="D129" i="41" s="1"/>
  <c r="C273" i="51"/>
  <c r="D130" i="41" s="1"/>
  <c r="C274" i="51"/>
  <c r="D131" i="41" s="1"/>
  <c r="C275" i="51"/>
  <c r="D132" i="41" s="1"/>
  <c r="C276" i="51"/>
  <c r="D133" i="41" s="1"/>
  <c r="C940" i="59"/>
  <c r="D99" i="75" s="1"/>
  <c r="C941" i="59"/>
  <c r="D100" i="75" s="1"/>
  <c r="C942" i="59"/>
  <c r="D101" i="75" s="1"/>
  <c r="C943" i="59"/>
  <c r="D102" i="75" s="1"/>
  <c r="C944" i="59"/>
  <c r="D103" i="75" s="1"/>
  <c r="C945" i="59"/>
  <c r="D104" i="75" s="1"/>
  <c r="C946" i="59"/>
  <c r="D105" i="75" s="1"/>
  <c r="C947" i="59"/>
  <c r="D106" i="75" s="1"/>
  <c r="C948" i="59"/>
  <c r="D107" i="75" s="1"/>
  <c r="C949" i="59"/>
  <c r="D108" i="75" s="1"/>
  <c r="C950" i="59"/>
  <c r="D109" i="75" s="1"/>
  <c r="C951" i="59"/>
  <c r="D110" i="75" s="1"/>
  <c r="C952" i="59"/>
  <c r="D111" i="75" s="1"/>
  <c r="C953" i="59"/>
  <c r="D112" i="75" s="1"/>
  <c r="C954" i="59"/>
  <c r="D113" i="75" s="1"/>
  <c r="C955" i="59"/>
  <c r="D114" i="75" s="1"/>
  <c r="C956" i="59"/>
  <c r="D115" i="75" s="1"/>
  <c r="C957" i="59"/>
  <c r="D116" i="75" s="1"/>
  <c r="C958" i="59"/>
  <c r="D117" i="75" s="1"/>
  <c r="C959" i="59"/>
  <c r="D118" i="75" s="1"/>
  <c r="C960" i="59"/>
  <c r="D119" i="75" s="1"/>
  <c r="C961" i="59"/>
  <c r="D120" i="75" s="1"/>
  <c r="C962" i="59"/>
  <c r="D121" i="75" s="1"/>
  <c r="C963" i="59"/>
  <c r="D122" i="75" s="1"/>
  <c r="C964" i="59"/>
  <c r="D123" i="75" s="1"/>
  <c r="C965" i="59"/>
  <c r="D124" i="75" s="1"/>
  <c r="C966" i="59"/>
  <c r="D125" i="75" s="1"/>
  <c r="C967" i="59"/>
  <c r="D126" i="75" s="1"/>
  <c r="C968" i="59"/>
  <c r="D127" i="75" s="1"/>
  <c r="C969" i="59"/>
  <c r="D128" i="75" s="1"/>
  <c r="C970" i="59"/>
  <c r="D129" i="75" s="1"/>
  <c r="C971" i="59"/>
  <c r="D130" i="75" s="1"/>
  <c r="C972" i="59"/>
  <c r="D131" i="75" s="1"/>
  <c r="C973" i="59"/>
  <c r="D132" i="75" s="1"/>
  <c r="C974" i="59"/>
  <c r="D133" i="75" s="1"/>
  <c r="C591" i="59"/>
  <c r="D99" i="74" s="1"/>
  <c r="C592" i="59"/>
  <c r="D100" i="74" s="1"/>
  <c r="C593" i="59"/>
  <c r="D101" i="74" s="1"/>
  <c r="C594" i="59"/>
  <c r="D102" i="74" s="1"/>
  <c r="C595" i="59"/>
  <c r="D103" i="74" s="1"/>
  <c r="C596" i="59"/>
  <c r="D104" i="74" s="1"/>
  <c r="C597" i="59"/>
  <c r="D105" i="74" s="1"/>
  <c r="C598" i="59"/>
  <c r="D106" i="74" s="1"/>
  <c r="C599" i="59"/>
  <c r="D107" i="74" s="1"/>
  <c r="C600" i="59"/>
  <c r="D108" i="74" s="1"/>
  <c r="C601" i="59"/>
  <c r="D109" i="74" s="1"/>
  <c r="C602" i="59"/>
  <c r="D110" i="74" s="1"/>
  <c r="C603" i="59"/>
  <c r="D111" i="74" s="1"/>
  <c r="C604" i="59"/>
  <c r="D112" i="74" s="1"/>
  <c r="C605" i="59"/>
  <c r="D113" i="74" s="1"/>
  <c r="C606" i="59"/>
  <c r="D114" i="74" s="1"/>
  <c r="C607" i="59"/>
  <c r="D115" i="74" s="1"/>
  <c r="C608" i="59"/>
  <c r="D116" i="74" s="1"/>
  <c r="C609" i="59"/>
  <c r="D117" i="74" s="1"/>
  <c r="C610" i="59"/>
  <c r="D118" i="74" s="1"/>
  <c r="C611" i="59"/>
  <c r="D119" i="74" s="1"/>
  <c r="C612" i="59"/>
  <c r="D120" i="74" s="1"/>
  <c r="C613" i="59"/>
  <c r="D121" i="74" s="1"/>
  <c r="C614" i="59"/>
  <c r="D122" i="74" s="1"/>
  <c r="C615" i="59"/>
  <c r="D123" i="74" s="1"/>
  <c r="C616" i="59"/>
  <c r="D124" i="74" s="1"/>
  <c r="C617" i="59"/>
  <c r="D125" i="74" s="1"/>
  <c r="C618" i="59"/>
  <c r="D126" i="74" s="1"/>
  <c r="C619" i="59"/>
  <c r="D127" i="74" s="1"/>
  <c r="C620" i="59"/>
  <c r="D128" i="74" s="1"/>
  <c r="C621" i="59"/>
  <c r="D129" i="74" s="1"/>
  <c r="C622" i="59"/>
  <c r="D130" i="74" s="1"/>
  <c r="C623" i="59"/>
  <c r="D131" i="74" s="1"/>
  <c r="C624" i="59"/>
  <c r="D132" i="74" s="1"/>
  <c r="C625" i="59"/>
  <c r="D133" i="74" s="1"/>
  <c r="C242" i="59"/>
  <c r="D99" i="40" s="1"/>
  <c r="C243" i="59"/>
  <c r="D100" i="40" s="1"/>
  <c r="C244" i="59"/>
  <c r="D101" i="40" s="1"/>
  <c r="C245" i="59"/>
  <c r="D102" i="40" s="1"/>
  <c r="C246" i="59"/>
  <c r="D103" i="40" s="1"/>
  <c r="C247" i="59"/>
  <c r="D104" i="40" s="1"/>
  <c r="C248" i="59"/>
  <c r="D105" i="40" s="1"/>
  <c r="C249" i="59"/>
  <c r="D106" i="40" s="1"/>
  <c r="C250" i="59"/>
  <c r="D107" i="40" s="1"/>
  <c r="C251" i="59"/>
  <c r="D108" i="40" s="1"/>
  <c r="C252" i="59"/>
  <c r="D109" i="40" s="1"/>
  <c r="C253" i="59"/>
  <c r="D110" i="40" s="1"/>
  <c r="C254" i="59"/>
  <c r="D111" i="40" s="1"/>
  <c r="C255" i="59"/>
  <c r="D112" i="40" s="1"/>
  <c r="C256" i="59"/>
  <c r="D113" i="40" s="1"/>
  <c r="C257" i="59"/>
  <c r="D114" i="40" s="1"/>
  <c r="C258" i="59"/>
  <c r="D115" i="40" s="1"/>
  <c r="C259" i="59"/>
  <c r="D116" i="40" s="1"/>
  <c r="C260" i="59"/>
  <c r="D117" i="40" s="1"/>
  <c r="C261" i="59"/>
  <c r="D118" i="40" s="1"/>
  <c r="C262" i="59"/>
  <c r="D119" i="40" s="1"/>
  <c r="C263" i="59"/>
  <c r="D120" i="40" s="1"/>
  <c r="C264" i="59"/>
  <c r="D121" i="40" s="1"/>
  <c r="C265" i="59"/>
  <c r="D122" i="40" s="1"/>
  <c r="C266" i="59"/>
  <c r="D123" i="40" s="1"/>
  <c r="C267" i="59"/>
  <c r="D124" i="40" s="1"/>
  <c r="C268" i="59"/>
  <c r="D125" i="40" s="1"/>
  <c r="C269" i="59"/>
  <c r="D126" i="40" s="1"/>
  <c r="C270" i="59"/>
  <c r="D127" i="40" s="1"/>
  <c r="C271" i="59"/>
  <c r="D128" i="40" s="1"/>
  <c r="C272" i="59"/>
  <c r="D129" i="40" s="1"/>
  <c r="C273" i="59"/>
  <c r="D130" i="40" s="1"/>
  <c r="C274" i="59"/>
  <c r="D131" i="40" s="1"/>
  <c r="C275" i="59"/>
  <c r="D132" i="40" s="1"/>
  <c r="C276" i="59"/>
  <c r="D133" i="40" s="1"/>
  <c r="C1641" i="53"/>
  <c r="D99" i="93" s="1"/>
  <c r="C1642" i="53"/>
  <c r="D100" i="93" s="1"/>
  <c r="C1643" i="53"/>
  <c r="D101" i="93" s="1"/>
  <c r="C1644" i="53"/>
  <c r="D102" i="93" s="1"/>
  <c r="C1645" i="53"/>
  <c r="D103" i="93" s="1"/>
  <c r="C1646" i="53"/>
  <c r="D104" i="93" s="1"/>
  <c r="C1647" i="53"/>
  <c r="D105" i="93" s="1"/>
  <c r="C1648" i="53"/>
  <c r="D106" i="93" s="1"/>
  <c r="C1649" i="53"/>
  <c r="D107" i="93" s="1"/>
  <c r="C1650" i="53"/>
  <c r="D108" i="93" s="1"/>
  <c r="C1651" i="53"/>
  <c r="D109" i="93" s="1"/>
  <c r="C1652" i="53"/>
  <c r="D110" i="93" s="1"/>
  <c r="C1653" i="53"/>
  <c r="D111" i="93" s="1"/>
  <c r="C1654" i="53"/>
  <c r="D112" i="93" s="1"/>
  <c r="C1655" i="53"/>
  <c r="D113" i="93" s="1"/>
  <c r="C1656" i="53"/>
  <c r="D114" i="93" s="1"/>
  <c r="C1657" i="53"/>
  <c r="D115" i="93" s="1"/>
  <c r="C1658" i="53"/>
  <c r="D116" i="93" s="1"/>
  <c r="C1659" i="53"/>
  <c r="D117" i="93" s="1"/>
  <c r="C1660" i="53"/>
  <c r="D118" i="93" s="1"/>
  <c r="C1661" i="53"/>
  <c r="D119" i="93" s="1"/>
  <c r="C1662" i="53"/>
  <c r="D120" i="93" s="1"/>
  <c r="C1663" i="53"/>
  <c r="D121" i="93" s="1"/>
  <c r="C1664" i="53"/>
  <c r="D122" i="93" s="1"/>
  <c r="C1665" i="53"/>
  <c r="D123" i="93" s="1"/>
  <c r="C1666" i="53"/>
  <c r="D124" i="93" s="1"/>
  <c r="C1667" i="53"/>
  <c r="D125" i="93" s="1"/>
  <c r="C1668" i="53"/>
  <c r="D126" i="93" s="1"/>
  <c r="C1669" i="53"/>
  <c r="D127" i="93" s="1"/>
  <c r="C1670" i="53"/>
  <c r="D128" i="93" s="1"/>
  <c r="C1671" i="53"/>
  <c r="D129" i="93" s="1"/>
  <c r="C1672" i="53"/>
  <c r="D130" i="93" s="1"/>
  <c r="C1673" i="53"/>
  <c r="D131" i="93" s="1"/>
  <c r="C1674" i="53"/>
  <c r="D132" i="93" s="1"/>
  <c r="C1675" i="53"/>
  <c r="D133" i="93" s="1"/>
  <c r="C1292" i="53"/>
  <c r="D99" i="58" s="1"/>
  <c r="C1293" i="53"/>
  <c r="D100" i="58" s="1"/>
  <c r="C1294" i="53"/>
  <c r="D101" i="58" s="1"/>
  <c r="C1295" i="53"/>
  <c r="D102" i="58" s="1"/>
  <c r="C1296" i="53"/>
  <c r="D103" i="58" s="1"/>
  <c r="C1297" i="53"/>
  <c r="D104" i="58" s="1"/>
  <c r="C1298" i="53"/>
  <c r="D105" i="58" s="1"/>
  <c r="C1299" i="53"/>
  <c r="D106" i="58" s="1"/>
  <c r="C1300" i="53"/>
  <c r="D107" i="58" s="1"/>
  <c r="C1301" i="53"/>
  <c r="D108" i="58" s="1"/>
  <c r="C1302" i="53"/>
  <c r="D109" i="58" s="1"/>
  <c r="C1303" i="53"/>
  <c r="D110" i="58" s="1"/>
  <c r="C1304" i="53"/>
  <c r="D111" i="58" s="1"/>
  <c r="C1305" i="53"/>
  <c r="D112" i="58" s="1"/>
  <c r="C1306" i="53"/>
  <c r="D113" i="58" s="1"/>
  <c r="C1307" i="53"/>
  <c r="D114" i="58" s="1"/>
  <c r="C1308" i="53"/>
  <c r="D115" i="58" s="1"/>
  <c r="C1309" i="53"/>
  <c r="D116" i="58" s="1"/>
  <c r="C1310" i="53"/>
  <c r="D117" i="58" s="1"/>
  <c r="C1311" i="53"/>
  <c r="D118" i="58" s="1"/>
  <c r="C1312" i="53"/>
  <c r="D119" i="58" s="1"/>
  <c r="C1313" i="53"/>
  <c r="D120" i="58" s="1"/>
  <c r="C1314" i="53"/>
  <c r="D121" i="58" s="1"/>
  <c r="C1315" i="53"/>
  <c r="D122" i="58" s="1"/>
  <c r="C1316" i="53"/>
  <c r="D123" i="58" s="1"/>
  <c r="C1317" i="53"/>
  <c r="D124" i="58" s="1"/>
  <c r="C1318" i="53"/>
  <c r="D125" i="58" s="1"/>
  <c r="C1319" i="53"/>
  <c r="D126" i="58" s="1"/>
  <c r="C1320" i="53"/>
  <c r="D127" i="58" s="1"/>
  <c r="C1321" i="53"/>
  <c r="D128" i="58" s="1"/>
  <c r="C1322" i="53"/>
  <c r="D129" i="58" s="1"/>
  <c r="C1323" i="53"/>
  <c r="D130" i="58" s="1"/>
  <c r="C1324" i="53"/>
  <c r="D131" i="58" s="1"/>
  <c r="C1325" i="53"/>
  <c r="D132" i="58" s="1"/>
  <c r="C1326" i="53"/>
  <c r="D133" i="58" s="1"/>
  <c r="C943" i="53"/>
  <c r="D99" i="57" s="1"/>
  <c r="C944" i="53"/>
  <c r="D100" i="57" s="1"/>
  <c r="C945" i="53"/>
  <c r="D101" i="57" s="1"/>
  <c r="C946" i="53"/>
  <c r="D102" i="57" s="1"/>
  <c r="C947" i="53"/>
  <c r="D103" i="57" s="1"/>
  <c r="C948" i="53"/>
  <c r="D104" i="57" s="1"/>
  <c r="C949" i="53"/>
  <c r="D105" i="57" s="1"/>
  <c r="C950" i="53"/>
  <c r="D106" i="57" s="1"/>
  <c r="C951" i="53"/>
  <c r="D107" i="57" s="1"/>
  <c r="C952" i="53"/>
  <c r="D108" i="57" s="1"/>
  <c r="C953" i="53"/>
  <c r="D109" i="57" s="1"/>
  <c r="C954" i="53"/>
  <c r="D110" i="57" s="1"/>
  <c r="C955" i="53"/>
  <c r="D111" i="57" s="1"/>
  <c r="C956" i="53"/>
  <c r="D112" i="57" s="1"/>
  <c r="C957" i="53"/>
  <c r="D113" i="57" s="1"/>
  <c r="C958" i="53"/>
  <c r="D114" i="57" s="1"/>
  <c r="C959" i="53"/>
  <c r="D115" i="57" s="1"/>
  <c r="C960" i="53"/>
  <c r="D116" i="57" s="1"/>
  <c r="C961" i="53"/>
  <c r="D117" i="57" s="1"/>
  <c r="C962" i="53"/>
  <c r="D118" i="57" s="1"/>
  <c r="C963" i="53"/>
  <c r="D119" i="57" s="1"/>
  <c r="C964" i="53"/>
  <c r="D120" i="57" s="1"/>
  <c r="C965" i="53"/>
  <c r="D121" i="57" s="1"/>
  <c r="C966" i="53"/>
  <c r="D122" i="57" s="1"/>
  <c r="C967" i="53"/>
  <c r="D123" i="57" s="1"/>
  <c r="C968" i="53"/>
  <c r="D124" i="57" s="1"/>
  <c r="C969" i="53"/>
  <c r="D125" i="57" s="1"/>
  <c r="C970" i="53"/>
  <c r="D126" i="57" s="1"/>
  <c r="C971" i="53"/>
  <c r="D127" i="57" s="1"/>
  <c r="C972" i="53"/>
  <c r="D128" i="57" s="1"/>
  <c r="C973" i="53"/>
  <c r="D129" i="57" s="1"/>
  <c r="C974" i="53"/>
  <c r="D130" i="57" s="1"/>
  <c r="C975" i="53"/>
  <c r="D131" i="57" s="1"/>
  <c r="C976" i="53"/>
  <c r="D132" i="57" s="1"/>
  <c r="C977" i="53"/>
  <c r="D133" i="57" s="1"/>
  <c r="C594" i="53"/>
  <c r="D99" i="56" s="1"/>
  <c r="C595" i="53"/>
  <c r="D100" i="56" s="1"/>
  <c r="C596" i="53"/>
  <c r="D101" i="56" s="1"/>
  <c r="C597" i="53"/>
  <c r="D102" i="56" s="1"/>
  <c r="C598" i="53"/>
  <c r="D103" i="56" s="1"/>
  <c r="C599" i="53"/>
  <c r="D104" i="56" s="1"/>
  <c r="C600" i="53"/>
  <c r="D105" i="56" s="1"/>
  <c r="C601" i="53"/>
  <c r="D106" i="56" s="1"/>
  <c r="C602" i="53"/>
  <c r="D107" i="56" s="1"/>
  <c r="C603" i="53"/>
  <c r="D108" i="56" s="1"/>
  <c r="C604" i="53"/>
  <c r="D109" i="56" s="1"/>
  <c r="C605" i="53"/>
  <c r="D110" i="56" s="1"/>
  <c r="C606" i="53"/>
  <c r="D111" i="56" s="1"/>
  <c r="C607" i="53"/>
  <c r="D112" i="56" s="1"/>
  <c r="C608" i="53"/>
  <c r="D113" i="56" s="1"/>
  <c r="C609" i="53"/>
  <c r="D114" i="56" s="1"/>
  <c r="C610" i="53"/>
  <c r="D115" i="56" s="1"/>
  <c r="C611" i="53"/>
  <c r="D116" i="56" s="1"/>
  <c r="C612" i="53"/>
  <c r="D117" i="56" s="1"/>
  <c r="C613" i="53"/>
  <c r="D118" i="56" s="1"/>
  <c r="C614" i="53"/>
  <c r="D119" i="56" s="1"/>
  <c r="C615" i="53"/>
  <c r="D120" i="56" s="1"/>
  <c r="C616" i="53"/>
  <c r="D121" i="56" s="1"/>
  <c r="C617" i="53"/>
  <c r="D122" i="56" s="1"/>
  <c r="C618" i="53"/>
  <c r="D123" i="56" s="1"/>
  <c r="C619" i="53"/>
  <c r="D124" i="56" s="1"/>
  <c r="C620" i="53"/>
  <c r="D125" i="56" s="1"/>
  <c r="C621" i="53"/>
  <c r="D126" i="56" s="1"/>
  <c r="C622" i="53"/>
  <c r="D127" i="56" s="1"/>
  <c r="C623" i="53"/>
  <c r="D128" i="56" s="1"/>
  <c r="C624" i="53"/>
  <c r="D129" i="56" s="1"/>
  <c r="C625" i="53"/>
  <c r="D130" i="56" s="1"/>
  <c r="C626" i="53"/>
  <c r="D131" i="56" s="1"/>
  <c r="C627" i="53"/>
  <c r="D132" i="56" s="1"/>
  <c r="C628" i="53"/>
  <c r="D133" i="56" s="1"/>
  <c r="C245" i="53"/>
  <c r="D99" i="55" s="1"/>
  <c r="C246" i="53"/>
  <c r="D100" i="55" s="1"/>
  <c r="C247" i="53"/>
  <c r="D101" i="55" s="1"/>
  <c r="C248" i="53"/>
  <c r="D102" i="55" s="1"/>
  <c r="C249" i="53"/>
  <c r="D103" i="55" s="1"/>
  <c r="C250" i="53"/>
  <c r="D104" i="55" s="1"/>
  <c r="C251" i="53"/>
  <c r="D105" i="55" s="1"/>
  <c r="C252" i="53"/>
  <c r="D106" i="55" s="1"/>
  <c r="C253" i="53"/>
  <c r="D107" i="55" s="1"/>
  <c r="C254" i="53"/>
  <c r="D108" i="55" s="1"/>
  <c r="C255" i="53"/>
  <c r="D109" i="55" s="1"/>
  <c r="C256" i="53"/>
  <c r="D110" i="55" s="1"/>
  <c r="C257" i="53"/>
  <c r="D111" i="55" s="1"/>
  <c r="C258" i="53"/>
  <c r="D112" i="55" s="1"/>
  <c r="C259" i="53"/>
  <c r="D113" i="55" s="1"/>
  <c r="C260" i="53"/>
  <c r="D114" i="55" s="1"/>
  <c r="C261" i="53"/>
  <c r="D115" i="55" s="1"/>
  <c r="C262" i="53"/>
  <c r="D116" i="55" s="1"/>
  <c r="C263" i="53"/>
  <c r="D117" i="55" s="1"/>
  <c r="C264" i="53"/>
  <c r="D118" i="55" s="1"/>
  <c r="C265" i="53"/>
  <c r="D119" i="55" s="1"/>
  <c r="C266" i="53"/>
  <c r="D120" i="55" s="1"/>
  <c r="C267" i="53"/>
  <c r="D121" i="55" s="1"/>
  <c r="C268" i="53"/>
  <c r="D122" i="55" s="1"/>
  <c r="C269" i="53"/>
  <c r="D123" i="55" s="1"/>
  <c r="C270" i="53"/>
  <c r="D124" i="55" s="1"/>
  <c r="C271" i="53"/>
  <c r="D125" i="55" s="1"/>
  <c r="C272" i="53"/>
  <c r="D126" i="55" s="1"/>
  <c r="C273" i="53"/>
  <c r="D127" i="55" s="1"/>
  <c r="C274" i="53"/>
  <c r="D128" i="55" s="1"/>
  <c r="C275" i="53"/>
  <c r="D129" i="55" s="1"/>
  <c r="C276" i="53"/>
  <c r="D130" i="55" s="1"/>
  <c r="C277" i="53"/>
  <c r="D131" i="55" s="1"/>
  <c r="C278" i="53"/>
  <c r="D132" i="55" s="1"/>
  <c r="C279" i="53"/>
  <c r="D133" i="55" s="1"/>
  <c r="C942" i="37"/>
  <c r="D99" i="39" s="1"/>
  <c r="C943" i="37"/>
  <c r="D100" i="39" s="1"/>
  <c r="C944" i="37"/>
  <c r="D101" i="39" s="1"/>
  <c r="C945" i="37"/>
  <c r="D102" i="39" s="1"/>
  <c r="C946" i="37"/>
  <c r="D103" i="39" s="1"/>
  <c r="C947" i="37"/>
  <c r="D104" i="39" s="1"/>
  <c r="C948" i="37"/>
  <c r="D105" i="39" s="1"/>
  <c r="C949" i="37"/>
  <c r="D106" i="39" s="1"/>
  <c r="C950" i="37"/>
  <c r="D107" i="39" s="1"/>
  <c r="C951" i="37"/>
  <c r="D108" i="39" s="1"/>
  <c r="C952" i="37"/>
  <c r="D109" i="39" s="1"/>
  <c r="C953" i="37"/>
  <c r="D110" i="39" s="1"/>
  <c r="C954" i="37"/>
  <c r="D111" i="39" s="1"/>
  <c r="C955" i="37"/>
  <c r="D112" i="39" s="1"/>
  <c r="C956" i="37"/>
  <c r="D113" i="39" s="1"/>
  <c r="C957" i="37"/>
  <c r="D114" i="39" s="1"/>
  <c r="C958" i="37"/>
  <c r="D115" i="39" s="1"/>
  <c r="C959" i="37"/>
  <c r="D116" i="39" s="1"/>
  <c r="C960" i="37"/>
  <c r="D117" i="39" s="1"/>
  <c r="C961" i="37"/>
  <c r="D118" i="39" s="1"/>
  <c r="C962" i="37"/>
  <c r="D119" i="39" s="1"/>
  <c r="C963" i="37"/>
  <c r="D120" i="39" s="1"/>
  <c r="C964" i="37"/>
  <c r="D121" i="39" s="1"/>
  <c r="C965" i="37"/>
  <c r="D122" i="39" s="1"/>
  <c r="C966" i="37"/>
  <c r="D123" i="39" s="1"/>
  <c r="C967" i="37"/>
  <c r="D124" i="39" s="1"/>
  <c r="C968" i="37"/>
  <c r="D125" i="39" s="1"/>
  <c r="C969" i="37"/>
  <c r="D126" i="39" s="1"/>
  <c r="C970" i="37"/>
  <c r="D127" i="39" s="1"/>
  <c r="C971" i="37"/>
  <c r="D128" i="39" s="1"/>
  <c r="C972" i="37"/>
  <c r="D129" i="39" s="1"/>
  <c r="C973" i="37"/>
  <c r="D130" i="39" s="1"/>
  <c r="C974" i="37"/>
  <c r="D131" i="39" s="1"/>
  <c r="C975" i="37"/>
  <c r="D132" i="39" s="1"/>
  <c r="C976" i="37"/>
  <c r="D133" i="39" s="1"/>
  <c r="C593" i="37"/>
  <c r="D99" i="38" s="1"/>
  <c r="C594" i="37"/>
  <c r="D100" i="38" s="1"/>
  <c r="C595" i="37"/>
  <c r="D101" i="38" s="1"/>
  <c r="C596" i="37"/>
  <c r="D102" i="38" s="1"/>
  <c r="C597" i="37"/>
  <c r="D103" i="38" s="1"/>
  <c r="C598" i="37"/>
  <c r="D104" i="38" s="1"/>
  <c r="C599" i="37"/>
  <c r="D105" i="38" s="1"/>
  <c r="C600" i="37"/>
  <c r="D106" i="38" s="1"/>
  <c r="C601" i="37"/>
  <c r="D107" i="38" s="1"/>
  <c r="C602" i="37"/>
  <c r="D108" i="38" s="1"/>
  <c r="C603" i="37"/>
  <c r="D109" i="38" s="1"/>
  <c r="C604" i="37"/>
  <c r="D110" i="38" s="1"/>
  <c r="C605" i="37"/>
  <c r="D111" i="38" s="1"/>
  <c r="C606" i="37"/>
  <c r="D112" i="38" s="1"/>
  <c r="C607" i="37"/>
  <c r="D113" i="38" s="1"/>
  <c r="C608" i="37"/>
  <c r="D114" i="38" s="1"/>
  <c r="C609" i="37"/>
  <c r="D115" i="38" s="1"/>
  <c r="C610" i="37"/>
  <c r="D116" i="38" s="1"/>
  <c r="C611" i="37"/>
  <c r="D117" i="38" s="1"/>
  <c r="C612" i="37"/>
  <c r="D118" i="38" s="1"/>
  <c r="C613" i="37"/>
  <c r="D119" i="38" s="1"/>
  <c r="C614" i="37"/>
  <c r="D120" i="38" s="1"/>
  <c r="C615" i="37"/>
  <c r="D121" i="38" s="1"/>
  <c r="C616" i="37"/>
  <c r="D122" i="38" s="1"/>
  <c r="C617" i="37"/>
  <c r="D123" i="38" s="1"/>
  <c r="C618" i="37"/>
  <c r="D124" i="38" s="1"/>
  <c r="C619" i="37"/>
  <c r="D125" i="38" s="1"/>
  <c r="C620" i="37"/>
  <c r="D126" i="38" s="1"/>
  <c r="C621" i="37"/>
  <c r="D127" i="38" s="1"/>
  <c r="C622" i="37"/>
  <c r="D128" i="38" s="1"/>
  <c r="C623" i="37"/>
  <c r="D129" i="38" s="1"/>
  <c r="C624" i="37"/>
  <c r="D130" i="38" s="1"/>
  <c r="C625" i="37"/>
  <c r="D131" i="38" s="1"/>
  <c r="C626" i="37"/>
  <c r="D132" i="38" s="1"/>
  <c r="C627" i="37"/>
  <c r="D133" i="38" s="1"/>
  <c r="C244" i="37"/>
  <c r="D99" i="36" s="1"/>
  <c r="C245" i="37"/>
  <c r="D100" i="36" s="1"/>
  <c r="C246" i="37"/>
  <c r="D101" i="36" s="1"/>
  <c r="C247" i="37"/>
  <c r="D102" i="36" s="1"/>
  <c r="C248" i="37"/>
  <c r="D103" i="36" s="1"/>
  <c r="C249" i="37"/>
  <c r="D104" i="36" s="1"/>
  <c r="C250" i="37"/>
  <c r="D105" i="36" s="1"/>
  <c r="C251" i="37"/>
  <c r="D106" i="36" s="1"/>
  <c r="C252" i="37"/>
  <c r="D107" i="36" s="1"/>
  <c r="C253" i="37"/>
  <c r="D108" i="36" s="1"/>
  <c r="C254" i="37"/>
  <c r="D109" i="36" s="1"/>
  <c r="C255" i="37"/>
  <c r="D110" i="36" s="1"/>
  <c r="C256" i="37"/>
  <c r="D111" i="36" s="1"/>
  <c r="C257" i="37"/>
  <c r="D112" i="36" s="1"/>
  <c r="C258" i="37"/>
  <c r="D113" i="36" s="1"/>
  <c r="C259" i="37"/>
  <c r="D114" i="36" s="1"/>
  <c r="C260" i="37"/>
  <c r="D115" i="36" s="1"/>
  <c r="C261" i="37"/>
  <c r="D116" i="36" s="1"/>
  <c r="C262" i="37"/>
  <c r="D117" i="36" s="1"/>
  <c r="C263" i="37"/>
  <c r="D118" i="36" s="1"/>
  <c r="C264" i="37"/>
  <c r="D119" i="36" s="1"/>
  <c r="C265" i="37"/>
  <c r="D120" i="36" s="1"/>
  <c r="C266" i="37"/>
  <c r="D121" i="36" s="1"/>
  <c r="C267" i="37"/>
  <c r="D122" i="36" s="1"/>
  <c r="C268" i="37"/>
  <c r="D123" i="36" s="1"/>
  <c r="C269" i="37"/>
  <c r="D124" i="36" s="1"/>
  <c r="C270" i="37"/>
  <c r="D125" i="36" s="1"/>
  <c r="C271" i="37"/>
  <c r="D126" i="36" s="1"/>
  <c r="C272" i="37"/>
  <c r="D127" i="36" s="1"/>
  <c r="C273" i="37"/>
  <c r="D128" i="36" s="1"/>
  <c r="C274" i="37"/>
  <c r="D129" i="36" s="1"/>
  <c r="C275" i="37"/>
  <c r="D130" i="36" s="1"/>
  <c r="C276" i="37"/>
  <c r="D131" i="36" s="1"/>
  <c r="C277" i="37"/>
  <c r="D132" i="36" s="1"/>
  <c r="C278" i="37"/>
  <c r="D133" i="36" s="1"/>
  <c r="C594" i="31"/>
  <c r="D99" i="35" s="1"/>
  <c r="C595" i="31"/>
  <c r="D100" i="35" s="1"/>
  <c r="C596" i="31"/>
  <c r="D101" i="35" s="1"/>
  <c r="C597" i="31"/>
  <c r="D102" i="35" s="1"/>
  <c r="C598" i="31"/>
  <c r="D103" i="35" s="1"/>
  <c r="C599" i="31"/>
  <c r="D104" i="35" s="1"/>
  <c r="C600" i="31"/>
  <c r="D105" i="35" s="1"/>
  <c r="C601" i="31"/>
  <c r="D106" i="35" s="1"/>
  <c r="C602" i="31"/>
  <c r="D107" i="35" s="1"/>
  <c r="C603" i="31"/>
  <c r="D108" i="35" s="1"/>
  <c r="C604" i="31"/>
  <c r="D109" i="35" s="1"/>
  <c r="C605" i="31"/>
  <c r="D110" i="35" s="1"/>
  <c r="C606" i="31"/>
  <c r="D111" i="35" s="1"/>
  <c r="C607" i="31"/>
  <c r="D112" i="35" s="1"/>
  <c r="C608" i="31"/>
  <c r="D113" i="35" s="1"/>
  <c r="C609" i="31"/>
  <c r="D114" i="35" s="1"/>
  <c r="C610" i="31"/>
  <c r="D115" i="35" s="1"/>
  <c r="C611" i="31"/>
  <c r="D116" i="35" s="1"/>
  <c r="C612" i="31"/>
  <c r="D117" i="35" s="1"/>
  <c r="C613" i="31"/>
  <c r="D118" i="35" s="1"/>
  <c r="C614" i="31"/>
  <c r="D119" i="35" s="1"/>
  <c r="C615" i="31"/>
  <c r="D120" i="35" s="1"/>
  <c r="C616" i="31"/>
  <c r="D121" i="35" s="1"/>
  <c r="C617" i="31"/>
  <c r="D122" i="35" s="1"/>
  <c r="C618" i="31"/>
  <c r="D123" i="35" s="1"/>
  <c r="C619" i="31"/>
  <c r="D124" i="35" s="1"/>
  <c r="C620" i="31"/>
  <c r="D125" i="35" s="1"/>
  <c r="C621" i="31"/>
  <c r="D126" i="35" s="1"/>
  <c r="C622" i="31"/>
  <c r="D127" i="35" s="1"/>
  <c r="C623" i="31"/>
  <c r="D128" i="35" s="1"/>
  <c r="C624" i="31"/>
  <c r="D129" i="35" s="1"/>
  <c r="C625" i="31"/>
  <c r="D130" i="35" s="1"/>
  <c r="C626" i="31"/>
  <c r="D131" i="35" s="1"/>
  <c r="C627" i="31"/>
  <c r="D132" i="35" s="1"/>
  <c r="C628" i="31"/>
  <c r="D133" i="35" s="1"/>
  <c r="C246" i="31"/>
  <c r="D99" i="34" s="1"/>
  <c r="C247" i="31"/>
  <c r="D100" i="34" s="1"/>
  <c r="C248" i="31"/>
  <c r="D101" i="34" s="1"/>
  <c r="C249" i="31"/>
  <c r="D102" i="34" s="1"/>
  <c r="C250" i="31"/>
  <c r="D103" i="34" s="1"/>
  <c r="C251" i="31"/>
  <c r="D104" i="34" s="1"/>
  <c r="C252" i="31"/>
  <c r="D105" i="34" s="1"/>
  <c r="C253" i="31"/>
  <c r="D106" i="34" s="1"/>
  <c r="C254" i="31"/>
  <c r="D107" i="34" s="1"/>
  <c r="C255" i="31"/>
  <c r="D108" i="34" s="1"/>
  <c r="C256" i="31"/>
  <c r="D109" i="34" s="1"/>
  <c r="C257" i="31"/>
  <c r="D110" i="34" s="1"/>
  <c r="C258" i="31"/>
  <c r="D111" i="34" s="1"/>
  <c r="C259" i="31"/>
  <c r="D112" i="34" s="1"/>
  <c r="C260" i="31"/>
  <c r="D113" i="34" s="1"/>
  <c r="C261" i="31"/>
  <c r="D114" i="34" s="1"/>
  <c r="C262" i="31"/>
  <c r="D115" i="34" s="1"/>
  <c r="C263" i="31"/>
  <c r="D116" i="34" s="1"/>
  <c r="C264" i="31"/>
  <c r="D117" i="34" s="1"/>
  <c r="C265" i="31"/>
  <c r="D118" i="34" s="1"/>
  <c r="C266" i="31"/>
  <c r="D119" i="34" s="1"/>
  <c r="C267" i="31"/>
  <c r="D120" i="34" s="1"/>
  <c r="C268" i="31"/>
  <c r="D121" i="34" s="1"/>
  <c r="C269" i="31"/>
  <c r="D122" i="34" s="1"/>
  <c r="C270" i="31"/>
  <c r="D123" i="34" s="1"/>
  <c r="C271" i="31"/>
  <c r="D124" i="34" s="1"/>
  <c r="C272" i="31"/>
  <c r="D125" i="34" s="1"/>
  <c r="C273" i="31"/>
  <c r="D126" i="34" s="1"/>
  <c r="C274" i="31"/>
  <c r="D127" i="34" s="1"/>
  <c r="C275" i="31"/>
  <c r="D128" i="34" s="1"/>
  <c r="C276" i="31"/>
  <c r="D129" i="34" s="1"/>
  <c r="C277" i="31"/>
  <c r="D130" i="34" s="1"/>
  <c r="C278" i="31"/>
  <c r="D131" i="34" s="1"/>
  <c r="C279" i="31"/>
  <c r="D132" i="34" s="1"/>
  <c r="C280" i="31"/>
  <c r="D133" i="34" s="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P91" i="21"/>
  <c r="U91" i="21" s="1"/>
  <c r="P92" i="21"/>
  <c r="U92" i="21" s="1"/>
  <c r="P93" i="21"/>
  <c r="S93" i="21" s="1"/>
  <c r="P94" i="21"/>
  <c r="U94" i="21" s="1"/>
  <c r="P95" i="21"/>
  <c r="S95" i="21" s="1"/>
  <c r="P96" i="21"/>
  <c r="U96" i="21" s="1"/>
  <c r="P97" i="21"/>
  <c r="U97" i="21" s="1"/>
  <c r="P98" i="21"/>
  <c r="S98" i="21" s="1"/>
  <c r="P99" i="21"/>
  <c r="U99" i="21" s="1"/>
  <c r="P100" i="21"/>
  <c r="U100" i="21" s="1"/>
  <c r="P101" i="21"/>
  <c r="S101" i="21" s="1"/>
  <c r="P102" i="21"/>
  <c r="U102" i="21" s="1"/>
  <c r="P103" i="21"/>
  <c r="S103" i="21" s="1"/>
  <c r="P104" i="21"/>
  <c r="S104" i="21" s="1"/>
  <c r="P105" i="21"/>
  <c r="S105" i="21" s="1"/>
  <c r="P106" i="21"/>
  <c r="S106" i="21" s="1"/>
  <c r="P107" i="21"/>
  <c r="U107" i="21" s="1"/>
  <c r="P108" i="21"/>
  <c r="U108" i="21" s="1"/>
  <c r="P109" i="21"/>
  <c r="U109" i="21" s="1"/>
  <c r="P110" i="21"/>
  <c r="U110" i="21" s="1"/>
  <c r="P111" i="21"/>
  <c r="U111" i="21" s="1"/>
  <c r="P112" i="21"/>
  <c r="U112" i="21" s="1"/>
  <c r="P113" i="21"/>
  <c r="S113" i="21" s="1"/>
  <c r="P114" i="21"/>
  <c r="S114" i="21" s="1"/>
  <c r="P115" i="21"/>
  <c r="U115" i="21" s="1"/>
  <c r="P116" i="21"/>
  <c r="S116" i="21" s="1"/>
  <c r="P117" i="21"/>
  <c r="S117" i="21" s="1"/>
  <c r="P118" i="21"/>
  <c r="U118" i="21" s="1"/>
  <c r="P119" i="21"/>
  <c r="U119" i="21" s="1"/>
  <c r="P120" i="21"/>
  <c r="U120" i="21" s="1"/>
  <c r="P121" i="21"/>
  <c r="S121" i="21" s="1"/>
  <c r="P122" i="21"/>
  <c r="S122" i="21" s="1"/>
  <c r="P123" i="21"/>
  <c r="U123" i="21" s="1"/>
  <c r="P124" i="21"/>
  <c r="S124" i="21" s="1"/>
  <c r="P125" i="21"/>
  <c r="S125" i="21" s="1"/>
  <c r="O91" i="21"/>
  <c r="R91" i="21" s="1"/>
  <c r="O92" i="21"/>
  <c r="T92" i="21" s="1"/>
  <c r="O93" i="21"/>
  <c r="R93" i="21" s="1"/>
  <c r="O94" i="21"/>
  <c r="R94" i="21" s="1"/>
  <c r="O95" i="21"/>
  <c r="R95" i="21" s="1"/>
  <c r="O96" i="21"/>
  <c r="T96" i="21" s="1"/>
  <c r="O97" i="21"/>
  <c r="T97" i="21" s="1"/>
  <c r="O98" i="21"/>
  <c r="R98" i="21" s="1"/>
  <c r="O99" i="21"/>
  <c r="T99" i="21" s="1"/>
  <c r="O100" i="21"/>
  <c r="T100" i="21" s="1"/>
  <c r="O101" i="21"/>
  <c r="T101" i="21" s="1"/>
  <c r="O102" i="21"/>
  <c r="T102" i="21" s="1"/>
  <c r="O103" i="21"/>
  <c r="R103" i="21" s="1"/>
  <c r="O104" i="21"/>
  <c r="T104" i="21" s="1"/>
  <c r="O105" i="21"/>
  <c r="T105" i="21" s="1"/>
  <c r="O106" i="21"/>
  <c r="R106" i="21" s="1"/>
  <c r="O107" i="21"/>
  <c r="T107" i="21" s="1"/>
  <c r="O108" i="21"/>
  <c r="T108" i="21" s="1"/>
  <c r="O109" i="21"/>
  <c r="T109" i="21" s="1"/>
  <c r="O110" i="21"/>
  <c r="T110" i="21" s="1"/>
  <c r="O111" i="21"/>
  <c r="R111" i="21" s="1"/>
  <c r="O112" i="21"/>
  <c r="R112" i="21" s="1"/>
  <c r="O113" i="21"/>
  <c r="T113" i="21" s="1"/>
  <c r="O114" i="21"/>
  <c r="R114" i="21" s="1"/>
  <c r="O115" i="21"/>
  <c r="T115" i="21" s="1"/>
  <c r="O116" i="21"/>
  <c r="R116" i="21" s="1"/>
  <c r="O117" i="21"/>
  <c r="T117" i="21" s="1"/>
  <c r="O118" i="21"/>
  <c r="T118" i="21" s="1"/>
  <c r="O119" i="21"/>
  <c r="R119" i="21" s="1"/>
  <c r="O120" i="21"/>
  <c r="T120" i="21" s="1"/>
  <c r="O121" i="21"/>
  <c r="T121" i="21" s="1"/>
  <c r="O122" i="21"/>
  <c r="R122" i="21" s="1"/>
  <c r="O123" i="21"/>
  <c r="R123" i="21" s="1"/>
  <c r="O124" i="21"/>
  <c r="R124" i="21" s="1"/>
  <c r="O125" i="21"/>
  <c r="T125" i="21" s="1"/>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C1253" i="54"/>
  <c r="D59" i="77" s="1"/>
  <c r="C1254" i="54"/>
  <c r="D60" i="77" s="1"/>
  <c r="C1255" i="54"/>
  <c r="D61" i="77" s="1"/>
  <c r="C1256" i="54"/>
  <c r="D62" i="77" s="1"/>
  <c r="C1257" i="54"/>
  <c r="D63" i="77" s="1"/>
  <c r="C1258" i="54"/>
  <c r="D64" i="77" s="1"/>
  <c r="C1259" i="54"/>
  <c r="D65" i="77" s="1"/>
  <c r="C1260" i="54"/>
  <c r="D66" i="77" s="1"/>
  <c r="C1261" i="54"/>
  <c r="D67" i="77" s="1"/>
  <c r="C1262" i="54"/>
  <c r="D68" i="77" s="1"/>
  <c r="C1263" i="54"/>
  <c r="D69" i="77" s="1"/>
  <c r="C1264" i="54"/>
  <c r="D70" i="77" s="1"/>
  <c r="C1265" i="54"/>
  <c r="D71" i="77" s="1"/>
  <c r="C1266" i="54"/>
  <c r="D72" i="77" s="1"/>
  <c r="C1267" i="54"/>
  <c r="D73" i="77" s="1"/>
  <c r="C1268" i="54"/>
  <c r="D74" i="77" s="1"/>
  <c r="C1269" i="54"/>
  <c r="D75" i="77" s="1"/>
  <c r="C1270" i="54"/>
  <c r="D76" i="77" s="1"/>
  <c r="C1271" i="54"/>
  <c r="D77" i="77" s="1"/>
  <c r="C1272" i="54"/>
  <c r="D78" i="77" s="1"/>
  <c r="C1273" i="54"/>
  <c r="D79" i="77" s="1"/>
  <c r="C1274" i="54"/>
  <c r="D80" i="77" s="1"/>
  <c r="C1275" i="54"/>
  <c r="D81" i="77" s="1"/>
  <c r="C1276" i="54"/>
  <c r="D82" i="77" s="1"/>
  <c r="C1277" i="54"/>
  <c r="D83" i="77" s="1"/>
  <c r="C1278" i="54"/>
  <c r="D84" i="77" s="1"/>
  <c r="C1279" i="54"/>
  <c r="D85" i="77" s="1"/>
  <c r="C1280" i="54"/>
  <c r="D86" i="77" s="1"/>
  <c r="C1281" i="54"/>
  <c r="D87" i="77" s="1"/>
  <c r="C1282" i="54"/>
  <c r="D88" i="77" s="1"/>
  <c r="C1283" i="54"/>
  <c r="D89" i="77" s="1"/>
  <c r="C1284" i="54"/>
  <c r="D90" i="77" s="1"/>
  <c r="C1285" i="54"/>
  <c r="D91" i="77" s="1"/>
  <c r="C1286" i="54"/>
  <c r="D92" i="77" s="1"/>
  <c r="C1287" i="54"/>
  <c r="D93" i="77" s="1"/>
  <c r="C904" i="54"/>
  <c r="D59" i="50" s="1"/>
  <c r="C905" i="54"/>
  <c r="D60" i="50" s="1"/>
  <c r="C906" i="54"/>
  <c r="D61" i="50" s="1"/>
  <c r="C907" i="54"/>
  <c r="D62" i="50" s="1"/>
  <c r="C908" i="54"/>
  <c r="D63" i="50" s="1"/>
  <c r="C909" i="54"/>
  <c r="D64" i="50" s="1"/>
  <c r="C910" i="54"/>
  <c r="D65" i="50" s="1"/>
  <c r="C911" i="54"/>
  <c r="D66" i="50" s="1"/>
  <c r="C912" i="54"/>
  <c r="D67" i="50" s="1"/>
  <c r="C913" i="54"/>
  <c r="D68" i="50" s="1"/>
  <c r="C914" i="54"/>
  <c r="D69" i="50" s="1"/>
  <c r="C915" i="54"/>
  <c r="D70" i="50" s="1"/>
  <c r="C916" i="54"/>
  <c r="D71" i="50" s="1"/>
  <c r="C917" i="54"/>
  <c r="D72" i="50" s="1"/>
  <c r="C918" i="54"/>
  <c r="D73" i="50" s="1"/>
  <c r="C919" i="54"/>
  <c r="D74" i="50" s="1"/>
  <c r="C920" i="54"/>
  <c r="D75" i="50" s="1"/>
  <c r="C921" i="54"/>
  <c r="D76" i="50" s="1"/>
  <c r="C922" i="54"/>
  <c r="D77" i="50" s="1"/>
  <c r="C923" i="54"/>
  <c r="D78" i="50" s="1"/>
  <c r="C924" i="54"/>
  <c r="D79" i="50" s="1"/>
  <c r="C925" i="54"/>
  <c r="D80" i="50" s="1"/>
  <c r="C926" i="54"/>
  <c r="D81" i="50" s="1"/>
  <c r="C927" i="54"/>
  <c r="D82" i="50" s="1"/>
  <c r="C928" i="54"/>
  <c r="D83" i="50" s="1"/>
  <c r="C929" i="54"/>
  <c r="D84" i="50" s="1"/>
  <c r="C930" i="54"/>
  <c r="D85" i="50" s="1"/>
  <c r="C931" i="54"/>
  <c r="D86" i="50" s="1"/>
  <c r="C932" i="54"/>
  <c r="D87" i="50" s="1"/>
  <c r="C933" i="54"/>
  <c r="D88" i="50" s="1"/>
  <c r="C934" i="54"/>
  <c r="D89" i="50" s="1"/>
  <c r="C935" i="54"/>
  <c r="D90" i="50" s="1"/>
  <c r="C936" i="54"/>
  <c r="D91" i="50" s="1"/>
  <c r="C937" i="54"/>
  <c r="D92" i="50" s="1"/>
  <c r="C938" i="54"/>
  <c r="D93" i="50" s="1"/>
  <c r="C555" i="54"/>
  <c r="D59" i="49" s="1"/>
  <c r="C556" i="54"/>
  <c r="D60" i="49" s="1"/>
  <c r="C557" i="54"/>
  <c r="D61" i="49" s="1"/>
  <c r="C558" i="54"/>
  <c r="D62" i="49" s="1"/>
  <c r="C559" i="54"/>
  <c r="D63" i="49" s="1"/>
  <c r="C560" i="54"/>
  <c r="D64" i="49" s="1"/>
  <c r="C561" i="54"/>
  <c r="D65" i="49" s="1"/>
  <c r="C562" i="54"/>
  <c r="D66" i="49" s="1"/>
  <c r="C563" i="54"/>
  <c r="D67" i="49" s="1"/>
  <c r="C564" i="54"/>
  <c r="D68" i="49" s="1"/>
  <c r="C565" i="54"/>
  <c r="D69" i="49" s="1"/>
  <c r="C566" i="54"/>
  <c r="D70" i="49" s="1"/>
  <c r="C567" i="54"/>
  <c r="D71" i="49" s="1"/>
  <c r="C568" i="54"/>
  <c r="D72" i="49" s="1"/>
  <c r="C569" i="54"/>
  <c r="D73" i="49" s="1"/>
  <c r="C570" i="54"/>
  <c r="D74" i="49" s="1"/>
  <c r="C571" i="54"/>
  <c r="D75" i="49" s="1"/>
  <c r="C572" i="54"/>
  <c r="D76" i="49" s="1"/>
  <c r="C573" i="54"/>
  <c r="D77" i="49" s="1"/>
  <c r="C574" i="54"/>
  <c r="D78" i="49" s="1"/>
  <c r="C575" i="54"/>
  <c r="D79" i="49" s="1"/>
  <c r="C576" i="54"/>
  <c r="D80" i="49" s="1"/>
  <c r="C577" i="54"/>
  <c r="D81" i="49" s="1"/>
  <c r="C578" i="54"/>
  <c r="D82" i="49" s="1"/>
  <c r="C579" i="54"/>
  <c r="D83" i="49" s="1"/>
  <c r="C580" i="54"/>
  <c r="D84" i="49" s="1"/>
  <c r="C581" i="54"/>
  <c r="D85" i="49" s="1"/>
  <c r="C582" i="54"/>
  <c r="D86" i="49" s="1"/>
  <c r="C583" i="54"/>
  <c r="D87" i="49" s="1"/>
  <c r="C584" i="54"/>
  <c r="D88" i="49" s="1"/>
  <c r="C585" i="54"/>
  <c r="D89" i="49" s="1"/>
  <c r="C586" i="54"/>
  <c r="D90" i="49" s="1"/>
  <c r="C587" i="54"/>
  <c r="D91" i="49" s="1"/>
  <c r="C588" i="54"/>
  <c r="D92" i="49" s="1"/>
  <c r="C589" i="54"/>
  <c r="D93" i="49" s="1"/>
  <c r="C206" i="54"/>
  <c r="D59" i="48" s="1"/>
  <c r="C207" i="54"/>
  <c r="D60" i="48" s="1"/>
  <c r="C208" i="54"/>
  <c r="D61" i="48" s="1"/>
  <c r="C209" i="54"/>
  <c r="D62" i="48" s="1"/>
  <c r="C210" i="54"/>
  <c r="D63" i="48" s="1"/>
  <c r="C211" i="54"/>
  <c r="D64" i="48" s="1"/>
  <c r="C212" i="54"/>
  <c r="D65" i="48" s="1"/>
  <c r="C213" i="54"/>
  <c r="D66" i="48" s="1"/>
  <c r="C214" i="54"/>
  <c r="D67" i="48" s="1"/>
  <c r="C215" i="54"/>
  <c r="D68" i="48" s="1"/>
  <c r="C216" i="54"/>
  <c r="D69" i="48" s="1"/>
  <c r="C217" i="54"/>
  <c r="D70" i="48" s="1"/>
  <c r="C218" i="54"/>
  <c r="D71" i="48" s="1"/>
  <c r="C219" i="54"/>
  <c r="D72" i="48" s="1"/>
  <c r="C220" i="54"/>
  <c r="D73" i="48" s="1"/>
  <c r="C221" i="54"/>
  <c r="D74" i="48" s="1"/>
  <c r="C222" i="54"/>
  <c r="D75" i="48" s="1"/>
  <c r="C223" i="54"/>
  <c r="D76" i="48" s="1"/>
  <c r="C224" i="54"/>
  <c r="D77" i="48" s="1"/>
  <c r="C225" i="54"/>
  <c r="D78" i="48" s="1"/>
  <c r="C226" i="54"/>
  <c r="D79" i="48" s="1"/>
  <c r="C227" i="54"/>
  <c r="D80" i="48" s="1"/>
  <c r="C228" i="54"/>
  <c r="D81" i="48" s="1"/>
  <c r="C229" i="54"/>
  <c r="D82" i="48" s="1"/>
  <c r="C230" i="54"/>
  <c r="D83" i="48" s="1"/>
  <c r="C231" i="54"/>
  <c r="D84" i="48" s="1"/>
  <c r="C232" i="54"/>
  <c r="D85" i="48" s="1"/>
  <c r="C233" i="54"/>
  <c r="D86" i="48" s="1"/>
  <c r="C234" i="54"/>
  <c r="D87" i="48" s="1"/>
  <c r="C235" i="54"/>
  <c r="D88" i="48" s="1"/>
  <c r="C236" i="54"/>
  <c r="D89" i="48" s="1"/>
  <c r="C237" i="54"/>
  <c r="D90" i="48" s="1"/>
  <c r="C238" i="54"/>
  <c r="D91" i="48" s="1"/>
  <c r="C239" i="54"/>
  <c r="D92" i="48" s="1"/>
  <c r="C240" i="54"/>
  <c r="D93" i="48" s="1"/>
  <c r="C1602" i="52"/>
  <c r="D59" i="76" s="1"/>
  <c r="C1603" i="52"/>
  <c r="D60" i="76" s="1"/>
  <c r="C1604" i="52"/>
  <c r="D61" i="76" s="1"/>
  <c r="C1605" i="52"/>
  <c r="D62" i="76" s="1"/>
  <c r="C1606" i="52"/>
  <c r="D63" i="76" s="1"/>
  <c r="C1607" i="52"/>
  <c r="D64" i="76" s="1"/>
  <c r="C1608" i="52"/>
  <c r="D65" i="76" s="1"/>
  <c r="C1609" i="52"/>
  <c r="D66" i="76" s="1"/>
  <c r="C1610" i="52"/>
  <c r="D67" i="76" s="1"/>
  <c r="C1611" i="52"/>
  <c r="D68" i="76" s="1"/>
  <c r="C1612" i="52"/>
  <c r="D69" i="76" s="1"/>
  <c r="C1613" i="52"/>
  <c r="D70" i="76" s="1"/>
  <c r="C1614" i="52"/>
  <c r="D71" i="76" s="1"/>
  <c r="C1615" i="52"/>
  <c r="D72" i="76" s="1"/>
  <c r="C1616" i="52"/>
  <c r="D73" i="76" s="1"/>
  <c r="C1617" i="52"/>
  <c r="D74" i="76" s="1"/>
  <c r="C1618" i="52"/>
  <c r="D75" i="76" s="1"/>
  <c r="C1619" i="52"/>
  <c r="D76" i="76" s="1"/>
  <c r="C1620" i="52"/>
  <c r="D77" i="76" s="1"/>
  <c r="C1621" i="52"/>
  <c r="D78" i="76" s="1"/>
  <c r="C1622" i="52"/>
  <c r="D79" i="76" s="1"/>
  <c r="C1623" i="52"/>
  <c r="D80" i="76" s="1"/>
  <c r="C1624" i="52"/>
  <c r="D81" i="76" s="1"/>
  <c r="C1625" i="52"/>
  <c r="D82" i="76" s="1"/>
  <c r="C1626" i="52"/>
  <c r="D83" i="76" s="1"/>
  <c r="C1627" i="52"/>
  <c r="D84" i="76" s="1"/>
  <c r="C1628" i="52"/>
  <c r="D85" i="76" s="1"/>
  <c r="C1629" i="52"/>
  <c r="D86" i="76" s="1"/>
  <c r="C1630" i="52"/>
  <c r="D87" i="76" s="1"/>
  <c r="C1631" i="52"/>
  <c r="D88" i="76" s="1"/>
  <c r="C1632" i="52"/>
  <c r="D89" i="76" s="1"/>
  <c r="C1633" i="52"/>
  <c r="D90" i="76" s="1"/>
  <c r="C1634" i="52"/>
  <c r="D91" i="76" s="1"/>
  <c r="C1635" i="52"/>
  <c r="D92" i="76" s="1"/>
  <c r="C1636" i="52"/>
  <c r="D93" i="76" s="1"/>
  <c r="C1253" i="52"/>
  <c r="D59" i="47" s="1"/>
  <c r="C1254" i="52"/>
  <c r="D60" i="47" s="1"/>
  <c r="C1255" i="52"/>
  <c r="D61" i="47" s="1"/>
  <c r="C1256" i="52"/>
  <c r="D62" i="47" s="1"/>
  <c r="C1257" i="52"/>
  <c r="D63" i="47" s="1"/>
  <c r="C1258" i="52"/>
  <c r="D64" i="47" s="1"/>
  <c r="C1259" i="52"/>
  <c r="D65" i="47" s="1"/>
  <c r="C1260" i="52"/>
  <c r="D66" i="47" s="1"/>
  <c r="C1261" i="52"/>
  <c r="D67" i="47" s="1"/>
  <c r="C1262" i="52"/>
  <c r="D68" i="47" s="1"/>
  <c r="C1263" i="52"/>
  <c r="D69" i="47" s="1"/>
  <c r="C1264" i="52"/>
  <c r="D70" i="47" s="1"/>
  <c r="C1265" i="52"/>
  <c r="D71" i="47" s="1"/>
  <c r="C1266" i="52"/>
  <c r="D72" i="47" s="1"/>
  <c r="C1267" i="52"/>
  <c r="D73" i="47" s="1"/>
  <c r="C1268" i="52"/>
  <c r="D74" i="47" s="1"/>
  <c r="C1269" i="52"/>
  <c r="D75" i="47" s="1"/>
  <c r="C1270" i="52"/>
  <c r="D76" i="47" s="1"/>
  <c r="C1271" i="52"/>
  <c r="D77" i="47" s="1"/>
  <c r="C1272" i="52"/>
  <c r="D78" i="47" s="1"/>
  <c r="C1273" i="52"/>
  <c r="D79" i="47" s="1"/>
  <c r="C1274" i="52"/>
  <c r="D80" i="47" s="1"/>
  <c r="C1275" i="52"/>
  <c r="D81" i="47" s="1"/>
  <c r="C1276" i="52"/>
  <c r="D82" i="47" s="1"/>
  <c r="C1277" i="52"/>
  <c r="D83" i="47" s="1"/>
  <c r="C1278" i="52"/>
  <c r="D84" i="47" s="1"/>
  <c r="C1279" i="52"/>
  <c r="D85" i="47" s="1"/>
  <c r="C1280" i="52"/>
  <c r="D86" i="47" s="1"/>
  <c r="C1281" i="52"/>
  <c r="D87" i="47" s="1"/>
  <c r="C1282" i="52"/>
  <c r="D88" i="47" s="1"/>
  <c r="C1283" i="52"/>
  <c r="D89" i="47" s="1"/>
  <c r="C1284" i="52"/>
  <c r="D90" i="47" s="1"/>
  <c r="C1285" i="52"/>
  <c r="D91" i="47" s="1"/>
  <c r="C1286" i="52"/>
  <c r="D92" i="47" s="1"/>
  <c r="C1287" i="52"/>
  <c r="D93" i="47" s="1"/>
  <c r="C904" i="52"/>
  <c r="D59" i="94" s="1"/>
  <c r="C905" i="52"/>
  <c r="D60" i="94" s="1"/>
  <c r="C906" i="52"/>
  <c r="D61" i="94" s="1"/>
  <c r="C907" i="52"/>
  <c r="D62" i="94" s="1"/>
  <c r="C908" i="52"/>
  <c r="D63" i="94" s="1"/>
  <c r="C909" i="52"/>
  <c r="D64" i="94" s="1"/>
  <c r="C910" i="52"/>
  <c r="D65" i="94" s="1"/>
  <c r="C911" i="52"/>
  <c r="D66" i="94" s="1"/>
  <c r="C912" i="52"/>
  <c r="D67" i="94" s="1"/>
  <c r="C913" i="52"/>
  <c r="D68" i="94" s="1"/>
  <c r="C914" i="52"/>
  <c r="D69" i="94" s="1"/>
  <c r="C915" i="52"/>
  <c r="D70" i="94" s="1"/>
  <c r="C916" i="52"/>
  <c r="D71" i="94" s="1"/>
  <c r="C917" i="52"/>
  <c r="D72" i="94" s="1"/>
  <c r="C918" i="52"/>
  <c r="D73" i="94" s="1"/>
  <c r="C919" i="52"/>
  <c r="D74" i="94" s="1"/>
  <c r="C920" i="52"/>
  <c r="D75" i="94" s="1"/>
  <c r="C921" i="52"/>
  <c r="D76" i="94" s="1"/>
  <c r="C922" i="52"/>
  <c r="D77" i="94" s="1"/>
  <c r="C923" i="52"/>
  <c r="D78" i="94" s="1"/>
  <c r="C924" i="52"/>
  <c r="D79" i="94" s="1"/>
  <c r="C925" i="52"/>
  <c r="D80" i="94" s="1"/>
  <c r="C926" i="52"/>
  <c r="D81" i="94" s="1"/>
  <c r="C927" i="52"/>
  <c r="D82" i="94" s="1"/>
  <c r="C928" i="52"/>
  <c r="D83" i="94" s="1"/>
  <c r="C929" i="52"/>
  <c r="D84" i="94" s="1"/>
  <c r="C930" i="52"/>
  <c r="D85" i="94" s="1"/>
  <c r="C931" i="52"/>
  <c r="D86" i="94" s="1"/>
  <c r="C932" i="52"/>
  <c r="D87" i="94" s="1"/>
  <c r="C933" i="52"/>
  <c r="D88" i="94" s="1"/>
  <c r="C934" i="52"/>
  <c r="D89" i="94" s="1"/>
  <c r="C935" i="52"/>
  <c r="D90" i="94" s="1"/>
  <c r="C936" i="52"/>
  <c r="D91" i="94" s="1"/>
  <c r="C937" i="52"/>
  <c r="D92" i="94" s="1"/>
  <c r="C938" i="52"/>
  <c r="D93" i="94" s="1"/>
  <c r="C555" i="52"/>
  <c r="D59" i="46" s="1"/>
  <c r="C556" i="52"/>
  <c r="D60" i="46" s="1"/>
  <c r="C557" i="52"/>
  <c r="D61" i="46" s="1"/>
  <c r="C558" i="52"/>
  <c r="D62" i="46" s="1"/>
  <c r="C559" i="52"/>
  <c r="D63" i="46" s="1"/>
  <c r="C560" i="52"/>
  <c r="D64" i="46" s="1"/>
  <c r="C561" i="52"/>
  <c r="D65" i="46" s="1"/>
  <c r="C562" i="52"/>
  <c r="D66" i="46" s="1"/>
  <c r="C563" i="52"/>
  <c r="D67" i="46" s="1"/>
  <c r="C564" i="52"/>
  <c r="D68" i="46" s="1"/>
  <c r="C565" i="52"/>
  <c r="D69" i="46" s="1"/>
  <c r="C566" i="52"/>
  <c r="D70" i="46" s="1"/>
  <c r="C567" i="52"/>
  <c r="D71" i="46" s="1"/>
  <c r="C568" i="52"/>
  <c r="D72" i="46" s="1"/>
  <c r="C569" i="52"/>
  <c r="D73" i="46" s="1"/>
  <c r="C570" i="52"/>
  <c r="D74" i="46" s="1"/>
  <c r="C571" i="52"/>
  <c r="D75" i="46" s="1"/>
  <c r="C572" i="52"/>
  <c r="D76" i="46" s="1"/>
  <c r="C573" i="52"/>
  <c r="D77" i="46" s="1"/>
  <c r="C574" i="52"/>
  <c r="D78" i="46" s="1"/>
  <c r="C575" i="52"/>
  <c r="D79" i="46" s="1"/>
  <c r="C576" i="52"/>
  <c r="D80" i="46" s="1"/>
  <c r="C577" i="52"/>
  <c r="D81" i="46" s="1"/>
  <c r="C578" i="52"/>
  <c r="D82" i="46" s="1"/>
  <c r="C579" i="52"/>
  <c r="D83" i="46" s="1"/>
  <c r="C580" i="52"/>
  <c r="D84" i="46" s="1"/>
  <c r="C581" i="52"/>
  <c r="D85" i="46" s="1"/>
  <c r="C582" i="52"/>
  <c r="D86" i="46" s="1"/>
  <c r="C583" i="52"/>
  <c r="D87" i="46" s="1"/>
  <c r="C584" i="52"/>
  <c r="D88" i="46" s="1"/>
  <c r="C585" i="52"/>
  <c r="D89" i="46" s="1"/>
  <c r="C586" i="52"/>
  <c r="D90" i="46" s="1"/>
  <c r="C587" i="52"/>
  <c r="D91" i="46" s="1"/>
  <c r="C588" i="52"/>
  <c r="D92" i="46" s="1"/>
  <c r="C589" i="52"/>
  <c r="D93" i="46" s="1"/>
  <c r="C206" i="52"/>
  <c r="D59" i="45" s="1"/>
  <c r="C207" i="52"/>
  <c r="D60" i="45" s="1"/>
  <c r="C208" i="52"/>
  <c r="D61" i="45" s="1"/>
  <c r="C209" i="52"/>
  <c r="D62" i="45" s="1"/>
  <c r="C210" i="52"/>
  <c r="D63" i="45" s="1"/>
  <c r="C211" i="52"/>
  <c r="D64" i="45" s="1"/>
  <c r="C212" i="52"/>
  <c r="D65" i="45" s="1"/>
  <c r="C213" i="52"/>
  <c r="D66" i="45" s="1"/>
  <c r="C214" i="52"/>
  <c r="D67" i="45" s="1"/>
  <c r="C215" i="52"/>
  <c r="D68" i="45" s="1"/>
  <c r="C216" i="52"/>
  <c r="D69" i="45" s="1"/>
  <c r="C217" i="52"/>
  <c r="D70" i="45" s="1"/>
  <c r="C218" i="52"/>
  <c r="D71" i="45" s="1"/>
  <c r="C219" i="52"/>
  <c r="D72" i="45" s="1"/>
  <c r="C220" i="52"/>
  <c r="D73" i="45" s="1"/>
  <c r="C221" i="52"/>
  <c r="D74" i="45" s="1"/>
  <c r="C222" i="52"/>
  <c r="D75" i="45" s="1"/>
  <c r="C223" i="52"/>
  <c r="D76" i="45" s="1"/>
  <c r="C224" i="52"/>
  <c r="D77" i="45" s="1"/>
  <c r="C225" i="52"/>
  <c r="D78" i="45" s="1"/>
  <c r="C226" i="52"/>
  <c r="D79" i="45" s="1"/>
  <c r="C227" i="52"/>
  <c r="D80" i="45" s="1"/>
  <c r="C228" i="52"/>
  <c r="D81" i="45" s="1"/>
  <c r="C229" i="52"/>
  <c r="D82" i="45" s="1"/>
  <c r="C230" i="52"/>
  <c r="D83" i="45" s="1"/>
  <c r="C231" i="52"/>
  <c r="D84" i="45" s="1"/>
  <c r="C232" i="52"/>
  <c r="D85" i="45" s="1"/>
  <c r="C233" i="52"/>
  <c r="D86" i="45" s="1"/>
  <c r="C234" i="52"/>
  <c r="D87" i="45" s="1"/>
  <c r="C235" i="52"/>
  <c r="D88" i="45" s="1"/>
  <c r="C236" i="52"/>
  <c r="D89" i="45" s="1"/>
  <c r="C237" i="52"/>
  <c r="D90" i="45" s="1"/>
  <c r="C238" i="52"/>
  <c r="D91" i="45" s="1"/>
  <c r="C239" i="52"/>
  <c r="D92" i="45" s="1"/>
  <c r="C240" i="52"/>
  <c r="D93" i="45" s="1"/>
  <c r="C1249" i="51"/>
  <c r="D59" i="44" s="1"/>
  <c r="C1250" i="51"/>
  <c r="D60" i="44" s="1"/>
  <c r="C1251" i="51"/>
  <c r="D61" i="44" s="1"/>
  <c r="C1252" i="51"/>
  <c r="D62" i="44" s="1"/>
  <c r="C1253" i="51"/>
  <c r="D63" i="44" s="1"/>
  <c r="C1254" i="51"/>
  <c r="D64" i="44" s="1"/>
  <c r="C1255" i="51"/>
  <c r="D65" i="44" s="1"/>
  <c r="C1256" i="51"/>
  <c r="D66" i="44" s="1"/>
  <c r="C1257" i="51"/>
  <c r="D67" i="44" s="1"/>
  <c r="C1258" i="51"/>
  <c r="D68" i="44" s="1"/>
  <c r="C1259" i="51"/>
  <c r="D69" i="44" s="1"/>
  <c r="C1260" i="51"/>
  <c r="D70" i="44" s="1"/>
  <c r="C1261" i="51"/>
  <c r="D71" i="44" s="1"/>
  <c r="C1262" i="51"/>
  <c r="D72" i="44" s="1"/>
  <c r="C1263" i="51"/>
  <c r="D73" i="44" s="1"/>
  <c r="C1264" i="51"/>
  <c r="D74" i="44" s="1"/>
  <c r="C1265" i="51"/>
  <c r="D75" i="44" s="1"/>
  <c r="C1266" i="51"/>
  <c r="D76" i="44" s="1"/>
  <c r="C1267" i="51"/>
  <c r="D77" i="44" s="1"/>
  <c r="C1268" i="51"/>
  <c r="D78" i="44" s="1"/>
  <c r="C1269" i="51"/>
  <c r="D79" i="44" s="1"/>
  <c r="C1270" i="51"/>
  <c r="D80" i="44" s="1"/>
  <c r="C1271" i="51"/>
  <c r="D81" i="44" s="1"/>
  <c r="C1272" i="51"/>
  <c r="D82" i="44" s="1"/>
  <c r="C1273" i="51"/>
  <c r="D83" i="44" s="1"/>
  <c r="C1274" i="51"/>
  <c r="D84" i="44" s="1"/>
  <c r="C1275" i="51"/>
  <c r="D85" i="44" s="1"/>
  <c r="C1276" i="51"/>
  <c r="D86" i="44" s="1"/>
  <c r="C1277" i="51"/>
  <c r="D87" i="44" s="1"/>
  <c r="C1278" i="51"/>
  <c r="D88" i="44" s="1"/>
  <c r="C1279" i="51"/>
  <c r="D89" i="44" s="1"/>
  <c r="C1280" i="51"/>
  <c r="D90" i="44" s="1"/>
  <c r="C1281" i="51"/>
  <c r="D91" i="44" s="1"/>
  <c r="C1282" i="51"/>
  <c r="D92" i="44" s="1"/>
  <c r="C1283" i="51"/>
  <c r="D93" i="44" s="1"/>
  <c r="C901" i="51"/>
  <c r="D59" i="43" s="1"/>
  <c r="C902" i="51"/>
  <c r="D60" i="43" s="1"/>
  <c r="C903" i="51"/>
  <c r="D61" i="43" s="1"/>
  <c r="C904" i="51"/>
  <c r="D62" i="43" s="1"/>
  <c r="C905" i="51"/>
  <c r="D63" i="43" s="1"/>
  <c r="C906" i="51"/>
  <c r="D64" i="43" s="1"/>
  <c r="C907" i="51"/>
  <c r="D65" i="43" s="1"/>
  <c r="C908" i="51"/>
  <c r="D66" i="43" s="1"/>
  <c r="C909" i="51"/>
  <c r="D67" i="43" s="1"/>
  <c r="C910" i="51"/>
  <c r="D68" i="43" s="1"/>
  <c r="C911" i="51"/>
  <c r="D69" i="43" s="1"/>
  <c r="C912" i="51"/>
  <c r="D70" i="43" s="1"/>
  <c r="C913" i="51"/>
  <c r="D71" i="43" s="1"/>
  <c r="C914" i="51"/>
  <c r="D72" i="43" s="1"/>
  <c r="C915" i="51"/>
  <c r="D73" i="43" s="1"/>
  <c r="C916" i="51"/>
  <c r="D74" i="43" s="1"/>
  <c r="C917" i="51"/>
  <c r="D75" i="43" s="1"/>
  <c r="C918" i="51"/>
  <c r="D76" i="43" s="1"/>
  <c r="C919" i="51"/>
  <c r="D77" i="43" s="1"/>
  <c r="C920" i="51"/>
  <c r="D78" i="43" s="1"/>
  <c r="C921" i="51"/>
  <c r="D79" i="43" s="1"/>
  <c r="C922" i="51"/>
  <c r="D80" i="43" s="1"/>
  <c r="C923" i="51"/>
  <c r="D81" i="43" s="1"/>
  <c r="C924" i="51"/>
  <c r="D82" i="43" s="1"/>
  <c r="C925" i="51"/>
  <c r="D83" i="43" s="1"/>
  <c r="C926" i="51"/>
  <c r="D84" i="43" s="1"/>
  <c r="C927" i="51"/>
  <c r="D85" i="43" s="1"/>
  <c r="C928" i="51"/>
  <c r="D86" i="43" s="1"/>
  <c r="C929" i="51"/>
  <c r="D87" i="43" s="1"/>
  <c r="C930" i="51"/>
  <c r="D88" i="43" s="1"/>
  <c r="C931" i="51"/>
  <c r="D89" i="43" s="1"/>
  <c r="C932" i="51"/>
  <c r="D90" i="43" s="1"/>
  <c r="C933" i="51"/>
  <c r="D91" i="43" s="1"/>
  <c r="C934" i="51"/>
  <c r="D92" i="43" s="1"/>
  <c r="C935" i="51"/>
  <c r="D93" i="43" s="1"/>
  <c r="C552" i="51"/>
  <c r="D59" i="42" s="1"/>
  <c r="C553" i="51"/>
  <c r="D60" i="42" s="1"/>
  <c r="C554" i="51"/>
  <c r="D61" i="42" s="1"/>
  <c r="C555" i="51"/>
  <c r="D62" i="42" s="1"/>
  <c r="C556" i="51"/>
  <c r="D63" i="42" s="1"/>
  <c r="C557" i="51"/>
  <c r="D64" i="42" s="1"/>
  <c r="C558" i="51"/>
  <c r="D65" i="42" s="1"/>
  <c r="C559" i="51"/>
  <c r="D66" i="42" s="1"/>
  <c r="C560" i="51"/>
  <c r="D67" i="42" s="1"/>
  <c r="C561" i="51"/>
  <c r="D68" i="42" s="1"/>
  <c r="C562" i="51"/>
  <c r="D69" i="42" s="1"/>
  <c r="C563" i="51"/>
  <c r="D70" i="42" s="1"/>
  <c r="C564" i="51"/>
  <c r="D71" i="42" s="1"/>
  <c r="C565" i="51"/>
  <c r="D72" i="42" s="1"/>
  <c r="C566" i="51"/>
  <c r="D73" i="42" s="1"/>
  <c r="C567" i="51"/>
  <c r="D74" i="42" s="1"/>
  <c r="C568" i="51"/>
  <c r="D75" i="42" s="1"/>
  <c r="C569" i="51"/>
  <c r="D76" i="42" s="1"/>
  <c r="C570" i="51"/>
  <c r="D77" i="42" s="1"/>
  <c r="C571" i="51"/>
  <c r="D78" i="42" s="1"/>
  <c r="C572" i="51"/>
  <c r="D79" i="42" s="1"/>
  <c r="C573" i="51"/>
  <c r="D80" i="42" s="1"/>
  <c r="C574" i="51"/>
  <c r="D81" i="42" s="1"/>
  <c r="C575" i="51"/>
  <c r="D82" i="42" s="1"/>
  <c r="C576" i="51"/>
  <c r="D83" i="42" s="1"/>
  <c r="C577" i="51"/>
  <c r="D84" i="42" s="1"/>
  <c r="C578" i="51"/>
  <c r="D85" i="42" s="1"/>
  <c r="C579" i="51"/>
  <c r="D86" i="42" s="1"/>
  <c r="C580" i="51"/>
  <c r="D87" i="42" s="1"/>
  <c r="C581" i="51"/>
  <c r="D88" i="42" s="1"/>
  <c r="C582" i="51"/>
  <c r="D89" i="42" s="1"/>
  <c r="C583" i="51"/>
  <c r="D90" i="42" s="1"/>
  <c r="C584" i="51"/>
  <c r="D91" i="42" s="1"/>
  <c r="C585" i="51"/>
  <c r="D92" i="42" s="1"/>
  <c r="C586" i="51"/>
  <c r="D93" i="42" s="1"/>
  <c r="C204" i="51"/>
  <c r="D59" i="41" s="1"/>
  <c r="C205" i="51"/>
  <c r="D60" i="41" s="1"/>
  <c r="C206" i="51"/>
  <c r="D61" i="41" s="1"/>
  <c r="C207" i="51"/>
  <c r="D62" i="41" s="1"/>
  <c r="C208" i="51"/>
  <c r="D63" i="41" s="1"/>
  <c r="C209" i="51"/>
  <c r="D64" i="41" s="1"/>
  <c r="C210" i="51"/>
  <c r="D65" i="41" s="1"/>
  <c r="C211" i="51"/>
  <c r="D66" i="41" s="1"/>
  <c r="C212" i="51"/>
  <c r="D67" i="41" s="1"/>
  <c r="C213" i="51"/>
  <c r="D68" i="41" s="1"/>
  <c r="C214" i="51"/>
  <c r="D69" i="41" s="1"/>
  <c r="C215" i="51"/>
  <c r="D70" i="41" s="1"/>
  <c r="C216" i="51"/>
  <c r="D71" i="41" s="1"/>
  <c r="C217" i="51"/>
  <c r="D72" i="41" s="1"/>
  <c r="C218" i="51"/>
  <c r="D73" i="41" s="1"/>
  <c r="C219" i="51"/>
  <c r="D74" i="41" s="1"/>
  <c r="C220" i="51"/>
  <c r="D75" i="41" s="1"/>
  <c r="C221" i="51"/>
  <c r="D76" i="41" s="1"/>
  <c r="C222" i="51"/>
  <c r="D77" i="41" s="1"/>
  <c r="C223" i="51"/>
  <c r="D78" i="41" s="1"/>
  <c r="C224" i="51"/>
  <c r="D79" i="41" s="1"/>
  <c r="C225" i="51"/>
  <c r="D80" i="41" s="1"/>
  <c r="C226" i="51"/>
  <c r="D81" i="41" s="1"/>
  <c r="C227" i="51"/>
  <c r="D82" i="41" s="1"/>
  <c r="C228" i="51"/>
  <c r="D83" i="41" s="1"/>
  <c r="C229" i="51"/>
  <c r="D84" i="41" s="1"/>
  <c r="C230" i="51"/>
  <c r="D85" i="41" s="1"/>
  <c r="C231" i="51"/>
  <c r="D86" i="41" s="1"/>
  <c r="C232" i="51"/>
  <c r="D87" i="41" s="1"/>
  <c r="C233" i="51"/>
  <c r="D88" i="41" s="1"/>
  <c r="C234" i="51"/>
  <c r="D89" i="41" s="1"/>
  <c r="C235" i="51"/>
  <c r="D90" i="41" s="1"/>
  <c r="C236" i="51"/>
  <c r="D91" i="41" s="1"/>
  <c r="C237" i="51"/>
  <c r="D92" i="41" s="1"/>
  <c r="C238" i="51"/>
  <c r="D93" i="41" s="1"/>
  <c r="C902" i="59"/>
  <c r="D59" i="75" s="1"/>
  <c r="C903" i="59"/>
  <c r="D60" i="75" s="1"/>
  <c r="C904" i="59"/>
  <c r="D61" i="75" s="1"/>
  <c r="C905" i="59"/>
  <c r="D62" i="75" s="1"/>
  <c r="C906" i="59"/>
  <c r="D63" i="75" s="1"/>
  <c r="C907" i="59"/>
  <c r="D64" i="75" s="1"/>
  <c r="C908" i="59"/>
  <c r="D65" i="75" s="1"/>
  <c r="C909" i="59"/>
  <c r="D66" i="75" s="1"/>
  <c r="C910" i="59"/>
  <c r="D67" i="75" s="1"/>
  <c r="C911" i="59"/>
  <c r="D68" i="75" s="1"/>
  <c r="C912" i="59"/>
  <c r="D69" i="75" s="1"/>
  <c r="C913" i="59"/>
  <c r="D70" i="75" s="1"/>
  <c r="C914" i="59"/>
  <c r="D71" i="75" s="1"/>
  <c r="C915" i="59"/>
  <c r="D72" i="75" s="1"/>
  <c r="C916" i="59"/>
  <c r="D73" i="75" s="1"/>
  <c r="C917" i="59"/>
  <c r="D74" i="75" s="1"/>
  <c r="C918" i="59"/>
  <c r="D75" i="75" s="1"/>
  <c r="C919" i="59"/>
  <c r="D76" i="75" s="1"/>
  <c r="C920" i="59"/>
  <c r="D77" i="75" s="1"/>
  <c r="C921" i="59"/>
  <c r="D78" i="75" s="1"/>
  <c r="C922" i="59"/>
  <c r="D79" i="75" s="1"/>
  <c r="C923" i="59"/>
  <c r="D80" i="75" s="1"/>
  <c r="C924" i="59"/>
  <c r="D81" i="75" s="1"/>
  <c r="C925" i="59"/>
  <c r="D82" i="75" s="1"/>
  <c r="C926" i="59"/>
  <c r="D83" i="75" s="1"/>
  <c r="C927" i="59"/>
  <c r="D84" i="75" s="1"/>
  <c r="C928" i="59"/>
  <c r="D85" i="75" s="1"/>
  <c r="C929" i="59"/>
  <c r="D86" i="75" s="1"/>
  <c r="C930" i="59"/>
  <c r="D87" i="75" s="1"/>
  <c r="C931" i="59"/>
  <c r="D88" i="75" s="1"/>
  <c r="C932" i="59"/>
  <c r="D89" i="75" s="1"/>
  <c r="C933" i="59"/>
  <c r="D90" i="75" s="1"/>
  <c r="C934" i="59"/>
  <c r="D91" i="75" s="1"/>
  <c r="C935" i="59"/>
  <c r="D92" i="75" s="1"/>
  <c r="C936" i="59"/>
  <c r="D93" i="75" s="1"/>
  <c r="C553" i="59"/>
  <c r="D59" i="74" s="1"/>
  <c r="C554" i="59"/>
  <c r="D60" i="74" s="1"/>
  <c r="C555" i="59"/>
  <c r="D61" i="74" s="1"/>
  <c r="C556" i="59"/>
  <c r="D62" i="74" s="1"/>
  <c r="C557" i="59"/>
  <c r="D63" i="74" s="1"/>
  <c r="C558" i="59"/>
  <c r="D64" i="74" s="1"/>
  <c r="C559" i="59"/>
  <c r="D65" i="74" s="1"/>
  <c r="C560" i="59"/>
  <c r="D66" i="74" s="1"/>
  <c r="C561" i="59"/>
  <c r="D67" i="74" s="1"/>
  <c r="C562" i="59"/>
  <c r="D68" i="74" s="1"/>
  <c r="C563" i="59"/>
  <c r="D69" i="74" s="1"/>
  <c r="C564" i="59"/>
  <c r="D70" i="74" s="1"/>
  <c r="C565" i="59"/>
  <c r="D71" i="74" s="1"/>
  <c r="C566" i="59"/>
  <c r="D72" i="74" s="1"/>
  <c r="C567" i="59"/>
  <c r="D73" i="74" s="1"/>
  <c r="C568" i="59"/>
  <c r="D74" i="74" s="1"/>
  <c r="C569" i="59"/>
  <c r="D75" i="74" s="1"/>
  <c r="C570" i="59"/>
  <c r="D76" i="74" s="1"/>
  <c r="C571" i="59"/>
  <c r="D77" i="74" s="1"/>
  <c r="C572" i="59"/>
  <c r="D78" i="74" s="1"/>
  <c r="C573" i="59"/>
  <c r="D79" i="74" s="1"/>
  <c r="C574" i="59"/>
  <c r="D80" i="74" s="1"/>
  <c r="C575" i="59"/>
  <c r="D81" i="74" s="1"/>
  <c r="C576" i="59"/>
  <c r="D82" i="74" s="1"/>
  <c r="C577" i="59"/>
  <c r="D83" i="74" s="1"/>
  <c r="C578" i="59"/>
  <c r="D84" i="74" s="1"/>
  <c r="C579" i="59"/>
  <c r="D85" i="74" s="1"/>
  <c r="C580" i="59"/>
  <c r="D86" i="74" s="1"/>
  <c r="C581" i="59"/>
  <c r="D87" i="74" s="1"/>
  <c r="C582" i="59"/>
  <c r="D88" i="74" s="1"/>
  <c r="C583" i="59"/>
  <c r="D89" i="74" s="1"/>
  <c r="C584" i="59"/>
  <c r="D90" i="74" s="1"/>
  <c r="C585" i="59"/>
  <c r="D91" i="74" s="1"/>
  <c r="C586" i="59"/>
  <c r="D92" i="74" s="1"/>
  <c r="C587" i="59"/>
  <c r="D93" i="74" s="1"/>
  <c r="C204" i="59"/>
  <c r="D59" i="40" s="1"/>
  <c r="C205" i="59"/>
  <c r="D60" i="40" s="1"/>
  <c r="C206" i="59"/>
  <c r="D61" i="40" s="1"/>
  <c r="C207" i="59"/>
  <c r="D62" i="40" s="1"/>
  <c r="C208" i="59"/>
  <c r="D63" i="40" s="1"/>
  <c r="C209" i="59"/>
  <c r="D64" i="40" s="1"/>
  <c r="C210" i="59"/>
  <c r="D65" i="40" s="1"/>
  <c r="C211" i="59"/>
  <c r="D66" i="40" s="1"/>
  <c r="C212" i="59"/>
  <c r="D67" i="40" s="1"/>
  <c r="C213" i="59"/>
  <c r="D68" i="40" s="1"/>
  <c r="C214" i="59"/>
  <c r="D69" i="40" s="1"/>
  <c r="C215" i="59"/>
  <c r="D70" i="40" s="1"/>
  <c r="C216" i="59"/>
  <c r="D71" i="40" s="1"/>
  <c r="C217" i="59"/>
  <c r="D72" i="40" s="1"/>
  <c r="C218" i="59"/>
  <c r="D73" i="40" s="1"/>
  <c r="C219" i="59"/>
  <c r="D74" i="40" s="1"/>
  <c r="C220" i="59"/>
  <c r="D75" i="40" s="1"/>
  <c r="C221" i="59"/>
  <c r="D76" i="40" s="1"/>
  <c r="C222" i="59"/>
  <c r="D77" i="40" s="1"/>
  <c r="C223" i="59"/>
  <c r="D78" i="40" s="1"/>
  <c r="C224" i="59"/>
  <c r="D79" i="40" s="1"/>
  <c r="C225" i="59"/>
  <c r="D80" i="40" s="1"/>
  <c r="C226" i="59"/>
  <c r="D81" i="40" s="1"/>
  <c r="C227" i="59"/>
  <c r="D82" i="40" s="1"/>
  <c r="C228" i="59"/>
  <c r="D83" i="40" s="1"/>
  <c r="C229" i="59"/>
  <c r="D84" i="40" s="1"/>
  <c r="C230" i="59"/>
  <c r="D85" i="40" s="1"/>
  <c r="C231" i="59"/>
  <c r="D86" i="40" s="1"/>
  <c r="C232" i="59"/>
  <c r="D87" i="40" s="1"/>
  <c r="C233" i="59"/>
  <c r="D88" i="40" s="1"/>
  <c r="C234" i="59"/>
  <c r="D89" i="40" s="1"/>
  <c r="C235" i="59"/>
  <c r="D90" i="40" s="1"/>
  <c r="C236" i="59"/>
  <c r="D91" i="40" s="1"/>
  <c r="C237" i="59"/>
  <c r="D92" i="40" s="1"/>
  <c r="C238" i="59"/>
  <c r="D93" i="40" s="1"/>
  <c r="C1603" i="53"/>
  <c r="D59" i="93" s="1"/>
  <c r="C1604" i="53"/>
  <c r="D60" i="93" s="1"/>
  <c r="C1605" i="53"/>
  <c r="D61" i="93" s="1"/>
  <c r="C1606" i="53"/>
  <c r="D62" i="93" s="1"/>
  <c r="C1607" i="53"/>
  <c r="D63" i="93" s="1"/>
  <c r="C1608" i="53"/>
  <c r="D64" i="93" s="1"/>
  <c r="C1609" i="53"/>
  <c r="D65" i="93" s="1"/>
  <c r="C1610" i="53"/>
  <c r="D66" i="93" s="1"/>
  <c r="C1611" i="53"/>
  <c r="D67" i="93" s="1"/>
  <c r="C1612" i="53"/>
  <c r="D68" i="93" s="1"/>
  <c r="C1613" i="53"/>
  <c r="D69" i="93" s="1"/>
  <c r="C1614" i="53"/>
  <c r="D70" i="93" s="1"/>
  <c r="C1615" i="53"/>
  <c r="D71" i="93" s="1"/>
  <c r="C1616" i="53"/>
  <c r="D72" i="93" s="1"/>
  <c r="C1617" i="53"/>
  <c r="D73" i="93" s="1"/>
  <c r="C1618" i="53"/>
  <c r="D74" i="93" s="1"/>
  <c r="C1619" i="53"/>
  <c r="D75" i="93" s="1"/>
  <c r="C1620" i="53"/>
  <c r="D76" i="93" s="1"/>
  <c r="C1621" i="53"/>
  <c r="D77" i="93" s="1"/>
  <c r="C1622" i="53"/>
  <c r="D78" i="93" s="1"/>
  <c r="C1623" i="53"/>
  <c r="D79" i="93" s="1"/>
  <c r="C1624" i="53"/>
  <c r="D80" i="93" s="1"/>
  <c r="C1625" i="53"/>
  <c r="D81" i="93" s="1"/>
  <c r="C1626" i="53"/>
  <c r="D82" i="93" s="1"/>
  <c r="C1627" i="53"/>
  <c r="D83" i="93" s="1"/>
  <c r="C1628" i="53"/>
  <c r="D84" i="93" s="1"/>
  <c r="C1629" i="53"/>
  <c r="D85" i="93" s="1"/>
  <c r="C1630" i="53"/>
  <c r="D86" i="93" s="1"/>
  <c r="C1631" i="53"/>
  <c r="D87" i="93" s="1"/>
  <c r="C1632" i="53"/>
  <c r="D88" i="93" s="1"/>
  <c r="C1633" i="53"/>
  <c r="D89" i="93" s="1"/>
  <c r="C1634" i="53"/>
  <c r="D90" i="93" s="1"/>
  <c r="C1635" i="53"/>
  <c r="D91" i="93" s="1"/>
  <c r="C1636" i="53"/>
  <c r="D92" i="93" s="1"/>
  <c r="C1637" i="53"/>
  <c r="D93" i="93" s="1"/>
  <c r="C1254" i="53"/>
  <c r="D59" i="58" s="1"/>
  <c r="C1255" i="53"/>
  <c r="D60" i="58" s="1"/>
  <c r="C1256" i="53"/>
  <c r="D61" i="58" s="1"/>
  <c r="C1257" i="53"/>
  <c r="D62" i="58" s="1"/>
  <c r="C1258" i="53"/>
  <c r="D63" i="58" s="1"/>
  <c r="C1259" i="53"/>
  <c r="D64" i="58" s="1"/>
  <c r="C1260" i="53"/>
  <c r="D65" i="58" s="1"/>
  <c r="C1261" i="53"/>
  <c r="D66" i="58" s="1"/>
  <c r="C1262" i="53"/>
  <c r="D67" i="58" s="1"/>
  <c r="C1263" i="53"/>
  <c r="D68" i="58" s="1"/>
  <c r="C1264" i="53"/>
  <c r="D69" i="58" s="1"/>
  <c r="C1265" i="53"/>
  <c r="D70" i="58" s="1"/>
  <c r="C1266" i="53"/>
  <c r="D71" i="58" s="1"/>
  <c r="C1267" i="53"/>
  <c r="D72" i="58" s="1"/>
  <c r="C1268" i="53"/>
  <c r="D73" i="58" s="1"/>
  <c r="C1269" i="53"/>
  <c r="D74" i="58" s="1"/>
  <c r="C1270" i="53"/>
  <c r="D75" i="58" s="1"/>
  <c r="C1271" i="53"/>
  <c r="D76" i="58" s="1"/>
  <c r="C1272" i="53"/>
  <c r="D77" i="58" s="1"/>
  <c r="C1273" i="53"/>
  <c r="D78" i="58" s="1"/>
  <c r="C1274" i="53"/>
  <c r="D79" i="58" s="1"/>
  <c r="C1275" i="53"/>
  <c r="D80" i="58" s="1"/>
  <c r="C1276" i="53"/>
  <c r="D81" i="58" s="1"/>
  <c r="C1277" i="53"/>
  <c r="D82" i="58" s="1"/>
  <c r="C1278" i="53"/>
  <c r="D83" i="58" s="1"/>
  <c r="C1279" i="53"/>
  <c r="D84" i="58" s="1"/>
  <c r="C1280" i="53"/>
  <c r="D85" i="58" s="1"/>
  <c r="C1281" i="53"/>
  <c r="D86" i="58" s="1"/>
  <c r="C1282" i="53"/>
  <c r="D87" i="58" s="1"/>
  <c r="C1283" i="53"/>
  <c r="D88" i="58" s="1"/>
  <c r="C1284" i="53"/>
  <c r="D89" i="58" s="1"/>
  <c r="C1285" i="53"/>
  <c r="D90" i="58" s="1"/>
  <c r="C1286" i="53"/>
  <c r="D91" i="58" s="1"/>
  <c r="C1287" i="53"/>
  <c r="D92" i="58" s="1"/>
  <c r="C1288" i="53"/>
  <c r="D93" i="58" s="1"/>
  <c r="C905" i="53"/>
  <c r="D59" i="57" s="1"/>
  <c r="C906" i="53"/>
  <c r="D60" i="57" s="1"/>
  <c r="C907" i="53"/>
  <c r="D61" i="57" s="1"/>
  <c r="C908" i="53"/>
  <c r="D62" i="57" s="1"/>
  <c r="C909" i="53"/>
  <c r="D63" i="57" s="1"/>
  <c r="C910" i="53"/>
  <c r="D64" i="57" s="1"/>
  <c r="C911" i="53"/>
  <c r="D65" i="57" s="1"/>
  <c r="C912" i="53"/>
  <c r="D66" i="57" s="1"/>
  <c r="C913" i="53"/>
  <c r="D67" i="57" s="1"/>
  <c r="C914" i="53"/>
  <c r="D68" i="57" s="1"/>
  <c r="C915" i="53"/>
  <c r="D69" i="57" s="1"/>
  <c r="C916" i="53"/>
  <c r="D70" i="57" s="1"/>
  <c r="C917" i="53"/>
  <c r="D71" i="57" s="1"/>
  <c r="C918" i="53"/>
  <c r="D72" i="57" s="1"/>
  <c r="C919" i="53"/>
  <c r="D73" i="57" s="1"/>
  <c r="C920" i="53"/>
  <c r="D74" i="57" s="1"/>
  <c r="C921" i="53"/>
  <c r="D75" i="57" s="1"/>
  <c r="C922" i="53"/>
  <c r="D76" i="57" s="1"/>
  <c r="C923" i="53"/>
  <c r="D77" i="57" s="1"/>
  <c r="C924" i="53"/>
  <c r="D78" i="57" s="1"/>
  <c r="C925" i="53"/>
  <c r="D79" i="57" s="1"/>
  <c r="C926" i="53"/>
  <c r="D80" i="57" s="1"/>
  <c r="C927" i="53"/>
  <c r="D81" i="57" s="1"/>
  <c r="C928" i="53"/>
  <c r="D82" i="57" s="1"/>
  <c r="C929" i="53"/>
  <c r="D83" i="57" s="1"/>
  <c r="C930" i="53"/>
  <c r="D84" i="57" s="1"/>
  <c r="C931" i="53"/>
  <c r="D85" i="57" s="1"/>
  <c r="C932" i="53"/>
  <c r="D86" i="57" s="1"/>
  <c r="C933" i="53"/>
  <c r="D87" i="57" s="1"/>
  <c r="C934" i="53"/>
  <c r="D88" i="57" s="1"/>
  <c r="C935" i="53"/>
  <c r="D89" i="57" s="1"/>
  <c r="C936" i="53"/>
  <c r="D90" i="57" s="1"/>
  <c r="C937" i="53"/>
  <c r="D91" i="57" s="1"/>
  <c r="C938" i="53"/>
  <c r="D92" i="57" s="1"/>
  <c r="C939" i="53"/>
  <c r="D93" i="57" s="1"/>
  <c r="C556" i="53"/>
  <c r="D59" i="56" s="1"/>
  <c r="C557" i="53"/>
  <c r="D60" i="56" s="1"/>
  <c r="C558" i="53"/>
  <c r="D61" i="56" s="1"/>
  <c r="C559" i="53"/>
  <c r="D62" i="56" s="1"/>
  <c r="C560" i="53"/>
  <c r="D63" i="56" s="1"/>
  <c r="C561" i="53"/>
  <c r="D64" i="56" s="1"/>
  <c r="C562" i="53"/>
  <c r="D65" i="56" s="1"/>
  <c r="C563" i="53"/>
  <c r="D66" i="56" s="1"/>
  <c r="C564" i="53"/>
  <c r="D67" i="56" s="1"/>
  <c r="C565" i="53"/>
  <c r="D68" i="56" s="1"/>
  <c r="C566" i="53"/>
  <c r="D69" i="56" s="1"/>
  <c r="C567" i="53"/>
  <c r="D70" i="56" s="1"/>
  <c r="C568" i="53"/>
  <c r="D71" i="56" s="1"/>
  <c r="C569" i="53"/>
  <c r="D72" i="56" s="1"/>
  <c r="C570" i="53"/>
  <c r="D73" i="56" s="1"/>
  <c r="C571" i="53"/>
  <c r="D74" i="56" s="1"/>
  <c r="C572" i="53"/>
  <c r="D75" i="56" s="1"/>
  <c r="C573" i="53"/>
  <c r="D76" i="56" s="1"/>
  <c r="C574" i="53"/>
  <c r="D77" i="56" s="1"/>
  <c r="C575" i="53"/>
  <c r="D78" i="56" s="1"/>
  <c r="C576" i="53"/>
  <c r="D79" i="56" s="1"/>
  <c r="C577" i="53"/>
  <c r="D80" i="56" s="1"/>
  <c r="C578" i="53"/>
  <c r="D81" i="56" s="1"/>
  <c r="C579" i="53"/>
  <c r="D82" i="56" s="1"/>
  <c r="C580" i="53"/>
  <c r="D83" i="56" s="1"/>
  <c r="C581" i="53"/>
  <c r="D84" i="56" s="1"/>
  <c r="C582" i="53"/>
  <c r="D85" i="56" s="1"/>
  <c r="C583" i="53"/>
  <c r="D86" i="56" s="1"/>
  <c r="C584" i="53"/>
  <c r="D87" i="56" s="1"/>
  <c r="C585" i="53"/>
  <c r="D88" i="56" s="1"/>
  <c r="C586" i="53"/>
  <c r="D89" i="56" s="1"/>
  <c r="C587" i="53"/>
  <c r="D90" i="56" s="1"/>
  <c r="C588" i="53"/>
  <c r="D91" i="56" s="1"/>
  <c r="C589" i="53"/>
  <c r="D92" i="56" s="1"/>
  <c r="C590" i="53"/>
  <c r="D93" i="56" s="1"/>
  <c r="C207" i="53"/>
  <c r="D59" i="55" s="1"/>
  <c r="C208" i="53"/>
  <c r="D60" i="55" s="1"/>
  <c r="C209" i="53"/>
  <c r="D61" i="55" s="1"/>
  <c r="C210" i="53"/>
  <c r="D62" i="55" s="1"/>
  <c r="C211" i="53"/>
  <c r="D63" i="55" s="1"/>
  <c r="C212" i="53"/>
  <c r="D64" i="55" s="1"/>
  <c r="C213" i="53"/>
  <c r="D65" i="55" s="1"/>
  <c r="C214" i="53"/>
  <c r="D66" i="55" s="1"/>
  <c r="C215" i="53"/>
  <c r="D67" i="55" s="1"/>
  <c r="C216" i="53"/>
  <c r="D68" i="55" s="1"/>
  <c r="C217" i="53"/>
  <c r="D69" i="55" s="1"/>
  <c r="C218" i="53"/>
  <c r="D70" i="55" s="1"/>
  <c r="C219" i="53"/>
  <c r="D71" i="55" s="1"/>
  <c r="C220" i="53"/>
  <c r="D72" i="55" s="1"/>
  <c r="C221" i="53"/>
  <c r="D73" i="55" s="1"/>
  <c r="C222" i="53"/>
  <c r="D74" i="55" s="1"/>
  <c r="C223" i="53"/>
  <c r="D75" i="55" s="1"/>
  <c r="C224" i="53"/>
  <c r="D76" i="55" s="1"/>
  <c r="C225" i="53"/>
  <c r="D77" i="55" s="1"/>
  <c r="C226" i="53"/>
  <c r="D78" i="55" s="1"/>
  <c r="C227" i="53"/>
  <c r="D79" i="55" s="1"/>
  <c r="C228" i="53"/>
  <c r="D80" i="55" s="1"/>
  <c r="C229" i="53"/>
  <c r="D81" i="55" s="1"/>
  <c r="C230" i="53"/>
  <c r="D82" i="55" s="1"/>
  <c r="C231" i="53"/>
  <c r="D83" i="55" s="1"/>
  <c r="C232" i="53"/>
  <c r="D84" i="55" s="1"/>
  <c r="C233" i="53"/>
  <c r="D85" i="55" s="1"/>
  <c r="C234" i="53"/>
  <c r="D86" i="55" s="1"/>
  <c r="C235" i="53"/>
  <c r="D87" i="55" s="1"/>
  <c r="C236" i="53"/>
  <c r="D88" i="55" s="1"/>
  <c r="C237" i="53"/>
  <c r="D89" i="55" s="1"/>
  <c r="C238" i="53"/>
  <c r="D90" i="55" s="1"/>
  <c r="C239" i="53"/>
  <c r="D91" i="55" s="1"/>
  <c r="C240" i="53"/>
  <c r="D92" i="55" s="1"/>
  <c r="C241" i="53"/>
  <c r="D93" i="55" s="1"/>
  <c r="C904" i="37"/>
  <c r="D59" i="39" s="1"/>
  <c r="C905" i="37"/>
  <c r="D60" i="39" s="1"/>
  <c r="C906" i="37"/>
  <c r="D61" i="39" s="1"/>
  <c r="C907" i="37"/>
  <c r="D62" i="39" s="1"/>
  <c r="C908" i="37"/>
  <c r="D63" i="39" s="1"/>
  <c r="C909" i="37"/>
  <c r="D64" i="39" s="1"/>
  <c r="C910" i="37"/>
  <c r="D65" i="39" s="1"/>
  <c r="C911" i="37"/>
  <c r="D66" i="39" s="1"/>
  <c r="C912" i="37"/>
  <c r="D67" i="39" s="1"/>
  <c r="C913" i="37"/>
  <c r="D68" i="39" s="1"/>
  <c r="C914" i="37"/>
  <c r="D69" i="39" s="1"/>
  <c r="C915" i="37"/>
  <c r="D70" i="39" s="1"/>
  <c r="C916" i="37"/>
  <c r="D71" i="39" s="1"/>
  <c r="C917" i="37"/>
  <c r="D72" i="39" s="1"/>
  <c r="C918" i="37"/>
  <c r="D73" i="39" s="1"/>
  <c r="C919" i="37"/>
  <c r="D74" i="39" s="1"/>
  <c r="C920" i="37"/>
  <c r="D75" i="39" s="1"/>
  <c r="C921" i="37"/>
  <c r="D76" i="39" s="1"/>
  <c r="C922" i="37"/>
  <c r="D77" i="39" s="1"/>
  <c r="C923" i="37"/>
  <c r="D78" i="39" s="1"/>
  <c r="C924" i="37"/>
  <c r="D79" i="39" s="1"/>
  <c r="C925" i="37"/>
  <c r="D80" i="39" s="1"/>
  <c r="C926" i="37"/>
  <c r="D81" i="39" s="1"/>
  <c r="C927" i="37"/>
  <c r="D82" i="39" s="1"/>
  <c r="C928" i="37"/>
  <c r="D83" i="39" s="1"/>
  <c r="C929" i="37"/>
  <c r="D84" i="39" s="1"/>
  <c r="C930" i="37"/>
  <c r="D85" i="39" s="1"/>
  <c r="C931" i="37"/>
  <c r="D86" i="39" s="1"/>
  <c r="C932" i="37"/>
  <c r="D87" i="39" s="1"/>
  <c r="C933" i="37"/>
  <c r="D88" i="39" s="1"/>
  <c r="C934" i="37"/>
  <c r="D89" i="39" s="1"/>
  <c r="C935" i="37"/>
  <c r="D90" i="39" s="1"/>
  <c r="C936" i="37"/>
  <c r="D91" i="39" s="1"/>
  <c r="C937" i="37"/>
  <c r="D92" i="39" s="1"/>
  <c r="C938" i="37"/>
  <c r="D93" i="39" s="1"/>
  <c r="C555" i="37"/>
  <c r="D59" i="38" s="1"/>
  <c r="C556" i="37"/>
  <c r="D60" i="38" s="1"/>
  <c r="C557" i="37"/>
  <c r="D61" i="38" s="1"/>
  <c r="C558" i="37"/>
  <c r="D62" i="38" s="1"/>
  <c r="C559" i="37"/>
  <c r="D63" i="38" s="1"/>
  <c r="C560" i="37"/>
  <c r="D64" i="38" s="1"/>
  <c r="C561" i="37"/>
  <c r="D65" i="38" s="1"/>
  <c r="C562" i="37"/>
  <c r="D66" i="38" s="1"/>
  <c r="C563" i="37"/>
  <c r="D67" i="38" s="1"/>
  <c r="C564" i="37"/>
  <c r="D68" i="38" s="1"/>
  <c r="C565" i="37"/>
  <c r="D69" i="38" s="1"/>
  <c r="C566" i="37"/>
  <c r="D70" i="38" s="1"/>
  <c r="C567" i="37"/>
  <c r="D71" i="38" s="1"/>
  <c r="C568" i="37"/>
  <c r="D72" i="38" s="1"/>
  <c r="C569" i="37"/>
  <c r="D73" i="38" s="1"/>
  <c r="C570" i="37"/>
  <c r="D74" i="38" s="1"/>
  <c r="C571" i="37"/>
  <c r="D75" i="38" s="1"/>
  <c r="C572" i="37"/>
  <c r="D76" i="38" s="1"/>
  <c r="C573" i="37"/>
  <c r="D77" i="38" s="1"/>
  <c r="C574" i="37"/>
  <c r="D78" i="38" s="1"/>
  <c r="C575" i="37"/>
  <c r="D79" i="38" s="1"/>
  <c r="C576" i="37"/>
  <c r="D80" i="38" s="1"/>
  <c r="C577" i="37"/>
  <c r="D81" i="38" s="1"/>
  <c r="C578" i="37"/>
  <c r="D82" i="38" s="1"/>
  <c r="C579" i="37"/>
  <c r="D83" i="38" s="1"/>
  <c r="C580" i="37"/>
  <c r="D84" i="38" s="1"/>
  <c r="C581" i="37"/>
  <c r="D85" i="38" s="1"/>
  <c r="C582" i="37"/>
  <c r="D86" i="38" s="1"/>
  <c r="C583" i="37"/>
  <c r="D87" i="38" s="1"/>
  <c r="C584" i="37"/>
  <c r="D88" i="38" s="1"/>
  <c r="C585" i="37"/>
  <c r="D89" i="38" s="1"/>
  <c r="C586" i="37"/>
  <c r="D90" i="38" s="1"/>
  <c r="C587" i="37"/>
  <c r="D91" i="38" s="1"/>
  <c r="C588" i="37"/>
  <c r="D92" i="38" s="1"/>
  <c r="C589" i="37"/>
  <c r="D93" i="38" s="1"/>
  <c r="C206" i="37"/>
  <c r="D59" i="36" s="1"/>
  <c r="C207" i="37"/>
  <c r="D60" i="36" s="1"/>
  <c r="C208" i="37"/>
  <c r="D61" i="36" s="1"/>
  <c r="C209" i="37"/>
  <c r="D62" i="36" s="1"/>
  <c r="C210" i="37"/>
  <c r="D63" i="36" s="1"/>
  <c r="C211" i="37"/>
  <c r="D64" i="36" s="1"/>
  <c r="C212" i="37"/>
  <c r="D65" i="36" s="1"/>
  <c r="C213" i="37"/>
  <c r="D66" i="36" s="1"/>
  <c r="C214" i="37"/>
  <c r="D67" i="36" s="1"/>
  <c r="C215" i="37"/>
  <c r="D68" i="36" s="1"/>
  <c r="C216" i="37"/>
  <c r="D69" i="36" s="1"/>
  <c r="C217" i="37"/>
  <c r="D70" i="36" s="1"/>
  <c r="C218" i="37"/>
  <c r="D71" i="36" s="1"/>
  <c r="C219" i="37"/>
  <c r="D72" i="36" s="1"/>
  <c r="C220" i="37"/>
  <c r="D73" i="36" s="1"/>
  <c r="C221" i="37"/>
  <c r="D74" i="36" s="1"/>
  <c r="C222" i="37"/>
  <c r="D75" i="36" s="1"/>
  <c r="C223" i="37"/>
  <c r="D76" i="36" s="1"/>
  <c r="C224" i="37"/>
  <c r="D77" i="36" s="1"/>
  <c r="C225" i="37"/>
  <c r="D78" i="36" s="1"/>
  <c r="C226" i="37"/>
  <c r="D79" i="36" s="1"/>
  <c r="C227" i="37"/>
  <c r="D80" i="36" s="1"/>
  <c r="C228" i="37"/>
  <c r="D81" i="36" s="1"/>
  <c r="C229" i="37"/>
  <c r="D82" i="36" s="1"/>
  <c r="C230" i="37"/>
  <c r="D83" i="36" s="1"/>
  <c r="C231" i="37"/>
  <c r="D84" i="36" s="1"/>
  <c r="C232" i="37"/>
  <c r="D85" i="36" s="1"/>
  <c r="C233" i="37"/>
  <c r="D86" i="36" s="1"/>
  <c r="C234" i="37"/>
  <c r="D87" i="36" s="1"/>
  <c r="C235" i="37"/>
  <c r="D88" i="36" s="1"/>
  <c r="C236" i="37"/>
  <c r="D89" i="36" s="1"/>
  <c r="C237" i="37"/>
  <c r="D90" i="36" s="1"/>
  <c r="C238" i="37"/>
  <c r="D91" i="36" s="1"/>
  <c r="C239" i="37"/>
  <c r="D92" i="36" s="1"/>
  <c r="C240" i="37"/>
  <c r="D93" i="36" s="1"/>
  <c r="C556" i="31"/>
  <c r="D59" i="35" s="1"/>
  <c r="C557" i="31"/>
  <c r="D60" i="35" s="1"/>
  <c r="C558" i="31"/>
  <c r="D61" i="35" s="1"/>
  <c r="C559" i="31"/>
  <c r="D62" i="35" s="1"/>
  <c r="C560" i="31"/>
  <c r="D63" i="35" s="1"/>
  <c r="C561" i="31"/>
  <c r="D64" i="35" s="1"/>
  <c r="C562" i="31"/>
  <c r="D65" i="35" s="1"/>
  <c r="C563" i="31"/>
  <c r="D66" i="35" s="1"/>
  <c r="C564" i="31"/>
  <c r="D67" i="35" s="1"/>
  <c r="C565" i="31"/>
  <c r="D68" i="35" s="1"/>
  <c r="C566" i="31"/>
  <c r="D69" i="35" s="1"/>
  <c r="C567" i="31"/>
  <c r="D70" i="35" s="1"/>
  <c r="C568" i="31"/>
  <c r="D71" i="35" s="1"/>
  <c r="C569" i="31"/>
  <c r="D72" i="35" s="1"/>
  <c r="C570" i="31"/>
  <c r="D73" i="35" s="1"/>
  <c r="C571" i="31"/>
  <c r="D74" i="35" s="1"/>
  <c r="C572" i="31"/>
  <c r="D75" i="35" s="1"/>
  <c r="C573" i="31"/>
  <c r="D76" i="35" s="1"/>
  <c r="C574" i="31"/>
  <c r="D77" i="35" s="1"/>
  <c r="C575" i="31"/>
  <c r="D78" i="35" s="1"/>
  <c r="C576" i="31"/>
  <c r="D79" i="35" s="1"/>
  <c r="C577" i="31"/>
  <c r="D80" i="35" s="1"/>
  <c r="C578" i="31"/>
  <c r="D81" i="35" s="1"/>
  <c r="C579" i="31"/>
  <c r="D82" i="35" s="1"/>
  <c r="C580" i="31"/>
  <c r="D83" i="35" s="1"/>
  <c r="C581" i="31"/>
  <c r="D84" i="35" s="1"/>
  <c r="C582" i="31"/>
  <c r="D85" i="35" s="1"/>
  <c r="C583" i="31"/>
  <c r="D86" i="35" s="1"/>
  <c r="C584" i="31"/>
  <c r="D87" i="35" s="1"/>
  <c r="C585" i="31"/>
  <c r="D88" i="35" s="1"/>
  <c r="C586" i="31"/>
  <c r="D89" i="35" s="1"/>
  <c r="C587" i="31"/>
  <c r="D90" i="35" s="1"/>
  <c r="C588" i="31"/>
  <c r="D91" i="35" s="1"/>
  <c r="C589" i="31"/>
  <c r="D92" i="35" s="1"/>
  <c r="C590" i="31"/>
  <c r="D93" i="35" s="1"/>
  <c r="C208" i="31"/>
  <c r="D59" i="34" s="1"/>
  <c r="C209" i="31"/>
  <c r="D60" i="34" s="1"/>
  <c r="C210" i="31"/>
  <c r="D61" i="34" s="1"/>
  <c r="C211" i="31"/>
  <c r="D62" i="34" s="1"/>
  <c r="C212" i="31"/>
  <c r="D63" i="34" s="1"/>
  <c r="C213" i="31"/>
  <c r="D64" i="34" s="1"/>
  <c r="C214" i="31"/>
  <c r="D65" i="34" s="1"/>
  <c r="C215" i="31"/>
  <c r="D66" i="34" s="1"/>
  <c r="C216" i="31"/>
  <c r="D67" i="34" s="1"/>
  <c r="C217" i="31"/>
  <c r="D68" i="34" s="1"/>
  <c r="C218" i="31"/>
  <c r="D69" i="34" s="1"/>
  <c r="C219" i="31"/>
  <c r="D70" i="34" s="1"/>
  <c r="C220" i="31"/>
  <c r="D71" i="34" s="1"/>
  <c r="C221" i="31"/>
  <c r="D72" i="34" s="1"/>
  <c r="C222" i="31"/>
  <c r="D73" i="34" s="1"/>
  <c r="C223" i="31"/>
  <c r="D74" i="34" s="1"/>
  <c r="C224" i="31"/>
  <c r="D75" i="34" s="1"/>
  <c r="C225" i="31"/>
  <c r="D76" i="34" s="1"/>
  <c r="C226" i="31"/>
  <c r="D77" i="34" s="1"/>
  <c r="C227" i="31"/>
  <c r="D78" i="34" s="1"/>
  <c r="C228" i="31"/>
  <c r="D79" i="34" s="1"/>
  <c r="C229" i="31"/>
  <c r="D80" i="34" s="1"/>
  <c r="C230" i="31"/>
  <c r="D81" i="34" s="1"/>
  <c r="C231" i="31"/>
  <c r="D82" i="34" s="1"/>
  <c r="C232" i="31"/>
  <c r="D83" i="34" s="1"/>
  <c r="C233" i="31"/>
  <c r="D84" i="34" s="1"/>
  <c r="C234" i="31"/>
  <c r="D85" i="34" s="1"/>
  <c r="C235" i="31"/>
  <c r="D86" i="34" s="1"/>
  <c r="C236" i="31"/>
  <c r="D87" i="34" s="1"/>
  <c r="C237" i="31"/>
  <c r="D88" i="34" s="1"/>
  <c r="C238" i="31"/>
  <c r="D89" i="34" s="1"/>
  <c r="C239" i="31"/>
  <c r="D90" i="34" s="1"/>
  <c r="C240" i="31"/>
  <c r="D91" i="34" s="1"/>
  <c r="C241" i="31"/>
  <c r="D92" i="34" s="1"/>
  <c r="C242" i="31"/>
  <c r="D93" i="34" s="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P53" i="21"/>
  <c r="U53" i="21" s="1"/>
  <c r="P54" i="21"/>
  <c r="S54" i="21" s="1"/>
  <c r="P55" i="21"/>
  <c r="S55" i="21" s="1"/>
  <c r="P56" i="21"/>
  <c r="U56" i="21" s="1"/>
  <c r="P57" i="21"/>
  <c r="S57" i="21" s="1"/>
  <c r="P58" i="21"/>
  <c r="U58" i="21" s="1"/>
  <c r="P59" i="21"/>
  <c r="S59" i="21" s="1"/>
  <c r="P60" i="21"/>
  <c r="S60" i="21" s="1"/>
  <c r="P61" i="21"/>
  <c r="U61" i="21" s="1"/>
  <c r="P62" i="21"/>
  <c r="S62" i="21" s="1"/>
  <c r="P63" i="21"/>
  <c r="U63" i="21" s="1"/>
  <c r="P64" i="21"/>
  <c r="S64" i="21" s="1"/>
  <c r="P65" i="21"/>
  <c r="S65" i="21" s="1"/>
  <c r="P66" i="21"/>
  <c r="U66" i="21" s="1"/>
  <c r="P67" i="21"/>
  <c r="S67" i="21" s="1"/>
  <c r="P68" i="21"/>
  <c r="S68" i="21" s="1"/>
  <c r="P69" i="21"/>
  <c r="S69" i="21" s="1"/>
  <c r="P70" i="21"/>
  <c r="S70" i="21" s="1"/>
  <c r="P71" i="21"/>
  <c r="S71" i="21" s="1"/>
  <c r="P72" i="21"/>
  <c r="S72" i="21" s="1"/>
  <c r="P73" i="21"/>
  <c r="S73" i="21" s="1"/>
  <c r="P74" i="21"/>
  <c r="U74" i="21" s="1"/>
  <c r="P75" i="21"/>
  <c r="S75" i="21" s="1"/>
  <c r="P76" i="21"/>
  <c r="S76" i="21" s="1"/>
  <c r="P77" i="21"/>
  <c r="U77" i="21" s="1"/>
  <c r="P78" i="21"/>
  <c r="U78" i="21" s="1"/>
  <c r="P79" i="21"/>
  <c r="S79" i="21" s="1"/>
  <c r="P80" i="21"/>
  <c r="S80" i="21" s="1"/>
  <c r="P81" i="21"/>
  <c r="S81" i="21" s="1"/>
  <c r="P82" i="21"/>
  <c r="U82" i="21" s="1"/>
  <c r="P83" i="21"/>
  <c r="S83" i="21" s="1"/>
  <c r="P84" i="21"/>
  <c r="U84" i="21" s="1"/>
  <c r="P85" i="21"/>
  <c r="U85" i="21" s="1"/>
  <c r="P86" i="21"/>
  <c r="S86" i="21" s="1"/>
  <c r="P87" i="21"/>
  <c r="S87" i="21" s="1"/>
  <c r="O53" i="21"/>
  <c r="T53" i="21" s="1"/>
  <c r="O54" i="21"/>
  <c r="R54" i="21" s="1"/>
  <c r="O55" i="21"/>
  <c r="R55" i="21" s="1"/>
  <c r="O56" i="21"/>
  <c r="R56" i="21" s="1"/>
  <c r="O57" i="21"/>
  <c r="R57" i="21" s="1"/>
  <c r="O58" i="21"/>
  <c r="T58" i="21" s="1"/>
  <c r="O59" i="21"/>
  <c r="R59" i="21" s="1"/>
  <c r="O60" i="21"/>
  <c r="T60" i="21" s="1"/>
  <c r="O61" i="21"/>
  <c r="R61" i="21" s="1"/>
  <c r="O62" i="21"/>
  <c r="R62" i="21" s="1"/>
  <c r="O63" i="21"/>
  <c r="T63" i="21" s="1"/>
  <c r="O64" i="21"/>
  <c r="T64" i="21" s="1"/>
  <c r="O65" i="21"/>
  <c r="R65" i="21" s="1"/>
  <c r="O66" i="21"/>
  <c r="R66" i="21" s="1"/>
  <c r="O67" i="21"/>
  <c r="R67" i="21" s="1"/>
  <c r="O68" i="21"/>
  <c r="R68" i="21" s="1"/>
  <c r="O69" i="21"/>
  <c r="R69" i="21" s="1"/>
  <c r="O70" i="21"/>
  <c r="T70" i="21" s="1"/>
  <c r="O71" i="21"/>
  <c r="T71" i="21" s="1"/>
  <c r="O72" i="21"/>
  <c r="R72" i="21" s="1"/>
  <c r="O73" i="21"/>
  <c r="R73" i="21" s="1"/>
  <c r="O74" i="21"/>
  <c r="T74" i="21" s="1"/>
  <c r="O75" i="21"/>
  <c r="T75" i="21" s="1"/>
  <c r="O76" i="21"/>
  <c r="R76" i="21" s="1"/>
  <c r="O77" i="21"/>
  <c r="R77" i="21" s="1"/>
  <c r="O78" i="21"/>
  <c r="R78" i="21" s="1"/>
  <c r="O79" i="21"/>
  <c r="T79" i="21" s="1"/>
  <c r="O80" i="21"/>
  <c r="R80" i="21" s="1"/>
  <c r="O81" i="21"/>
  <c r="T81" i="21" s="1"/>
  <c r="O82" i="21"/>
  <c r="T82" i="21" s="1"/>
  <c r="O83" i="21"/>
  <c r="R83" i="21" s="1"/>
  <c r="O84" i="21"/>
  <c r="R84" i="21" s="1"/>
  <c r="O85" i="21"/>
  <c r="R85" i="21" s="1"/>
  <c r="O86" i="21"/>
  <c r="R86" i="21" s="1"/>
  <c r="O87" i="21"/>
  <c r="T87" i="21" s="1"/>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C1216" i="54"/>
  <c r="D20" i="77" s="1"/>
  <c r="C1217" i="54"/>
  <c r="D21" i="77" s="1"/>
  <c r="C1218" i="54"/>
  <c r="D22" i="77" s="1"/>
  <c r="C1219" i="54"/>
  <c r="D23" i="77" s="1"/>
  <c r="C1220" i="54"/>
  <c r="D24" i="77" s="1"/>
  <c r="C1221" i="54"/>
  <c r="D25" i="77" s="1"/>
  <c r="C1222" i="54"/>
  <c r="D26" i="77" s="1"/>
  <c r="C1223" i="54"/>
  <c r="D27" i="77" s="1"/>
  <c r="C1224" i="54"/>
  <c r="D28" i="77" s="1"/>
  <c r="C1225" i="54"/>
  <c r="D29" i="77" s="1"/>
  <c r="C1226" i="54"/>
  <c r="D30" i="77" s="1"/>
  <c r="C1227" i="54"/>
  <c r="D31" i="77" s="1"/>
  <c r="C1228" i="54"/>
  <c r="D32" i="77" s="1"/>
  <c r="C1229" i="54"/>
  <c r="D33" i="77" s="1"/>
  <c r="C1230" i="54"/>
  <c r="D34" i="77" s="1"/>
  <c r="C1231" i="54"/>
  <c r="D35" i="77" s="1"/>
  <c r="C1232" i="54"/>
  <c r="D36" i="77" s="1"/>
  <c r="C1233" i="54"/>
  <c r="D37" i="77" s="1"/>
  <c r="C1234" i="54"/>
  <c r="D38" i="77" s="1"/>
  <c r="C1235" i="54"/>
  <c r="D39" i="77" s="1"/>
  <c r="C1236" i="54"/>
  <c r="D40" i="77" s="1"/>
  <c r="C1237" i="54"/>
  <c r="D41" i="77" s="1"/>
  <c r="C1238" i="54"/>
  <c r="D42" i="77" s="1"/>
  <c r="C1239" i="54"/>
  <c r="D43" i="77" s="1"/>
  <c r="C1240" i="54"/>
  <c r="D44" i="77" s="1"/>
  <c r="C1241" i="54"/>
  <c r="D45" i="77" s="1"/>
  <c r="C1242" i="54"/>
  <c r="D46" i="77" s="1"/>
  <c r="C1243" i="54"/>
  <c r="D47" i="77" s="1"/>
  <c r="C1244" i="54"/>
  <c r="D48" i="77" s="1"/>
  <c r="C1245" i="54"/>
  <c r="D49" i="77" s="1"/>
  <c r="C1246" i="54"/>
  <c r="D50" i="77" s="1"/>
  <c r="C1247" i="54"/>
  <c r="D51" i="77" s="1"/>
  <c r="C1248" i="54"/>
  <c r="D52" i="77" s="1"/>
  <c r="C1249" i="54"/>
  <c r="D53" i="77" s="1"/>
  <c r="C1250" i="54"/>
  <c r="D54" i="77" s="1"/>
  <c r="C867" i="54"/>
  <c r="D20" i="50" s="1"/>
  <c r="C868" i="54"/>
  <c r="D21" i="50" s="1"/>
  <c r="C869" i="54"/>
  <c r="D22" i="50" s="1"/>
  <c r="C870" i="54"/>
  <c r="D23" i="50" s="1"/>
  <c r="C871" i="54"/>
  <c r="D24" i="50" s="1"/>
  <c r="C872" i="54"/>
  <c r="D25" i="50" s="1"/>
  <c r="C873" i="54"/>
  <c r="D26" i="50" s="1"/>
  <c r="C874" i="54"/>
  <c r="D27" i="50" s="1"/>
  <c r="C875" i="54"/>
  <c r="D28" i="50" s="1"/>
  <c r="C876" i="54"/>
  <c r="D29" i="50" s="1"/>
  <c r="C877" i="54"/>
  <c r="D30" i="50" s="1"/>
  <c r="C878" i="54"/>
  <c r="D31" i="50" s="1"/>
  <c r="C879" i="54"/>
  <c r="D32" i="50" s="1"/>
  <c r="C880" i="54"/>
  <c r="D33" i="50" s="1"/>
  <c r="C881" i="54"/>
  <c r="D34" i="50" s="1"/>
  <c r="C882" i="54"/>
  <c r="D35" i="50" s="1"/>
  <c r="C883" i="54"/>
  <c r="D36" i="50" s="1"/>
  <c r="C884" i="54"/>
  <c r="D37" i="50" s="1"/>
  <c r="C885" i="54"/>
  <c r="D38" i="50" s="1"/>
  <c r="C886" i="54"/>
  <c r="D39" i="50" s="1"/>
  <c r="C887" i="54"/>
  <c r="D40" i="50" s="1"/>
  <c r="C888" i="54"/>
  <c r="D41" i="50" s="1"/>
  <c r="C889" i="54"/>
  <c r="D42" i="50" s="1"/>
  <c r="C890" i="54"/>
  <c r="D43" i="50" s="1"/>
  <c r="C891" i="54"/>
  <c r="D44" i="50" s="1"/>
  <c r="C892" i="54"/>
  <c r="D45" i="50" s="1"/>
  <c r="C893" i="54"/>
  <c r="D46" i="50" s="1"/>
  <c r="C894" i="54"/>
  <c r="D47" i="50" s="1"/>
  <c r="C895" i="54"/>
  <c r="D48" i="50" s="1"/>
  <c r="C896" i="54"/>
  <c r="D49" i="50" s="1"/>
  <c r="C897" i="54"/>
  <c r="D50" i="50" s="1"/>
  <c r="C898" i="54"/>
  <c r="D51" i="50" s="1"/>
  <c r="C899" i="54"/>
  <c r="D52" i="50" s="1"/>
  <c r="C900" i="54"/>
  <c r="D53" i="50" s="1"/>
  <c r="C901" i="54"/>
  <c r="D54" i="50" s="1"/>
  <c r="C518" i="54"/>
  <c r="D20" i="49" s="1"/>
  <c r="C519" i="54"/>
  <c r="D21" i="49" s="1"/>
  <c r="C520" i="54"/>
  <c r="D22" i="49" s="1"/>
  <c r="C521" i="54"/>
  <c r="D23" i="49" s="1"/>
  <c r="C522" i="54"/>
  <c r="D24" i="49" s="1"/>
  <c r="C523" i="54"/>
  <c r="D25" i="49" s="1"/>
  <c r="C524" i="54"/>
  <c r="D26" i="49" s="1"/>
  <c r="C525" i="54"/>
  <c r="D27" i="49" s="1"/>
  <c r="C526" i="54"/>
  <c r="D28" i="49" s="1"/>
  <c r="C527" i="54"/>
  <c r="D29" i="49" s="1"/>
  <c r="C528" i="54"/>
  <c r="D30" i="49" s="1"/>
  <c r="C529" i="54"/>
  <c r="D31" i="49" s="1"/>
  <c r="C530" i="54"/>
  <c r="D32" i="49" s="1"/>
  <c r="C531" i="54"/>
  <c r="D33" i="49" s="1"/>
  <c r="C532" i="54"/>
  <c r="D34" i="49" s="1"/>
  <c r="C533" i="54"/>
  <c r="D35" i="49" s="1"/>
  <c r="C534" i="54"/>
  <c r="D36" i="49" s="1"/>
  <c r="C535" i="54"/>
  <c r="D37" i="49" s="1"/>
  <c r="C536" i="54"/>
  <c r="D38" i="49" s="1"/>
  <c r="C537" i="54"/>
  <c r="D39" i="49" s="1"/>
  <c r="C538" i="54"/>
  <c r="D40" i="49" s="1"/>
  <c r="C539" i="54"/>
  <c r="D41" i="49" s="1"/>
  <c r="C540" i="54"/>
  <c r="D42" i="49" s="1"/>
  <c r="C541" i="54"/>
  <c r="D43" i="49" s="1"/>
  <c r="C542" i="54"/>
  <c r="D44" i="49" s="1"/>
  <c r="C543" i="54"/>
  <c r="D45" i="49" s="1"/>
  <c r="C544" i="54"/>
  <c r="D46" i="49" s="1"/>
  <c r="C545" i="54"/>
  <c r="D47" i="49" s="1"/>
  <c r="C546" i="54"/>
  <c r="D48" i="49" s="1"/>
  <c r="C547" i="54"/>
  <c r="D49" i="49" s="1"/>
  <c r="C548" i="54"/>
  <c r="D50" i="49" s="1"/>
  <c r="C549" i="54"/>
  <c r="D51" i="49" s="1"/>
  <c r="C550" i="54"/>
  <c r="D52" i="49" s="1"/>
  <c r="C551" i="54"/>
  <c r="D53" i="49" s="1"/>
  <c r="C552" i="54"/>
  <c r="D54" i="49" s="1"/>
  <c r="C169" i="54"/>
  <c r="D20" i="48" s="1"/>
  <c r="C170" i="54"/>
  <c r="D21" i="48" s="1"/>
  <c r="C171" i="54"/>
  <c r="D22" i="48" s="1"/>
  <c r="C172" i="54"/>
  <c r="D23" i="48" s="1"/>
  <c r="C173" i="54"/>
  <c r="D24" i="48" s="1"/>
  <c r="C174" i="54"/>
  <c r="D25" i="48" s="1"/>
  <c r="C175" i="54"/>
  <c r="D26" i="48" s="1"/>
  <c r="C176" i="54"/>
  <c r="D27" i="48" s="1"/>
  <c r="C177" i="54"/>
  <c r="D28" i="48" s="1"/>
  <c r="C178" i="54"/>
  <c r="D29" i="48" s="1"/>
  <c r="C179" i="54"/>
  <c r="D30" i="48" s="1"/>
  <c r="C180" i="54"/>
  <c r="D31" i="48" s="1"/>
  <c r="C181" i="54"/>
  <c r="D32" i="48" s="1"/>
  <c r="C182" i="54"/>
  <c r="D33" i="48" s="1"/>
  <c r="C183" i="54"/>
  <c r="D34" i="48" s="1"/>
  <c r="C184" i="54"/>
  <c r="D35" i="48" s="1"/>
  <c r="C185" i="54"/>
  <c r="D36" i="48" s="1"/>
  <c r="C186" i="54"/>
  <c r="D37" i="48" s="1"/>
  <c r="C187" i="54"/>
  <c r="D38" i="48" s="1"/>
  <c r="C188" i="54"/>
  <c r="D39" i="48" s="1"/>
  <c r="C189" i="54"/>
  <c r="D40" i="48" s="1"/>
  <c r="C190" i="54"/>
  <c r="D41" i="48" s="1"/>
  <c r="C191" i="54"/>
  <c r="D42" i="48" s="1"/>
  <c r="C192" i="54"/>
  <c r="D43" i="48" s="1"/>
  <c r="C193" i="54"/>
  <c r="D44" i="48" s="1"/>
  <c r="C194" i="54"/>
  <c r="D45" i="48" s="1"/>
  <c r="C195" i="54"/>
  <c r="D46" i="48" s="1"/>
  <c r="C196" i="54"/>
  <c r="D47" i="48" s="1"/>
  <c r="C197" i="54"/>
  <c r="D48" i="48" s="1"/>
  <c r="C198" i="54"/>
  <c r="D49" i="48" s="1"/>
  <c r="C199" i="54"/>
  <c r="D50" i="48" s="1"/>
  <c r="C200" i="54"/>
  <c r="D51" i="48" s="1"/>
  <c r="C201" i="54"/>
  <c r="D52" i="48" s="1"/>
  <c r="C202" i="54"/>
  <c r="D53" i="48" s="1"/>
  <c r="C203" i="54"/>
  <c r="D54" i="48" s="1"/>
  <c r="C1565" i="52"/>
  <c r="D20" i="76" s="1"/>
  <c r="C1566" i="52"/>
  <c r="D21" i="76" s="1"/>
  <c r="C1567" i="52"/>
  <c r="D22" i="76" s="1"/>
  <c r="C1568" i="52"/>
  <c r="D23" i="76" s="1"/>
  <c r="C1569" i="52"/>
  <c r="D24" i="76" s="1"/>
  <c r="C1570" i="52"/>
  <c r="D25" i="76" s="1"/>
  <c r="C1571" i="52"/>
  <c r="D26" i="76" s="1"/>
  <c r="C1572" i="52"/>
  <c r="D27" i="76" s="1"/>
  <c r="C1573" i="52"/>
  <c r="D28" i="76" s="1"/>
  <c r="C1574" i="52"/>
  <c r="D29" i="76" s="1"/>
  <c r="C1575" i="52"/>
  <c r="D30" i="76" s="1"/>
  <c r="C1576" i="52"/>
  <c r="D31" i="76" s="1"/>
  <c r="C1577" i="52"/>
  <c r="D32" i="76" s="1"/>
  <c r="C1578" i="52"/>
  <c r="D33" i="76" s="1"/>
  <c r="C1579" i="52"/>
  <c r="D34" i="76" s="1"/>
  <c r="C1580" i="52"/>
  <c r="D35" i="76" s="1"/>
  <c r="C1581" i="52"/>
  <c r="D36" i="76" s="1"/>
  <c r="C1582" i="52"/>
  <c r="D37" i="76" s="1"/>
  <c r="C1583" i="52"/>
  <c r="D38" i="76" s="1"/>
  <c r="C1584" i="52"/>
  <c r="D39" i="76" s="1"/>
  <c r="C1585" i="52"/>
  <c r="D40" i="76" s="1"/>
  <c r="C1586" i="52"/>
  <c r="D41" i="76" s="1"/>
  <c r="C1587" i="52"/>
  <c r="D42" i="76" s="1"/>
  <c r="C1588" i="52"/>
  <c r="D43" i="76" s="1"/>
  <c r="C1589" i="52"/>
  <c r="D44" i="76" s="1"/>
  <c r="C1590" i="52"/>
  <c r="D45" i="76" s="1"/>
  <c r="C1591" i="52"/>
  <c r="D46" i="76" s="1"/>
  <c r="C1592" i="52"/>
  <c r="D47" i="76" s="1"/>
  <c r="C1593" i="52"/>
  <c r="D48" i="76" s="1"/>
  <c r="C1594" i="52"/>
  <c r="D49" i="76" s="1"/>
  <c r="C1595" i="52"/>
  <c r="D50" i="76" s="1"/>
  <c r="C1596" i="52"/>
  <c r="D51" i="76" s="1"/>
  <c r="C1597" i="52"/>
  <c r="D52" i="76" s="1"/>
  <c r="C1598" i="52"/>
  <c r="D53" i="76" s="1"/>
  <c r="C1599" i="52"/>
  <c r="D54" i="76" s="1"/>
  <c r="C1216" i="52"/>
  <c r="D20" i="47" s="1"/>
  <c r="C1217" i="52"/>
  <c r="D21" i="47" s="1"/>
  <c r="C1218" i="52"/>
  <c r="D22" i="47" s="1"/>
  <c r="C1219" i="52"/>
  <c r="D23" i="47" s="1"/>
  <c r="C1220" i="52"/>
  <c r="D24" i="47" s="1"/>
  <c r="C1221" i="52"/>
  <c r="D25" i="47" s="1"/>
  <c r="C1222" i="52"/>
  <c r="D26" i="47" s="1"/>
  <c r="C1223" i="52"/>
  <c r="D27" i="47" s="1"/>
  <c r="C1224" i="52"/>
  <c r="D28" i="47" s="1"/>
  <c r="C1225" i="52"/>
  <c r="D29" i="47" s="1"/>
  <c r="C1226" i="52"/>
  <c r="D30" i="47" s="1"/>
  <c r="C1227" i="52"/>
  <c r="D31" i="47" s="1"/>
  <c r="C1228" i="52"/>
  <c r="D32" i="47" s="1"/>
  <c r="C1229" i="52"/>
  <c r="D33" i="47" s="1"/>
  <c r="C1230" i="52"/>
  <c r="D34" i="47" s="1"/>
  <c r="C1231" i="52"/>
  <c r="D35" i="47" s="1"/>
  <c r="C1232" i="52"/>
  <c r="D36" i="47" s="1"/>
  <c r="C1233" i="52"/>
  <c r="D37" i="47" s="1"/>
  <c r="C1234" i="52"/>
  <c r="D38" i="47" s="1"/>
  <c r="C1235" i="52"/>
  <c r="D39" i="47" s="1"/>
  <c r="C1236" i="52"/>
  <c r="D40" i="47" s="1"/>
  <c r="C1237" i="52"/>
  <c r="D41" i="47" s="1"/>
  <c r="C1238" i="52"/>
  <c r="D42" i="47" s="1"/>
  <c r="C1239" i="52"/>
  <c r="D43" i="47" s="1"/>
  <c r="C1240" i="52"/>
  <c r="D44" i="47" s="1"/>
  <c r="C1241" i="52"/>
  <c r="D45" i="47" s="1"/>
  <c r="C1242" i="52"/>
  <c r="D46" i="47" s="1"/>
  <c r="C1243" i="52"/>
  <c r="D47" i="47" s="1"/>
  <c r="C1244" i="52"/>
  <c r="D48" i="47" s="1"/>
  <c r="C1245" i="52"/>
  <c r="D49" i="47" s="1"/>
  <c r="C1246" i="52"/>
  <c r="D50" i="47" s="1"/>
  <c r="C1247" i="52"/>
  <c r="D51" i="47" s="1"/>
  <c r="C1248" i="52"/>
  <c r="D52" i="47" s="1"/>
  <c r="C1249" i="52"/>
  <c r="D53" i="47" s="1"/>
  <c r="C1250" i="52"/>
  <c r="D54" i="47" s="1"/>
  <c r="C867" i="52"/>
  <c r="D20" i="94" s="1"/>
  <c r="C868" i="52"/>
  <c r="D21" i="94" s="1"/>
  <c r="C869" i="52"/>
  <c r="D22" i="94" s="1"/>
  <c r="C870" i="52"/>
  <c r="D23" i="94" s="1"/>
  <c r="C871" i="52"/>
  <c r="D24" i="94" s="1"/>
  <c r="C872" i="52"/>
  <c r="D25" i="94" s="1"/>
  <c r="C873" i="52"/>
  <c r="D26" i="94" s="1"/>
  <c r="C874" i="52"/>
  <c r="D27" i="94" s="1"/>
  <c r="C875" i="52"/>
  <c r="D28" i="94" s="1"/>
  <c r="C876" i="52"/>
  <c r="D29" i="94" s="1"/>
  <c r="C877" i="52"/>
  <c r="D30" i="94" s="1"/>
  <c r="C878" i="52"/>
  <c r="D31" i="94" s="1"/>
  <c r="C879" i="52"/>
  <c r="D32" i="94" s="1"/>
  <c r="C880" i="52"/>
  <c r="D33" i="94" s="1"/>
  <c r="C881" i="52"/>
  <c r="D34" i="94" s="1"/>
  <c r="C882" i="52"/>
  <c r="D35" i="94" s="1"/>
  <c r="C883" i="52"/>
  <c r="D36" i="94" s="1"/>
  <c r="C884" i="52"/>
  <c r="D37" i="94" s="1"/>
  <c r="C885" i="52"/>
  <c r="D38" i="94" s="1"/>
  <c r="C886" i="52"/>
  <c r="D39" i="94" s="1"/>
  <c r="C887" i="52"/>
  <c r="D40" i="94" s="1"/>
  <c r="C888" i="52"/>
  <c r="D41" i="94" s="1"/>
  <c r="C889" i="52"/>
  <c r="D42" i="94" s="1"/>
  <c r="C890" i="52"/>
  <c r="D43" i="94" s="1"/>
  <c r="C891" i="52"/>
  <c r="D44" i="94" s="1"/>
  <c r="C892" i="52"/>
  <c r="D45" i="94" s="1"/>
  <c r="C893" i="52"/>
  <c r="D46" i="94" s="1"/>
  <c r="C894" i="52"/>
  <c r="D47" i="94" s="1"/>
  <c r="C895" i="52"/>
  <c r="D48" i="94" s="1"/>
  <c r="C896" i="52"/>
  <c r="D49" i="94" s="1"/>
  <c r="C897" i="52"/>
  <c r="D50" i="94" s="1"/>
  <c r="C898" i="52"/>
  <c r="D51" i="94" s="1"/>
  <c r="C899" i="52"/>
  <c r="D52" i="94" s="1"/>
  <c r="C900" i="52"/>
  <c r="D53" i="94" s="1"/>
  <c r="C901" i="52"/>
  <c r="D54" i="94" s="1"/>
  <c r="C518" i="52"/>
  <c r="D20" i="46" s="1"/>
  <c r="C519" i="52"/>
  <c r="D21" i="46" s="1"/>
  <c r="C520" i="52"/>
  <c r="D22" i="46" s="1"/>
  <c r="C521" i="52"/>
  <c r="D23" i="46" s="1"/>
  <c r="C522" i="52"/>
  <c r="D24" i="46" s="1"/>
  <c r="C523" i="52"/>
  <c r="D25" i="46" s="1"/>
  <c r="C524" i="52"/>
  <c r="D26" i="46" s="1"/>
  <c r="C525" i="52"/>
  <c r="D27" i="46" s="1"/>
  <c r="C526" i="52"/>
  <c r="D28" i="46" s="1"/>
  <c r="C527" i="52"/>
  <c r="D29" i="46" s="1"/>
  <c r="C528" i="52"/>
  <c r="D30" i="46" s="1"/>
  <c r="C529" i="52"/>
  <c r="D31" i="46" s="1"/>
  <c r="C530" i="52"/>
  <c r="D32" i="46" s="1"/>
  <c r="C531" i="52"/>
  <c r="D33" i="46" s="1"/>
  <c r="C532" i="52"/>
  <c r="D34" i="46" s="1"/>
  <c r="C533" i="52"/>
  <c r="D35" i="46" s="1"/>
  <c r="C534" i="52"/>
  <c r="D36" i="46" s="1"/>
  <c r="C535" i="52"/>
  <c r="D37" i="46" s="1"/>
  <c r="C536" i="52"/>
  <c r="D38" i="46" s="1"/>
  <c r="C537" i="52"/>
  <c r="D39" i="46" s="1"/>
  <c r="C538" i="52"/>
  <c r="D40" i="46" s="1"/>
  <c r="C539" i="52"/>
  <c r="D41" i="46" s="1"/>
  <c r="C540" i="52"/>
  <c r="D42" i="46" s="1"/>
  <c r="C541" i="52"/>
  <c r="D43" i="46" s="1"/>
  <c r="C542" i="52"/>
  <c r="D44" i="46" s="1"/>
  <c r="C543" i="52"/>
  <c r="D45" i="46" s="1"/>
  <c r="C544" i="52"/>
  <c r="D46" i="46" s="1"/>
  <c r="C545" i="52"/>
  <c r="D47" i="46" s="1"/>
  <c r="C546" i="52"/>
  <c r="D48" i="46" s="1"/>
  <c r="C547" i="52"/>
  <c r="D49" i="46" s="1"/>
  <c r="C548" i="52"/>
  <c r="D50" i="46" s="1"/>
  <c r="C549" i="52"/>
  <c r="D51" i="46" s="1"/>
  <c r="C550" i="52"/>
  <c r="D52" i="46" s="1"/>
  <c r="C551" i="52"/>
  <c r="D53" i="46" s="1"/>
  <c r="C552" i="52"/>
  <c r="D54" i="46" s="1"/>
  <c r="C169" i="52"/>
  <c r="D20" i="45" s="1"/>
  <c r="C170" i="52"/>
  <c r="D21" i="45" s="1"/>
  <c r="C171" i="52"/>
  <c r="D22" i="45" s="1"/>
  <c r="C172" i="52"/>
  <c r="D23" i="45" s="1"/>
  <c r="C173" i="52"/>
  <c r="D24" i="45" s="1"/>
  <c r="C174" i="52"/>
  <c r="D25" i="45" s="1"/>
  <c r="C175" i="52"/>
  <c r="D26" i="45" s="1"/>
  <c r="C176" i="52"/>
  <c r="D27" i="45" s="1"/>
  <c r="C177" i="52"/>
  <c r="D28" i="45" s="1"/>
  <c r="C178" i="52"/>
  <c r="D29" i="45" s="1"/>
  <c r="C179" i="52"/>
  <c r="D30" i="45" s="1"/>
  <c r="C180" i="52"/>
  <c r="D31" i="45" s="1"/>
  <c r="C181" i="52"/>
  <c r="D32" i="45" s="1"/>
  <c r="C182" i="52"/>
  <c r="D33" i="45" s="1"/>
  <c r="C183" i="52"/>
  <c r="D34" i="45" s="1"/>
  <c r="C184" i="52"/>
  <c r="D35" i="45" s="1"/>
  <c r="C185" i="52"/>
  <c r="D36" i="45" s="1"/>
  <c r="C186" i="52"/>
  <c r="D37" i="45" s="1"/>
  <c r="C187" i="52"/>
  <c r="D38" i="45" s="1"/>
  <c r="C188" i="52"/>
  <c r="D39" i="45" s="1"/>
  <c r="C189" i="52"/>
  <c r="D40" i="45" s="1"/>
  <c r="C190" i="52"/>
  <c r="D41" i="45" s="1"/>
  <c r="C191" i="52"/>
  <c r="D42" i="45" s="1"/>
  <c r="C192" i="52"/>
  <c r="D43" i="45" s="1"/>
  <c r="C193" i="52"/>
  <c r="D44" i="45" s="1"/>
  <c r="C194" i="52"/>
  <c r="D45" i="45" s="1"/>
  <c r="C195" i="52"/>
  <c r="D46" i="45" s="1"/>
  <c r="C196" i="52"/>
  <c r="D47" i="45" s="1"/>
  <c r="C197" i="52"/>
  <c r="D48" i="45" s="1"/>
  <c r="C198" i="52"/>
  <c r="D49" i="45" s="1"/>
  <c r="C199" i="52"/>
  <c r="D50" i="45" s="1"/>
  <c r="C200" i="52"/>
  <c r="D51" i="45" s="1"/>
  <c r="C201" i="52"/>
  <c r="D52" i="45" s="1"/>
  <c r="C202" i="52"/>
  <c r="D53" i="45" s="1"/>
  <c r="C203" i="52"/>
  <c r="D54" i="45" s="1"/>
  <c r="C1212" i="51"/>
  <c r="D20" i="44" s="1"/>
  <c r="C1213" i="51"/>
  <c r="D21" i="44" s="1"/>
  <c r="C1214" i="51"/>
  <c r="D22" i="44" s="1"/>
  <c r="C1215" i="51"/>
  <c r="D23" i="44" s="1"/>
  <c r="C1216" i="51"/>
  <c r="D24" i="44" s="1"/>
  <c r="C1217" i="51"/>
  <c r="D25" i="44" s="1"/>
  <c r="C1218" i="51"/>
  <c r="D26" i="44" s="1"/>
  <c r="C1219" i="51"/>
  <c r="D27" i="44" s="1"/>
  <c r="C1220" i="51"/>
  <c r="D28" i="44" s="1"/>
  <c r="C1221" i="51"/>
  <c r="D29" i="44" s="1"/>
  <c r="C1222" i="51"/>
  <c r="D30" i="44" s="1"/>
  <c r="C1223" i="51"/>
  <c r="D31" i="44" s="1"/>
  <c r="C1224" i="51"/>
  <c r="D32" i="44" s="1"/>
  <c r="C1225" i="51"/>
  <c r="D33" i="44" s="1"/>
  <c r="C1226" i="51"/>
  <c r="D34" i="44" s="1"/>
  <c r="C1227" i="51"/>
  <c r="D35" i="44" s="1"/>
  <c r="C1228" i="51"/>
  <c r="D36" i="44" s="1"/>
  <c r="C1229" i="51"/>
  <c r="D37" i="44" s="1"/>
  <c r="C1230" i="51"/>
  <c r="D38" i="44" s="1"/>
  <c r="C1231" i="51"/>
  <c r="D39" i="44" s="1"/>
  <c r="C1232" i="51"/>
  <c r="D40" i="44" s="1"/>
  <c r="C1233" i="51"/>
  <c r="D41" i="44" s="1"/>
  <c r="C1234" i="51"/>
  <c r="D42" i="44" s="1"/>
  <c r="C1235" i="51"/>
  <c r="D43" i="44" s="1"/>
  <c r="C1236" i="51"/>
  <c r="D44" i="44" s="1"/>
  <c r="C1237" i="51"/>
  <c r="D45" i="44" s="1"/>
  <c r="C1238" i="51"/>
  <c r="D46" i="44" s="1"/>
  <c r="C1239" i="51"/>
  <c r="D47" i="44" s="1"/>
  <c r="C1240" i="51"/>
  <c r="D48" i="44" s="1"/>
  <c r="C1241" i="51"/>
  <c r="D49" i="44" s="1"/>
  <c r="C1242" i="51"/>
  <c r="D50" i="44" s="1"/>
  <c r="C1243" i="51"/>
  <c r="D51" i="44" s="1"/>
  <c r="C1244" i="51"/>
  <c r="D52" i="44" s="1"/>
  <c r="C1245" i="51"/>
  <c r="D53" i="44" s="1"/>
  <c r="C1246" i="51"/>
  <c r="D54" i="44" s="1"/>
  <c r="C864" i="51"/>
  <c r="D20" i="43" s="1"/>
  <c r="C865" i="51"/>
  <c r="D21" i="43" s="1"/>
  <c r="C866" i="51"/>
  <c r="D22" i="43" s="1"/>
  <c r="C867" i="51"/>
  <c r="D23" i="43" s="1"/>
  <c r="C868" i="51"/>
  <c r="D24" i="43" s="1"/>
  <c r="C869" i="51"/>
  <c r="D25" i="43" s="1"/>
  <c r="C870" i="51"/>
  <c r="D26" i="43" s="1"/>
  <c r="C871" i="51"/>
  <c r="D27" i="43" s="1"/>
  <c r="C872" i="51"/>
  <c r="D28" i="43" s="1"/>
  <c r="C873" i="51"/>
  <c r="D29" i="43" s="1"/>
  <c r="C874" i="51"/>
  <c r="D30" i="43" s="1"/>
  <c r="C875" i="51"/>
  <c r="D31" i="43" s="1"/>
  <c r="C876" i="51"/>
  <c r="D32" i="43" s="1"/>
  <c r="C877" i="51"/>
  <c r="D33" i="43" s="1"/>
  <c r="C878" i="51"/>
  <c r="D34" i="43" s="1"/>
  <c r="C879" i="51"/>
  <c r="D35" i="43" s="1"/>
  <c r="C880" i="51"/>
  <c r="D36" i="43" s="1"/>
  <c r="C881" i="51"/>
  <c r="D37" i="43" s="1"/>
  <c r="C882" i="51"/>
  <c r="D38" i="43" s="1"/>
  <c r="C883" i="51"/>
  <c r="D39" i="43" s="1"/>
  <c r="C884" i="51"/>
  <c r="D40" i="43" s="1"/>
  <c r="C885" i="51"/>
  <c r="D41" i="43" s="1"/>
  <c r="C886" i="51"/>
  <c r="D42" i="43" s="1"/>
  <c r="C887" i="51"/>
  <c r="D43" i="43" s="1"/>
  <c r="C888" i="51"/>
  <c r="D44" i="43" s="1"/>
  <c r="C889" i="51"/>
  <c r="D45" i="43" s="1"/>
  <c r="C890" i="51"/>
  <c r="D46" i="43" s="1"/>
  <c r="C891" i="51"/>
  <c r="D47" i="43" s="1"/>
  <c r="C892" i="51"/>
  <c r="D48" i="43" s="1"/>
  <c r="C893" i="51"/>
  <c r="D49" i="43" s="1"/>
  <c r="C894" i="51"/>
  <c r="D50" i="43" s="1"/>
  <c r="C895" i="51"/>
  <c r="D51" i="43" s="1"/>
  <c r="C896" i="51"/>
  <c r="D52" i="43" s="1"/>
  <c r="C897" i="51"/>
  <c r="D53" i="43" s="1"/>
  <c r="C898" i="51"/>
  <c r="D54" i="43" s="1"/>
  <c r="C515" i="51"/>
  <c r="D20" i="42" s="1"/>
  <c r="C516" i="51"/>
  <c r="D21" i="42" s="1"/>
  <c r="C517" i="51"/>
  <c r="D22" i="42" s="1"/>
  <c r="C518" i="51"/>
  <c r="D23" i="42" s="1"/>
  <c r="C519" i="51"/>
  <c r="D24" i="42" s="1"/>
  <c r="C520" i="51"/>
  <c r="D25" i="42" s="1"/>
  <c r="C521" i="51"/>
  <c r="D26" i="42" s="1"/>
  <c r="C522" i="51"/>
  <c r="D27" i="42" s="1"/>
  <c r="C523" i="51"/>
  <c r="D28" i="42" s="1"/>
  <c r="C524" i="51"/>
  <c r="D29" i="42" s="1"/>
  <c r="C525" i="51"/>
  <c r="D30" i="42" s="1"/>
  <c r="C526" i="51"/>
  <c r="D31" i="42" s="1"/>
  <c r="C527" i="51"/>
  <c r="D32" i="42" s="1"/>
  <c r="C528" i="51"/>
  <c r="D33" i="42" s="1"/>
  <c r="C529" i="51"/>
  <c r="D34" i="42" s="1"/>
  <c r="C530" i="51"/>
  <c r="D35" i="42" s="1"/>
  <c r="C531" i="51"/>
  <c r="D36" i="42" s="1"/>
  <c r="C532" i="51"/>
  <c r="D37" i="42" s="1"/>
  <c r="C533" i="51"/>
  <c r="D38" i="42" s="1"/>
  <c r="C534" i="51"/>
  <c r="D39" i="42" s="1"/>
  <c r="C535" i="51"/>
  <c r="D40" i="42" s="1"/>
  <c r="C536" i="51"/>
  <c r="D41" i="42" s="1"/>
  <c r="C537" i="51"/>
  <c r="D42" i="42" s="1"/>
  <c r="C538" i="51"/>
  <c r="D43" i="42" s="1"/>
  <c r="C539" i="51"/>
  <c r="D44" i="42" s="1"/>
  <c r="C540" i="51"/>
  <c r="D45" i="42" s="1"/>
  <c r="C541" i="51"/>
  <c r="D46" i="42" s="1"/>
  <c r="C542" i="51"/>
  <c r="D47" i="42" s="1"/>
  <c r="C543" i="51"/>
  <c r="D48" i="42" s="1"/>
  <c r="C544" i="51"/>
  <c r="D49" i="42" s="1"/>
  <c r="C545" i="51"/>
  <c r="D50" i="42" s="1"/>
  <c r="C546" i="51"/>
  <c r="D51" i="42" s="1"/>
  <c r="C547" i="51"/>
  <c r="D52" i="42" s="1"/>
  <c r="C548" i="51"/>
  <c r="D53" i="42" s="1"/>
  <c r="C549" i="51"/>
  <c r="D54" i="42" s="1"/>
  <c r="C167" i="51"/>
  <c r="D20" i="41" s="1"/>
  <c r="C168" i="51"/>
  <c r="D21" i="41" s="1"/>
  <c r="C169" i="51"/>
  <c r="D22" i="41" s="1"/>
  <c r="C170" i="51"/>
  <c r="D23" i="41" s="1"/>
  <c r="C171" i="51"/>
  <c r="D24" i="41" s="1"/>
  <c r="C172" i="51"/>
  <c r="D25" i="41" s="1"/>
  <c r="C173" i="51"/>
  <c r="D26" i="41" s="1"/>
  <c r="C174" i="51"/>
  <c r="D27" i="41" s="1"/>
  <c r="C175" i="51"/>
  <c r="D28" i="41" s="1"/>
  <c r="C176" i="51"/>
  <c r="D29" i="41" s="1"/>
  <c r="C177" i="51"/>
  <c r="D30" i="41" s="1"/>
  <c r="C178" i="51"/>
  <c r="D31" i="41" s="1"/>
  <c r="C179" i="51"/>
  <c r="D32" i="41" s="1"/>
  <c r="C180" i="51"/>
  <c r="D33" i="41" s="1"/>
  <c r="C181" i="51"/>
  <c r="D34" i="41" s="1"/>
  <c r="C182" i="51"/>
  <c r="D35" i="41" s="1"/>
  <c r="C183" i="51"/>
  <c r="D36" i="41" s="1"/>
  <c r="C184" i="51"/>
  <c r="D37" i="41" s="1"/>
  <c r="C185" i="51"/>
  <c r="D38" i="41" s="1"/>
  <c r="C186" i="51"/>
  <c r="D39" i="41" s="1"/>
  <c r="C187" i="51"/>
  <c r="D40" i="41" s="1"/>
  <c r="C188" i="51"/>
  <c r="D41" i="41" s="1"/>
  <c r="C189" i="51"/>
  <c r="D42" i="41" s="1"/>
  <c r="C190" i="51"/>
  <c r="D43" i="41" s="1"/>
  <c r="C191" i="51"/>
  <c r="D44" i="41" s="1"/>
  <c r="C192" i="51"/>
  <c r="D45" i="41" s="1"/>
  <c r="C193" i="51"/>
  <c r="D46" i="41" s="1"/>
  <c r="C194" i="51"/>
  <c r="D47" i="41" s="1"/>
  <c r="C195" i="51"/>
  <c r="D48" i="41" s="1"/>
  <c r="C196" i="51"/>
  <c r="D49" i="41" s="1"/>
  <c r="C197" i="51"/>
  <c r="D50" i="41" s="1"/>
  <c r="C198" i="51"/>
  <c r="D51" i="41" s="1"/>
  <c r="C199" i="51"/>
  <c r="D52" i="41" s="1"/>
  <c r="C200" i="51"/>
  <c r="D53" i="41" s="1"/>
  <c r="C201" i="51"/>
  <c r="D54" i="41" s="1"/>
  <c r="C865" i="59"/>
  <c r="D20" i="75" s="1"/>
  <c r="C866" i="59"/>
  <c r="D21" i="75" s="1"/>
  <c r="C867" i="59"/>
  <c r="D22" i="75" s="1"/>
  <c r="C868" i="59"/>
  <c r="D23" i="75" s="1"/>
  <c r="C869" i="59"/>
  <c r="D24" i="75" s="1"/>
  <c r="C870" i="59"/>
  <c r="D25" i="75" s="1"/>
  <c r="C871" i="59"/>
  <c r="D26" i="75" s="1"/>
  <c r="C872" i="59"/>
  <c r="D27" i="75" s="1"/>
  <c r="C873" i="59"/>
  <c r="D28" i="75" s="1"/>
  <c r="C874" i="59"/>
  <c r="D29" i="75" s="1"/>
  <c r="C875" i="59"/>
  <c r="D30" i="75" s="1"/>
  <c r="C876" i="59"/>
  <c r="D31" i="75" s="1"/>
  <c r="C877" i="59"/>
  <c r="D32" i="75" s="1"/>
  <c r="C878" i="59"/>
  <c r="D33" i="75" s="1"/>
  <c r="C879" i="59"/>
  <c r="D34" i="75" s="1"/>
  <c r="C880" i="59"/>
  <c r="D35" i="75" s="1"/>
  <c r="C881" i="59"/>
  <c r="D36" i="75" s="1"/>
  <c r="C882" i="59"/>
  <c r="D37" i="75" s="1"/>
  <c r="C883" i="59"/>
  <c r="D38" i="75" s="1"/>
  <c r="C884" i="59"/>
  <c r="D39" i="75" s="1"/>
  <c r="C885" i="59"/>
  <c r="D40" i="75" s="1"/>
  <c r="C886" i="59"/>
  <c r="D41" i="75" s="1"/>
  <c r="C887" i="59"/>
  <c r="D42" i="75" s="1"/>
  <c r="C888" i="59"/>
  <c r="D43" i="75" s="1"/>
  <c r="C889" i="59"/>
  <c r="D44" i="75" s="1"/>
  <c r="C890" i="59"/>
  <c r="D45" i="75" s="1"/>
  <c r="C891" i="59"/>
  <c r="D46" i="75" s="1"/>
  <c r="C892" i="59"/>
  <c r="D47" i="75" s="1"/>
  <c r="C893" i="59"/>
  <c r="D48" i="75" s="1"/>
  <c r="C894" i="59"/>
  <c r="D49" i="75" s="1"/>
  <c r="C895" i="59"/>
  <c r="D50" i="75" s="1"/>
  <c r="C896" i="59"/>
  <c r="D51" i="75" s="1"/>
  <c r="C897" i="59"/>
  <c r="D52" i="75" s="1"/>
  <c r="C898" i="59"/>
  <c r="D53" i="75" s="1"/>
  <c r="C899" i="59"/>
  <c r="D54" i="75" s="1"/>
  <c r="C516" i="59"/>
  <c r="D20" i="74" s="1"/>
  <c r="C517" i="59"/>
  <c r="D21" i="74" s="1"/>
  <c r="C518" i="59"/>
  <c r="D22" i="74" s="1"/>
  <c r="C519" i="59"/>
  <c r="D23" i="74" s="1"/>
  <c r="C520" i="59"/>
  <c r="D24" i="74" s="1"/>
  <c r="C521" i="59"/>
  <c r="D25" i="74" s="1"/>
  <c r="C522" i="59"/>
  <c r="D26" i="74" s="1"/>
  <c r="C523" i="59"/>
  <c r="D27" i="74" s="1"/>
  <c r="C524" i="59"/>
  <c r="D28" i="74" s="1"/>
  <c r="C525" i="59"/>
  <c r="D29" i="74" s="1"/>
  <c r="C526" i="59"/>
  <c r="D30" i="74" s="1"/>
  <c r="C527" i="59"/>
  <c r="D31" i="74" s="1"/>
  <c r="C528" i="59"/>
  <c r="D32" i="74" s="1"/>
  <c r="C529" i="59"/>
  <c r="D33" i="74" s="1"/>
  <c r="C530" i="59"/>
  <c r="D34" i="74" s="1"/>
  <c r="C531" i="59"/>
  <c r="D35" i="74" s="1"/>
  <c r="C532" i="59"/>
  <c r="D36" i="74" s="1"/>
  <c r="C533" i="59"/>
  <c r="D37" i="74" s="1"/>
  <c r="C534" i="59"/>
  <c r="D38" i="74" s="1"/>
  <c r="C535" i="59"/>
  <c r="D39" i="74" s="1"/>
  <c r="C536" i="59"/>
  <c r="D40" i="74" s="1"/>
  <c r="C537" i="59"/>
  <c r="D41" i="74" s="1"/>
  <c r="C538" i="59"/>
  <c r="D42" i="74" s="1"/>
  <c r="C539" i="59"/>
  <c r="D43" i="74" s="1"/>
  <c r="C540" i="59"/>
  <c r="D44" i="74" s="1"/>
  <c r="C541" i="59"/>
  <c r="D45" i="74" s="1"/>
  <c r="C542" i="59"/>
  <c r="D46" i="74" s="1"/>
  <c r="C543" i="59"/>
  <c r="D47" i="74" s="1"/>
  <c r="C544" i="59"/>
  <c r="D48" i="74" s="1"/>
  <c r="C545" i="59"/>
  <c r="D49" i="74" s="1"/>
  <c r="C546" i="59"/>
  <c r="D50" i="74" s="1"/>
  <c r="C547" i="59"/>
  <c r="D51" i="74" s="1"/>
  <c r="C548" i="59"/>
  <c r="D52" i="74" s="1"/>
  <c r="C549" i="59"/>
  <c r="D53" i="74" s="1"/>
  <c r="C550" i="59"/>
  <c r="D54" i="74" s="1"/>
  <c r="C167" i="59"/>
  <c r="D20" i="40" s="1"/>
  <c r="C168" i="59"/>
  <c r="D21" i="40" s="1"/>
  <c r="C169" i="59"/>
  <c r="D22" i="40" s="1"/>
  <c r="C170" i="59"/>
  <c r="D23" i="40" s="1"/>
  <c r="C171" i="59"/>
  <c r="D24" i="40" s="1"/>
  <c r="C172" i="59"/>
  <c r="D25" i="40" s="1"/>
  <c r="C173" i="59"/>
  <c r="D26" i="40" s="1"/>
  <c r="C174" i="59"/>
  <c r="D27" i="40" s="1"/>
  <c r="C175" i="59"/>
  <c r="D28" i="40" s="1"/>
  <c r="C176" i="59"/>
  <c r="D29" i="40" s="1"/>
  <c r="C177" i="59"/>
  <c r="D30" i="40" s="1"/>
  <c r="C178" i="59"/>
  <c r="D31" i="40" s="1"/>
  <c r="C179" i="59"/>
  <c r="D32" i="40" s="1"/>
  <c r="C180" i="59"/>
  <c r="D33" i="40" s="1"/>
  <c r="C181" i="59"/>
  <c r="D34" i="40" s="1"/>
  <c r="C182" i="59"/>
  <c r="D35" i="40" s="1"/>
  <c r="C183" i="59"/>
  <c r="D36" i="40" s="1"/>
  <c r="C184" i="59"/>
  <c r="D37" i="40" s="1"/>
  <c r="C185" i="59"/>
  <c r="D38" i="40" s="1"/>
  <c r="C186" i="59"/>
  <c r="D39" i="40" s="1"/>
  <c r="C187" i="59"/>
  <c r="D40" i="40" s="1"/>
  <c r="C188" i="59"/>
  <c r="D41" i="40" s="1"/>
  <c r="C189" i="59"/>
  <c r="D42" i="40" s="1"/>
  <c r="C190" i="59"/>
  <c r="D43" i="40" s="1"/>
  <c r="C191" i="59"/>
  <c r="D44" i="40" s="1"/>
  <c r="C192" i="59"/>
  <c r="D45" i="40" s="1"/>
  <c r="C193" i="59"/>
  <c r="D46" i="40" s="1"/>
  <c r="C194" i="59"/>
  <c r="D47" i="40" s="1"/>
  <c r="C195" i="59"/>
  <c r="D48" i="40" s="1"/>
  <c r="C196" i="59"/>
  <c r="D49" i="40" s="1"/>
  <c r="C197" i="59"/>
  <c r="D50" i="40" s="1"/>
  <c r="C198" i="59"/>
  <c r="D51" i="40" s="1"/>
  <c r="C199" i="59"/>
  <c r="D52" i="40" s="1"/>
  <c r="C200" i="59"/>
  <c r="D53" i="40" s="1"/>
  <c r="C201" i="59"/>
  <c r="D54" i="40" s="1"/>
  <c r="C1566" i="53"/>
  <c r="D20" i="93" s="1"/>
  <c r="C1567" i="53"/>
  <c r="D21" i="93" s="1"/>
  <c r="C1568" i="53"/>
  <c r="D22" i="93" s="1"/>
  <c r="C1569" i="53"/>
  <c r="D23" i="93" s="1"/>
  <c r="C1570" i="53"/>
  <c r="D24" i="93" s="1"/>
  <c r="C1571" i="53"/>
  <c r="D25" i="93" s="1"/>
  <c r="C1572" i="53"/>
  <c r="D26" i="93" s="1"/>
  <c r="C1573" i="53"/>
  <c r="D27" i="93" s="1"/>
  <c r="C1574" i="53"/>
  <c r="D28" i="93" s="1"/>
  <c r="C1575" i="53"/>
  <c r="D29" i="93" s="1"/>
  <c r="C1576" i="53"/>
  <c r="D30" i="93" s="1"/>
  <c r="C1577" i="53"/>
  <c r="D31" i="93" s="1"/>
  <c r="C1578" i="53"/>
  <c r="D32" i="93" s="1"/>
  <c r="C1579" i="53"/>
  <c r="D33" i="93" s="1"/>
  <c r="C1580" i="53"/>
  <c r="D34" i="93" s="1"/>
  <c r="C1581" i="53"/>
  <c r="D35" i="93" s="1"/>
  <c r="C1582" i="53"/>
  <c r="D36" i="93" s="1"/>
  <c r="C1583" i="53"/>
  <c r="D37" i="93" s="1"/>
  <c r="C1584" i="53"/>
  <c r="D38" i="93" s="1"/>
  <c r="C1585" i="53"/>
  <c r="D39" i="93" s="1"/>
  <c r="C1586" i="53"/>
  <c r="D40" i="93" s="1"/>
  <c r="C1587" i="53"/>
  <c r="D41" i="93" s="1"/>
  <c r="C1588" i="53"/>
  <c r="D42" i="93" s="1"/>
  <c r="C1589" i="53"/>
  <c r="D43" i="93" s="1"/>
  <c r="C1590" i="53"/>
  <c r="D44" i="93" s="1"/>
  <c r="C1591" i="53"/>
  <c r="D45" i="93" s="1"/>
  <c r="C1592" i="53"/>
  <c r="D46" i="93" s="1"/>
  <c r="C1593" i="53"/>
  <c r="D47" i="93" s="1"/>
  <c r="C1594" i="53"/>
  <c r="D48" i="93" s="1"/>
  <c r="C1595" i="53"/>
  <c r="D49" i="93" s="1"/>
  <c r="C1596" i="53"/>
  <c r="D50" i="93" s="1"/>
  <c r="C1597" i="53"/>
  <c r="D51" i="93" s="1"/>
  <c r="C1598" i="53"/>
  <c r="D52" i="93" s="1"/>
  <c r="C1599" i="53"/>
  <c r="D53" i="93" s="1"/>
  <c r="C1600" i="53"/>
  <c r="D54" i="93" s="1"/>
  <c r="C1217" i="53"/>
  <c r="D20" i="58" s="1"/>
  <c r="C1218" i="53"/>
  <c r="D21" i="58" s="1"/>
  <c r="C1219" i="53"/>
  <c r="D22" i="58" s="1"/>
  <c r="C1220" i="53"/>
  <c r="D23" i="58" s="1"/>
  <c r="C1221" i="53"/>
  <c r="D24" i="58" s="1"/>
  <c r="C1222" i="53"/>
  <c r="D25" i="58" s="1"/>
  <c r="C1223" i="53"/>
  <c r="D26" i="58" s="1"/>
  <c r="C1224" i="53"/>
  <c r="D27" i="58" s="1"/>
  <c r="C1225" i="53"/>
  <c r="D28" i="58" s="1"/>
  <c r="C1226" i="53"/>
  <c r="D29" i="58" s="1"/>
  <c r="C1227" i="53"/>
  <c r="D30" i="58" s="1"/>
  <c r="C1228" i="53"/>
  <c r="D31" i="58" s="1"/>
  <c r="C1229" i="53"/>
  <c r="D32" i="58" s="1"/>
  <c r="C1230" i="53"/>
  <c r="D33" i="58" s="1"/>
  <c r="C1231" i="53"/>
  <c r="D34" i="58" s="1"/>
  <c r="C1232" i="53"/>
  <c r="D35" i="58" s="1"/>
  <c r="C1233" i="53"/>
  <c r="D36" i="58" s="1"/>
  <c r="C1234" i="53"/>
  <c r="D37" i="58" s="1"/>
  <c r="C1235" i="53"/>
  <c r="D38" i="58" s="1"/>
  <c r="C1236" i="53"/>
  <c r="D39" i="58" s="1"/>
  <c r="C1237" i="53"/>
  <c r="D40" i="58" s="1"/>
  <c r="C1238" i="53"/>
  <c r="D41" i="58" s="1"/>
  <c r="C1239" i="53"/>
  <c r="D42" i="58" s="1"/>
  <c r="C1240" i="53"/>
  <c r="D43" i="58" s="1"/>
  <c r="C1241" i="53"/>
  <c r="D44" i="58" s="1"/>
  <c r="C1242" i="53"/>
  <c r="D45" i="58" s="1"/>
  <c r="C1243" i="53"/>
  <c r="D46" i="58" s="1"/>
  <c r="C1244" i="53"/>
  <c r="D47" i="58" s="1"/>
  <c r="C1245" i="53"/>
  <c r="D48" i="58" s="1"/>
  <c r="C1246" i="53"/>
  <c r="D49" i="58" s="1"/>
  <c r="C1247" i="53"/>
  <c r="D50" i="58" s="1"/>
  <c r="C1248" i="53"/>
  <c r="D51" i="58" s="1"/>
  <c r="C1249" i="53"/>
  <c r="D52" i="58" s="1"/>
  <c r="C1250" i="53"/>
  <c r="D53" i="58" s="1"/>
  <c r="C1251" i="53"/>
  <c r="D54" i="58" s="1"/>
  <c r="C868" i="53"/>
  <c r="D20" i="57" s="1"/>
  <c r="C869" i="53"/>
  <c r="D21" i="57" s="1"/>
  <c r="C870" i="53"/>
  <c r="D22" i="57" s="1"/>
  <c r="C871" i="53"/>
  <c r="D23" i="57" s="1"/>
  <c r="C872" i="53"/>
  <c r="D24" i="57" s="1"/>
  <c r="C873" i="53"/>
  <c r="D25" i="57" s="1"/>
  <c r="C874" i="53"/>
  <c r="D26" i="57" s="1"/>
  <c r="C875" i="53"/>
  <c r="D27" i="57" s="1"/>
  <c r="C876" i="53"/>
  <c r="D28" i="57" s="1"/>
  <c r="C877" i="53"/>
  <c r="D29" i="57" s="1"/>
  <c r="C878" i="53"/>
  <c r="D30" i="57" s="1"/>
  <c r="C879" i="53"/>
  <c r="D31" i="57" s="1"/>
  <c r="C880" i="53"/>
  <c r="D32" i="57" s="1"/>
  <c r="C881" i="53"/>
  <c r="D33" i="57" s="1"/>
  <c r="C882" i="53"/>
  <c r="D34" i="57" s="1"/>
  <c r="C883" i="53"/>
  <c r="D35" i="57" s="1"/>
  <c r="C884" i="53"/>
  <c r="D36" i="57" s="1"/>
  <c r="C885" i="53"/>
  <c r="D37" i="57" s="1"/>
  <c r="C886" i="53"/>
  <c r="D38" i="57" s="1"/>
  <c r="C887" i="53"/>
  <c r="D39" i="57" s="1"/>
  <c r="C888" i="53"/>
  <c r="D40" i="57" s="1"/>
  <c r="C889" i="53"/>
  <c r="D41" i="57" s="1"/>
  <c r="C890" i="53"/>
  <c r="D42" i="57" s="1"/>
  <c r="C891" i="53"/>
  <c r="D43" i="57" s="1"/>
  <c r="C892" i="53"/>
  <c r="D44" i="57" s="1"/>
  <c r="C893" i="53"/>
  <c r="D45" i="57" s="1"/>
  <c r="C894" i="53"/>
  <c r="D46" i="57" s="1"/>
  <c r="C895" i="53"/>
  <c r="D47" i="57" s="1"/>
  <c r="C896" i="53"/>
  <c r="D48" i="57" s="1"/>
  <c r="C897" i="53"/>
  <c r="D49" i="57" s="1"/>
  <c r="C898" i="53"/>
  <c r="D50" i="57" s="1"/>
  <c r="C899" i="53"/>
  <c r="D51" i="57" s="1"/>
  <c r="C900" i="53"/>
  <c r="D52" i="57" s="1"/>
  <c r="C901" i="53"/>
  <c r="D53" i="57" s="1"/>
  <c r="C902" i="53"/>
  <c r="D54" i="57" s="1"/>
  <c r="C519" i="53"/>
  <c r="D20" i="56" s="1"/>
  <c r="C520" i="53"/>
  <c r="D21" i="56" s="1"/>
  <c r="C521" i="53"/>
  <c r="D22" i="56" s="1"/>
  <c r="C522" i="53"/>
  <c r="D23" i="56" s="1"/>
  <c r="C523" i="53"/>
  <c r="D24" i="56" s="1"/>
  <c r="C524" i="53"/>
  <c r="D25" i="56" s="1"/>
  <c r="C525" i="53"/>
  <c r="D26" i="56" s="1"/>
  <c r="C526" i="53"/>
  <c r="D27" i="56" s="1"/>
  <c r="C527" i="53"/>
  <c r="D28" i="56" s="1"/>
  <c r="C528" i="53"/>
  <c r="D29" i="56" s="1"/>
  <c r="C529" i="53"/>
  <c r="D30" i="56" s="1"/>
  <c r="C530" i="53"/>
  <c r="D31" i="56" s="1"/>
  <c r="C531" i="53"/>
  <c r="D32" i="56" s="1"/>
  <c r="C532" i="53"/>
  <c r="D33" i="56" s="1"/>
  <c r="C533" i="53"/>
  <c r="D34" i="56" s="1"/>
  <c r="C534" i="53"/>
  <c r="D35" i="56" s="1"/>
  <c r="C535" i="53"/>
  <c r="D36" i="56" s="1"/>
  <c r="C536" i="53"/>
  <c r="D37" i="56" s="1"/>
  <c r="C537" i="53"/>
  <c r="D38" i="56" s="1"/>
  <c r="C538" i="53"/>
  <c r="D39" i="56" s="1"/>
  <c r="C539" i="53"/>
  <c r="D40" i="56" s="1"/>
  <c r="C540" i="53"/>
  <c r="D41" i="56" s="1"/>
  <c r="C541" i="53"/>
  <c r="D42" i="56" s="1"/>
  <c r="C542" i="53"/>
  <c r="D43" i="56" s="1"/>
  <c r="C543" i="53"/>
  <c r="D44" i="56" s="1"/>
  <c r="C544" i="53"/>
  <c r="D45" i="56" s="1"/>
  <c r="C545" i="53"/>
  <c r="D46" i="56" s="1"/>
  <c r="C546" i="53"/>
  <c r="D47" i="56" s="1"/>
  <c r="C547" i="53"/>
  <c r="D48" i="56" s="1"/>
  <c r="C548" i="53"/>
  <c r="D49" i="56" s="1"/>
  <c r="C549" i="53"/>
  <c r="D50" i="56" s="1"/>
  <c r="C550" i="53"/>
  <c r="D51" i="56" s="1"/>
  <c r="C551" i="53"/>
  <c r="D52" i="56" s="1"/>
  <c r="C552" i="53"/>
  <c r="D53" i="56" s="1"/>
  <c r="C553" i="53"/>
  <c r="D54" i="56" s="1"/>
  <c r="C170" i="53"/>
  <c r="D20" i="55" s="1"/>
  <c r="C171" i="53"/>
  <c r="D21" i="55" s="1"/>
  <c r="C172" i="53"/>
  <c r="D22" i="55" s="1"/>
  <c r="C173" i="53"/>
  <c r="D23" i="55" s="1"/>
  <c r="C174" i="53"/>
  <c r="D24" i="55" s="1"/>
  <c r="C175" i="53"/>
  <c r="D25" i="55" s="1"/>
  <c r="C176" i="53"/>
  <c r="D26" i="55" s="1"/>
  <c r="C177" i="53"/>
  <c r="D27" i="55" s="1"/>
  <c r="C178" i="53"/>
  <c r="D28" i="55" s="1"/>
  <c r="C179" i="53"/>
  <c r="D29" i="55" s="1"/>
  <c r="C180" i="53"/>
  <c r="D30" i="55" s="1"/>
  <c r="C181" i="53"/>
  <c r="D31" i="55" s="1"/>
  <c r="C182" i="53"/>
  <c r="D32" i="55" s="1"/>
  <c r="C183" i="53"/>
  <c r="D33" i="55" s="1"/>
  <c r="C184" i="53"/>
  <c r="D34" i="55" s="1"/>
  <c r="C185" i="53"/>
  <c r="D35" i="55" s="1"/>
  <c r="C186" i="53"/>
  <c r="D36" i="55" s="1"/>
  <c r="C187" i="53"/>
  <c r="D37" i="55" s="1"/>
  <c r="C188" i="53"/>
  <c r="D38" i="55" s="1"/>
  <c r="C189" i="53"/>
  <c r="D39" i="55" s="1"/>
  <c r="C190" i="53"/>
  <c r="D40" i="55" s="1"/>
  <c r="C191" i="53"/>
  <c r="D41" i="55" s="1"/>
  <c r="C192" i="53"/>
  <c r="D42" i="55" s="1"/>
  <c r="C193" i="53"/>
  <c r="D43" i="55" s="1"/>
  <c r="C194" i="53"/>
  <c r="D44" i="55" s="1"/>
  <c r="C195" i="53"/>
  <c r="D45" i="55" s="1"/>
  <c r="C196" i="53"/>
  <c r="D46" i="55" s="1"/>
  <c r="C197" i="53"/>
  <c r="D47" i="55" s="1"/>
  <c r="C198" i="53"/>
  <c r="D48" i="55" s="1"/>
  <c r="C199" i="53"/>
  <c r="D49" i="55" s="1"/>
  <c r="C200" i="53"/>
  <c r="D50" i="55" s="1"/>
  <c r="C201" i="53"/>
  <c r="D51" i="55" s="1"/>
  <c r="C202" i="53"/>
  <c r="D52" i="55" s="1"/>
  <c r="C203" i="53"/>
  <c r="D53" i="55" s="1"/>
  <c r="C204" i="53"/>
  <c r="D54" i="55" s="1"/>
  <c r="C867" i="37"/>
  <c r="D20" i="39" s="1"/>
  <c r="C868" i="37"/>
  <c r="D21" i="39" s="1"/>
  <c r="C869" i="37"/>
  <c r="D22" i="39" s="1"/>
  <c r="C870" i="37"/>
  <c r="D23" i="39" s="1"/>
  <c r="C871" i="37"/>
  <c r="D24" i="39" s="1"/>
  <c r="C872" i="37"/>
  <c r="D25" i="39" s="1"/>
  <c r="C873" i="37"/>
  <c r="D26" i="39" s="1"/>
  <c r="C874" i="37"/>
  <c r="D27" i="39" s="1"/>
  <c r="C875" i="37"/>
  <c r="D28" i="39" s="1"/>
  <c r="C876" i="37"/>
  <c r="D29" i="39" s="1"/>
  <c r="C877" i="37"/>
  <c r="D30" i="39" s="1"/>
  <c r="C878" i="37"/>
  <c r="D31" i="39" s="1"/>
  <c r="C879" i="37"/>
  <c r="D32" i="39" s="1"/>
  <c r="C880" i="37"/>
  <c r="D33" i="39" s="1"/>
  <c r="C881" i="37"/>
  <c r="D34" i="39" s="1"/>
  <c r="C882" i="37"/>
  <c r="D35" i="39" s="1"/>
  <c r="C883" i="37"/>
  <c r="D36" i="39" s="1"/>
  <c r="C884" i="37"/>
  <c r="D37" i="39" s="1"/>
  <c r="C885" i="37"/>
  <c r="D38" i="39" s="1"/>
  <c r="C886" i="37"/>
  <c r="D39" i="39" s="1"/>
  <c r="C887" i="37"/>
  <c r="D40" i="39" s="1"/>
  <c r="C888" i="37"/>
  <c r="D41" i="39" s="1"/>
  <c r="C889" i="37"/>
  <c r="D42" i="39" s="1"/>
  <c r="C890" i="37"/>
  <c r="D43" i="39" s="1"/>
  <c r="C891" i="37"/>
  <c r="D44" i="39" s="1"/>
  <c r="C892" i="37"/>
  <c r="D45" i="39" s="1"/>
  <c r="C893" i="37"/>
  <c r="D46" i="39" s="1"/>
  <c r="C894" i="37"/>
  <c r="D47" i="39" s="1"/>
  <c r="C895" i="37"/>
  <c r="D48" i="39" s="1"/>
  <c r="C896" i="37"/>
  <c r="D49" i="39" s="1"/>
  <c r="C897" i="37"/>
  <c r="D50" i="39" s="1"/>
  <c r="C898" i="37"/>
  <c r="D51" i="39" s="1"/>
  <c r="C899" i="37"/>
  <c r="D52" i="39" s="1"/>
  <c r="C900" i="37"/>
  <c r="D53" i="39" s="1"/>
  <c r="C901" i="37"/>
  <c r="D54" i="39" s="1"/>
  <c r="C518" i="37"/>
  <c r="D20" i="38" s="1"/>
  <c r="C519" i="37"/>
  <c r="D21" i="38" s="1"/>
  <c r="C520" i="37"/>
  <c r="D22" i="38" s="1"/>
  <c r="C521" i="37"/>
  <c r="D23" i="38" s="1"/>
  <c r="C522" i="37"/>
  <c r="D24" i="38" s="1"/>
  <c r="C523" i="37"/>
  <c r="D25" i="38" s="1"/>
  <c r="C524" i="37"/>
  <c r="D26" i="38" s="1"/>
  <c r="C525" i="37"/>
  <c r="D27" i="38" s="1"/>
  <c r="C526" i="37"/>
  <c r="D28" i="38" s="1"/>
  <c r="C527" i="37"/>
  <c r="D29" i="38" s="1"/>
  <c r="C528" i="37"/>
  <c r="D30" i="38" s="1"/>
  <c r="C529" i="37"/>
  <c r="D31" i="38" s="1"/>
  <c r="C530" i="37"/>
  <c r="D32" i="38" s="1"/>
  <c r="C531" i="37"/>
  <c r="D33" i="38" s="1"/>
  <c r="C532" i="37"/>
  <c r="D34" i="38" s="1"/>
  <c r="C533" i="37"/>
  <c r="D35" i="38" s="1"/>
  <c r="C534" i="37"/>
  <c r="D36" i="38" s="1"/>
  <c r="C535" i="37"/>
  <c r="D37" i="38" s="1"/>
  <c r="C536" i="37"/>
  <c r="D38" i="38" s="1"/>
  <c r="C537" i="37"/>
  <c r="D39" i="38" s="1"/>
  <c r="C538" i="37"/>
  <c r="D40" i="38" s="1"/>
  <c r="C539" i="37"/>
  <c r="D41" i="38" s="1"/>
  <c r="C540" i="37"/>
  <c r="D42" i="38" s="1"/>
  <c r="C541" i="37"/>
  <c r="D43" i="38" s="1"/>
  <c r="C542" i="37"/>
  <c r="D44" i="38" s="1"/>
  <c r="C543" i="37"/>
  <c r="D45" i="38" s="1"/>
  <c r="C544" i="37"/>
  <c r="D46" i="38" s="1"/>
  <c r="C545" i="37"/>
  <c r="D47" i="38" s="1"/>
  <c r="C546" i="37"/>
  <c r="D48" i="38" s="1"/>
  <c r="C547" i="37"/>
  <c r="D49" i="38" s="1"/>
  <c r="C548" i="37"/>
  <c r="D50" i="38" s="1"/>
  <c r="C549" i="37"/>
  <c r="D51" i="38" s="1"/>
  <c r="C550" i="37"/>
  <c r="D52" i="38" s="1"/>
  <c r="C551" i="37"/>
  <c r="D53" i="38" s="1"/>
  <c r="C552" i="37"/>
  <c r="D54" i="38" s="1"/>
  <c r="C169" i="37"/>
  <c r="D20" i="36" s="1"/>
  <c r="C170" i="37"/>
  <c r="D21" i="36" s="1"/>
  <c r="C171" i="37"/>
  <c r="D22" i="36" s="1"/>
  <c r="C172" i="37"/>
  <c r="D23" i="36" s="1"/>
  <c r="C173" i="37"/>
  <c r="D24" i="36" s="1"/>
  <c r="C174" i="37"/>
  <c r="D25" i="36" s="1"/>
  <c r="C175" i="37"/>
  <c r="D26" i="36" s="1"/>
  <c r="C176" i="37"/>
  <c r="D27" i="36" s="1"/>
  <c r="C177" i="37"/>
  <c r="D28" i="36" s="1"/>
  <c r="C178" i="37"/>
  <c r="D29" i="36" s="1"/>
  <c r="C179" i="37"/>
  <c r="D30" i="36" s="1"/>
  <c r="C180" i="37"/>
  <c r="D31" i="36" s="1"/>
  <c r="C181" i="37"/>
  <c r="D32" i="36" s="1"/>
  <c r="C182" i="37"/>
  <c r="D33" i="36" s="1"/>
  <c r="C183" i="37"/>
  <c r="D34" i="36" s="1"/>
  <c r="C184" i="37"/>
  <c r="D35" i="36" s="1"/>
  <c r="C185" i="37"/>
  <c r="D36" i="36" s="1"/>
  <c r="C186" i="37"/>
  <c r="D37" i="36" s="1"/>
  <c r="C187" i="37"/>
  <c r="D38" i="36" s="1"/>
  <c r="C188" i="37"/>
  <c r="D39" i="36" s="1"/>
  <c r="C189" i="37"/>
  <c r="D40" i="36" s="1"/>
  <c r="C190" i="37"/>
  <c r="D41" i="36" s="1"/>
  <c r="C191" i="37"/>
  <c r="D42" i="36" s="1"/>
  <c r="C192" i="37"/>
  <c r="D43" i="36" s="1"/>
  <c r="C193" i="37"/>
  <c r="D44" i="36" s="1"/>
  <c r="C194" i="37"/>
  <c r="D45" i="36" s="1"/>
  <c r="C195" i="37"/>
  <c r="D46" i="36" s="1"/>
  <c r="C196" i="37"/>
  <c r="D47" i="36" s="1"/>
  <c r="C197" i="37"/>
  <c r="D48" i="36" s="1"/>
  <c r="C198" i="37"/>
  <c r="D49" i="36" s="1"/>
  <c r="C199" i="37"/>
  <c r="D50" i="36" s="1"/>
  <c r="C200" i="37"/>
  <c r="D51" i="36" s="1"/>
  <c r="C201" i="37"/>
  <c r="D52" i="36" s="1"/>
  <c r="C202" i="37"/>
  <c r="D53" i="36" s="1"/>
  <c r="C203" i="37"/>
  <c r="D54" i="36" s="1"/>
  <c r="C519" i="31"/>
  <c r="D20" i="35" s="1"/>
  <c r="C520" i="31"/>
  <c r="D21" i="35" s="1"/>
  <c r="C521" i="31"/>
  <c r="D22" i="35" s="1"/>
  <c r="C522" i="31"/>
  <c r="D23" i="35" s="1"/>
  <c r="C523" i="31"/>
  <c r="D24" i="35" s="1"/>
  <c r="C524" i="31"/>
  <c r="D25" i="35" s="1"/>
  <c r="C525" i="31"/>
  <c r="D26" i="35" s="1"/>
  <c r="C526" i="31"/>
  <c r="D27" i="35" s="1"/>
  <c r="C527" i="31"/>
  <c r="D28" i="35" s="1"/>
  <c r="C528" i="31"/>
  <c r="D29" i="35" s="1"/>
  <c r="C529" i="31"/>
  <c r="D30" i="35" s="1"/>
  <c r="C530" i="31"/>
  <c r="D31" i="35" s="1"/>
  <c r="C531" i="31"/>
  <c r="D32" i="35" s="1"/>
  <c r="C532" i="31"/>
  <c r="D33" i="35" s="1"/>
  <c r="C533" i="31"/>
  <c r="D34" i="35" s="1"/>
  <c r="C534" i="31"/>
  <c r="D35" i="35" s="1"/>
  <c r="C535" i="31"/>
  <c r="D36" i="35" s="1"/>
  <c r="C536" i="31"/>
  <c r="D37" i="35" s="1"/>
  <c r="C537" i="31"/>
  <c r="D38" i="35" s="1"/>
  <c r="C538" i="31"/>
  <c r="D39" i="35" s="1"/>
  <c r="C539" i="31"/>
  <c r="D40" i="35" s="1"/>
  <c r="C540" i="31"/>
  <c r="D41" i="35" s="1"/>
  <c r="C541" i="31"/>
  <c r="D42" i="35" s="1"/>
  <c r="C542" i="31"/>
  <c r="D43" i="35" s="1"/>
  <c r="C543" i="31"/>
  <c r="D44" i="35" s="1"/>
  <c r="C544" i="31"/>
  <c r="D45" i="35" s="1"/>
  <c r="C545" i="31"/>
  <c r="D46" i="35" s="1"/>
  <c r="C546" i="31"/>
  <c r="D47" i="35" s="1"/>
  <c r="C547" i="31"/>
  <c r="D48" i="35" s="1"/>
  <c r="C548" i="31"/>
  <c r="D49" i="35" s="1"/>
  <c r="C549" i="31"/>
  <c r="D50" i="35" s="1"/>
  <c r="C550" i="31"/>
  <c r="D51" i="35" s="1"/>
  <c r="C551" i="31"/>
  <c r="D52" i="35" s="1"/>
  <c r="C552" i="31"/>
  <c r="D53" i="35" s="1"/>
  <c r="C553" i="31"/>
  <c r="D54" i="35" s="1"/>
  <c r="C171" i="31"/>
  <c r="D20" i="34" s="1"/>
  <c r="C172" i="31"/>
  <c r="D21" i="34" s="1"/>
  <c r="C173" i="31"/>
  <c r="D22" i="34" s="1"/>
  <c r="C174" i="31"/>
  <c r="D23" i="34" s="1"/>
  <c r="C175" i="31"/>
  <c r="D24" i="34" s="1"/>
  <c r="C176" i="31"/>
  <c r="D25" i="34" s="1"/>
  <c r="C177" i="31"/>
  <c r="D26" i="34" s="1"/>
  <c r="C178" i="31"/>
  <c r="D27" i="34" s="1"/>
  <c r="C179" i="31"/>
  <c r="D28" i="34" s="1"/>
  <c r="C180" i="31"/>
  <c r="D29" i="34" s="1"/>
  <c r="C181" i="31"/>
  <c r="D30" i="34" s="1"/>
  <c r="C182" i="31"/>
  <c r="D31" i="34" s="1"/>
  <c r="C183" i="31"/>
  <c r="D32" i="34" s="1"/>
  <c r="C184" i="31"/>
  <c r="D33" i="34" s="1"/>
  <c r="C185" i="31"/>
  <c r="D34" i="34" s="1"/>
  <c r="C186" i="31"/>
  <c r="D35" i="34" s="1"/>
  <c r="C187" i="31"/>
  <c r="D36" i="34" s="1"/>
  <c r="C188" i="31"/>
  <c r="D37" i="34" s="1"/>
  <c r="C189" i="31"/>
  <c r="D38" i="34" s="1"/>
  <c r="C190" i="31"/>
  <c r="D39" i="34" s="1"/>
  <c r="C191" i="31"/>
  <c r="D40" i="34" s="1"/>
  <c r="C192" i="31"/>
  <c r="D41" i="34" s="1"/>
  <c r="C193" i="31"/>
  <c r="D42" i="34" s="1"/>
  <c r="C194" i="31"/>
  <c r="D43" i="34" s="1"/>
  <c r="C195" i="31"/>
  <c r="D44" i="34" s="1"/>
  <c r="C196" i="31"/>
  <c r="D45" i="34" s="1"/>
  <c r="C197" i="31"/>
  <c r="D46" i="34" s="1"/>
  <c r="C198" i="31"/>
  <c r="D47" i="34" s="1"/>
  <c r="C199" i="31"/>
  <c r="D48" i="34" s="1"/>
  <c r="C200" i="31"/>
  <c r="D49" i="34" s="1"/>
  <c r="C201" i="31"/>
  <c r="D50" i="34" s="1"/>
  <c r="C202" i="31"/>
  <c r="D51" i="34" s="1"/>
  <c r="C203" i="31"/>
  <c r="D52" i="34" s="1"/>
  <c r="C204" i="31"/>
  <c r="D53" i="34" s="1"/>
  <c r="C205" i="31"/>
  <c r="D54" i="34" s="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P14" i="21"/>
  <c r="S14" i="21" s="1"/>
  <c r="P15" i="21"/>
  <c r="S15" i="21" s="1"/>
  <c r="P16" i="21"/>
  <c r="S16" i="21" s="1"/>
  <c r="P17" i="21"/>
  <c r="S17" i="21" s="1"/>
  <c r="P18" i="21"/>
  <c r="S18" i="21" s="1"/>
  <c r="P19" i="21"/>
  <c r="S19" i="21" s="1"/>
  <c r="P20" i="21"/>
  <c r="S20" i="21" s="1"/>
  <c r="P21" i="21"/>
  <c r="S21" i="21" s="1"/>
  <c r="P22" i="21"/>
  <c r="S22" i="21" s="1"/>
  <c r="P23" i="21"/>
  <c r="S23" i="21" s="1"/>
  <c r="P24" i="21"/>
  <c r="S24" i="21" s="1"/>
  <c r="P25" i="21"/>
  <c r="U25" i="21" s="1"/>
  <c r="P26" i="21"/>
  <c r="S26" i="21" s="1"/>
  <c r="P27" i="21"/>
  <c r="S27" i="21" s="1"/>
  <c r="P28" i="21"/>
  <c r="U28" i="21" s="1"/>
  <c r="P29" i="21"/>
  <c r="S29" i="21" s="1"/>
  <c r="P30" i="21"/>
  <c r="S30" i="21" s="1"/>
  <c r="P31" i="21"/>
  <c r="S31" i="21" s="1"/>
  <c r="P32" i="21"/>
  <c r="S32" i="21" s="1"/>
  <c r="P33" i="21"/>
  <c r="U33" i="21" s="1"/>
  <c r="P34" i="21"/>
  <c r="S34" i="21" s="1"/>
  <c r="P35" i="21"/>
  <c r="S35" i="21" s="1"/>
  <c r="P36" i="21"/>
  <c r="U36" i="21" s="1"/>
  <c r="P37" i="21"/>
  <c r="S37" i="21" s="1"/>
  <c r="P38" i="21"/>
  <c r="S38" i="21" s="1"/>
  <c r="P39" i="21"/>
  <c r="S39" i="21" s="1"/>
  <c r="P40" i="21"/>
  <c r="S40" i="21" s="1"/>
  <c r="P41" i="21"/>
  <c r="S41" i="21" s="1"/>
  <c r="P42" i="21"/>
  <c r="S42" i="21" s="1"/>
  <c r="P43" i="21"/>
  <c r="S43" i="21" s="1"/>
  <c r="P44" i="21"/>
  <c r="U44" i="21" s="1"/>
  <c r="P45" i="21"/>
  <c r="S45" i="21" s="1"/>
  <c r="P46" i="21"/>
  <c r="S46" i="21" s="1"/>
  <c r="P47" i="21"/>
  <c r="S47" i="21" s="1"/>
  <c r="P48" i="21"/>
  <c r="S48" i="21" s="1"/>
  <c r="O14" i="21"/>
  <c r="T14" i="21" s="1"/>
  <c r="O15" i="21"/>
  <c r="R15" i="21" s="1"/>
  <c r="O16" i="21"/>
  <c r="R16" i="21" s="1"/>
  <c r="O17" i="21"/>
  <c r="T17" i="21" s="1"/>
  <c r="O18" i="21"/>
  <c r="R18" i="21" s="1"/>
  <c r="O19" i="21"/>
  <c r="R19" i="21" s="1"/>
  <c r="O20" i="21"/>
  <c r="R20" i="21" s="1"/>
  <c r="O21" i="21"/>
  <c r="R21" i="21" s="1"/>
  <c r="O22" i="21"/>
  <c r="T22" i="21" s="1"/>
  <c r="O23" i="21"/>
  <c r="R23" i="21" s="1"/>
  <c r="O24" i="21"/>
  <c r="R24" i="21" s="1"/>
  <c r="O25" i="21"/>
  <c r="T25" i="21" s="1"/>
  <c r="O26" i="21"/>
  <c r="R26" i="21" s="1"/>
  <c r="O27" i="21"/>
  <c r="R27" i="21" s="1"/>
  <c r="O28" i="21"/>
  <c r="R28" i="21" s="1"/>
  <c r="O29" i="21"/>
  <c r="R29" i="21" s="1"/>
  <c r="O30" i="21"/>
  <c r="T30" i="21" s="1"/>
  <c r="O31" i="21"/>
  <c r="R31" i="21" s="1"/>
  <c r="O32" i="21"/>
  <c r="R32" i="21" s="1"/>
  <c r="O33" i="21"/>
  <c r="T33" i="21" s="1"/>
  <c r="O34" i="21"/>
  <c r="R34" i="21" s="1"/>
  <c r="O35" i="21"/>
  <c r="R35" i="21" s="1"/>
  <c r="O36" i="21"/>
  <c r="R36" i="21" s="1"/>
  <c r="O37" i="21"/>
  <c r="R37" i="21" s="1"/>
  <c r="O38" i="21"/>
  <c r="T38" i="21" s="1"/>
  <c r="O39" i="21"/>
  <c r="R39" i="21" s="1"/>
  <c r="O40" i="21"/>
  <c r="R40" i="21" s="1"/>
  <c r="O41" i="21"/>
  <c r="T41" i="21" s="1"/>
  <c r="O42" i="21"/>
  <c r="R42" i="21" s="1"/>
  <c r="O43" i="21"/>
  <c r="R43" i="21" s="1"/>
  <c r="O44" i="21"/>
  <c r="R44" i="21" s="1"/>
  <c r="O45" i="21"/>
  <c r="R45" i="21" s="1"/>
  <c r="O46" i="21"/>
  <c r="T46" i="21" s="1"/>
  <c r="O47" i="21"/>
  <c r="R47" i="21" s="1"/>
  <c r="O48" i="21"/>
  <c r="R48" i="21" s="1"/>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S33" i="21" l="1"/>
  <c r="S180" i="21"/>
  <c r="R143" i="21"/>
  <c r="S202" i="21"/>
  <c r="S163" i="21"/>
  <c r="R102" i="21"/>
  <c r="R176" i="21"/>
  <c r="R104" i="21"/>
  <c r="S100" i="21"/>
  <c r="S63" i="21"/>
  <c r="S136" i="21"/>
  <c r="S25" i="21"/>
  <c r="S146" i="21"/>
  <c r="S120" i="21"/>
  <c r="S194" i="21"/>
  <c r="R108" i="21"/>
  <c r="R182" i="21"/>
  <c r="S94" i="21"/>
  <c r="R131" i="21"/>
  <c r="S190" i="21"/>
  <c r="S78" i="21"/>
  <c r="S151" i="21"/>
  <c r="R17" i="21"/>
  <c r="R92" i="21"/>
  <c r="R162" i="21"/>
  <c r="R198" i="21"/>
  <c r="R87" i="21"/>
  <c r="R160" i="21"/>
  <c r="S61" i="21"/>
  <c r="S134" i="21"/>
  <c r="S108" i="21"/>
  <c r="S182" i="21"/>
  <c r="R96" i="21"/>
  <c r="S156" i="59"/>
  <c r="R156" i="21"/>
  <c r="R70" i="21"/>
  <c r="S154" i="21"/>
  <c r="S178" i="21"/>
  <c r="S66" i="21"/>
  <c r="S139" i="21"/>
  <c r="S115" i="21"/>
  <c r="R150" i="21"/>
  <c r="R75" i="21"/>
  <c r="R148" i="21"/>
  <c r="S91" i="21"/>
  <c r="S96" i="21"/>
  <c r="S119" i="21"/>
  <c r="S193" i="21"/>
  <c r="R33" i="21"/>
  <c r="R71" i="21"/>
  <c r="R144" i="21"/>
  <c r="S142" i="21"/>
  <c r="S92" i="21"/>
  <c r="S28" i="21"/>
  <c r="R138" i="21"/>
  <c r="R100" i="21"/>
  <c r="R174" i="21"/>
  <c r="R63" i="21"/>
  <c r="R136" i="21"/>
  <c r="R110" i="21"/>
  <c r="R184" i="21"/>
  <c r="S44" i="21"/>
  <c r="S107" i="21"/>
  <c r="Q97" i="59"/>
  <c r="R132" i="21"/>
  <c r="S130" i="21"/>
  <c r="R81" i="21"/>
  <c r="R154" i="21"/>
  <c r="R115" i="21"/>
  <c r="R163" i="21"/>
  <c r="R153" i="21"/>
  <c r="R53" i="21"/>
  <c r="S123" i="21"/>
  <c r="R25" i="21"/>
  <c r="R146" i="21"/>
  <c r="R82" i="21"/>
  <c r="S169" i="21"/>
  <c r="R58" i="21"/>
  <c r="S82" i="21"/>
  <c r="S155" i="21"/>
  <c r="R118" i="21"/>
  <c r="R192" i="21"/>
  <c r="R142" i="21"/>
  <c r="R30" i="21"/>
  <c r="R177" i="21"/>
  <c r="R151" i="21"/>
  <c r="R141" i="21"/>
  <c r="S149" i="21"/>
  <c r="S111" i="21"/>
  <c r="S185" i="21"/>
  <c r="S74" i="21"/>
  <c r="S147" i="21"/>
  <c r="R134" i="21"/>
  <c r="R157" i="21"/>
  <c r="S143" i="21"/>
  <c r="R130" i="21"/>
  <c r="R139" i="21"/>
  <c r="S99" i="21"/>
  <c r="S135" i="21"/>
  <c r="S36" i="21"/>
  <c r="S109" i="21"/>
  <c r="S183" i="21"/>
  <c r="S84" i="21"/>
  <c r="S157" i="21"/>
  <c r="R145" i="21"/>
  <c r="S164" i="21"/>
  <c r="S58" i="21"/>
  <c r="S131" i="21"/>
  <c r="S153" i="21"/>
  <c r="S188" i="21"/>
  <c r="S162" i="21"/>
  <c r="R125" i="21"/>
  <c r="R161" i="21"/>
  <c r="R190" i="21"/>
  <c r="R197" i="21"/>
  <c r="S97" i="21"/>
  <c r="S171" i="21"/>
  <c r="R60" i="21"/>
  <c r="R133" i="21"/>
  <c r="R46" i="21"/>
  <c r="R193" i="21"/>
  <c r="S191" i="21"/>
  <c r="S141" i="21"/>
  <c r="S102" i="21"/>
  <c r="S77" i="21"/>
  <c r="R113" i="21"/>
  <c r="R187" i="21"/>
  <c r="R149" i="21"/>
  <c r="R38" i="21"/>
  <c r="R185" i="21"/>
  <c r="R159" i="21"/>
  <c r="S133" i="21"/>
  <c r="S156" i="21"/>
  <c r="R107" i="21"/>
  <c r="S56" i="21"/>
  <c r="S138" i="21"/>
  <c r="R101" i="21"/>
  <c r="R175" i="21"/>
  <c r="R64" i="21"/>
  <c r="R137" i="21"/>
  <c r="R99" i="21"/>
  <c r="R74" i="21"/>
  <c r="R147" i="21"/>
  <c r="R121" i="21"/>
  <c r="R195" i="21"/>
  <c r="S144" i="21"/>
  <c r="J10" i="80"/>
  <c r="R22" i="21"/>
  <c r="R169" i="21"/>
  <c r="R117" i="21"/>
  <c r="R79" i="21"/>
  <c r="R152" i="21"/>
  <c r="S201" i="21"/>
  <c r="S53" i="21"/>
  <c r="R200" i="21"/>
  <c r="S198" i="21"/>
  <c r="R14" i="21"/>
  <c r="S196" i="21"/>
  <c r="R135" i="21"/>
  <c r="R109" i="21"/>
  <c r="R183" i="21"/>
  <c r="S118" i="21"/>
  <c r="R155" i="21"/>
  <c r="R105" i="21"/>
  <c r="R179" i="21"/>
  <c r="R41" i="21"/>
  <c r="S112" i="21"/>
  <c r="S186" i="21"/>
  <c r="S110" i="21"/>
  <c r="S85" i="21"/>
  <c r="S158" i="21"/>
  <c r="R97" i="21"/>
  <c r="R171" i="21"/>
  <c r="R120" i="21"/>
  <c r="J22" i="78"/>
  <c r="Q449" i="31"/>
  <c r="O1181" i="54"/>
  <c r="S1181" i="54" s="1"/>
  <c r="O1189" i="54"/>
  <c r="S1189" i="54" s="1"/>
  <c r="O1197" i="54"/>
  <c r="S1197" i="54" s="1"/>
  <c r="M1180" i="54"/>
  <c r="Q1180" i="54" s="1"/>
  <c r="M1188" i="54"/>
  <c r="Q1188" i="54" s="1"/>
  <c r="M1196" i="54"/>
  <c r="Q1196" i="54" s="1"/>
  <c r="O1188" i="54"/>
  <c r="S1188" i="54" s="1"/>
  <c r="O1182" i="54"/>
  <c r="S1182" i="54" s="1"/>
  <c r="O1190" i="54"/>
  <c r="S1190" i="54" s="1"/>
  <c r="O1198" i="54"/>
  <c r="S1198" i="54" s="1"/>
  <c r="M1181" i="54"/>
  <c r="Q1181" i="54" s="1"/>
  <c r="M1189" i="54"/>
  <c r="Q1189" i="54" s="1"/>
  <c r="M1197" i="54"/>
  <c r="Q1197" i="54" s="1"/>
  <c r="O1183" i="54"/>
  <c r="S1183" i="54" s="1"/>
  <c r="O1191" i="54"/>
  <c r="S1191" i="54" s="1"/>
  <c r="O1199" i="54"/>
  <c r="S1199" i="54" s="1"/>
  <c r="M1182" i="54"/>
  <c r="Q1182" i="54" s="1"/>
  <c r="M1190" i="54"/>
  <c r="Q1190" i="54" s="1"/>
  <c r="M1198" i="54"/>
  <c r="Q1198" i="54" s="1"/>
  <c r="O1180" i="54"/>
  <c r="S1180" i="54" s="1"/>
  <c r="O1184" i="54"/>
  <c r="S1184" i="54" s="1"/>
  <c r="O1192" i="54"/>
  <c r="S1192" i="54" s="1"/>
  <c r="O1200" i="54"/>
  <c r="S1200" i="54" s="1"/>
  <c r="M1183" i="54"/>
  <c r="Q1183" i="54" s="1"/>
  <c r="M1191" i="54"/>
  <c r="Q1191" i="54" s="1"/>
  <c r="M1199" i="54"/>
  <c r="Q1199" i="54" s="1"/>
  <c r="M1195" i="54"/>
  <c r="Q1195" i="54" s="1"/>
  <c r="O1185" i="54"/>
  <c r="S1185" i="54" s="1"/>
  <c r="O1193" i="54"/>
  <c r="S1193" i="54" s="1"/>
  <c r="O1201" i="54"/>
  <c r="S1201" i="54" s="1"/>
  <c r="M1184" i="54"/>
  <c r="Q1184" i="54" s="1"/>
  <c r="M1192" i="54"/>
  <c r="Q1192" i="54" s="1"/>
  <c r="M1200" i="54"/>
  <c r="Q1200" i="54" s="1"/>
  <c r="O1196" i="54"/>
  <c r="S1196" i="54" s="1"/>
  <c r="O1178" i="54"/>
  <c r="S1178" i="54" s="1"/>
  <c r="O1186" i="54"/>
  <c r="S1186" i="54" s="1"/>
  <c r="O1194" i="54"/>
  <c r="S1194" i="54" s="1"/>
  <c r="O1202" i="54"/>
  <c r="S1202" i="54" s="1"/>
  <c r="M1185" i="54"/>
  <c r="Q1185" i="54" s="1"/>
  <c r="M1193" i="54"/>
  <c r="Q1193" i="54" s="1"/>
  <c r="M1201" i="54"/>
  <c r="Q1201" i="54" s="1"/>
  <c r="M1179" i="54"/>
  <c r="Q1179" i="54" s="1"/>
  <c r="O1179" i="54"/>
  <c r="S1179" i="54" s="1"/>
  <c r="O1187" i="54"/>
  <c r="S1187" i="54" s="1"/>
  <c r="O1195" i="54"/>
  <c r="S1195" i="54" s="1"/>
  <c r="M1178" i="54"/>
  <c r="Q1178" i="54" s="1"/>
  <c r="M1186" i="54"/>
  <c r="Q1186" i="54" s="1"/>
  <c r="M1194" i="54"/>
  <c r="Q1194" i="54" s="1"/>
  <c r="M1202" i="54"/>
  <c r="Q1202" i="54" s="1"/>
  <c r="M1187" i="54"/>
  <c r="Q1187" i="54" s="1"/>
  <c r="O1123" i="54"/>
  <c r="S1123" i="54" s="1"/>
  <c r="O1131" i="54"/>
  <c r="S1131" i="54" s="1"/>
  <c r="O1139" i="54"/>
  <c r="S1139" i="54" s="1"/>
  <c r="M1122" i="54"/>
  <c r="Q1122" i="54" s="1"/>
  <c r="M1130" i="54"/>
  <c r="Q1130" i="54" s="1"/>
  <c r="M1138" i="54"/>
  <c r="Q1138" i="54" s="1"/>
  <c r="O1122" i="54"/>
  <c r="S1122" i="54" s="1"/>
  <c r="O1124" i="54"/>
  <c r="S1124" i="54" s="1"/>
  <c r="O1132" i="54"/>
  <c r="S1132" i="54" s="1"/>
  <c r="O1140" i="54"/>
  <c r="S1140" i="54" s="1"/>
  <c r="M1123" i="54"/>
  <c r="Q1123" i="54" s="1"/>
  <c r="M1131" i="54"/>
  <c r="Q1131" i="54" s="1"/>
  <c r="M1139" i="54"/>
  <c r="Q1139" i="54" s="1"/>
  <c r="O1130" i="54"/>
  <c r="S1130" i="54" s="1"/>
  <c r="O1125" i="54"/>
  <c r="S1125" i="54" s="1"/>
  <c r="O1133" i="54"/>
  <c r="S1133" i="54" s="1"/>
  <c r="O1141" i="54"/>
  <c r="S1141" i="54" s="1"/>
  <c r="M1124" i="54"/>
  <c r="Q1124" i="54" s="1"/>
  <c r="M1132" i="54"/>
  <c r="Q1132" i="54" s="1"/>
  <c r="M1140" i="54"/>
  <c r="Q1140" i="54" s="1"/>
  <c r="M1137" i="54"/>
  <c r="Q1137" i="54" s="1"/>
  <c r="O1126" i="54"/>
  <c r="S1126" i="54" s="1"/>
  <c r="O1134" i="54"/>
  <c r="S1134" i="54" s="1"/>
  <c r="O1142" i="54"/>
  <c r="S1142" i="54" s="1"/>
  <c r="M1125" i="54"/>
  <c r="Q1125" i="54" s="1"/>
  <c r="M1133" i="54"/>
  <c r="Q1133" i="54" s="1"/>
  <c r="M1141" i="54"/>
  <c r="Q1141" i="54" s="1"/>
  <c r="O1138" i="54"/>
  <c r="S1138" i="54" s="1"/>
  <c r="O1119" i="54"/>
  <c r="S1119" i="54" s="1"/>
  <c r="O1127" i="54"/>
  <c r="S1127" i="54" s="1"/>
  <c r="O1135" i="54"/>
  <c r="S1135" i="54" s="1"/>
  <c r="O1143" i="54"/>
  <c r="S1143" i="54" s="1"/>
  <c r="M1126" i="54"/>
  <c r="Q1126" i="54" s="1"/>
  <c r="M1134" i="54"/>
  <c r="Q1134" i="54" s="1"/>
  <c r="M1142" i="54"/>
  <c r="Q1142" i="54" s="1"/>
  <c r="M1129" i="54"/>
  <c r="Q1129" i="54" s="1"/>
  <c r="O1120" i="54"/>
  <c r="S1120" i="54" s="1"/>
  <c r="O1128" i="54"/>
  <c r="S1128" i="54" s="1"/>
  <c r="O1136" i="54"/>
  <c r="S1136" i="54" s="1"/>
  <c r="M1119" i="54"/>
  <c r="Q1119" i="54" s="1"/>
  <c r="M1127" i="54"/>
  <c r="Q1127" i="54" s="1"/>
  <c r="M1135" i="54"/>
  <c r="Q1135" i="54" s="1"/>
  <c r="M1143" i="54"/>
  <c r="Q1143" i="54" s="1"/>
  <c r="O1121" i="54"/>
  <c r="S1121" i="54" s="1"/>
  <c r="O1129" i="54"/>
  <c r="S1129" i="54" s="1"/>
  <c r="O1137" i="54"/>
  <c r="S1137" i="54" s="1"/>
  <c r="M1120" i="54"/>
  <c r="Q1120" i="54" s="1"/>
  <c r="M1128" i="54"/>
  <c r="Q1128" i="54" s="1"/>
  <c r="M1136" i="54"/>
  <c r="Q1136" i="54" s="1"/>
  <c r="M1121" i="54"/>
  <c r="Q1121" i="54" s="1"/>
  <c r="O1065" i="54"/>
  <c r="S1065" i="54" s="1"/>
  <c r="O1073" i="54"/>
  <c r="S1073" i="54" s="1"/>
  <c r="O1081" i="54"/>
  <c r="S1081" i="54" s="1"/>
  <c r="M1064" i="54"/>
  <c r="Q1064" i="54" s="1"/>
  <c r="M1072" i="54"/>
  <c r="Q1072" i="54" s="1"/>
  <c r="M1080" i="54"/>
  <c r="Q1080" i="54" s="1"/>
  <c r="M1070" i="54"/>
  <c r="Q1070" i="54" s="1"/>
  <c r="O1080" i="54"/>
  <c r="S1080" i="54" s="1"/>
  <c r="O1066" i="54"/>
  <c r="S1066" i="54" s="1"/>
  <c r="O1074" i="54"/>
  <c r="S1074" i="54" s="1"/>
  <c r="O1082" i="54"/>
  <c r="S1082" i="54" s="1"/>
  <c r="M1065" i="54"/>
  <c r="Q1065" i="54" s="1"/>
  <c r="M1073" i="54"/>
  <c r="Q1073" i="54" s="1"/>
  <c r="M1081" i="54"/>
  <c r="Q1081" i="54" s="1"/>
  <c r="O1079" i="54"/>
  <c r="S1079" i="54" s="1"/>
  <c r="O1064" i="54"/>
  <c r="S1064" i="54" s="1"/>
  <c r="O1059" i="54"/>
  <c r="S1059" i="54" s="1"/>
  <c r="O1067" i="54"/>
  <c r="S1067" i="54" s="1"/>
  <c r="O1075" i="54"/>
  <c r="S1075" i="54" s="1"/>
  <c r="O1083" i="54"/>
  <c r="S1083" i="54" s="1"/>
  <c r="M1066" i="54"/>
  <c r="Q1066" i="54" s="1"/>
  <c r="M1074" i="54"/>
  <c r="Q1074" i="54" s="1"/>
  <c r="M1082" i="54"/>
  <c r="Q1082" i="54" s="1"/>
  <c r="O1063" i="54"/>
  <c r="S1063" i="54" s="1"/>
  <c r="O1072" i="54"/>
  <c r="S1072" i="54" s="1"/>
  <c r="O1060" i="54"/>
  <c r="S1060" i="54" s="1"/>
  <c r="O1068" i="54"/>
  <c r="S1068" i="54" s="1"/>
  <c r="O1076" i="54"/>
  <c r="S1076" i="54" s="1"/>
  <c r="M1059" i="54"/>
  <c r="Q1059" i="54" s="1"/>
  <c r="M1067" i="54"/>
  <c r="Q1067" i="54" s="1"/>
  <c r="M1075" i="54"/>
  <c r="Q1075" i="54" s="1"/>
  <c r="M1083" i="54"/>
  <c r="Q1083" i="54" s="1"/>
  <c r="O1071" i="54"/>
  <c r="S1071" i="54" s="1"/>
  <c r="M1063" i="54"/>
  <c r="Q1063" i="54" s="1"/>
  <c r="O1061" i="54"/>
  <c r="S1061" i="54" s="1"/>
  <c r="O1069" i="54"/>
  <c r="S1069" i="54" s="1"/>
  <c r="O1077" i="54"/>
  <c r="S1077" i="54" s="1"/>
  <c r="M1060" i="54"/>
  <c r="Q1060" i="54" s="1"/>
  <c r="M1068" i="54"/>
  <c r="Q1068" i="54" s="1"/>
  <c r="M1076" i="54"/>
  <c r="Q1076" i="54" s="1"/>
  <c r="M1078" i="54"/>
  <c r="Q1078" i="54" s="1"/>
  <c r="M1079" i="54"/>
  <c r="Q1079" i="54" s="1"/>
  <c r="O1062" i="54"/>
  <c r="S1062" i="54" s="1"/>
  <c r="O1070" i="54"/>
  <c r="S1070" i="54" s="1"/>
  <c r="O1078" i="54"/>
  <c r="S1078" i="54" s="1"/>
  <c r="M1061" i="54"/>
  <c r="Q1061" i="54" s="1"/>
  <c r="M1069" i="54"/>
  <c r="Q1069" i="54" s="1"/>
  <c r="M1077" i="54"/>
  <c r="Q1077" i="54" s="1"/>
  <c r="M1062" i="54"/>
  <c r="Q1062" i="54" s="1"/>
  <c r="M1071" i="54"/>
  <c r="Q1071" i="54" s="1"/>
  <c r="O1092" i="54"/>
  <c r="S1092" i="54" s="1"/>
  <c r="O1100" i="54"/>
  <c r="S1100" i="54" s="1"/>
  <c r="O1108" i="54"/>
  <c r="S1108" i="54" s="1"/>
  <c r="M1091" i="54"/>
  <c r="Q1091" i="54" s="1"/>
  <c r="M1099" i="54"/>
  <c r="Q1099" i="54" s="1"/>
  <c r="M1107" i="54"/>
  <c r="Q1107" i="54" s="1"/>
  <c r="O1090" i="54"/>
  <c r="S1090" i="54" s="1"/>
  <c r="M1090" i="54"/>
  <c r="Q1090" i="54" s="1"/>
  <c r="O1093" i="54"/>
  <c r="S1093" i="54" s="1"/>
  <c r="O1101" i="54"/>
  <c r="S1101" i="54" s="1"/>
  <c r="O1109" i="54"/>
  <c r="S1109" i="54" s="1"/>
  <c r="M1092" i="54"/>
  <c r="Q1092" i="54" s="1"/>
  <c r="M1100" i="54"/>
  <c r="Q1100" i="54" s="1"/>
  <c r="M1108" i="54"/>
  <c r="Q1108" i="54" s="1"/>
  <c r="O1098" i="54"/>
  <c r="S1098" i="54" s="1"/>
  <c r="O1099" i="54"/>
  <c r="S1099" i="54" s="1"/>
  <c r="O1094" i="54"/>
  <c r="S1094" i="54" s="1"/>
  <c r="O1102" i="54"/>
  <c r="S1102" i="54" s="1"/>
  <c r="O1110" i="54"/>
  <c r="S1110" i="54" s="1"/>
  <c r="M1093" i="54"/>
  <c r="Q1093" i="54" s="1"/>
  <c r="M1101" i="54"/>
  <c r="Q1101" i="54" s="1"/>
  <c r="M1109" i="54"/>
  <c r="Q1109" i="54" s="1"/>
  <c r="M1097" i="54"/>
  <c r="Q1097" i="54" s="1"/>
  <c r="M1098" i="54"/>
  <c r="Q1098" i="54" s="1"/>
  <c r="O1095" i="54"/>
  <c r="S1095" i="54" s="1"/>
  <c r="O1103" i="54"/>
  <c r="S1103" i="54" s="1"/>
  <c r="O1111" i="54"/>
  <c r="S1111" i="54" s="1"/>
  <c r="M1094" i="54"/>
  <c r="Q1094" i="54" s="1"/>
  <c r="M1102" i="54"/>
  <c r="Q1102" i="54" s="1"/>
  <c r="M1110" i="54"/>
  <c r="Q1110" i="54" s="1"/>
  <c r="M1089" i="54"/>
  <c r="Q1089" i="54" s="1"/>
  <c r="O1107" i="54"/>
  <c r="S1107" i="54" s="1"/>
  <c r="O1088" i="54"/>
  <c r="S1088" i="54" s="1"/>
  <c r="O1096" i="54"/>
  <c r="S1096" i="54" s="1"/>
  <c r="O1104" i="54"/>
  <c r="S1104" i="54" s="1"/>
  <c r="O1112" i="54"/>
  <c r="S1112" i="54" s="1"/>
  <c r="M1095" i="54"/>
  <c r="Q1095" i="54" s="1"/>
  <c r="M1103" i="54"/>
  <c r="Q1103" i="54" s="1"/>
  <c r="M1111" i="54"/>
  <c r="Q1111" i="54" s="1"/>
  <c r="M1105" i="54"/>
  <c r="Q1105" i="54" s="1"/>
  <c r="M1106" i="54"/>
  <c r="Q1106" i="54" s="1"/>
  <c r="O1089" i="54"/>
  <c r="S1089" i="54" s="1"/>
  <c r="O1097" i="54"/>
  <c r="S1097" i="54" s="1"/>
  <c r="O1105" i="54"/>
  <c r="S1105" i="54" s="1"/>
  <c r="M1088" i="54"/>
  <c r="Q1088" i="54" s="1"/>
  <c r="M1096" i="54"/>
  <c r="Q1096" i="54" s="1"/>
  <c r="M1104" i="54"/>
  <c r="Q1104" i="54" s="1"/>
  <c r="M1112" i="54"/>
  <c r="Q1112" i="54" s="1"/>
  <c r="O1106" i="54"/>
  <c r="S1106" i="54" s="1"/>
  <c r="O1091" i="54"/>
  <c r="S1091" i="54" s="1"/>
  <c r="O832" i="54"/>
  <c r="S832" i="54" s="1"/>
  <c r="O840" i="54"/>
  <c r="S840" i="54" s="1"/>
  <c r="O848" i="54"/>
  <c r="S848" i="54" s="1"/>
  <c r="M831" i="54"/>
  <c r="Q831" i="54" s="1"/>
  <c r="M839" i="54"/>
  <c r="Q839" i="54" s="1"/>
  <c r="M847" i="54"/>
  <c r="Q847" i="54" s="1"/>
  <c r="M843" i="54"/>
  <c r="Q843" i="54" s="1"/>
  <c r="M844" i="54"/>
  <c r="Q844" i="54" s="1"/>
  <c r="O833" i="54"/>
  <c r="S833" i="54" s="1"/>
  <c r="O841" i="54"/>
  <c r="S841" i="54" s="1"/>
  <c r="O849" i="54"/>
  <c r="S849" i="54" s="1"/>
  <c r="M832" i="54"/>
  <c r="Q832" i="54" s="1"/>
  <c r="M840" i="54"/>
  <c r="Q840" i="54" s="1"/>
  <c r="M848" i="54"/>
  <c r="Q848" i="54" s="1"/>
  <c r="M835" i="54"/>
  <c r="Q835" i="54" s="1"/>
  <c r="O837" i="54"/>
  <c r="S837" i="54" s="1"/>
  <c r="M852" i="54"/>
  <c r="Q852" i="54" s="1"/>
  <c r="O834" i="54"/>
  <c r="S834" i="54" s="1"/>
  <c r="O842" i="54"/>
  <c r="S842" i="54" s="1"/>
  <c r="O850" i="54"/>
  <c r="S850" i="54" s="1"/>
  <c r="M833" i="54"/>
  <c r="Q833" i="54" s="1"/>
  <c r="M841" i="54"/>
  <c r="Q841" i="54" s="1"/>
  <c r="M849" i="54"/>
  <c r="Q849" i="54" s="1"/>
  <c r="M851" i="54"/>
  <c r="Q851" i="54" s="1"/>
  <c r="M836" i="54"/>
  <c r="Q836" i="54" s="1"/>
  <c r="O835" i="54"/>
  <c r="S835" i="54" s="1"/>
  <c r="O843" i="54"/>
  <c r="S843" i="54" s="1"/>
  <c r="O851" i="54"/>
  <c r="S851" i="54" s="1"/>
  <c r="M834" i="54"/>
  <c r="Q834" i="54" s="1"/>
  <c r="M842" i="54"/>
  <c r="Q842" i="54" s="1"/>
  <c r="M850" i="54"/>
  <c r="Q850" i="54" s="1"/>
  <c r="O852" i="54"/>
  <c r="S852" i="54" s="1"/>
  <c r="O829" i="54"/>
  <c r="S829" i="54" s="1"/>
  <c r="O830" i="54"/>
  <c r="S830" i="54" s="1"/>
  <c r="O838" i="54"/>
  <c r="S838" i="54" s="1"/>
  <c r="O846" i="54"/>
  <c r="S846" i="54" s="1"/>
  <c r="M829" i="54"/>
  <c r="Q829" i="54" s="1"/>
  <c r="M837" i="54"/>
  <c r="Q837" i="54" s="1"/>
  <c r="M845" i="54"/>
  <c r="Q845" i="54" s="1"/>
  <c r="M853" i="54"/>
  <c r="Q853" i="54" s="1"/>
  <c r="O844" i="54"/>
  <c r="S844" i="54" s="1"/>
  <c r="O845" i="54"/>
  <c r="S845" i="54" s="1"/>
  <c r="O831" i="54"/>
  <c r="S831" i="54" s="1"/>
  <c r="O839" i="54"/>
  <c r="S839" i="54" s="1"/>
  <c r="O847" i="54"/>
  <c r="S847" i="54" s="1"/>
  <c r="M830" i="54"/>
  <c r="Q830" i="54" s="1"/>
  <c r="M838" i="54"/>
  <c r="Q838" i="54" s="1"/>
  <c r="M846" i="54"/>
  <c r="Q846" i="54" s="1"/>
  <c r="O836" i="54"/>
  <c r="S836" i="54" s="1"/>
  <c r="O853" i="54"/>
  <c r="S853" i="54" s="1"/>
  <c r="O774" i="54"/>
  <c r="S774" i="54" s="1"/>
  <c r="O782" i="54"/>
  <c r="S782" i="54" s="1"/>
  <c r="O790" i="54"/>
  <c r="S790" i="54" s="1"/>
  <c r="M773" i="54"/>
  <c r="Q773" i="54" s="1"/>
  <c r="M781" i="54"/>
  <c r="Q781" i="54" s="1"/>
  <c r="M789" i="54"/>
  <c r="Q789" i="54" s="1"/>
  <c r="O788" i="54"/>
  <c r="S788" i="54" s="1"/>
  <c r="O781" i="54"/>
  <c r="S781" i="54" s="1"/>
  <c r="O775" i="54"/>
  <c r="S775" i="54" s="1"/>
  <c r="O783" i="54"/>
  <c r="S783" i="54" s="1"/>
  <c r="O791" i="54"/>
  <c r="S791" i="54" s="1"/>
  <c r="M774" i="54"/>
  <c r="Q774" i="54" s="1"/>
  <c r="M782" i="54"/>
  <c r="Q782" i="54" s="1"/>
  <c r="M790" i="54"/>
  <c r="Q790" i="54" s="1"/>
  <c r="O772" i="54"/>
  <c r="S772" i="54" s="1"/>
  <c r="M780" i="54"/>
  <c r="Q780" i="54" s="1"/>
  <c r="O776" i="54"/>
  <c r="S776" i="54" s="1"/>
  <c r="O784" i="54"/>
  <c r="S784" i="54" s="1"/>
  <c r="O792" i="54"/>
  <c r="S792" i="54" s="1"/>
  <c r="M775" i="54"/>
  <c r="Q775" i="54" s="1"/>
  <c r="M783" i="54"/>
  <c r="Q783" i="54" s="1"/>
  <c r="M791" i="54"/>
  <c r="Q791" i="54" s="1"/>
  <c r="M787" i="54"/>
  <c r="Q787" i="54" s="1"/>
  <c r="M788" i="54"/>
  <c r="Q788" i="54" s="1"/>
  <c r="O777" i="54"/>
  <c r="S777" i="54" s="1"/>
  <c r="O785" i="54"/>
  <c r="S785" i="54" s="1"/>
  <c r="O793" i="54"/>
  <c r="S793" i="54" s="1"/>
  <c r="M776" i="54"/>
  <c r="Q776" i="54" s="1"/>
  <c r="M784" i="54"/>
  <c r="Q784" i="54" s="1"/>
  <c r="M792" i="54"/>
  <c r="Q792" i="54" s="1"/>
  <c r="M771" i="54"/>
  <c r="Q771" i="54" s="1"/>
  <c r="O773" i="54"/>
  <c r="S773" i="54" s="1"/>
  <c r="O770" i="54"/>
  <c r="S770" i="54" s="1"/>
  <c r="O778" i="54"/>
  <c r="S778" i="54" s="1"/>
  <c r="O786" i="54"/>
  <c r="S786" i="54" s="1"/>
  <c r="O794" i="54"/>
  <c r="S794" i="54" s="1"/>
  <c r="M777" i="54"/>
  <c r="Q777" i="54" s="1"/>
  <c r="M785" i="54"/>
  <c r="Q785" i="54" s="1"/>
  <c r="M793" i="54"/>
  <c r="Q793" i="54" s="1"/>
  <c r="M779" i="54"/>
  <c r="Q779" i="54" s="1"/>
  <c r="M772" i="54"/>
  <c r="Q772" i="54" s="1"/>
  <c r="O771" i="54"/>
  <c r="S771" i="54" s="1"/>
  <c r="O779" i="54"/>
  <c r="S779" i="54" s="1"/>
  <c r="O787" i="54"/>
  <c r="S787" i="54" s="1"/>
  <c r="M770" i="54"/>
  <c r="Q770" i="54" s="1"/>
  <c r="M778" i="54"/>
  <c r="Q778" i="54" s="1"/>
  <c r="M786" i="54"/>
  <c r="Q786" i="54" s="1"/>
  <c r="M794" i="54"/>
  <c r="Q794" i="54" s="1"/>
  <c r="O780" i="54"/>
  <c r="S780" i="54" s="1"/>
  <c r="O789" i="54"/>
  <c r="S789" i="54" s="1"/>
  <c r="O716" i="54"/>
  <c r="S716" i="54" s="1"/>
  <c r="O724" i="54"/>
  <c r="S724" i="54" s="1"/>
  <c r="O732" i="54"/>
  <c r="S732" i="54" s="1"/>
  <c r="M715" i="54"/>
  <c r="Q715" i="54" s="1"/>
  <c r="M723" i="54"/>
  <c r="Q723" i="54" s="1"/>
  <c r="M731" i="54"/>
  <c r="Q731" i="54" s="1"/>
  <c r="O715" i="54"/>
  <c r="S715" i="54" s="1"/>
  <c r="O717" i="54"/>
  <c r="S717" i="54" s="1"/>
  <c r="O725" i="54"/>
  <c r="S725" i="54" s="1"/>
  <c r="O733" i="54"/>
  <c r="S733" i="54" s="1"/>
  <c r="M716" i="54"/>
  <c r="Q716" i="54" s="1"/>
  <c r="M724" i="54"/>
  <c r="Q724" i="54" s="1"/>
  <c r="M732" i="54"/>
  <c r="Q732" i="54" s="1"/>
  <c r="O723" i="54"/>
  <c r="S723" i="54" s="1"/>
  <c r="O710" i="54"/>
  <c r="S710" i="54" s="1"/>
  <c r="O718" i="54"/>
  <c r="S718" i="54" s="1"/>
  <c r="O726" i="54"/>
  <c r="S726" i="54" s="1"/>
  <c r="O734" i="54"/>
  <c r="S734" i="54" s="1"/>
  <c r="M717" i="54"/>
  <c r="Q717" i="54" s="1"/>
  <c r="M725" i="54"/>
  <c r="Q725" i="54" s="1"/>
  <c r="M733" i="54"/>
  <c r="Q733" i="54" s="1"/>
  <c r="M730" i="54"/>
  <c r="Q730" i="54" s="1"/>
  <c r="O711" i="54"/>
  <c r="S711" i="54" s="1"/>
  <c r="O719" i="54"/>
  <c r="S719" i="54" s="1"/>
  <c r="O727" i="54"/>
  <c r="S727" i="54" s="1"/>
  <c r="M710" i="54"/>
  <c r="Q710" i="54" s="1"/>
  <c r="M718" i="54"/>
  <c r="Q718" i="54" s="1"/>
  <c r="M726" i="54"/>
  <c r="Q726" i="54" s="1"/>
  <c r="M734" i="54"/>
  <c r="Q734" i="54" s="1"/>
  <c r="M714" i="54"/>
  <c r="Q714" i="54" s="1"/>
  <c r="O712" i="54"/>
  <c r="S712" i="54" s="1"/>
  <c r="O720" i="54"/>
  <c r="S720" i="54" s="1"/>
  <c r="O728" i="54"/>
  <c r="S728" i="54" s="1"/>
  <c r="M711" i="54"/>
  <c r="Q711" i="54" s="1"/>
  <c r="M719" i="54"/>
  <c r="Q719" i="54" s="1"/>
  <c r="M727" i="54"/>
  <c r="Q727" i="54" s="1"/>
  <c r="M722" i="54"/>
  <c r="Q722" i="54" s="1"/>
  <c r="O713" i="54"/>
  <c r="S713" i="54" s="1"/>
  <c r="O721" i="54"/>
  <c r="S721" i="54" s="1"/>
  <c r="O729" i="54"/>
  <c r="S729" i="54" s="1"/>
  <c r="M712" i="54"/>
  <c r="Q712" i="54" s="1"/>
  <c r="M720" i="54"/>
  <c r="Q720" i="54" s="1"/>
  <c r="M728" i="54"/>
  <c r="Q728" i="54" s="1"/>
  <c r="O731" i="54"/>
  <c r="S731" i="54" s="1"/>
  <c r="O714" i="54"/>
  <c r="S714" i="54" s="1"/>
  <c r="O722" i="54"/>
  <c r="S722" i="54" s="1"/>
  <c r="O730" i="54"/>
  <c r="S730" i="54" s="1"/>
  <c r="M713" i="54"/>
  <c r="Q713" i="54" s="1"/>
  <c r="M721" i="54"/>
  <c r="Q721" i="54" s="1"/>
  <c r="M729" i="54"/>
  <c r="Q729" i="54" s="1"/>
  <c r="O743" i="54"/>
  <c r="S743" i="54" s="1"/>
  <c r="O751" i="54"/>
  <c r="S751" i="54" s="1"/>
  <c r="O759" i="54"/>
  <c r="S759" i="54" s="1"/>
  <c r="M742" i="54"/>
  <c r="Q742" i="54" s="1"/>
  <c r="M750" i="54"/>
  <c r="Q750" i="54" s="1"/>
  <c r="M758" i="54"/>
  <c r="Q758" i="54" s="1"/>
  <c r="O742" i="54"/>
  <c r="S742" i="54" s="1"/>
  <c r="O744" i="54"/>
  <c r="S744" i="54" s="1"/>
  <c r="O752" i="54"/>
  <c r="S752" i="54" s="1"/>
  <c r="O760" i="54"/>
  <c r="S760" i="54" s="1"/>
  <c r="M743" i="54"/>
  <c r="Q743" i="54" s="1"/>
  <c r="M751" i="54"/>
  <c r="Q751" i="54" s="1"/>
  <c r="M759" i="54"/>
  <c r="Q759" i="54" s="1"/>
  <c r="M749" i="54"/>
  <c r="Q749" i="54" s="1"/>
  <c r="O745" i="54"/>
  <c r="S745" i="54" s="1"/>
  <c r="O753" i="54"/>
  <c r="S753" i="54" s="1"/>
  <c r="O761" i="54"/>
  <c r="S761" i="54" s="1"/>
  <c r="M744" i="54"/>
  <c r="Q744" i="54" s="1"/>
  <c r="M752" i="54"/>
  <c r="Q752" i="54" s="1"/>
  <c r="M760" i="54"/>
  <c r="Q760" i="54" s="1"/>
  <c r="M741" i="54"/>
  <c r="Q741" i="54" s="1"/>
  <c r="O746" i="54"/>
  <c r="S746" i="54" s="1"/>
  <c r="O754" i="54"/>
  <c r="S754" i="54" s="1"/>
  <c r="O762" i="54"/>
  <c r="S762" i="54" s="1"/>
  <c r="M745" i="54"/>
  <c r="Q745" i="54" s="1"/>
  <c r="M753" i="54"/>
  <c r="Q753" i="54" s="1"/>
  <c r="M761" i="54"/>
  <c r="Q761" i="54" s="1"/>
  <c r="M757" i="54"/>
  <c r="Q757" i="54" s="1"/>
  <c r="O739" i="54"/>
  <c r="S739" i="54" s="1"/>
  <c r="O747" i="54"/>
  <c r="S747" i="54" s="1"/>
  <c r="O755" i="54"/>
  <c r="S755" i="54" s="1"/>
  <c r="O763" i="54"/>
  <c r="S763" i="54" s="1"/>
  <c r="M746" i="54"/>
  <c r="Q746" i="54" s="1"/>
  <c r="M754" i="54"/>
  <c r="Q754" i="54" s="1"/>
  <c r="M762" i="54"/>
  <c r="Q762" i="54" s="1"/>
  <c r="O758" i="54"/>
  <c r="S758" i="54" s="1"/>
  <c r="O740" i="54"/>
  <c r="S740" i="54" s="1"/>
  <c r="O748" i="54"/>
  <c r="S748" i="54" s="1"/>
  <c r="O756" i="54"/>
  <c r="S756" i="54" s="1"/>
  <c r="M739" i="54"/>
  <c r="Q739" i="54" s="1"/>
  <c r="M747" i="54"/>
  <c r="Q747" i="54" s="1"/>
  <c r="M755" i="54"/>
  <c r="Q755" i="54" s="1"/>
  <c r="M763" i="54"/>
  <c r="Q763" i="54" s="1"/>
  <c r="O741" i="54"/>
  <c r="S741" i="54" s="1"/>
  <c r="O749" i="54"/>
  <c r="S749" i="54" s="1"/>
  <c r="O757" i="54"/>
  <c r="S757" i="54" s="1"/>
  <c r="M740" i="54"/>
  <c r="Q740" i="54" s="1"/>
  <c r="M748" i="54"/>
  <c r="Q748" i="54" s="1"/>
  <c r="M756" i="54"/>
  <c r="Q756" i="54" s="1"/>
  <c r="O750" i="54"/>
  <c r="S750" i="54" s="1"/>
  <c r="O425" i="54"/>
  <c r="S425" i="54" s="1"/>
  <c r="O433" i="54"/>
  <c r="S433" i="54" s="1"/>
  <c r="O441" i="54"/>
  <c r="S441" i="54" s="1"/>
  <c r="M424" i="54"/>
  <c r="Q424" i="54" s="1"/>
  <c r="M432" i="54"/>
  <c r="Q432" i="54" s="1"/>
  <c r="M440" i="54"/>
  <c r="Q440" i="54" s="1"/>
  <c r="M423" i="54"/>
  <c r="Q423" i="54" s="1"/>
  <c r="O426" i="54"/>
  <c r="S426" i="54" s="1"/>
  <c r="O434" i="54"/>
  <c r="S434" i="54" s="1"/>
  <c r="O442" i="54"/>
  <c r="S442" i="54" s="1"/>
  <c r="M425" i="54"/>
  <c r="Q425" i="54" s="1"/>
  <c r="M433" i="54"/>
  <c r="Q433" i="54" s="1"/>
  <c r="M441" i="54"/>
  <c r="Q441" i="54" s="1"/>
  <c r="M439" i="54"/>
  <c r="Q439" i="54" s="1"/>
  <c r="O427" i="54"/>
  <c r="S427" i="54" s="1"/>
  <c r="O435" i="54"/>
  <c r="S435" i="54" s="1"/>
  <c r="O443" i="54"/>
  <c r="S443" i="54" s="1"/>
  <c r="M426" i="54"/>
  <c r="Q426" i="54" s="1"/>
  <c r="M434" i="54"/>
  <c r="Q434" i="54" s="1"/>
  <c r="M442" i="54"/>
  <c r="Q442" i="54" s="1"/>
  <c r="O432" i="54"/>
  <c r="S432" i="54" s="1"/>
  <c r="O428" i="54"/>
  <c r="S428" i="54" s="1"/>
  <c r="O436" i="54"/>
  <c r="S436" i="54" s="1"/>
  <c r="O444" i="54"/>
  <c r="S444" i="54" s="1"/>
  <c r="M427" i="54"/>
  <c r="Q427" i="54" s="1"/>
  <c r="M435" i="54"/>
  <c r="Q435" i="54" s="1"/>
  <c r="M443" i="54"/>
  <c r="Q443" i="54" s="1"/>
  <c r="O421" i="54"/>
  <c r="S421" i="54" s="1"/>
  <c r="O429" i="54"/>
  <c r="S429" i="54" s="1"/>
  <c r="O437" i="54"/>
  <c r="S437" i="54" s="1"/>
  <c r="O445" i="54"/>
  <c r="S445" i="54" s="1"/>
  <c r="M428" i="54"/>
  <c r="Q428" i="54" s="1"/>
  <c r="M436" i="54"/>
  <c r="Q436" i="54" s="1"/>
  <c r="M444" i="54"/>
  <c r="Q444" i="54" s="1"/>
  <c r="O422" i="54"/>
  <c r="S422" i="54" s="1"/>
  <c r="O430" i="54"/>
  <c r="S430" i="54" s="1"/>
  <c r="O438" i="54"/>
  <c r="S438" i="54" s="1"/>
  <c r="M421" i="54"/>
  <c r="Q421" i="54" s="1"/>
  <c r="M429" i="54"/>
  <c r="Q429" i="54" s="1"/>
  <c r="M437" i="54"/>
  <c r="Q437" i="54" s="1"/>
  <c r="M445" i="54"/>
  <c r="Q445" i="54" s="1"/>
  <c r="O440" i="54"/>
  <c r="S440" i="54" s="1"/>
  <c r="O423" i="54"/>
  <c r="S423" i="54" s="1"/>
  <c r="O431" i="54"/>
  <c r="S431" i="54" s="1"/>
  <c r="O439" i="54"/>
  <c r="S439" i="54" s="1"/>
  <c r="M422" i="54"/>
  <c r="Q422" i="54" s="1"/>
  <c r="M430" i="54"/>
  <c r="Q430" i="54" s="1"/>
  <c r="M438" i="54"/>
  <c r="Q438" i="54" s="1"/>
  <c r="O424" i="54"/>
  <c r="S424" i="54" s="1"/>
  <c r="M431" i="54"/>
  <c r="Q431" i="54" s="1"/>
  <c r="O483" i="54"/>
  <c r="S483" i="54" s="1"/>
  <c r="O491" i="54"/>
  <c r="S491" i="54" s="1"/>
  <c r="O499" i="54"/>
  <c r="S499" i="54" s="1"/>
  <c r="M482" i="54"/>
  <c r="Q482" i="54" s="1"/>
  <c r="M490" i="54"/>
  <c r="Q490" i="54" s="1"/>
  <c r="M498" i="54"/>
  <c r="Q498" i="54" s="1"/>
  <c r="M487" i="54"/>
  <c r="Q487" i="54" s="1"/>
  <c r="M497" i="54"/>
  <c r="Q497" i="54" s="1"/>
  <c r="O484" i="54"/>
  <c r="S484" i="54" s="1"/>
  <c r="O492" i="54"/>
  <c r="S492" i="54" s="1"/>
  <c r="O500" i="54"/>
  <c r="S500" i="54" s="1"/>
  <c r="M483" i="54"/>
  <c r="Q483" i="54" s="1"/>
  <c r="M491" i="54"/>
  <c r="Q491" i="54" s="1"/>
  <c r="M499" i="54"/>
  <c r="Q499" i="54" s="1"/>
  <c r="O480" i="54"/>
  <c r="S480" i="54" s="1"/>
  <c r="M495" i="54"/>
  <c r="Q495" i="54" s="1"/>
  <c r="O498" i="54"/>
  <c r="S498" i="54" s="1"/>
  <c r="O485" i="54"/>
  <c r="S485" i="54" s="1"/>
  <c r="O493" i="54"/>
  <c r="S493" i="54" s="1"/>
  <c r="O501" i="54"/>
  <c r="S501" i="54" s="1"/>
  <c r="M484" i="54"/>
  <c r="Q484" i="54" s="1"/>
  <c r="M492" i="54"/>
  <c r="Q492" i="54" s="1"/>
  <c r="M500" i="54"/>
  <c r="Q500" i="54" s="1"/>
  <c r="O504" i="54"/>
  <c r="S504" i="54" s="1"/>
  <c r="M489" i="54"/>
  <c r="Q489" i="54" s="1"/>
  <c r="O486" i="54"/>
  <c r="S486" i="54" s="1"/>
  <c r="O494" i="54"/>
  <c r="S494" i="54" s="1"/>
  <c r="O502" i="54"/>
  <c r="S502" i="54" s="1"/>
  <c r="M485" i="54"/>
  <c r="Q485" i="54" s="1"/>
  <c r="M493" i="54"/>
  <c r="Q493" i="54" s="1"/>
  <c r="M501" i="54"/>
  <c r="Q501" i="54" s="1"/>
  <c r="M481" i="54"/>
  <c r="Q481" i="54" s="1"/>
  <c r="O487" i="54"/>
  <c r="S487" i="54" s="1"/>
  <c r="O495" i="54"/>
  <c r="S495" i="54" s="1"/>
  <c r="O503" i="54"/>
  <c r="S503" i="54" s="1"/>
  <c r="M486" i="54"/>
  <c r="Q486" i="54" s="1"/>
  <c r="M494" i="54"/>
  <c r="Q494" i="54" s="1"/>
  <c r="M502" i="54"/>
  <c r="Q502" i="54" s="1"/>
  <c r="O488" i="54"/>
  <c r="S488" i="54" s="1"/>
  <c r="O496" i="54"/>
  <c r="S496" i="54" s="1"/>
  <c r="M503" i="54"/>
  <c r="Q503" i="54" s="1"/>
  <c r="O482" i="54"/>
  <c r="S482" i="54" s="1"/>
  <c r="O481" i="54"/>
  <c r="S481" i="54" s="1"/>
  <c r="O489" i="54"/>
  <c r="S489" i="54" s="1"/>
  <c r="O497" i="54"/>
  <c r="S497" i="54" s="1"/>
  <c r="M480" i="54"/>
  <c r="Q480" i="54" s="1"/>
  <c r="M488" i="54"/>
  <c r="Q488" i="54" s="1"/>
  <c r="M496" i="54"/>
  <c r="Q496" i="54" s="1"/>
  <c r="M504" i="54"/>
  <c r="Q504" i="54" s="1"/>
  <c r="O490" i="54"/>
  <c r="S490" i="54" s="1"/>
  <c r="O394" i="54"/>
  <c r="S394" i="54" s="1"/>
  <c r="O402" i="54"/>
  <c r="S402" i="54" s="1"/>
  <c r="O410" i="54"/>
  <c r="S410" i="54" s="1"/>
  <c r="M393" i="54"/>
  <c r="Q393" i="54" s="1"/>
  <c r="M401" i="54"/>
  <c r="Q401" i="54" s="1"/>
  <c r="M409" i="54"/>
  <c r="Q409" i="54" s="1"/>
  <c r="O393" i="54"/>
  <c r="S393" i="54" s="1"/>
  <c r="O395" i="54"/>
  <c r="S395" i="54" s="1"/>
  <c r="O403" i="54"/>
  <c r="S403" i="54" s="1"/>
  <c r="O411" i="54"/>
  <c r="S411" i="54" s="1"/>
  <c r="M394" i="54"/>
  <c r="Q394" i="54" s="1"/>
  <c r="M402" i="54"/>
  <c r="Q402" i="54" s="1"/>
  <c r="M410" i="54"/>
  <c r="Q410" i="54" s="1"/>
  <c r="O401" i="54"/>
  <c r="S401" i="54" s="1"/>
  <c r="O396" i="54"/>
  <c r="S396" i="54" s="1"/>
  <c r="O404" i="54"/>
  <c r="S404" i="54" s="1"/>
  <c r="O412" i="54"/>
  <c r="S412" i="54" s="1"/>
  <c r="M395" i="54"/>
  <c r="Q395" i="54" s="1"/>
  <c r="M403" i="54"/>
  <c r="Q403" i="54" s="1"/>
  <c r="M411" i="54"/>
  <c r="Q411" i="54" s="1"/>
  <c r="O397" i="54"/>
  <c r="S397" i="54" s="1"/>
  <c r="O405" i="54"/>
  <c r="S405" i="54" s="1"/>
  <c r="O413" i="54"/>
  <c r="S413" i="54" s="1"/>
  <c r="M396" i="54"/>
  <c r="Q396" i="54" s="1"/>
  <c r="M404" i="54"/>
  <c r="Q404" i="54" s="1"/>
  <c r="M412" i="54"/>
  <c r="Q412" i="54" s="1"/>
  <c r="M392" i="54"/>
  <c r="Q392" i="54" s="1"/>
  <c r="O390" i="54"/>
  <c r="S390" i="54" s="1"/>
  <c r="O398" i="54"/>
  <c r="S398" i="54" s="1"/>
  <c r="O406" i="54"/>
  <c r="S406" i="54" s="1"/>
  <c r="O414" i="54"/>
  <c r="S414" i="54" s="1"/>
  <c r="M397" i="54"/>
  <c r="Q397" i="54" s="1"/>
  <c r="M405" i="54"/>
  <c r="Q405" i="54" s="1"/>
  <c r="M413" i="54"/>
  <c r="Q413" i="54" s="1"/>
  <c r="M400" i="54"/>
  <c r="Q400" i="54" s="1"/>
  <c r="O391" i="54"/>
  <c r="S391" i="54" s="1"/>
  <c r="O399" i="54"/>
  <c r="S399" i="54" s="1"/>
  <c r="O407" i="54"/>
  <c r="S407" i="54" s="1"/>
  <c r="M390" i="54"/>
  <c r="Q390" i="54" s="1"/>
  <c r="M398" i="54"/>
  <c r="Q398" i="54" s="1"/>
  <c r="M406" i="54"/>
  <c r="Q406" i="54" s="1"/>
  <c r="M414" i="54"/>
  <c r="Q414" i="54" s="1"/>
  <c r="O409" i="54"/>
  <c r="S409" i="54" s="1"/>
  <c r="O392" i="54"/>
  <c r="S392" i="54" s="1"/>
  <c r="O400" i="54"/>
  <c r="S400" i="54" s="1"/>
  <c r="O408" i="54"/>
  <c r="S408" i="54" s="1"/>
  <c r="M391" i="54"/>
  <c r="Q391" i="54" s="1"/>
  <c r="M399" i="54"/>
  <c r="Q399" i="54" s="1"/>
  <c r="M407" i="54"/>
  <c r="Q407" i="54" s="1"/>
  <c r="M408" i="54"/>
  <c r="Q408" i="54" s="1"/>
  <c r="O367" i="54"/>
  <c r="S367" i="54" s="1"/>
  <c r="O375" i="54"/>
  <c r="S375" i="54" s="1"/>
  <c r="O383" i="54"/>
  <c r="S383" i="54" s="1"/>
  <c r="M366" i="54"/>
  <c r="Q366" i="54" s="1"/>
  <c r="M374" i="54"/>
  <c r="Q374" i="54" s="1"/>
  <c r="M382" i="54"/>
  <c r="Q382" i="54" s="1"/>
  <c r="O366" i="54"/>
  <c r="S366" i="54" s="1"/>
  <c r="O368" i="54"/>
  <c r="S368" i="54" s="1"/>
  <c r="O376" i="54"/>
  <c r="S376" i="54" s="1"/>
  <c r="O384" i="54"/>
  <c r="S384" i="54" s="1"/>
  <c r="M367" i="54"/>
  <c r="Q367" i="54" s="1"/>
  <c r="M375" i="54"/>
  <c r="Q375" i="54" s="1"/>
  <c r="M383" i="54"/>
  <c r="Q383" i="54" s="1"/>
  <c r="O382" i="54"/>
  <c r="S382" i="54" s="1"/>
  <c r="O361" i="54"/>
  <c r="S361" i="54" s="1"/>
  <c r="O369" i="54"/>
  <c r="S369" i="54" s="1"/>
  <c r="O377" i="54"/>
  <c r="S377" i="54" s="1"/>
  <c r="O385" i="54"/>
  <c r="S385" i="54" s="1"/>
  <c r="M368" i="54"/>
  <c r="Q368" i="54" s="1"/>
  <c r="M376" i="54"/>
  <c r="Q376" i="54" s="1"/>
  <c r="M384" i="54"/>
  <c r="Q384" i="54" s="1"/>
  <c r="O362" i="54"/>
  <c r="S362" i="54" s="1"/>
  <c r="O370" i="54"/>
  <c r="S370" i="54" s="1"/>
  <c r="O378" i="54"/>
  <c r="S378" i="54" s="1"/>
  <c r="M361" i="54"/>
  <c r="Q361" i="54" s="1"/>
  <c r="M369" i="54"/>
  <c r="Q369" i="54" s="1"/>
  <c r="M377" i="54"/>
  <c r="Q377" i="54" s="1"/>
  <c r="M385" i="54"/>
  <c r="Q385" i="54" s="1"/>
  <c r="M365" i="54"/>
  <c r="Q365" i="54" s="1"/>
  <c r="O363" i="54"/>
  <c r="S363" i="54" s="1"/>
  <c r="O371" i="54"/>
  <c r="S371" i="54" s="1"/>
  <c r="O379" i="54"/>
  <c r="S379" i="54" s="1"/>
  <c r="M362" i="54"/>
  <c r="Q362" i="54" s="1"/>
  <c r="M370" i="54"/>
  <c r="Q370" i="54" s="1"/>
  <c r="M378" i="54"/>
  <c r="Q378" i="54" s="1"/>
  <c r="M373" i="54"/>
  <c r="Q373" i="54" s="1"/>
  <c r="O364" i="54"/>
  <c r="S364" i="54" s="1"/>
  <c r="O372" i="54"/>
  <c r="S372" i="54" s="1"/>
  <c r="O380" i="54"/>
  <c r="S380" i="54" s="1"/>
  <c r="M363" i="54"/>
  <c r="Q363" i="54" s="1"/>
  <c r="M371" i="54"/>
  <c r="Q371" i="54" s="1"/>
  <c r="M379" i="54"/>
  <c r="Q379" i="54" s="1"/>
  <c r="O374" i="54"/>
  <c r="S374" i="54" s="1"/>
  <c r="O365" i="54"/>
  <c r="S365" i="54" s="1"/>
  <c r="O373" i="54"/>
  <c r="S373" i="54" s="1"/>
  <c r="O381" i="54"/>
  <c r="S381" i="54" s="1"/>
  <c r="M364" i="54"/>
  <c r="Q364" i="54" s="1"/>
  <c r="M372" i="54"/>
  <c r="Q372" i="54" s="1"/>
  <c r="M380" i="54"/>
  <c r="Q380" i="54" s="1"/>
  <c r="M381" i="54"/>
  <c r="Q381" i="54" s="1"/>
  <c r="O134" i="54"/>
  <c r="S134" i="54" s="1"/>
  <c r="O142" i="54"/>
  <c r="S142" i="54" s="1"/>
  <c r="O150" i="54"/>
  <c r="S150" i="54" s="1"/>
  <c r="M133" i="54"/>
  <c r="Q133" i="54" s="1"/>
  <c r="M141" i="54"/>
  <c r="Q141" i="54" s="1"/>
  <c r="M149" i="54"/>
  <c r="Q149" i="54" s="1"/>
  <c r="O141" i="54"/>
  <c r="S141" i="54" s="1"/>
  <c r="O135" i="54"/>
  <c r="S135" i="54" s="1"/>
  <c r="O143" i="54"/>
  <c r="S143" i="54" s="1"/>
  <c r="O151" i="54"/>
  <c r="S151" i="54" s="1"/>
  <c r="M134" i="54"/>
  <c r="Q134" i="54" s="1"/>
  <c r="M142" i="54"/>
  <c r="Q142" i="54" s="1"/>
  <c r="M150" i="54"/>
  <c r="Q150" i="54" s="1"/>
  <c r="M140" i="54"/>
  <c r="Q140" i="54" s="1"/>
  <c r="O136" i="54"/>
  <c r="S136" i="54" s="1"/>
  <c r="O144" i="54"/>
  <c r="S144" i="54" s="1"/>
  <c r="O152" i="54"/>
  <c r="S152" i="54" s="1"/>
  <c r="M135" i="54"/>
  <c r="Q135" i="54" s="1"/>
  <c r="M143" i="54"/>
  <c r="Q143" i="54" s="1"/>
  <c r="M151" i="54"/>
  <c r="Q151" i="54" s="1"/>
  <c r="O133" i="54"/>
  <c r="S133" i="54" s="1"/>
  <c r="O137" i="54"/>
  <c r="S137" i="54" s="1"/>
  <c r="O145" i="54"/>
  <c r="S145" i="54" s="1"/>
  <c r="O153" i="54"/>
  <c r="S153" i="54" s="1"/>
  <c r="M136" i="54"/>
  <c r="Q136" i="54" s="1"/>
  <c r="M144" i="54"/>
  <c r="Q144" i="54" s="1"/>
  <c r="M152" i="54"/>
  <c r="Q152" i="54" s="1"/>
  <c r="M148" i="54"/>
  <c r="Q148" i="54" s="1"/>
  <c r="O138" i="54"/>
  <c r="S138" i="54" s="1"/>
  <c r="O146" i="54"/>
  <c r="S146" i="54" s="1"/>
  <c r="O154" i="54"/>
  <c r="S154" i="54" s="1"/>
  <c r="M137" i="54"/>
  <c r="Q137" i="54" s="1"/>
  <c r="M145" i="54"/>
  <c r="Q145" i="54" s="1"/>
  <c r="M153" i="54"/>
  <c r="Q153" i="54" s="1"/>
  <c r="O149" i="54"/>
  <c r="S149" i="54" s="1"/>
  <c r="O131" i="54"/>
  <c r="S131" i="54" s="1"/>
  <c r="O139" i="54"/>
  <c r="S139" i="54" s="1"/>
  <c r="O147" i="54"/>
  <c r="S147" i="54" s="1"/>
  <c r="O155" i="54"/>
  <c r="S155" i="54" s="1"/>
  <c r="M138" i="54"/>
  <c r="Q138" i="54" s="1"/>
  <c r="M146" i="54"/>
  <c r="Q146" i="54" s="1"/>
  <c r="M154" i="54"/>
  <c r="Q154" i="54" s="1"/>
  <c r="M132" i="54"/>
  <c r="Q132" i="54" s="1"/>
  <c r="O132" i="54"/>
  <c r="S132" i="54" s="1"/>
  <c r="O140" i="54"/>
  <c r="S140" i="54" s="1"/>
  <c r="O148" i="54"/>
  <c r="S148" i="54" s="1"/>
  <c r="M131" i="54"/>
  <c r="Q131" i="54" s="1"/>
  <c r="M139" i="54"/>
  <c r="Q139" i="54" s="1"/>
  <c r="M147" i="54"/>
  <c r="Q147" i="54" s="1"/>
  <c r="M155" i="54"/>
  <c r="Q155" i="54" s="1"/>
  <c r="O76" i="54"/>
  <c r="S76" i="54" s="1"/>
  <c r="O84" i="54"/>
  <c r="S84" i="54" s="1"/>
  <c r="O92" i="54"/>
  <c r="S92" i="54" s="1"/>
  <c r="M75" i="54"/>
  <c r="Q75" i="54" s="1"/>
  <c r="M83" i="54"/>
  <c r="Q83" i="54" s="1"/>
  <c r="M91" i="54"/>
  <c r="Q91" i="54" s="1"/>
  <c r="O91" i="54"/>
  <c r="S91" i="54" s="1"/>
  <c r="O77" i="54"/>
  <c r="S77" i="54" s="1"/>
  <c r="O85" i="54"/>
  <c r="S85" i="54" s="1"/>
  <c r="O93" i="54"/>
  <c r="S93" i="54" s="1"/>
  <c r="M76" i="54"/>
  <c r="Q76" i="54" s="1"/>
  <c r="M84" i="54"/>
  <c r="Q84" i="54" s="1"/>
  <c r="M92" i="54"/>
  <c r="Q92" i="54" s="1"/>
  <c r="M90" i="54"/>
  <c r="Q90" i="54" s="1"/>
  <c r="O78" i="54"/>
  <c r="S78" i="54" s="1"/>
  <c r="O86" i="54"/>
  <c r="S86" i="54" s="1"/>
  <c r="O94" i="54"/>
  <c r="S94" i="54" s="1"/>
  <c r="M77" i="54"/>
  <c r="Q77" i="54" s="1"/>
  <c r="M85" i="54"/>
  <c r="Q85" i="54" s="1"/>
  <c r="M93" i="54"/>
  <c r="Q93" i="54" s="1"/>
  <c r="O75" i="54"/>
  <c r="S75" i="54" s="1"/>
  <c r="O79" i="54"/>
  <c r="S79" i="54" s="1"/>
  <c r="O87" i="54"/>
  <c r="S87" i="54" s="1"/>
  <c r="O95" i="54"/>
  <c r="S95" i="54" s="1"/>
  <c r="M78" i="54"/>
  <c r="Q78" i="54" s="1"/>
  <c r="M86" i="54"/>
  <c r="Q86" i="54" s="1"/>
  <c r="M94" i="54"/>
  <c r="Q94" i="54" s="1"/>
  <c r="M82" i="54"/>
  <c r="Q82" i="54" s="1"/>
  <c r="O72" i="54"/>
  <c r="S72" i="54" s="1"/>
  <c r="O80" i="54"/>
  <c r="S80" i="54" s="1"/>
  <c r="O88" i="54"/>
  <c r="S88" i="54" s="1"/>
  <c r="O96" i="54"/>
  <c r="S96" i="54" s="1"/>
  <c r="M79" i="54"/>
  <c r="Q79" i="54" s="1"/>
  <c r="M87" i="54"/>
  <c r="Q87" i="54" s="1"/>
  <c r="M95" i="54"/>
  <c r="Q95" i="54" s="1"/>
  <c r="O83" i="54"/>
  <c r="S83" i="54" s="1"/>
  <c r="O73" i="54"/>
  <c r="S73" i="54" s="1"/>
  <c r="O81" i="54"/>
  <c r="S81" i="54" s="1"/>
  <c r="O89" i="54"/>
  <c r="S89" i="54" s="1"/>
  <c r="M72" i="54"/>
  <c r="Q72" i="54" s="1"/>
  <c r="M80" i="54"/>
  <c r="Q80" i="54" s="1"/>
  <c r="M88" i="54"/>
  <c r="Q88" i="54" s="1"/>
  <c r="M96" i="54"/>
  <c r="Q96" i="54" s="1"/>
  <c r="O74" i="54"/>
  <c r="S74" i="54" s="1"/>
  <c r="O82" i="54"/>
  <c r="S82" i="54" s="1"/>
  <c r="O90" i="54"/>
  <c r="S90" i="54" s="1"/>
  <c r="M73" i="54"/>
  <c r="Q73" i="54" s="1"/>
  <c r="M81" i="54"/>
  <c r="Q81" i="54" s="1"/>
  <c r="M89" i="54"/>
  <c r="Q89" i="54" s="1"/>
  <c r="M74" i="54"/>
  <c r="Q74" i="54" s="1"/>
  <c r="M26" i="54"/>
  <c r="Q26" i="54" s="1"/>
  <c r="O12" i="54"/>
  <c r="S12" i="54" s="1"/>
  <c r="O20" i="54"/>
  <c r="S20" i="54" s="1"/>
  <c r="O28" i="54"/>
  <c r="S28" i="54" s="1"/>
  <c r="O36" i="54"/>
  <c r="S36" i="54" s="1"/>
  <c r="M19" i="54"/>
  <c r="Q19" i="54" s="1"/>
  <c r="M27" i="54"/>
  <c r="Q27" i="54" s="1"/>
  <c r="M35" i="54"/>
  <c r="Q35" i="54" s="1"/>
  <c r="O13" i="54"/>
  <c r="S13" i="54" s="1"/>
  <c r="O21" i="54"/>
  <c r="S21" i="54" s="1"/>
  <c r="O29" i="54"/>
  <c r="S29" i="54" s="1"/>
  <c r="M12" i="54"/>
  <c r="Q12" i="54" s="1"/>
  <c r="M20" i="54"/>
  <c r="Q20" i="54" s="1"/>
  <c r="M28" i="54"/>
  <c r="Q28" i="54" s="1"/>
  <c r="M36" i="54"/>
  <c r="Q36" i="54" s="1"/>
  <c r="O14" i="54"/>
  <c r="S14" i="54" s="1"/>
  <c r="O22" i="54"/>
  <c r="S22" i="54" s="1"/>
  <c r="O30" i="54"/>
  <c r="S30" i="54" s="1"/>
  <c r="M13" i="54"/>
  <c r="Q13" i="54" s="1"/>
  <c r="M21" i="54"/>
  <c r="Q21" i="54" s="1"/>
  <c r="M29" i="54"/>
  <c r="Q29" i="54" s="1"/>
  <c r="O18" i="54"/>
  <c r="S18" i="54" s="1"/>
  <c r="O27" i="54"/>
  <c r="S27" i="54" s="1"/>
  <c r="O15" i="54"/>
  <c r="S15" i="54" s="1"/>
  <c r="O23" i="54"/>
  <c r="S23" i="54" s="1"/>
  <c r="O31" i="54"/>
  <c r="S31" i="54" s="1"/>
  <c r="M14" i="54"/>
  <c r="Q14" i="54" s="1"/>
  <c r="M22" i="54"/>
  <c r="Q22" i="54" s="1"/>
  <c r="M30" i="54"/>
  <c r="Q30" i="54" s="1"/>
  <c r="O34" i="54"/>
  <c r="S34" i="54" s="1"/>
  <c r="M33" i="54"/>
  <c r="Q33" i="54" s="1"/>
  <c r="O35" i="54"/>
  <c r="S35" i="54" s="1"/>
  <c r="O16" i="54"/>
  <c r="S16" i="54" s="1"/>
  <c r="O24" i="54"/>
  <c r="S24" i="54" s="1"/>
  <c r="O32" i="54"/>
  <c r="S32" i="54" s="1"/>
  <c r="M15" i="54"/>
  <c r="Q15" i="54" s="1"/>
  <c r="M23" i="54"/>
  <c r="Q23" i="54" s="1"/>
  <c r="M31" i="54"/>
  <c r="Q31" i="54" s="1"/>
  <c r="O26" i="54"/>
  <c r="S26" i="54" s="1"/>
  <c r="M25" i="54"/>
  <c r="Q25" i="54" s="1"/>
  <c r="O19" i="54"/>
  <c r="S19" i="54" s="1"/>
  <c r="M34" i="54"/>
  <c r="Q34" i="54" s="1"/>
  <c r="O17" i="54"/>
  <c r="S17" i="54" s="1"/>
  <c r="O25" i="54"/>
  <c r="S25" i="54" s="1"/>
  <c r="O33" i="54"/>
  <c r="S33" i="54" s="1"/>
  <c r="M16" i="54"/>
  <c r="Q16" i="54" s="1"/>
  <c r="M24" i="54"/>
  <c r="Q24" i="54" s="1"/>
  <c r="M32" i="54"/>
  <c r="Q32" i="54" s="1"/>
  <c r="M17" i="54"/>
  <c r="Q17" i="54" s="1"/>
  <c r="M18" i="54"/>
  <c r="Q18" i="54" s="1"/>
  <c r="O46" i="54"/>
  <c r="S46" i="54" s="1"/>
  <c r="O47" i="54"/>
  <c r="S47" i="54" s="1"/>
  <c r="O55" i="54"/>
  <c r="S55" i="54" s="1"/>
  <c r="O63" i="54"/>
  <c r="S63" i="54" s="1"/>
  <c r="M46" i="54"/>
  <c r="Q46" i="54" s="1"/>
  <c r="M54" i="54"/>
  <c r="Q54" i="54" s="1"/>
  <c r="M62" i="54"/>
  <c r="Q62" i="54" s="1"/>
  <c r="O48" i="54"/>
  <c r="S48" i="54" s="1"/>
  <c r="O56" i="54"/>
  <c r="S56" i="54" s="1"/>
  <c r="O64" i="54"/>
  <c r="S64" i="54" s="1"/>
  <c r="M47" i="54"/>
  <c r="Q47" i="54" s="1"/>
  <c r="M55" i="54"/>
  <c r="Q55" i="54" s="1"/>
  <c r="M63" i="54"/>
  <c r="Q63" i="54" s="1"/>
  <c r="O41" i="54"/>
  <c r="S41" i="54" s="1"/>
  <c r="O49" i="54"/>
  <c r="S49" i="54" s="1"/>
  <c r="O57" i="54"/>
  <c r="S57" i="54" s="1"/>
  <c r="O65" i="54"/>
  <c r="S65" i="54" s="1"/>
  <c r="M48" i="54"/>
  <c r="Q48" i="54" s="1"/>
  <c r="M56" i="54"/>
  <c r="Q56" i="54" s="1"/>
  <c r="M64" i="54"/>
  <c r="Q64" i="54" s="1"/>
  <c r="O45" i="54"/>
  <c r="S45" i="54" s="1"/>
  <c r="M52" i="54"/>
  <c r="Q52" i="54" s="1"/>
  <c r="O54" i="54"/>
  <c r="S54" i="54" s="1"/>
  <c r="O42" i="54"/>
  <c r="S42" i="54" s="1"/>
  <c r="O50" i="54"/>
  <c r="S50" i="54" s="1"/>
  <c r="O58" i="54"/>
  <c r="S58" i="54" s="1"/>
  <c r="M41" i="54"/>
  <c r="Q41" i="54" s="1"/>
  <c r="M49" i="54"/>
  <c r="Q49" i="54" s="1"/>
  <c r="M57" i="54"/>
  <c r="Q57" i="54" s="1"/>
  <c r="M65" i="54"/>
  <c r="Q65" i="54" s="1"/>
  <c r="O61" i="54"/>
  <c r="S61" i="54" s="1"/>
  <c r="M45" i="54"/>
  <c r="Q45" i="54" s="1"/>
  <c r="M61" i="54"/>
  <c r="Q61" i="54" s="1"/>
  <c r="O43" i="54"/>
  <c r="S43" i="54" s="1"/>
  <c r="O51" i="54"/>
  <c r="S51" i="54" s="1"/>
  <c r="O59" i="54"/>
  <c r="S59" i="54" s="1"/>
  <c r="M42" i="54"/>
  <c r="Q42" i="54" s="1"/>
  <c r="M50" i="54"/>
  <c r="Q50" i="54" s="1"/>
  <c r="M58" i="54"/>
  <c r="Q58" i="54" s="1"/>
  <c r="O53" i="54"/>
  <c r="S53" i="54" s="1"/>
  <c r="M60" i="54"/>
  <c r="Q60" i="54" s="1"/>
  <c r="M53" i="54"/>
  <c r="Q53" i="54" s="1"/>
  <c r="O44" i="54"/>
  <c r="S44" i="54" s="1"/>
  <c r="O52" i="54"/>
  <c r="S52" i="54" s="1"/>
  <c r="O60" i="54"/>
  <c r="S60" i="54" s="1"/>
  <c r="M43" i="54"/>
  <c r="Q43" i="54" s="1"/>
  <c r="M51" i="54"/>
  <c r="Q51" i="54" s="1"/>
  <c r="M59" i="54"/>
  <c r="Q59" i="54" s="1"/>
  <c r="M44" i="54"/>
  <c r="Q44" i="54" s="1"/>
  <c r="O62" i="54"/>
  <c r="S62" i="54" s="1"/>
  <c r="O1530" i="52"/>
  <c r="S1530" i="52" s="1"/>
  <c r="O1538" i="52"/>
  <c r="S1538" i="52" s="1"/>
  <c r="O1546" i="52"/>
  <c r="S1546" i="52" s="1"/>
  <c r="M1529" i="52"/>
  <c r="Q1529" i="52" s="1"/>
  <c r="M1537" i="52"/>
  <c r="Q1537" i="52" s="1"/>
  <c r="M1545" i="52"/>
  <c r="Q1545" i="52" s="1"/>
  <c r="M1544" i="52"/>
  <c r="Q1544" i="52" s="1"/>
  <c r="O1531" i="52"/>
  <c r="S1531" i="52" s="1"/>
  <c r="O1539" i="52"/>
  <c r="S1539" i="52" s="1"/>
  <c r="O1547" i="52"/>
  <c r="S1547" i="52" s="1"/>
  <c r="M1530" i="52"/>
  <c r="Q1530" i="52" s="1"/>
  <c r="M1538" i="52"/>
  <c r="Q1538" i="52" s="1"/>
  <c r="M1546" i="52"/>
  <c r="Q1546" i="52" s="1"/>
  <c r="O1529" i="52"/>
  <c r="S1529" i="52" s="1"/>
  <c r="O1532" i="52"/>
  <c r="S1532" i="52" s="1"/>
  <c r="O1540" i="52"/>
  <c r="S1540" i="52" s="1"/>
  <c r="O1548" i="52"/>
  <c r="S1548" i="52" s="1"/>
  <c r="M1531" i="52"/>
  <c r="Q1531" i="52" s="1"/>
  <c r="M1539" i="52"/>
  <c r="Q1539" i="52" s="1"/>
  <c r="M1547" i="52"/>
  <c r="Q1547" i="52" s="1"/>
  <c r="O1537" i="52"/>
  <c r="S1537" i="52" s="1"/>
  <c r="O1533" i="52"/>
  <c r="S1533" i="52" s="1"/>
  <c r="O1541" i="52"/>
  <c r="S1541" i="52" s="1"/>
  <c r="O1549" i="52"/>
  <c r="S1549" i="52" s="1"/>
  <c r="M1532" i="52"/>
  <c r="Q1532" i="52" s="1"/>
  <c r="M1540" i="52"/>
  <c r="Q1540" i="52" s="1"/>
  <c r="M1548" i="52"/>
  <c r="Q1548" i="52" s="1"/>
  <c r="O1534" i="52"/>
  <c r="S1534" i="52" s="1"/>
  <c r="O1542" i="52"/>
  <c r="S1542" i="52" s="1"/>
  <c r="O1550" i="52"/>
  <c r="S1550" i="52" s="1"/>
  <c r="M1533" i="52"/>
  <c r="Q1533" i="52" s="1"/>
  <c r="M1541" i="52"/>
  <c r="Q1541" i="52" s="1"/>
  <c r="M1549" i="52"/>
  <c r="Q1549" i="52" s="1"/>
  <c r="M1528" i="52"/>
  <c r="Q1528" i="52" s="1"/>
  <c r="O1527" i="52"/>
  <c r="S1527" i="52" s="1"/>
  <c r="O1535" i="52"/>
  <c r="S1535" i="52" s="1"/>
  <c r="O1543" i="52"/>
  <c r="S1543" i="52" s="1"/>
  <c r="O1551" i="52"/>
  <c r="S1551" i="52" s="1"/>
  <c r="M1534" i="52"/>
  <c r="Q1534" i="52" s="1"/>
  <c r="M1542" i="52"/>
  <c r="Q1542" i="52" s="1"/>
  <c r="M1550" i="52"/>
  <c r="Q1550" i="52" s="1"/>
  <c r="O1545" i="52"/>
  <c r="S1545" i="52" s="1"/>
  <c r="O1528" i="52"/>
  <c r="S1528" i="52" s="1"/>
  <c r="O1536" i="52"/>
  <c r="S1536" i="52" s="1"/>
  <c r="O1544" i="52"/>
  <c r="S1544" i="52" s="1"/>
  <c r="M1527" i="52"/>
  <c r="Q1527" i="52" s="1"/>
  <c r="M1535" i="52"/>
  <c r="Q1535" i="52" s="1"/>
  <c r="M1543" i="52"/>
  <c r="Q1543" i="52" s="1"/>
  <c r="M1551" i="52"/>
  <c r="Q1551" i="52" s="1"/>
  <c r="M1536" i="52"/>
  <c r="Q1536" i="52" s="1"/>
  <c r="O1472" i="52"/>
  <c r="S1472" i="52" s="1"/>
  <c r="O1480" i="52"/>
  <c r="S1480" i="52" s="1"/>
  <c r="O1488" i="52"/>
  <c r="S1488" i="52" s="1"/>
  <c r="M1471" i="52"/>
  <c r="Q1471" i="52" s="1"/>
  <c r="M1479" i="52"/>
  <c r="Q1479" i="52" s="1"/>
  <c r="M1487" i="52"/>
  <c r="Q1487" i="52" s="1"/>
  <c r="M1469" i="52"/>
  <c r="Q1469" i="52" s="1"/>
  <c r="O1487" i="52"/>
  <c r="S1487" i="52" s="1"/>
  <c r="O1473" i="52"/>
  <c r="S1473" i="52" s="1"/>
  <c r="O1481" i="52"/>
  <c r="S1481" i="52" s="1"/>
  <c r="O1489" i="52"/>
  <c r="S1489" i="52" s="1"/>
  <c r="M1472" i="52"/>
  <c r="Q1472" i="52" s="1"/>
  <c r="M1480" i="52"/>
  <c r="Q1480" i="52" s="1"/>
  <c r="M1488" i="52"/>
  <c r="Q1488" i="52" s="1"/>
  <c r="O1470" i="52"/>
  <c r="S1470" i="52" s="1"/>
  <c r="M1486" i="52"/>
  <c r="Q1486" i="52" s="1"/>
  <c r="O1474" i="52"/>
  <c r="S1474" i="52" s="1"/>
  <c r="O1482" i="52"/>
  <c r="S1482" i="52" s="1"/>
  <c r="O1490" i="52"/>
  <c r="S1490" i="52" s="1"/>
  <c r="M1473" i="52"/>
  <c r="Q1473" i="52" s="1"/>
  <c r="M1481" i="52"/>
  <c r="Q1481" i="52" s="1"/>
  <c r="M1489" i="52"/>
  <c r="Q1489" i="52" s="1"/>
  <c r="M1477" i="52"/>
  <c r="Q1477" i="52" s="1"/>
  <c r="M1478" i="52"/>
  <c r="Q1478" i="52" s="1"/>
  <c r="O1475" i="52"/>
  <c r="S1475" i="52" s="1"/>
  <c r="O1483" i="52"/>
  <c r="S1483" i="52" s="1"/>
  <c r="O1491" i="52"/>
  <c r="S1491" i="52" s="1"/>
  <c r="M1474" i="52"/>
  <c r="Q1474" i="52" s="1"/>
  <c r="M1482" i="52"/>
  <c r="Q1482" i="52" s="1"/>
  <c r="M1490" i="52"/>
  <c r="Q1490" i="52" s="1"/>
  <c r="O1478" i="52"/>
  <c r="S1478" i="52" s="1"/>
  <c r="M1485" i="52"/>
  <c r="Q1485" i="52" s="1"/>
  <c r="O1471" i="52"/>
  <c r="S1471" i="52" s="1"/>
  <c r="O1468" i="52"/>
  <c r="S1468" i="52" s="1"/>
  <c r="O1476" i="52"/>
  <c r="S1476" i="52" s="1"/>
  <c r="O1484" i="52"/>
  <c r="S1484" i="52" s="1"/>
  <c r="O1492" i="52"/>
  <c r="S1492" i="52" s="1"/>
  <c r="M1475" i="52"/>
  <c r="Q1475" i="52" s="1"/>
  <c r="M1483" i="52"/>
  <c r="Q1483" i="52" s="1"/>
  <c r="M1491" i="52"/>
  <c r="Q1491" i="52" s="1"/>
  <c r="O1486" i="52"/>
  <c r="S1486" i="52" s="1"/>
  <c r="O1479" i="52"/>
  <c r="S1479" i="52" s="1"/>
  <c r="O1469" i="52"/>
  <c r="S1469" i="52" s="1"/>
  <c r="O1477" i="52"/>
  <c r="S1477" i="52" s="1"/>
  <c r="O1485" i="52"/>
  <c r="S1485" i="52" s="1"/>
  <c r="M1468" i="52"/>
  <c r="Q1468" i="52" s="1"/>
  <c r="M1476" i="52"/>
  <c r="Q1476" i="52" s="1"/>
  <c r="M1484" i="52"/>
  <c r="Q1484" i="52" s="1"/>
  <c r="M1492" i="52"/>
  <c r="Q1492" i="52" s="1"/>
  <c r="M1470" i="52"/>
  <c r="Q1470" i="52" s="1"/>
  <c r="S797" i="52"/>
  <c r="S827" i="52"/>
  <c r="S856" i="52"/>
  <c r="L37" i="83"/>
  <c r="O1441" i="52"/>
  <c r="S1441" i="52" s="1"/>
  <c r="O1449" i="52"/>
  <c r="S1449" i="52" s="1"/>
  <c r="O1457" i="52"/>
  <c r="S1457" i="52" s="1"/>
  <c r="M1440" i="52"/>
  <c r="Q1440" i="52" s="1"/>
  <c r="M1448" i="52"/>
  <c r="Q1448" i="52" s="1"/>
  <c r="M1456" i="52"/>
  <c r="Q1456" i="52" s="1"/>
  <c r="O1448" i="52"/>
  <c r="S1448" i="52" s="1"/>
  <c r="O1442" i="52"/>
  <c r="S1442" i="52" s="1"/>
  <c r="O1450" i="52"/>
  <c r="S1450" i="52" s="1"/>
  <c r="O1458" i="52"/>
  <c r="S1458" i="52" s="1"/>
  <c r="M1441" i="52"/>
  <c r="Q1441" i="52" s="1"/>
  <c r="M1449" i="52"/>
  <c r="Q1449" i="52" s="1"/>
  <c r="M1457" i="52"/>
  <c r="Q1457" i="52" s="1"/>
  <c r="O1440" i="52"/>
  <c r="S1440" i="52" s="1"/>
  <c r="O1443" i="52"/>
  <c r="S1443" i="52" s="1"/>
  <c r="O1451" i="52"/>
  <c r="S1451" i="52" s="1"/>
  <c r="O1459" i="52"/>
  <c r="S1459" i="52" s="1"/>
  <c r="M1442" i="52"/>
  <c r="Q1442" i="52" s="1"/>
  <c r="M1450" i="52"/>
  <c r="Q1450" i="52" s="1"/>
  <c r="M1458" i="52"/>
  <c r="Q1458" i="52" s="1"/>
  <c r="M1447" i="52"/>
  <c r="Q1447" i="52" s="1"/>
  <c r="O1444" i="52"/>
  <c r="S1444" i="52" s="1"/>
  <c r="O1452" i="52"/>
  <c r="S1452" i="52" s="1"/>
  <c r="O1460" i="52"/>
  <c r="S1460" i="52" s="1"/>
  <c r="M1443" i="52"/>
  <c r="Q1443" i="52" s="1"/>
  <c r="M1451" i="52"/>
  <c r="Q1451" i="52" s="1"/>
  <c r="M1459" i="52"/>
  <c r="Q1459" i="52" s="1"/>
  <c r="M1439" i="52"/>
  <c r="Q1439" i="52" s="1"/>
  <c r="O1437" i="52"/>
  <c r="S1437" i="52" s="1"/>
  <c r="O1445" i="52"/>
  <c r="S1445" i="52" s="1"/>
  <c r="O1453" i="52"/>
  <c r="S1453" i="52" s="1"/>
  <c r="O1461" i="52"/>
  <c r="S1461" i="52" s="1"/>
  <c r="M1444" i="52"/>
  <c r="Q1444" i="52" s="1"/>
  <c r="M1452" i="52"/>
  <c r="Q1452" i="52" s="1"/>
  <c r="M1460" i="52"/>
  <c r="Q1460" i="52" s="1"/>
  <c r="O1438" i="52"/>
  <c r="S1438" i="52" s="1"/>
  <c r="O1446" i="52"/>
  <c r="S1446" i="52" s="1"/>
  <c r="O1454" i="52"/>
  <c r="S1454" i="52" s="1"/>
  <c r="M1437" i="52"/>
  <c r="Q1437" i="52" s="1"/>
  <c r="M1445" i="52"/>
  <c r="Q1445" i="52" s="1"/>
  <c r="M1453" i="52"/>
  <c r="Q1453" i="52" s="1"/>
  <c r="M1461" i="52"/>
  <c r="Q1461" i="52" s="1"/>
  <c r="O1456" i="52"/>
  <c r="S1456" i="52" s="1"/>
  <c r="O1439" i="52"/>
  <c r="S1439" i="52" s="1"/>
  <c r="O1447" i="52"/>
  <c r="S1447" i="52" s="1"/>
  <c r="O1455" i="52"/>
  <c r="S1455" i="52" s="1"/>
  <c r="M1438" i="52"/>
  <c r="Q1438" i="52" s="1"/>
  <c r="M1446" i="52"/>
  <c r="Q1446" i="52" s="1"/>
  <c r="M1454" i="52"/>
  <c r="Q1454" i="52" s="1"/>
  <c r="M1455" i="52"/>
  <c r="Q1455" i="52" s="1"/>
  <c r="O1414" i="52"/>
  <c r="S1414" i="52" s="1"/>
  <c r="O1422" i="52"/>
  <c r="S1422" i="52" s="1"/>
  <c r="O1430" i="52"/>
  <c r="S1430" i="52" s="1"/>
  <c r="M1413" i="52"/>
  <c r="Q1413" i="52" s="1"/>
  <c r="M1421" i="52"/>
  <c r="Q1421" i="52" s="1"/>
  <c r="M1429" i="52"/>
  <c r="Q1429" i="52" s="1"/>
  <c r="O1421" i="52"/>
  <c r="S1421" i="52" s="1"/>
  <c r="O1415" i="52"/>
  <c r="S1415" i="52" s="1"/>
  <c r="O1423" i="52"/>
  <c r="S1423" i="52" s="1"/>
  <c r="O1431" i="52"/>
  <c r="S1431" i="52" s="1"/>
  <c r="M1414" i="52"/>
  <c r="Q1414" i="52" s="1"/>
  <c r="M1422" i="52"/>
  <c r="Q1422" i="52" s="1"/>
  <c r="M1430" i="52"/>
  <c r="Q1430" i="52" s="1"/>
  <c r="M1428" i="52"/>
  <c r="Q1428" i="52" s="1"/>
  <c r="O1408" i="52"/>
  <c r="S1408" i="52" s="1"/>
  <c r="O1416" i="52"/>
  <c r="S1416" i="52" s="1"/>
  <c r="O1424" i="52"/>
  <c r="S1424" i="52" s="1"/>
  <c r="O1432" i="52"/>
  <c r="S1432" i="52" s="1"/>
  <c r="M1415" i="52"/>
  <c r="Q1415" i="52" s="1"/>
  <c r="M1423" i="52"/>
  <c r="Q1423" i="52" s="1"/>
  <c r="M1431" i="52"/>
  <c r="Q1431" i="52" s="1"/>
  <c r="M1412" i="52"/>
  <c r="Q1412" i="52" s="1"/>
  <c r="O1409" i="52"/>
  <c r="S1409" i="52" s="1"/>
  <c r="O1417" i="52"/>
  <c r="S1417" i="52" s="1"/>
  <c r="O1425" i="52"/>
  <c r="S1425" i="52" s="1"/>
  <c r="M1408" i="52"/>
  <c r="Q1408" i="52" s="1"/>
  <c r="M1416" i="52"/>
  <c r="Q1416" i="52" s="1"/>
  <c r="M1424" i="52"/>
  <c r="Q1424" i="52" s="1"/>
  <c r="M1432" i="52"/>
  <c r="Q1432" i="52" s="1"/>
  <c r="O1429" i="52"/>
  <c r="S1429" i="52" s="1"/>
  <c r="O1410" i="52"/>
  <c r="S1410" i="52" s="1"/>
  <c r="O1418" i="52"/>
  <c r="S1418" i="52" s="1"/>
  <c r="O1426" i="52"/>
  <c r="S1426" i="52" s="1"/>
  <c r="M1409" i="52"/>
  <c r="Q1409" i="52" s="1"/>
  <c r="M1417" i="52"/>
  <c r="Q1417" i="52" s="1"/>
  <c r="M1425" i="52"/>
  <c r="Q1425" i="52" s="1"/>
  <c r="M1420" i="52"/>
  <c r="Q1420" i="52" s="1"/>
  <c r="O1411" i="52"/>
  <c r="S1411" i="52" s="1"/>
  <c r="O1419" i="52"/>
  <c r="S1419" i="52" s="1"/>
  <c r="O1427" i="52"/>
  <c r="S1427" i="52" s="1"/>
  <c r="M1410" i="52"/>
  <c r="Q1410" i="52" s="1"/>
  <c r="M1418" i="52"/>
  <c r="Q1418" i="52" s="1"/>
  <c r="M1426" i="52"/>
  <c r="Q1426" i="52" s="1"/>
  <c r="O1413" i="52"/>
  <c r="S1413" i="52" s="1"/>
  <c r="O1412" i="52"/>
  <c r="S1412" i="52" s="1"/>
  <c r="O1420" i="52"/>
  <c r="S1420" i="52" s="1"/>
  <c r="O1428" i="52"/>
  <c r="S1428" i="52" s="1"/>
  <c r="M1411" i="52"/>
  <c r="Q1411" i="52" s="1"/>
  <c r="M1419" i="52"/>
  <c r="Q1419" i="52" s="1"/>
  <c r="M1427" i="52"/>
  <c r="Q1427" i="52" s="1"/>
  <c r="O1181" i="52"/>
  <c r="S1181" i="52" s="1"/>
  <c r="O1189" i="52"/>
  <c r="S1189" i="52" s="1"/>
  <c r="O1197" i="52"/>
  <c r="S1197" i="52" s="1"/>
  <c r="M1180" i="52"/>
  <c r="Q1180" i="52" s="1"/>
  <c r="M1188" i="52"/>
  <c r="Q1188" i="52" s="1"/>
  <c r="M1196" i="52"/>
  <c r="Q1196" i="52" s="1"/>
  <c r="O1188" i="52"/>
  <c r="S1188" i="52" s="1"/>
  <c r="O1182" i="52"/>
  <c r="S1182" i="52" s="1"/>
  <c r="O1190" i="52"/>
  <c r="S1190" i="52" s="1"/>
  <c r="O1198" i="52"/>
  <c r="S1198" i="52" s="1"/>
  <c r="M1181" i="52"/>
  <c r="Q1181" i="52" s="1"/>
  <c r="M1189" i="52"/>
  <c r="Q1189" i="52" s="1"/>
  <c r="M1197" i="52"/>
  <c r="Q1197" i="52" s="1"/>
  <c r="O1180" i="52"/>
  <c r="S1180" i="52" s="1"/>
  <c r="O1183" i="52"/>
  <c r="S1183" i="52" s="1"/>
  <c r="O1191" i="52"/>
  <c r="S1191" i="52" s="1"/>
  <c r="O1199" i="52"/>
  <c r="S1199" i="52" s="1"/>
  <c r="M1182" i="52"/>
  <c r="Q1182" i="52" s="1"/>
  <c r="M1190" i="52"/>
  <c r="Q1190" i="52" s="1"/>
  <c r="M1198" i="52"/>
  <c r="Q1198" i="52" s="1"/>
  <c r="M1179" i="52"/>
  <c r="Q1179" i="52" s="1"/>
  <c r="O1184" i="52"/>
  <c r="S1184" i="52" s="1"/>
  <c r="O1192" i="52"/>
  <c r="S1192" i="52" s="1"/>
  <c r="O1200" i="52"/>
  <c r="S1200" i="52" s="1"/>
  <c r="M1183" i="52"/>
  <c r="Q1183" i="52" s="1"/>
  <c r="M1191" i="52"/>
  <c r="Q1191" i="52" s="1"/>
  <c r="M1199" i="52"/>
  <c r="Q1199" i="52" s="1"/>
  <c r="M1195" i="52"/>
  <c r="Q1195" i="52" s="1"/>
  <c r="O1185" i="52"/>
  <c r="S1185" i="52" s="1"/>
  <c r="O1193" i="52"/>
  <c r="S1193" i="52" s="1"/>
  <c r="O1201" i="52"/>
  <c r="S1201" i="52" s="1"/>
  <c r="M1184" i="52"/>
  <c r="Q1184" i="52" s="1"/>
  <c r="M1192" i="52"/>
  <c r="Q1192" i="52" s="1"/>
  <c r="M1200" i="52"/>
  <c r="Q1200" i="52" s="1"/>
  <c r="O1178" i="52"/>
  <c r="S1178" i="52" s="1"/>
  <c r="O1186" i="52"/>
  <c r="S1186" i="52" s="1"/>
  <c r="O1194" i="52"/>
  <c r="S1194" i="52" s="1"/>
  <c r="O1202" i="52"/>
  <c r="S1202" i="52" s="1"/>
  <c r="M1185" i="52"/>
  <c r="Q1185" i="52" s="1"/>
  <c r="M1193" i="52"/>
  <c r="Q1193" i="52" s="1"/>
  <c r="M1201" i="52"/>
  <c r="Q1201" i="52" s="1"/>
  <c r="O1196" i="52"/>
  <c r="S1196" i="52" s="1"/>
  <c r="O1179" i="52"/>
  <c r="S1179" i="52" s="1"/>
  <c r="O1187" i="52"/>
  <c r="S1187" i="52" s="1"/>
  <c r="O1195" i="52"/>
  <c r="S1195" i="52" s="1"/>
  <c r="M1178" i="52"/>
  <c r="Q1178" i="52" s="1"/>
  <c r="M1186" i="52"/>
  <c r="Q1186" i="52" s="1"/>
  <c r="M1194" i="52"/>
  <c r="Q1194" i="52" s="1"/>
  <c r="M1202" i="52"/>
  <c r="Q1202" i="52" s="1"/>
  <c r="M1187" i="52"/>
  <c r="Q1187" i="52" s="1"/>
  <c r="O1123" i="52"/>
  <c r="S1123" i="52" s="1"/>
  <c r="O1131" i="52"/>
  <c r="S1131" i="52" s="1"/>
  <c r="O1139" i="52"/>
  <c r="S1139" i="52" s="1"/>
  <c r="M1122" i="52"/>
  <c r="Q1122" i="52" s="1"/>
  <c r="M1130" i="52"/>
  <c r="Q1130" i="52" s="1"/>
  <c r="M1138" i="52"/>
  <c r="Q1138" i="52" s="1"/>
  <c r="M1129" i="52"/>
  <c r="Q1129" i="52" s="1"/>
  <c r="O1124" i="52"/>
  <c r="S1124" i="52" s="1"/>
  <c r="O1132" i="52"/>
  <c r="S1132" i="52" s="1"/>
  <c r="O1140" i="52"/>
  <c r="S1140" i="52" s="1"/>
  <c r="M1123" i="52"/>
  <c r="Q1123" i="52" s="1"/>
  <c r="M1131" i="52"/>
  <c r="Q1131" i="52" s="1"/>
  <c r="M1139" i="52"/>
  <c r="Q1139" i="52" s="1"/>
  <c r="O1122" i="52"/>
  <c r="S1122" i="52" s="1"/>
  <c r="O1125" i="52"/>
  <c r="S1125" i="52" s="1"/>
  <c r="O1133" i="52"/>
  <c r="S1133" i="52" s="1"/>
  <c r="O1141" i="52"/>
  <c r="S1141" i="52" s="1"/>
  <c r="M1124" i="52"/>
  <c r="Q1124" i="52" s="1"/>
  <c r="M1132" i="52"/>
  <c r="Q1132" i="52" s="1"/>
  <c r="M1140" i="52"/>
  <c r="Q1140" i="52" s="1"/>
  <c r="O1130" i="52"/>
  <c r="S1130" i="52" s="1"/>
  <c r="O1126" i="52"/>
  <c r="S1126" i="52" s="1"/>
  <c r="O1134" i="52"/>
  <c r="S1134" i="52" s="1"/>
  <c r="O1142" i="52"/>
  <c r="S1142" i="52" s="1"/>
  <c r="M1125" i="52"/>
  <c r="Q1125" i="52" s="1"/>
  <c r="M1133" i="52"/>
  <c r="Q1133" i="52" s="1"/>
  <c r="M1141" i="52"/>
  <c r="Q1141" i="52" s="1"/>
  <c r="O1119" i="52"/>
  <c r="S1119" i="52" s="1"/>
  <c r="O1127" i="52"/>
  <c r="S1127" i="52" s="1"/>
  <c r="O1135" i="52"/>
  <c r="S1135" i="52" s="1"/>
  <c r="O1143" i="52"/>
  <c r="S1143" i="52" s="1"/>
  <c r="M1126" i="52"/>
  <c r="Q1126" i="52" s="1"/>
  <c r="M1134" i="52"/>
  <c r="Q1134" i="52" s="1"/>
  <c r="M1142" i="52"/>
  <c r="Q1142" i="52" s="1"/>
  <c r="M1121" i="52"/>
  <c r="Q1121" i="52" s="1"/>
  <c r="O1120" i="52"/>
  <c r="S1120" i="52" s="1"/>
  <c r="O1128" i="52"/>
  <c r="S1128" i="52" s="1"/>
  <c r="O1136" i="52"/>
  <c r="S1136" i="52" s="1"/>
  <c r="M1119" i="52"/>
  <c r="Q1119" i="52" s="1"/>
  <c r="M1127" i="52"/>
  <c r="Q1127" i="52" s="1"/>
  <c r="M1135" i="52"/>
  <c r="Q1135" i="52" s="1"/>
  <c r="M1143" i="52"/>
  <c r="Q1143" i="52" s="1"/>
  <c r="M1137" i="52"/>
  <c r="Q1137" i="52" s="1"/>
  <c r="O1121" i="52"/>
  <c r="S1121" i="52" s="1"/>
  <c r="O1129" i="52"/>
  <c r="S1129" i="52" s="1"/>
  <c r="O1137" i="52"/>
  <c r="S1137" i="52" s="1"/>
  <c r="M1120" i="52"/>
  <c r="Q1120" i="52" s="1"/>
  <c r="M1128" i="52"/>
  <c r="Q1128" i="52" s="1"/>
  <c r="M1136" i="52"/>
  <c r="Q1136" i="52" s="1"/>
  <c r="O1138" i="52"/>
  <c r="S1138" i="52" s="1"/>
  <c r="O1065" i="52"/>
  <c r="S1065" i="52" s="1"/>
  <c r="O1073" i="52"/>
  <c r="S1073" i="52" s="1"/>
  <c r="O1081" i="52"/>
  <c r="S1081" i="52" s="1"/>
  <c r="M1064" i="52"/>
  <c r="Q1064" i="52" s="1"/>
  <c r="M1072" i="52"/>
  <c r="Q1072" i="52" s="1"/>
  <c r="M1080" i="52"/>
  <c r="Q1080" i="52" s="1"/>
  <c r="M1070" i="52"/>
  <c r="Q1070" i="52" s="1"/>
  <c r="M1063" i="52"/>
  <c r="Q1063" i="52" s="1"/>
  <c r="O1066" i="52"/>
  <c r="S1066" i="52" s="1"/>
  <c r="O1074" i="52"/>
  <c r="S1074" i="52" s="1"/>
  <c r="O1082" i="52"/>
  <c r="S1082" i="52" s="1"/>
  <c r="M1065" i="52"/>
  <c r="Q1065" i="52" s="1"/>
  <c r="M1073" i="52"/>
  <c r="Q1073" i="52" s="1"/>
  <c r="M1081" i="52"/>
  <c r="Q1081" i="52" s="1"/>
  <c r="O1071" i="52"/>
  <c r="S1071" i="52" s="1"/>
  <c r="O1064" i="52"/>
  <c r="S1064" i="52" s="1"/>
  <c r="O1059" i="52"/>
  <c r="S1059" i="52" s="1"/>
  <c r="O1067" i="52"/>
  <c r="S1067" i="52" s="1"/>
  <c r="O1075" i="52"/>
  <c r="S1075" i="52" s="1"/>
  <c r="O1083" i="52"/>
  <c r="S1083" i="52" s="1"/>
  <c r="M1066" i="52"/>
  <c r="Q1066" i="52" s="1"/>
  <c r="M1074" i="52"/>
  <c r="Q1074" i="52" s="1"/>
  <c r="M1082" i="52"/>
  <c r="Q1082" i="52" s="1"/>
  <c r="M1078" i="52"/>
  <c r="Q1078" i="52" s="1"/>
  <c r="M1079" i="52"/>
  <c r="Q1079" i="52" s="1"/>
  <c r="O1060" i="52"/>
  <c r="S1060" i="52" s="1"/>
  <c r="O1068" i="52"/>
  <c r="S1068" i="52" s="1"/>
  <c r="O1076" i="52"/>
  <c r="S1076" i="52" s="1"/>
  <c r="M1059" i="52"/>
  <c r="Q1059" i="52" s="1"/>
  <c r="M1067" i="52"/>
  <c r="Q1067" i="52" s="1"/>
  <c r="M1075" i="52"/>
  <c r="Q1075" i="52" s="1"/>
  <c r="M1083" i="52"/>
  <c r="Q1083" i="52" s="1"/>
  <c r="O1079" i="52"/>
  <c r="S1079" i="52" s="1"/>
  <c r="M1071" i="52"/>
  <c r="Q1071" i="52" s="1"/>
  <c r="O1061" i="52"/>
  <c r="S1061" i="52" s="1"/>
  <c r="O1069" i="52"/>
  <c r="S1069" i="52" s="1"/>
  <c r="O1077" i="52"/>
  <c r="S1077" i="52" s="1"/>
  <c r="M1060" i="52"/>
  <c r="Q1060" i="52" s="1"/>
  <c r="M1068" i="52"/>
  <c r="Q1068" i="52" s="1"/>
  <c r="M1076" i="52"/>
  <c r="Q1076" i="52" s="1"/>
  <c r="M1062" i="52"/>
  <c r="Q1062" i="52" s="1"/>
  <c r="O1072" i="52"/>
  <c r="S1072" i="52" s="1"/>
  <c r="O1062" i="52"/>
  <c r="S1062" i="52" s="1"/>
  <c r="O1070" i="52"/>
  <c r="S1070" i="52" s="1"/>
  <c r="O1078" i="52"/>
  <c r="S1078" i="52" s="1"/>
  <c r="M1061" i="52"/>
  <c r="Q1061" i="52" s="1"/>
  <c r="M1069" i="52"/>
  <c r="Q1069" i="52" s="1"/>
  <c r="M1077" i="52"/>
  <c r="Q1077" i="52" s="1"/>
  <c r="O1063" i="52"/>
  <c r="S1063" i="52" s="1"/>
  <c r="O1080" i="52"/>
  <c r="S1080" i="52" s="1"/>
  <c r="O1092" i="52"/>
  <c r="S1092" i="52" s="1"/>
  <c r="O1100" i="52"/>
  <c r="S1100" i="52" s="1"/>
  <c r="O1108" i="52"/>
  <c r="S1108" i="52" s="1"/>
  <c r="M1091" i="52"/>
  <c r="Q1091" i="52" s="1"/>
  <c r="M1099" i="52"/>
  <c r="Q1099" i="52" s="1"/>
  <c r="M1107" i="52"/>
  <c r="Q1107" i="52" s="1"/>
  <c r="O1090" i="52"/>
  <c r="S1090" i="52" s="1"/>
  <c r="O1107" i="52"/>
  <c r="S1107" i="52" s="1"/>
  <c r="O1093" i="52"/>
  <c r="S1093" i="52" s="1"/>
  <c r="O1101" i="52"/>
  <c r="S1101" i="52" s="1"/>
  <c r="O1109" i="52"/>
  <c r="S1109" i="52" s="1"/>
  <c r="M1092" i="52"/>
  <c r="Q1092" i="52" s="1"/>
  <c r="M1100" i="52"/>
  <c r="Q1100" i="52" s="1"/>
  <c r="M1108" i="52"/>
  <c r="Q1108" i="52" s="1"/>
  <c r="O1106" i="52"/>
  <c r="S1106" i="52" s="1"/>
  <c r="M1090" i="52"/>
  <c r="Q1090" i="52" s="1"/>
  <c r="O1094" i="52"/>
  <c r="S1094" i="52" s="1"/>
  <c r="O1102" i="52"/>
  <c r="S1102" i="52" s="1"/>
  <c r="O1110" i="52"/>
  <c r="S1110" i="52" s="1"/>
  <c r="M1093" i="52"/>
  <c r="Q1093" i="52" s="1"/>
  <c r="M1101" i="52"/>
  <c r="Q1101" i="52" s="1"/>
  <c r="M1109" i="52"/>
  <c r="Q1109" i="52" s="1"/>
  <c r="M1105" i="52"/>
  <c r="Q1105" i="52" s="1"/>
  <c r="M1106" i="52"/>
  <c r="Q1106" i="52" s="1"/>
  <c r="O1095" i="52"/>
  <c r="S1095" i="52" s="1"/>
  <c r="O1103" i="52"/>
  <c r="S1103" i="52" s="1"/>
  <c r="O1111" i="52"/>
  <c r="S1111" i="52" s="1"/>
  <c r="M1094" i="52"/>
  <c r="Q1094" i="52" s="1"/>
  <c r="M1102" i="52"/>
  <c r="Q1102" i="52" s="1"/>
  <c r="M1110" i="52"/>
  <c r="Q1110" i="52" s="1"/>
  <c r="O1098" i="52"/>
  <c r="S1098" i="52" s="1"/>
  <c r="O1091" i="52"/>
  <c r="S1091" i="52" s="1"/>
  <c r="O1088" i="52"/>
  <c r="S1088" i="52" s="1"/>
  <c r="O1096" i="52"/>
  <c r="S1096" i="52" s="1"/>
  <c r="O1104" i="52"/>
  <c r="S1104" i="52" s="1"/>
  <c r="O1112" i="52"/>
  <c r="S1112" i="52" s="1"/>
  <c r="M1095" i="52"/>
  <c r="Q1095" i="52" s="1"/>
  <c r="M1103" i="52"/>
  <c r="Q1103" i="52" s="1"/>
  <c r="M1111" i="52"/>
  <c r="Q1111" i="52" s="1"/>
  <c r="M1097" i="52"/>
  <c r="Q1097" i="52" s="1"/>
  <c r="M1098" i="52"/>
  <c r="Q1098" i="52" s="1"/>
  <c r="O1089" i="52"/>
  <c r="S1089" i="52" s="1"/>
  <c r="O1097" i="52"/>
  <c r="S1097" i="52" s="1"/>
  <c r="O1105" i="52"/>
  <c r="S1105" i="52" s="1"/>
  <c r="M1088" i="52"/>
  <c r="Q1088" i="52" s="1"/>
  <c r="M1096" i="52"/>
  <c r="Q1096" i="52" s="1"/>
  <c r="M1104" i="52"/>
  <c r="Q1104" i="52" s="1"/>
  <c r="M1112" i="52"/>
  <c r="Q1112" i="52" s="1"/>
  <c r="M1089" i="52"/>
  <c r="Q1089" i="52" s="1"/>
  <c r="O1099" i="52"/>
  <c r="S1099" i="52" s="1"/>
  <c r="O832" i="52"/>
  <c r="S832" i="52" s="1"/>
  <c r="O840" i="52"/>
  <c r="S840" i="52" s="1"/>
  <c r="O848" i="52"/>
  <c r="S848" i="52" s="1"/>
  <c r="M831" i="52"/>
  <c r="Q831" i="52" s="1"/>
  <c r="M839" i="52"/>
  <c r="Q839" i="52" s="1"/>
  <c r="M847" i="52"/>
  <c r="Q847" i="52" s="1"/>
  <c r="O831" i="52"/>
  <c r="S831" i="52" s="1"/>
  <c r="O833" i="52"/>
  <c r="S833" i="52" s="1"/>
  <c r="O841" i="52"/>
  <c r="S841" i="52" s="1"/>
  <c r="O849" i="52"/>
  <c r="S849" i="52" s="1"/>
  <c r="M832" i="52"/>
  <c r="Q832" i="52" s="1"/>
  <c r="M840" i="52"/>
  <c r="Q840" i="52" s="1"/>
  <c r="M848" i="52"/>
  <c r="Q848" i="52" s="1"/>
  <c r="O839" i="52"/>
  <c r="S839" i="52" s="1"/>
  <c r="O834" i="52"/>
  <c r="S834" i="52" s="1"/>
  <c r="O842" i="52"/>
  <c r="S842" i="52" s="1"/>
  <c r="O850" i="52"/>
  <c r="S850" i="52" s="1"/>
  <c r="M833" i="52"/>
  <c r="Q833" i="52" s="1"/>
  <c r="M841" i="52"/>
  <c r="Q841" i="52" s="1"/>
  <c r="M849" i="52"/>
  <c r="Q849" i="52" s="1"/>
  <c r="M846" i="52"/>
  <c r="Q846" i="52" s="1"/>
  <c r="O835" i="52"/>
  <c r="S835" i="52" s="1"/>
  <c r="O843" i="52"/>
  <c r="S843" i="52" s="1"/>
  <c r="O851" i="52"/>
  <c r="S851" i="52" s="1"/>
  <c r="M834" i="52"/>
  <c r="Q834" i="52" s="1"/>
  <c r="M842" i="52"/>
  <c r="Q842" i="52" s="1"/>
  <c r="M850" i="52"/>
  <c r="Q850" i="52" s="1"/>
  <c r="M830" i="52"/>
  <c r="Q830" i="52" s="1"/>
  <c r="O836" i="52"/>
  <c r="S836" i="52" s="1"/>
  <c r="O844" i="52"/>
  <c r="S844" i="52" s="1"/>
  <c r="O852" i="52"/>
  <c r="S852" i="52" s="1"/>
  <c r="M835" i="52"/>
  <c r="Q835" i="52" s="1"/>
  <c r="M843" i="52"/>
  <c r="Q843" i="52" s="1"/>
  <c r="M851" i="52"/>
  <c r="Q851" i="52" s="1"/>
  <c r="O829" i="52"/>
  <c r="S829" i="52" s="1"/>
  <c r="O837" i="52"/>
  <c r="S837" i="52" s="1"/>
  <c r="O845" i="52"/>
  <c r="S845" i="52" s="1"/>
  <c r="O853" i="52"/>
  <c r="S853" i="52" s="1"/>
  <c r="M836" i="52"/>
  <c r="Q836" i="52" s="1"/>
  <c r="M844" i="52"/>
  <c r="Q844" i="52" s="1"/>
  <c r="M852" i="52"/>
  <c r="Q852" i="52" s="1"/>
  <c r="O847" i="52"/>
  <c r="S847" i="52" s="1"/>
  <c r="O830" i="52"/>
  <c r="S830" i="52" s="1"/>
  <c r="O838" i="52"/>
  <c r="S838" i="52" s="1"/>
  <c r="O846" i="52"/>
  <c r="S846" i="52" s="1"/>
  <c r="M829" i="52"/>
  <c r="Q829" i="52" s="1"/>
  <c r="M837" i="52"/>
  <c r="Q837" i="52" s="1"/>
  <c r="M845" i="52"/>
  <c r="Q845" i="52" s="1"/>
  <c r="M853" i="52"/>
  <c r="Q853" i="52" s="1"/>
  <c r="M838" i="52"/>
  <c r="Q838" i="52" s="1"/>
  <c r="O774" i="52"/>
  <c r="S774" i="52" s="1"/>
  <c r="O782" i="52"/>
  <c r="S782" i="52" s="1"/>
  <c r="O790" i="52"/>
  <c r="S790" i="52" s="1"/>
  <c r="M773" i="52"/>
  <c r="Q773" i="52" s="1"/>
  <c r="M781" i="52"/>
  <c r="Q781" i="52" s="1"/>
  <c r="M789" i="52"/>
  <c r="Q789" i="52" s="1"/>
  <c r="O789" i="52"/>
  <c r="S789" i="52" s="1"/>
  <c r="O775" i="52"/>
  <c r="S775" i="52" s="1"/>
  <c r="O783" i="52"/>
  <c r="S783" i="52" s="1"/>
  <c r="O791" i="52"/>
  <c r="S791" i="52" s="1"/>
  <c r="M774" i="52"/>
  <c r="Q774" i="52" s="1"/>
  <c r="M782" i="52"/>
  <c r="Q782" i="52" s="1"/>
  <c r="M790" i="52"/>
  <c r="Q790" i="52" s="1"/>
  <c r="M780" i="52"/>
  <c r="Q780" i="52" s="1"/>
  <c r="O776" i="52"/>
  <c r="S776" i="52" s="1"/>
  <c r="O784" i="52"/>
  <c r="S784" i="52" s="1"/>
  <c r="O792" i="52"/>
  <c r="S792" i="52" s="1"/>
  <c r="M775" i="52"/>
  <c r="Q775" i="52" s="1"/>
  <c r="M783" i="52"/>
  <c r="Q783" i="52" s="1"/>
  <c r="M791" i="52"/>
  <c r="Q791" i="52" s="1"/>
  <c r="O773" i="52"/>
  <c r="S773" i="52" s="1"/>
  <c r="O777" i="52"/>
  <c r="S777" i="52" s="1"/>
  <c r="O785" i="52"/>
  <c r="S785" i="52" s="1"/>
  <c r="O793" i="52"/>
  <c r="S793" i="52" s="1"/>
  <c r="M776" i="52"/>
  <c r="Q776" i="52" s="1"/>
  <c r="M784" i="52"/>
  <c r="Q784" i="52" s="1"/>
  <c r="M792" i="52"/>
  <c r="Q792" i="52" s="1"/>
  <c r="M788" i="52"/>
  <c r="Q788" i="52" s="1"/>
  <c r="O770" i="52"/>
  <c r="S770" i="52" s="1"/>
  <c r="O778" i="52"/>
  <c r="S778" i="52" s="1"/>
  <c r="O786" i="52"/>
  <c r="S786" i="52" s="1"/>
  <c r="O794" i="52"/>
  <c r="S794" i="52" s="1"/>
  <c r="M777" i="52"/>
  <c r="Q777" i="52" s="1"/>
  <c r="M785" i="52"/>
  <c r="Q785" i="52" s="1"/>
  <c r="M793" i="52"/>
  <c r="Q793" i="52" s="1"/>
  <c r="O771" i="52"/>
  <c r="S771" i="52" s="1"/>
  <c r="O779" i="52"/>
  <c r="S779" i="52" s="1"/>
  <c r="O787" i="52"/>
  <c r="S787" i="52" s="1"/>
  <c r="M770" i="52"/>
  <c r="Q770" i="52" s="1"/>
  <c r="M778" i="52"/>
  <c r="Q778" i="52" s="1"/>
  <c r="M786" i="52"/>
  <c r="Q786" i="52" s="1"/>
  <c r="M794" i="52"/>
  <c r="Q794" i="52" s="1"/>
  <c r="M772" i="52"/>
  <c r="Q772" i="52" s="1"/>
  <c r="O772" i="52"/>
  <c r="S772" i="52" s="1"/>
  <c r="O780" i="52"/>
  <c r="S780" i="52" s="1"/>
  <c r="O788" i="52"/>
  <c r="S788" i="52" s="1"/>
  <c r="M771" i="52"/>
  <c r="Q771" i="52" s="1"/>
  <c r="M779" i="52"/>
  <c r="Q779" i="52" s="1"/>
  <c r="M787" i="52"/>
  <c r="Q787" i="52" s="1"/>
  <c r="O781" i="52"/>
  <c r="S781" i="52" s="1"/>
  <c r="O716" i="52"/>
  <c r="S716" i="52" s="1"/>
  <c r="O724" i="52"/>
  <c r="S724" i="52" s="1"/>
  <c r="O732" i="52"/>
  <c r="S732" i="52" s="1"/>
  <c r="M715" i="52"/>
  <c r="Q715" i="52" s="1"/>
  <c r="M723" i="52"/>
  <c r="Q723" i="52" s="1"/>
  <c r="M731" i="52"/>
  <c r="Q731" i="52" s="1"/>
  <c r="M722" i="52"/>
  <c r="Q722" i="52" s="1"/>
  <c r="O717" i="52"/>
  <c r="S717" i="52" s="1"/>
  <c r="O725" i="52"/>
  <c r="S725" i="52" s="1"/>
  <c r="O733" i="52"/>
  <c r="S733" i="52" s="1"/>
  <c r="M716" i="52"/>
  <c r="Q716" i="52" s="1"/>
  <c r="M724" i="52"/>
  <c r="Q724" i="52" s="1"/>
  <c r="M732" i="52"/>
  <c r="Q732" i="52" s="1"/>
  <c r="O731" i="52"/>
  <c r="S731" i="52" s="1"/>
  <c r="O710" i="52"/>
  <c r="S710" i="52" s="1"/>
  <c r="O718" i="52"/>
  <c r="S718" i="52" s="1"/>
  <c r="O726" i="52"/>
  <c r="S726" i="52" s="1"/>
  <c r="O734" i="52"/>
  <c r="S734" i="52" s="1"/>
  <c r="M717" i="52"/>
  <c r="Q717" i="52" s="1"/>
  <c r="M725" i="52"/>
  <c r="Q725" i="52" s="1"/>
  <c r="M733" i="52"/>
  <c r="Q733" i="52" s="1"/>
  <c r="M714" i="52"/>
  <c r="Q714" i="52" s="1"/>
  <c r="O711" i="52"/>
  <c r="S711" i="52" s="1"/>
  <c r="O719" i="52"/>
  <c r="S719" i="52" s="1"/>
  <c r="O727" i="52"/>
  <c r="S727" i="52" s="1"/>
  <c r="M710" i="52"/>
  <c r="Q710" i="52" s="1"/>
  <c r="M718" i="52"/>
  <c r="Q718" i="52" s="1"/>
  <c r="M726" i="52"/>
  <c r="Q726" i="52" s="1"/>
  <c r="M734" i="52"/>
  <c r="Q734" i="52" s="1"/>
  <c r="M730" i="52"/>
  <c r="Q730" i="52" s="1"/>
  <c r="O712" i="52"/>
  <c r="S712" i="52" s="1"/>
  <c r="O720" i="52"/>
  <c r="S720" i="52" s="1"/>
  <c r="O728" i="52"/>
  <c r="S728" i="52" s="1"/>
  <c r="M711" i="52"/>
  <c r="Q711" i="52" s="1"/>
  <c r="M719" i="52"/>
  <c r="Q719" i="52" s="1"/>
  <c r="M727" i="52"/>
  <c r="Q727" i="52" s="1"/>
  <c r="O723" i="52"/>
  <c r="S723" i="52" s="1"/>
  <c r="O713" i="52"/>
  <c r="S713" i="52" s="1"/>
  <c r="O721" i="52"/>
  <c r="S721" i="52" s="1"/>
  <c r="O729" i="52"/>
  <c r="S729" i="52" s="1"/>
  <c r="M712" i="52"/>
  <c r="Q712" i="52" s="1"/>
  <c r="M720" i="52"/>
  <c r="Q720" i="52" s="1"/>
  <c r="M728" i="52"/>
  <c r="Q728" i="52" s="1"/>
  <c r="O715" i="52"/>
  <c r="S715" i="52" s="1"/>
  <c r="O714" i="52"/>
  <c r="S714" i="52" s="1"/>
  <c r="O722" i="52"/>
  <c r="S722" i="52" s="1"/>
  <c r="O730" i="52"/>
  <c r="S730" i="52" s="1"/>
  <c r="M713" i="52"/>
  <c r="Q713" i="52" s="1"/>
  <c r="M721" i="52"/>
  <c r="Q721" i="52" s="1"/>
  <c r="M729" i="52"/>
  <c r="Q729" i="52" s="1"/>
  <c r="O743" i="52"/>
  <c r="S743" i="52" s="1"/>
  <c r="O751" i="52"/>
  <c r="S751" i="52" s="1"/>
  <c r="O759" i="52"/>
  <c r="S759" i="52" s="1"/>
  <c r="M742" i="52"/>
  <c r="Q742" i="52" s="1"/>
  <c r="M750" i="52"/>
  <c r="Q750" i="52" s="1"/>
  <c r="M758" i="52"/>
  <c r="Q758" i="52" s="1"/>
  <c r="M741" i="52"/>
  <c r="Q741" i="52" s="1"/>
  <c r="O744" i="52"/>
  <c r="S744" i="52" s="1"/>
  <c r="O752" i="52"/>
  <c r="S752" i="52" s="1"/>
  <c r="O760" i="52"/>
  <c r="S760" i="52" s="1"/>
  <c r="M743" i="52"/>
  <c r="Q743" i="52" s="1"/>
  <c r="M751" i="52"/>
  <c r="Q751" i="52" s="1"/>
  <c r="M759" i="52"/>
  <c r="Q759" i="52" s="1"/>
  <c r="O742" i="52"/>
  <c r="S742" i="52" s="1"/>
  <c r="O745" i="52"/>
  <c r="S745" i="52" s="1"/>
  <c r="O753" i="52"/>
  <c r="S753" i="52" s="1"/>
  <c r="O761" i="52"/>
  <c r="S761" i="52" s="1"/>
  <c r="M744" i="52"/>
  <c r="Q744" i="52" s="1"/>
  <c r="M752" i="52"/>
  <c r="Q752" i="52" s="1"/>
  <c r="M760" i="52"/>
  <c r="Q760" i="52" s="1"/>
  <c r="O758" i="52"/>
  <c r="S758" i="52" s="1"/>
  <c r="O746" i="52"/>
  <c r="S746" i="52" s="1"/>
  <c r="O754" i="52"/>
  <c r="S754" i="52" s="1"/>
  <c r="O762" i="52"/>
  <c r="S762" i="52" s="1"/>
  <c r="M745" i="52"/>
  <c r="Q745" i="52" s="1"/>
  <c r="M753" i="52"/>
  <c r="Q753" i="52" s="1"/>
  <c r="M761" i="52"/>
  <c r="Q761" i="52" s="1"/>
  <c r="O750" i="52"/>
  <c r="S750" i="52" s="1"/>
  <c r="O739" i="52"/>
  <c r="S739" i="52" s="1"/>
  <c r="O747" i="52"/>
  <c r="S747" i="52" s="1"/>
  <c r="O755" i="52"/>
  <c r="S755" i="52" s="1"/>
  <c r="O763" i="52"/>
  <c r="S763" i="52" s="1"/>
  <c r="M746" i="52"/>
  <c r="Q746" i="52" s="1"/>
  <c r="M754" i="52"/>
  <c r="Q754" i="52" s="1"/>
  <c r="M762" i="52"/>
  <c r="Q762" i="52" s="1"/>
  <c r="M749" i="52"/>
  <c r="Q749" i="52" s="1"/>
  <c r="O740" i="52"/>
  <c r="S740" i="52" s="1"/>
  <c r="O748" i="52"/>
  <c r="S748" i="52" s="1"/>
  <c r="O756" i="52"/>
  <c r="S756" i="52" s="1"/>
  <c r="M739" i="52"/>
  <c r="Q739" i="52" s="1"/>
  <c r="M747" i="52"/>
  <c r="Q747" i="52" s="1"/>
  <c r="M755" i="52"/>
  <c r="Q755" i="52" s="1"/>
  <c r="M763" i="52"/>
  <c r="Q763" i="52" s="1"/>
  <c r="O741" i="52"/>
  <c r="S741" i="52" s="1"/>
  <c r="O749" i="52"/>
  <c r="S749" i="52" s="1"/>
  <c r="O757" i="52"/>
  <c r="S757" i="52" s="1"/>
  <c r="M740" i="52"/>
  <c r="Q740" i="52" s="1"/>
  <c r="M748" i="52"/>
  <c r="Q748" i="52" s="1"/>
  <c r="M756" i="52"/>
  <c r="Q756" i="52" s="1"/>
  <c r="M757" i="52"/>
  <c r="Q757" i="52" s="1"/>
  <c r="Q129" i="52"/>
  <c r="S158" i="52"/>
  <c r="Q1495" i="52"/>
  <c r="L10" i="83"/>
  <c r="S99" i="52"/>
  <c r="O483" i="52"/>
  <c r="S483" i="52" s="1"/>
  <c r="O491" i="52"/>
  <c r="S491" i="52" s="1"/>
  <c r="O499" i="52"/>
  <c r="S499" i="52" s="1"/>
  <c r="M482" i="52"/>
  <c r="Q482" i="52" s="1"/>
  <c r="M490" i="52"/>
  <c r="Q490" i="52" s="1"/>
  <c r="M498" i="52"/>
  <c r="Q498" i="52" s="1"/>
  <c r="O494" i="52"/>
  <c r="S494" i="52" s="1"/>
  <c r="M493" i="52"/>
  <c r="Q493" i="52" s="1"/>
  <c r="O490" i="52"/>
  <c r="S490" i="52" s="1"/>
  <c r="M497" i="52"/>
  <c r="Q497" i="52" s="1"/>
  <c r="O484" i="52"/>
  <c r="S484" i="52" s="1"/>
  <c r="O492" i="52"/>
  <c r="S492" i="52" s="1"/>
  <c r="O500" i="52"/>
  <c r="S500" i="52" s="1"/>
  <c r="M483" i="52"/>
  <c r="Q483" i="52" s="1"/>
  <c r="M491" i="52"/>
  <c r="Q491" i="52" s="1"/>
  <c r="M499" i="52"/>
  <c r="Q499" i="52" s="1"/>
  <c r="O486" i="52"/>
  <c r="S486" i="52" s="1"/>
  <c r="M485" i="52"/>
  <c r="Q485" i="52" s="1"/>
  <c r="M481" i="52"/>
  <c r="Q481" i="52" s="1"/>
  <c r="M489" i="52"/>
  <c r="Q489" i="52" s="1"/>
  <c r="O485" i="52"/>
  <c r="S485" i="52" s="1"/>
  <c r="O493" i="52"/>
  <c r="S493" i="52" s="1"/>
  <c r="O501" i="52"/>
  <c r="S501" i="52" s="1"/>
  <c r="M484" i="52"/>
  <c r="Q484" i="52" s="1"/>
  <c r="M492" i="52"/>
  <c r="Q492" i="52" s="1"/>
  <c r="M500" i="52"/>
  <c r="Q500" i="52" s="1"/>
  <c r="O502" i="52"/>
  <c r="S502" i="52" s="1"/>
  <c r="M501" i="52"/>
  <c r="Q501" i="52" s="1"/>
  <c r="O498" i="52"/>
  <c r="S498" i="52" s="1"/>
  <c r="O487" i="52"/>
  <c r="S487" i="52" s="1"/>
  <c r="O495" i="52"/>
  <c r="S495" i="52" s="1"/>
  <c r="O503" i="52"/>
  <c r="S503" i="52" s="1"/>
  <c r="M486" i="52"/>
  <c r="Q486" i="52" s="1"/>
  <c r="M494" i="52"/>
  <c r="Q494" i="52" s="1"/>
  <c r="M502" i="52"/>
  <c r="Q502" i="52" s="1"/>
  <c r="O489" i="52"/>
  <c r="S489" i="52" s="1"/>
  <c r="M480" i="52"/>
  <c r="Q480" i="52" s="1"/>
  <c r="M496" i="52"/>
  <c r="Q496" i="52" s="1"/>
  <c r="O482" i="52"/>
  <c r="S482" i="52" s="1"/>
  <c r="O480" i="52"/>
  <c r="S480" i="52" s="1"/>
  <c r="O488" i="52"/>
  <c r="S488" i="52" s="1"/>
  <c r="O496" i="52"/>
  <c r="S496" i="52" s="1"/>
  <c r="O504" i="52"/>
  <c r="S504" i="52" s="1"/>
  <c r="M487" i="52"/>
  <c r="Q487" i="52" s="1"/>
  <c r="M495" i="52"/>
  <c r="Q495" i="52" s="1"/>
  <c r="M503" i="52"/>
  <c r="Q503" i="52" s="1"/>
  <c r="O481" i="52"/>
  <c r="S481" i="52" s="1"/>
  <c r="O497" i="52"/>
  <c r="S497" i="52" s="1"/>
  <c r="M488" i="52"/>
  <c r="Q488" i="52" s="1"/>
  <c r="M504" i="52"/>
  <c r="Q504" i="52" s="1"/>
  <c r="S129" i="52"/>
  <c r="S1525" i="52"/>
  <c r="L61" i="83"/>
  <c r="O425" i="52"/>
  <c r="S425" i="52" s="1"/>
  <c r="O433" i="52"/>
  <c r="S433" i="52" s="1"/>
  <c r="O441" i="52"/>
  <c r="S441" i="52" s="1"/>
  <c r="M424" i="52"/>
  <c r="Q424" i="52" s="1"/>
  <c r="M432" i="52"/>
  <c r="Q432" i="52" s="1"/>
  <c r="M440" i="52"/>
  <c r="Q440" i="52" s="1"/>
  <c r="O424" i="52"/>
  <c r="S424" i="52" s="1"/>
  <c r="O426" i="52"/>
  <c r="S426" i="52" s="1"/>
  <c r="O434" i="52"/>
  <c r="S434" i="52" s="1"/>
  <c r="O442" i="52"/>
  <c r="S442" i="52" s="1"/>
  <c r="M425" i="52"/>
  <c r="Q425" i="52" s="1"/>
  <c r="M433" i="52"/>
  <c r="Q433" i="52" s="1"/>
  <c r="M441" i="52"/>
  <c r="Q441" i="52" s="1"/>
  <c r="O427" i="52"/>
  <c r="S427" i="52" s="1"/>
  <c r="O435" i="52"/>
  <c r="S435" i="52" s="1"/>
  <c r="O443" i="52"/>
  <c r="S443" i="52" s="1"/>
  <c r="M426" i="52"/>
  <c r="Q426" i="52" s="1"/>
  <c r="M434" i="52"/>
  <c r="Q434" i="52" s="1"/>
  <c r="M442" i="52"/>
  <c r="Q442" i="52" s="1"/>
  <c r="O432" i="52"/>
  <c r="S432" i="52" s="1"/>
  <c r="O428" i="52"/>
  <c r="S428" i="52" s="1"/>
  <c r="O436" i="52"/>
  <c r="S436" i="52" s="1"/>
  <c r="O444" i="52"/>
  <c r="S444" i="52" s="1"/>
  <c r="M427" i="52"/>
  <c r="Q427" i="52" s="1"/>
  <c r="M435" i="52"/>
  <c r="Q435" i="52" s="1"/>
  <c r="M443" i="52"/>
  <c r="Q443" i="52" s="1"/>
  <c r="M439" i="52"/>
  <c r="Q439" i="52" s="1"/>
  <c r="O421" i="52"/>
  <c r="S421" i="52" s="1"/>
  <c r="O429" i="52"/>
  <c r="S429" i="52" s="1"/>
  <c r="O437" i="52"/>
  <c r="S437" i="52" s="1"/>
  <c r="O445" i="52"/>
  <c r="S445" i="52" s="1"/>
  <c r="M428" i="52"/>
  <c r="Q428" i="52" s="1"/>
  <c r="M436" i="52"/>
  <c r="Q436" i="52" s="1"/>
  <c r="M444" i="52"/>
  <c r="Q444" i="52" s="1"/>
  <c r="M431" i="52"/>
  <c r="Q431" i="52" s="1"/>
  <c r="O422" i="52"/>
  <c r="S422" i="52" s="1"/>
  <c r="O430" i="52"/>
  <c r="S430" i="52" s="1"/>
  <c r="O438" i="52"/>
  <c r="S438" i="52" s="1"/>
  <c r="M421" i="52"/>
  <c r="Q421" i="52" s="1"/>
  <c r="M429" i="52"/>
  <c r="Q429" i="52" s="1"/>
  <c r="M437" i="52"/>
  <c r="Q437" i="52" s="1"/>
  <c r="M445" i="52"/>
  <c r="Q445" i="52" s="1"/>
  <c r="M423" i="52"/>
  <c r="Q423" i="52" s="1"/>
  <c r="O423" i="52"/>
  <c r="S423" i="52" s="1"/>
  <c r="O431" i="52"/>
  <c r="S431" i="52" s="1"/>
  <c r="O439" i="52"/>
  <c r="S439" i="52" s="1"/>
  <c r="M422" i="52"/>
  <c r="Q422" i="52" s="1"/>
  <c r="M430" i="52"/>
  <c r="Q430" i="52" s="1"/>
  <c r="M438" i="52"/>
  <c r="Q438" i="52" s="1"/>
  <c r="O440" i="52"/>
  <c r="S440" i="52" s="1"/>
  <c r="S1495" i="52"/>
  <c r="Q1525" i="52"/>
  <c r="Q1554" i="52"/>
  <c r="S1554" i="52"/>
  <c r="O394" i="52"/>
  <c r="S394" i="52" s="1"/>
  <c r="O402" i="52"/>
  <c r="S402" i="52" s="1"/>
  <c r="O410" i="52"/>
  <c r="S410" i="52" s="1"/>
  <c r="M393" i="52"/>
  <c r="Q393" i="52" s="1"/>
  <c r="M401" i="52"/>
  <c r="Q401" i="52" s="1"/>
  <c r="M409" i="52"/>
  <c r="Q409" i="52" s="1"/>
  <c r="O393" i="52"/>
  <c r="S393" i="52" s="1"/>
  <c r="O395" i="52"/>
  <c r="S395" i="52" s="1"/>
  <c r="O403" i="52"/>
  <c r="S403" i="52" s="1"/>
  <c r="O411" i="52"/>
  <c r="S411" i="52" s="1"/>
  <c r="M394" i="52"/>
  <c r="Q394" i="52" s="1"/>
  <c r="M402" i="52"/>
  <c r="Q402" i="52" s="1"/>
  <c r="M410" i="52"/>
  <c r="Q410" i="52" s="1"/>
  <c r="O409" i="52"/>
  <c r="S409" i="52" s="1"/>
  <c r="O396" i="52"/>
  <c r="S396" i="52" s="1"/>
  <c r="O404" i="52"/>
  <c r="S404" i="52" s="1"/>
  <c r="O412" i="52"/>
  <c r="S412" i="52" s="1"/>
  <c r="M395" i="52"/>
  <c r="Q395" i="52" s="1"/>
  <c r="M403" i="52"/>
  <c r="Q403" i="52" s="1"/>
  <c r="M411" i="52"/>
  <c r="Q411" i="52" s="1"/>
  <c r="O401" i="52"/>
  <c r="S401" i="52" s="1"/>
  <c r="O397" i="52"/>
  <c r="S397" i="52" s="1"/>
  <c r="O405" i="52"/>
  <c r="S405" i="52" s="1"/>
  <c r="O413" i="52"/>
  <c r="S413" i="52" s="1"/>
  <c r="M396" i="52"/>
  <c r="Q396" i="52" s="1"/>
  <c r="M404" i="52"/>
  <c r="Q404" i="52" s="1"/>
  <c r="M412" i="52"/>
  <c r="Q412" i="52" s="1"/>
  <c r="O390" i="52"/>
  <c r="S390" i="52" s="1"/>
  <c r="O398" i="52"/>
  <c r="S398" i="52" s="1"/>
  <c r="O406" i="52"/>
  <c r="S406" i="52" s="1"/>
  <c r="O414" i="52"/>
  <c r="S414" i="52" s="1"/>
  <c r="M397" i="52"/>
  <c r="Q397" i="52" s="1"/>
  <c r="M405" i="52"/>
  <c r="Q405" i="52" s="1"/>
  <c r="M413" i="52"/>
  <c r="Q413" i="52" s="1"/>
  <c r="M392" i="52"/>
  <c r="Q392" i="52" s="1"/>
  <c r="O391" i="52"/>
  <c r="S391" i="52" s="1"/>
  <c r="O399" i="52"/>
  <c r="S399" i="52" s="1"/>
  <c r="O407" i="52"/>
  <c r="S407" i="52" s="1"/>
  <c r="M390" i="52"/>
  <c r="Q390" i="52" s="1"/>
  <c r="M398" i="52"/>
  <c r="Q398" i="52" s="1"/>
  <c r="M406" i="52"/>
  <c r="Q406" i="52" s="1"/>
  <c r="M414" i="52"/>
  <c r="Q414" i="52" s="1"/>
  <c r="M408" i="52"/>
  <c r="Q408" i="52" s="1"/>
  <c r="O392" i="52"/>
  <c r="S392" i="52" s="1"/>
  <c r="O400" i="52"/>
  <c r="S400" i="52" s="1"/>
  <c r="O408" i="52"/>
  <c r="S408" i="52" s="1"/>
  <c r="M391" i="52"/>
  <c r="Q391" i="52" s="1"/>
  <c r="M399" i="52"/>
  <c r="Q399" i="52" s="1"/>
  <c r="M407" i="52"/>
  <c r="Q407" i="52" s="1"/>
  <c r="M400" i="52"/>
  <c r="Q400" i="52" s="1"/>
  <c r="O367" i="52"/>
  <c r="S367" i="52" s="1"/>
  <c r="O375" i="52"/>
  <c r="S375" i="52" s="1"/>
  <c r="O383" i="52"/>
  <c r="S383" i="52" s="1"/>
  <c r="M366" i="52"/>
  <c r="Q366" i="52" s="1"/>
  <c r="M374" i="52"/>
  <c r="Q374" i="52" s="1"/>
  <c r="M382" i="52"/>
  <c r="Q382" i="52" s="1"/>
  <c r="O382" i="52"/>
  <c r="S382" i="52" s="1"/>
  <c r="O368" i="52"/>
  <c r="S368" i="52" s="1"/>
  <c r="O376" i="52"/>
  <c r="S376" i="52" s="1"/>
  <c r="O384" i="52"/>
  <c r="S384" i="52" s="1"/>
  <c r="M367" i="52"/>
  <c r="Q367" i="52" s="1"/>
  <c r="M375" i="52"/>
  <c r="Q375" i="52" s="1"/>
  <c r="M383" i="52"/>
  <c r="Q383" i="52" s="1"/>
  <c r="O366" i="52"/>
  <c r="S366" i="52" s="1"/>
  <c r="O361" i="52"/>
  <c r="S361" i="52" s="1"/>
  <c r="O369" i="52"/>
  <c r="S369" i="52" s="1"/>
  <c r="O377" i="52"/>
  <c r="S377" i="52" s="1"/>
  <c r="O385" i="52"/>
  <c r="S385" i="52" s="1"/>
  <c r="M368" i="52"/>
  <c r="Q368" i="52" s="1"/>
  <c r="M376" i="52"/>
  <c r="Q376" i="52" s="1"/>
  <c r="M384" i="52"/>
  <c r="Q384" i="52" s="1"/>
  <c r="O362" i="52"/>
  <c r="S362" i="52" s="1"/>
  <c r="O370" i="52"/>
  <c r="S370" i="52" s="1"/>
  <c r="O378" i="52"/>
  <c r="S378" i="52" s="1"/>
  <c r="M361" i="52"/>
  <c r="Q361" i="52" s="1"/>
  <c r="M369" i="52"/>
  <c r="Q369" i="52" s="1"/>
  <c r="M377" i="52"/>
  <c r="Q377" i="52" s="1"/>
  <c r="M385" i="52"/>
  <c r="Q385" i="52" s="1"/>
  <c r="O374" i="52"/>
  <c r="S374" i="52" s="1"/>
  <c r="O363" i="52"/>
  <c r="S363" i="52" s="1"/>
  <c r="O371" i="52"/>
  <c r="S371" i="52" s="1"/>
  <c r="O379" i="52"/>
  <c r="S379" i="52" s="1"/>
  <c r="M362" i="52"/>
  <c r="Q362" i="52" s="1"/>
  <c r="M370" i="52"/>
  <c r="Q370" i="52" s="1"/>
  <c r="M378" i="52"/>
  <c r="Q378" i="52" s="1"/>
  <c r="M373" i="52"/>
  <c r="Q373" i="52" s="1"/>
  <c r="O364" i="52"/>
  <c r="S364" i="52" s="1"/>
  <c r="O372" i="52"/>
  <c r="S372" i="52" s="1"/>
  <c r="O380" i="52"/>
  <c r="S380" i="52" s="1"/>
  <c r="M363" i="52"/>
  <c r="Q363" i="52" s="1"/>
  <c r="M371" i="52"/>
  <c r="Q371" i="52" s="1"/>
  <c r="M379" i="52"/>
  <c r="Q379" i="52" s="1"/>
  <c r="M381" i="52"/>
  <c r="Q381" i="52" s="1"/>
  <c r="O365" i="52"/>
  <c r="S365" i="52" s="1"/>
  <c r="O373" i="52"/>
  <c r="S373" i="52" s="1"/>
  <c r="O381" i="52"/>
  <c r="S381" i="52" s="1"/>
  <c r="M364" i="52"/>
  <c r="Q364" i="52" s="1"/>
  <c r="M372" i="52"/>
  <c r="Q372" i="52" s="1"/>
  <c r="M380" i="52"/>
  <c r="Q380" i="52" s="1"/>
  <c r="M365" i="52"/>
  <c r="Q365" i="52" s="1"/>
  <c r="O135" i="52"/>
  <c r="S135" i="52" s="1"/>
  <c r="O143" i="52"/>
  <c r="S143" i="52" s="1"/>
  <c r="O151" i="52"/>
  <c r="S151" i="52" s="1"/>
  <c r="M134" i="52"/>
  <c r="Q134" i="52" s="1"/>
  <c r="M142" i="52"/>
  <c r="Q142" i="52" s="1"/>
  <c r="M150" i="52"/>
  <c r="Q150" i="52" s="1"/>
  <c r="O134" i="52"/>
  <c r="S134" i="52" s="1"/>
  <c r="O136" i="52"/>
  <c r="S136" i="52" s="1"/>
  <c r="O144" i="52"/>
  <c r="S144" i="52" s="1"/>
  <c r="O152" i="52"/>
  <c r="S152" i="52" s="1"/>
  <c r="M135" i="52"/>
  <c r="Q135" i="52" s="1"/>
  <c r="M143" i="52"/>
  <c r="Q143" i="52" s="1"/>
  <c r="M151" i="52"/>
  <c r="Q151" i="52" s="1"/>
  <c r="O137" i="52"/>
  <c r="S137" i="52" s="1"/>
  <c r="O145" i="52"/>
  <c r="S145" i="52" s="1"/>
  <c r="O153" i="52"/>
  <c r="S153" i="52" s="1"/>
  <c r="M136" i="52"/>
  <c r="Q136" i="52" s="1"/>
  <c r="M144" i="52"/>
  <c r="Q144" i="52" s="1"/>
  <c r="M152" i="52"/>
  <c r="Q152" i="52" s="1"/>
  <c r="O142" i="52"/>
  <c r="S142" i="52" s="1"/>
  <c r="O138" i="52"/>
  <c r="S138" i="52" s="1"/>
  <c r="O146" i="52"/>
  <c r="S146" i="52" s="1"/>
  <c r="O154" i="52"/>
  <c r="S154" i="52" s="1"/>
  <c r="M137" i="52"/>
  <c r="Q137" i="52" s="1"/>
  <c r="M145" i="52"/>
  <c r="Q145" i="52" s="1"/>
  <c r="M153" i="52"/>
  <c r="Q153" i="52" s="1"/>
  <c r="M141" i="52"/>
  <c r="Q141" i="52" s="1"/>
  <c r="O131" i="52"/>
  <c r="S131" i="52" s="1"/>
  <c r="O139" i="52"/>
  <c r="S139" i="52" s="1"/>
  <c r="O147" i="52"/>
  <c r="S147" i="52" s="1"/>
  <c r="O155" i="52"/>
  <c r="S155" i="52" s="1"/>
  <c r="M138" i="52"/>
  <c r="Q138" i="52" s="1"/>
  <c r="M146" i="52"/>
  <c r="Q146" i="52" s="1"/>
  <c r="M154" i="52"/>
  <c r="Q154" i="52" s="1"/>
  <c r="M133" i="52"/>
  <c r="Q133" i="52" s="1"/>
  <c r="O132" i="52"/>
  <c r="S132" i="52" s="1"/>
  <c r="O140" i="52"/>
  <c r="S140" i="52" s="1"/>
  <c r="O148" i="52"/>
  <c r="S148" i="52" s="1"/>
  <c r="M131" i="52"/>
  <c r="Q131" i="52" s="1"/>
  <c r="M139" i="52"/>
  <c r="Q139" i="52" s="1"/>
  <c r="M147" i="52"/>
  <c r="Q147" i="52" s="1"/>
  <c r="M155" i="52"/>
  <c r="Q155" i="52" s="1"/>
  <c r="O150" i="52"/>
  <c r="S150" i="52" s="1"/>
  <c r="O133" i="52"/>
  <c r="S133" i="52" s="1"/>
  <c r="O141" i="52"/>
  <c r="S141" i="52" s="1"/>
  <c r="O149" i="52"/>
  <c r="S149" i="52" s="1"/>
  <c r="M132" i="52"/>
  <c r="Q132" i="52" s="1"/>
  <c r="M140" i="52"/>
  <c r="Q140" i="52" s="1"/>
  <c r="M148" i="52"/>
  <c r="Q148" i="52" s="1"/>
  <c r="M149" i="52"/>
  <c r="Q149" i="52" s="1"/>
  <c r="O76" i="52"/>
  <c r="S76" i="52" s="1"/>
  <c r="O84" i="52"/>
  <c r="S84" i="52" s="1"/>
  <c r="O92" i="52"/>
  <c r="S92" i="52" s="1"/>
  <c r="M75" i="52"/>
  <c r="Q75" i="52" s="1"/>
  <c r="M83" i="52"/>
  <c r="Q83" i="52" s="1"/>
  <c r="M91" i="52"/>
  <c r="Q91" i="52" s="1"/>
  <c r="O75" i="52"/>
  <c r="S75" i="52" s="1"/>
  <c r="O77" i="52"/>
  <c r="S77" i="52" s="1"/>
  <c r="O85" i="52"/>
  <c r="S85" i="52" s="1"/>
  <c r="O93" i="52"/>
  <c r="S93" i="52" s="1"/>
  <c r="M76" i="52"/>
  <c r="Q76" i="52" s="1"/>
  <c r="M84" i="52"/>
  <c r="Q84" i="52" s="1"/>
  <c r="M92" i="52"/>
  <c r="Q92" i="52" s="1"/>
  <c r="O83" i="52"/>
  <c r="S83" i="52" s="1"/>
  <c r="O78" i="52"/>
  <c r="S78" i="52" s="1"/>
  <c r="O86" i="52"/>
  <c r="S86" i="52" s="1"/>
  <c r="O94" i="52"/>
  <c r="S94" i="52" s="1"/>
  <c r="M77" i="52"/>
  <c r="Q77" i="52" s="1"/>
  <c r="M85" i="52"/>
  <c r="Q85" i="52" s="1"/>
  <c r="M93" i="52"/>
  <c r="Q93" i="52" s="1"/>
  <c r="M82" i="52"/>
  <c r="Q82" i="52" s="1"/>
  <c r="O79" i="52"/>
  <c r="S79" i="52" s="1"/>
  <c r="O87" i="52"/>
  <c r="S87" i="52" s="1"/>
  <c r="O95" i="52"/>
  <c r="S95" i="52" s="1"/>
  <c r="M78" i="52"/>
  <c r="Q78" i="52" s="1"/>
  <c r="M86" i="52"/>
  <c r="Q86" i="52" s="1"/>
  <c r="M94" i="52"/>
  <c r="Q94" i="52" s="1"/>
  <c r="O91" i="52"/>
  <c r="S91" i="52" s="1"/>
  <c r="O72" i="52"/>
  <c r="S72" i="52" s="1"/>
  <c r="O80" i="52"/>
  <c r="S80" i="52" s="1"/>
  <c r="O88" i="52"/>
  <c r="S88" i="52" s="1"/>
  <c r="O96" i="52"/>
  <c r="S96" i="52" s="1"/>
  <c r="M79" i="52"/>
  <c r="Q79" i="52" s="1"/>
  <c r="M87" i="52"/>
  <c r="Q87" i="52" s="1"/>
  <c r="M95" i="52"/>
  <c r="Q95" i="52" s="1"/>
  <c r="M74" i="52"/>
  <c r="Q74" i="52" s="1"/>
  <c r="O73" i="52"/>
  <c r="S73" i="52" s="1"/>
  <c r="O81" i="52"/>
  <c r="S81" i="52" s="1"/>
  <c r="O89" i="52"/>
  <c r="S89" i="52" s="1"/>
  <c r="M72" i="52"/>
  <c r="Q72" i="52" s="1"/>
  <c r="M80" i="52"/>
  <c r="Q80" i="52" s="1"/>
  <c r="M88" i="52"/>
  <c r="Q88" i="52" s="1"/>
  <c r="M96" i="52"/>
  <c r="Q96" i="52" s="1"/>
  <c r="O74" i="52"/>
  <c r="S74" i="52" s="1"/>
  <c r="O82" i="52"/>
  <c r="S82" i="52" s="1"/>
  <c r="O90" i="52"/>
  <c r="S90" i="52" s="1"/>
  <c r="M73" i="52"/>
  <c r="Q73" i="52" s="1"/>
  <c r="M81" i="52"/>
  <c r="Q81" i="52" s="1"/>
  <c r="M89" i="52"/>
  <c r="Q89" i="52" s="1"/>
  <c r="M90" i="52"/>
  <c r="Q90" i="52" s="1"/>
  <c r="O18" i="52"/>
  <c r="S18" i="52" s="1"/>
  <c r="O26" i="52"/>
  <c r="S26" i="52" s="1"/>
  <c r="O34" i="52"/>
  <c r="S34" i="52" s="1"/>
  <c r="M17" i="52"/>
  <c r="Q17" i="52" s="1"/>
  <c r="M25" i="52"/>
  <c r="Q25" i="52" s="1"/>
  <c r="M33" i="52"/>
  <c r="Q33" i="52" s="1"/>
  <c r="O33" i="52"/>
  <c r="S33" i="52" s="1"/>
  <c r="O19" i="52"/>
  <c r="S19" i="52" s="1"/>
  <c r="O27" i="52"/>
  <c r="S27" i="52" s="1"/>
  <c r="O35" i="52"/>
  <c r="S35" i="52" s="1"/>
  <c r="M18" i="52"/>
  <c r="Q18" i="52" s="1"/>
  <c r="M26" i="52"/>
  <c r="Q26" i="52" s="1"/>
  <c r="M34" i="52"/>
  <c r="Q34" i="52" s="1"/>
  <c r="O17" i="52"/>
  <c r="S17" i="52" s="1"/>
  <c r="O12" i="52"/>
  <c r="S12" i="52" s="1"/>
  <c r="O20" i="52"/>
  <c r="S20" i="52" s="1"/>
  <c r="O28" i="52"/>
  <c r="S28" i="52" s="1"/>
  <c r="O36" i="52"/>
  <c r="S36" i="52" s="1"/>
  <c r="M19" i="52"/>
  <c r="Q19" i="52" s="1"/>
  <c r="M27" i="52"/>
  <c r="Q27" i="52" s="1"/>
  <c r="M35" i="52"/>
  <c r="Q35" i="52" s="1"/>
  <c r="O25" i="52"/>
  <c r="S25" i="52" s="1"/>
  <c r="O13" i="52"/>
  <c r="S13" i="52" s="1"/>
  <c r="O21" i="52"/>
  <c r="S21" i="52" s="1"/>
  <c r="O29" i="52"/>
  <c r="S29" i="52" s="1"/>
  <c r="M12" i="52"/>
  <c r="Q12" i="52" s="1"/>
  <c r="M20" i="52"/>
  <c r="Q20" i="52" s="1"/>
  <c r="M28" i="52"/>
  <c r="Q28" i="52" s="1"/>
  <c r="M36" i="52"/>
  <c r="Q36" i="52" s="1"/>
  <c r="M24" i="52"/>
  <c r="Q24" i="52" s="1"/>
  <c r="O14" i="52"/>
  <c r="S14" i="52" s="1"/>
  <c r="O22" i="52"/>
  <c r="S22" i="52" s="1"/>
  <c r="O30" i="52"/>
  <c r="S30" i="52" s="1"/>
  <c r="M13" i="52"/>
  <c r="Q13" i="52" s="1"/>
  <c r="M21" i="52"/>
  <c r="Q21" i="52" s="1"/>
  <c r="M29" i="52"/>
  <c r="Q29" i="52" s="1"/>
  <c r="M32" i="52"/>
  <c r="Q32" i="52" s="1"/>
  <c r="O15" i="52"/>
  <c r="S15" i="52" s="1"/>
  <c r="O23" i="52"/>
  <c r="S23" i="52" s="1"/>
  <c r="O31" i="52"/>
  <c r="S31" i="52" s="1"/>
  <c r="M14" i="52"/>
  <c r="Q14" i="52" s="1"/>
  <c r="M22" i="52"/>
  <c r="Q22" i="52" s="1"/>
  <c r="M30" i="52"/>
  <c r="Q30" i="52" s="1"/>
  <c r="M16" i="52"/>
  <c r="Q16" i="52" s="1"/>
  <c r="O16" i="52"/>
  <c r="S16" i="52" s="1"/>
  <c r="O24" i="52"/>
  <c r="S24" i="52" s="1"/>
  <c r="O32" i="52"/>
  <c r="S32" i="52" s="1"/>
  <c r="M15" i="52"/>
  <c r="Q15" i="52" s="1"/>
  <c r="M23" i="52"/>
  <c r="Q23" i="52" s="1"/>
  <c r="M31" i="52"/>
  <c r="Q31" i="52" s="1"/>
  <c r="O45" i="52"/>
  <c r="S45" i="52" s="1"/>
  <c r="O53" i="52"/>
  <c r="S53" i="52" s="1"/>
  <c r="O61" i="52"/>
  <c r="S61" i="52" s="1"/>
  <c r="M44" i="52"/>
  <c r="Q44" i="52" s="1"/>
  <c r="M52" i="52"/>
  <c r="Q52" i="52" s="1"/>
  <c r="M60" i="52"/>
  <c r="Q60" i="52" s="1"/>
  <c r="O44" i="52"/>
  <c r="S44" i="52" s="1"/>
  <c r="O46" i="52"/>
  <c r="S46" i="52" s="1"/>
  <c r="O54" i="52"/>
  <c r="S54" i="52" s="1"/>
  <c r="O62" i="52"/>
  <c r="S62" i="52" s="1"/>
  <c r="M45" i="52"/>
  <c r="Q45" i="52" s="1"/>
  <c r="M53" i="52"/>
  <c r="Q53" i="52" s="1"/>
  <c r="M61" i="52"/>
  <c r="Q61" i="52" s="1"/>
  <c r="O47" i="52"/>
  <c r="S47" i="52" s="1"/>
  <c r="O55" i="52"/>
  <c r="S55" i="52" s="1"/>
  <c r="O63" i="52"/>
  <c r="S63" i="52" s="1"/>
  <c r="M46" i="52"/>
  <c r="Q46" i="52" s="1"/>
  <c r="M54" i="52"/>
  <c r="Q54" i="52" s="1"/>
  <c r="M62" i="52"/>
  <c r="Q62" i="52" s="1"/>
  <c r="O52" i="52"/>
  <c r="S52" i="52" s="1"/>
  <c r="O48" i="52"/>
  <c r="S48" i="52" s="1"/>
  <c r="O56" i="52"/>
  <c r="S56" i="52" s="1"/>
  <c r="O64" i="52"/>
  <c r="S64" i="52" s="1"/>
  <c r="M47" i="52"/>
  <c r="Q47" i="52" s="1"/>
  <c r="M55" i="52"/>
  <c r="Q55" i="52" s="1"/>
  <c r="M63" i="52"/>
  <c r="Q63" i="52" s="1"/>
  <c r="M59" i="52"/>
  <c r="Q59" i="52" s="1"/>
  <c r="O41" i="52"/>
  <c r="S41" i="52" s="1"/>
  <c r="O49" i="52"/>
  <c r="S49" i="52" s="1"/>
  <c r="O57" i="52"/>
  <c r="S57" i="52" s="1"/>
  <c r="O65" i="52"/>
  <c r="S65" i="52" s="1"/>
  <c r="M48" i="52"/>
  <c r="Q48" i="52" s="1"/>
  <c r="M56" i="52"/>
  <c r="Q56" i="52" s="1"/>
  <c r="M64" i="52"/>
  <c r="Q64" i="52" s="1"/>
  <c r="O60" i="52"/>
  <c r="S60" i="52" s="1"/>
  <c r="O42" i="52"/>
  <c r="S42" i="52" s="1"/>
  <c r="O50" i="52"/>
  <c r="S50" i="52" s="1"/>
  <c r="O58" i="52"/>
  <c r="S58" i="52" s="1"/>
  <c r="M41" i="52"/>
  <c r="Q41" i="52" s="1"/>
  <c r="M49" i="52"/>
  <c r="Q49" i="52" s="1"/>
  <c r="M57" i="52"/>
  <c r="Q57" i="52" s="1"/>
  <c r="M65" i="52"/>
  <c r="Q65" i="52" s="1"/>
  <c r="M51" i="52"/>
  <c r="Q51" i="52" s="1"/>
  <c r="O43" i="52"/>
  <c r="S43" i="52" s="1"/>
  <c r="O51" i="52"/>
  <c r="S51" i="52" s="1"/>
  <c r="O59" i="52"/>
  <c r="S59" i="52" s="1"/>
  <c r="M42" i="52"/>
  <c r="Q42" i="52" s="1"/>
  <c r="M50" i="52"/>
  <c r="Q50" i="52" s="1"/>
  <c r="M58" i="52"/>
  <c r="Q58" i="52" s="1"/>
  <c r="M43" i="52"/>
  <c r="Q43" i="52" s="1"/>
  <c r="O1177" i="51"/>
  <c r="S1177" i="51" s="1"/>
  <c r="O1185" i="51"/>
  <c r="S1185" i="51" s="1"/>
  <c r="O1193" i="51"/>
  <c r="S1193" i="51" s="1"/>
  <c r="M1176" i="51"/>
  <c r="Q1176" i="51" s="1"/>
  <c r="M1184" i="51"/>
  <c r="Q1184" i="51" s="1"/>
  <c r="M1192" i="51"/>
  <c r="Q1192" i="51" s="1"/>
  <c r="O1176" i="51"/>
  <c r="S1176" i="51" s="1"/>
  <c r="O1178" i="51"/>
  <c r="S1178" i="51" s="1"/>
  <c r="O1186" i="51"/>
  <c r="S1186" i="51" s="1"/>
  <c r="O1194" i="51"/>
  <c r="S1194" i="51" s="1"/>
  <c r="M1177" i="51"/>
  <c r="Q1177" i="51" s="1"/>
  <c r="M1185" i="51"/>
  <c r="Q1185" i="51" s="1"/>
  <c r="M1193" i="51"/>
  <c r="Q1193" i="51" s="1"/>
  <c r="M1183" i="51"/>
  <c r="Q1183" i="51" s="1"/>
  <c r="O1179" i="51"/>
  <c r="S1179" i="51" s="1"/>
  <c r="O1187" i="51"/>
  <c r="S1187" i="51" s="1"/>
  <c r="O1195" i="51"/>
  <c r="S1195" i="51" s="1"/>
  <c r="M1178" i="51"/>
  <c r="Q1178" i="51" s="1"/>
  <c r="M1186" i="51"/>
  <c r="Q1186" i="51" s="1"/>
  <c r="M1194" i="51"/>
  <c r="Q1194" i="51" s="1"/>
  <c r="M1175" i="51"/>
  <c r="Q1175" i="51" s="1"/>
  <c r="O1180" i="51"/>
  <c r="S1180" i="51" s="1"/>
  <c r="O1188" i="51"/>
  <c r="S1188" i="51" s="1"/>
  <c r="O1196" i="51"/>
  <c r="S1196" i="51" s="1"/>
  <c r="M1179" i="51"/>
  <c r="Q1179" i="51" s="1"/>
  <c r="M1187" i="51"/>
  <c r="Q1187" i="51" s="1"/>
  <c r="M1195" i="51"/>
  <c r="Q1195" i="51" s="1"/>
  <c r="M1191" i="51"/>
  <c r="Q1191" i="51" s="1"/>
  <c r="O1181" i="51"/>
  <c r="S1181" i="51" s="1"/>
  <c r="O1189" i="51"/>
  <c r="S1189" i="51" s="1"/>
  <c r="O1197" i="51"/>
  <c r="S1197" i="51" s="1"/>
  <c r="M1180" i="51"/>
  <c r="Q1180" i="51" s="1"/>
  <c r="M1188" i="51"/>
  <c r="Q1188" i="51" s="1"/>
  <c r="M1196" i="51"/>
  <c r="Q1196" i="51" s="1"/>
  <c r="O1174" i="51"/>
  <c r="S1174" i="51" s="1"/>
  <c r="O1182" i="51"/>
  <c r="S1182" i="51" s="1"/>
  <c r="O1190" i="51"/>
  <c r="S1190" i="51" s="1"/>
  <c r="O1198" i="51"/>
  <c r="S1198" i="51" s="1"/>
  <c r="M1181" i="51"/>
  <c r="Q1181" i="51" s="1"/>
  <c r="M1189" i="51"/>
  <c r="Q1189" i="51" s="1"/>
  <c r="M1197" i="51"/>
  <c r="Q1197" i="51" s="1"/>
  <c r="O1192" i="51"/>
  <c r="S1192" i="51" s="1"/>
  <c r="O1175" i="51"/>
  <c r="S1175" i="51" s="1"/>
  <c r="O1183" i="51"/>
  <c r="S1183" i="51" s="1"/>
  <c r="O1191" i="51"/>
  <c r="S1191" i="51" s="1"/>
  <c r="M1174" i="51"/>
  <c r="Q1174" i="51" s="1"/>
  <c r="M1182" i="51"/>
  <c r="Q1182" i="51" s="1"/>
  <c r="M1190" i="51"/>
  <c r="Q1190" i="51" s="1"/>
  <c r="M1198" i="51"/>
  <c r="Q1198" i="51" s="1"/>
  <c r="O1184" i="51"/>
  <c r="S1184" i="51" s="1"/>
  <c r="O1120" i="51"/>
  <c r="S1120" i="51" s="1"/>
  <c r="O1128" i="51"/>
  <c r="S1128" i="51" s="1"/>
  <c r="O1136" i="51"/>
  <c r="S1136" i="51" s="1"/>
  <c r="M1119" i="51"/>
  <c r="Q1119" i="51" s="1"/>
  <c r="M1127" i="51"/>
  <c r="Q1127" i="51" s="1"/>
  <c r="M1135" i="51"/>
  <c r="Q1135" i="51" s="1"/>
  <c r="M1134" i="51"/>
  <c r="Q1134" i="51" s="1"/>
  <c r="O1121" i="51"/>
  <c r="S1121" i="51" s="1"/>
  <c r="O1129" i="51"/>
  <c r="S1129" i="51" s="1"/>
  <c r="O1137" i="51"/>
  <c r="S1137" i="51" s="1"/>
  <c r="M1120" i="51"/>
  <c r="Q1120" i="51" s="1"/>
  <c r="M1128" i="51"/>
  <c r="Q1128" i="51" s="1"/>
  <c r="M1136" i="51"/>
  <c r="Q1136" i="51" s="1"/>
  <c r="O1119" i="51"/>
  <c r="S1119" i="51" s="1"/>
  <c r="O1122" i="51"/>
  <c r="S1122" i="51" s="1"/>
  <c r="O1130" i="51"/>
  <c r="S1130" i="51" s="1"/>
  <c r="O1138" i="51"/>
  <c r="S1138" i="51" s="1"/>
  <c r="M1121" i="51"/>
  <c r="Q1121" i="51" s="1"/>
  <c r="M1129" i="51"/>
  <c r="Q1129" i="51" s="1"/>
  <c r="M1137" i="51"/>
  <c r="Q1137" i="51" s="1"/>
  <c r="O1123" i="51"/>
  <c r="S1123" i="51" s="1"/>
  <c r="O1131" i="51"/>
  <c r="S1131" i="51" s="1"/>
  <c r="O1139" i="51"/>
  <c r="S1139" i="51" s="1"/>
  <c r="M1122" i="51"/>
  <c r="Q1122" i="51" s="1"/>
  <c r="M1130" i="51"/>
  <c r="Q1130" i="51" s="1"/>
  <c r="M1138" i="51"/>
  <c r="Q1138" i="51" s="1"/>
  <c r="M1126" i="51"/>
  <c r="Q1126" i="51" s="1"/>
  <c r="O1116" i="51"/>
  <c r="S1116" i="51" s="1"/>
  <c r="O1124" i="51"/>
  <c r="S1124" i="51" s="1"/>
  <c r="O1132" i="51"/>
  <c r="S1132" i="51" s="1"/>
  <c r="O1140" i="51"/>
  <c r="S1140" i="51" s="1"/>
  <c r="M1123" i="51"/>
  <c r="Q1123" i="51" s="1"/>
  <c r="M1131" i="51"/>
  <c r="Q1131" i="51" s="1"/>
  <c r="M1139" i="51"/>
  <c r="Q1139" i="51" s="1"/>
  <c r="O1127" i="51"/>
  <c r="S1127" i="51" s="1"/>
  <c r="O1117" i="51"/>
  <c r="S1117" i="51" s="1"/>
  <c r="O1125" i="51"/>
  <c r="S1125" i="51" s="1"/>
  <c r="O1133" i="51"/>
  <c r="S1133" i="51" s="1"/>
  <c r="M1116" i="51"/>
  <c r="Q1116" i="51" s="1"/>
  <c r="M1124" i="51"/>
  <c r="Q1124" i="51" s="1"/>
  <c r="M1132" i="51"/>
  <c r="Q1132" i="51" s="1"/>
  <c r="M1140" i="51"/>
  <c r="Q1140" i="51" s="1"/>
  <c r="O1135" i="51"/>
  <c r="S1135" i="51" s="1"/>
  <c r="O1118" i="51"/>
  <c r="S1118" i="51" s="1"/>
  <c r="O1126" i="51"/>
  <c r="S1126" i="51" s="1"/>
  <c r="O1134" i="51"/>
  <c r="S1134" i="51" s="1"/>
  <c r="M1117" i="51"/>
  <c r="Q1117" i="51" s="1"/>
  <c r="M1125" i="51"/>
  <c r="Q1125" i="51" s="1"/>
  <c r="M1133" i="51"/>
  <c r="Q1133" i="51" s="1"/>
  <c r="M1118" i="51"/>
  <c r="Q1118" i="51" s="1"/>
  <c r="O1062" i="51"/>
  <c r="S1062" i="51" s="1"/>
  <c r="O1070" i="51"/>
  <c r="S1070" i="51" s="1"/>
  <c r="O1078" i="51"/>
  <c r="S1078" i="51" s="1"/>
  <c r="M1061" i="51"/>
  <c r="Q1061" i="51" s="1"/>
  <c r="M1069" i="51"/>
  <c r="Q1069" i="51" s="1"/>
  <c r="M1077" i="51"/>
  <c r="Q1077" i="51" s="1"/>
  <c r="O1077" i="51"/>
  <c r="S1077" i="51" s="1"/>
  <c r="O1063" i="51"/>
  <c r="S1063" i="51" s="1"/>
  <c r="O1071" i="51"/>
  <c r="S1071" i="51" s="1"/>
  <c r="O1079" i="51"/>
  <c r="S1079" i="51" s="1"/>
  <c r="M1062" i="51"/>
  <c r="Q1062" i="51" s="1"/>
  <c r="M1070" i="51"/>
  <c r="Q1070" i="51" s="1"/>
  <c r="M1078" i="51"/>
  <c r="Q1078" i="51" s="1"/>
  <c r="M1060" i="51"/>
  <c r="Q1060" i="51" s="1"/>
  <c r="O1056" i="51"/>
  <c r="S1056" i="51" s="1"/>
  <c r="O1064" i="51"/>
  <c r="S1064" i="51" s="1"/>
  <c r="O1072" i="51"/>
  <c r="S1072" i="51" s="1"/>
  <c r="O1080" i="51"/>
  <c r="S1080" i="51" s="1"/>
  <c r="M1063" i="51"/>
  <c r="Q1063" i="51" s="1"/>
  <c r="M1071" i="51"/>
  <c r="Q1071" i="51" s="1"/>
  <c r="M1079" i="51"/>
  <c r="Q1079" i="51" s="1"/>
  <c r="O1061" i="51"/>
  <c r="S1061" i="51" s="1"/>
  <c r="O1057" i="51"/>
  <c r="S1057" i="51" s="1"/>
  <c r="O1065" i="51"/>
  <c r="S1065" i="51" s="1"/>
  <c r="O1073" i="51"/>
  <c r="S1073" i="51" s="1"/>
  <c r="M1056" i="51"/>
  <c r="Q1056" i="51" s="1"/>
  <c r="M1064" i="51"/>
  <c r="Q1064" i="51" s="1"/>
  <c r="M1072" i="51"/>
  <c r="Q1072" i="51" s="1"/>
  <c r="M1080" i="51"/>
  <c r="Q1080" i="51" s="1"/>
  <c r="M1068" i="51"/>
  <c r="Q1068" i="51" s="1"/>
  <c r="O1058" i="51"/>
  <c r="S1058" i="51" s="1"/>
  <c r="O1066" i="51"/>
  <c r="S1066" i="51" s="1"/>
  <c r="O1074" i="51"/>
  <c r="S1074" i="51" s="1"/>
  <c r="M1057" i="51"/>
  <c r="Q1057" i="51" s="1"/>
  <c r="M1065" i="51"/>
  <c r="Q1065" i="51" s="1"/>
  <c r="M1073" i="51"/>
  <c r="Q1073" i="51" s="1"/>
  <c r="O1059" i="51"/>
  <c r="S1059" i="51" s="1"/>
  <c r="O1067" i="51"/>
  <c r="S1067" i="51" s="1"/>
  <c r="O1075" i="51"/>
  <c r="S1075" i="51" s="1"/>
  <c r="M1058" i="51"/>
  <c r="Q1058" i="51" s="1"/>
  <c r="M1066" i="51"/>
  <c r="Q1066" i="51" s="1"/>
  <c r="M1074" i="51"/>
  <c r="Q1074" i="51" s="1"/>
  <c r="O1069" i="51"/>
  <c r="S1069" i="51" s="1"/>
  <c r="O1060" i="51"/>
  <c r="S1060" i="51" s="1"/>
  <c r="O1068" i="51"/>
  <c r="S1068" i="51" s="1"/>
  <c r="O1076" i="51"/>
  <c r="S1076" i="51" s="1"/>
  <c r="M1059" i="51"/>
  <c r="Q1059" i="51" s="1"/>
  <c r="M1067" i="51"/>
  <c r="Q1067" i="51" s="1"/>
  <c r="M1075" i="51"/>
  <c r="Q1075" i="51" s="1"/>
  <c r="M1076" i="51"/>
  <c r="Q1076" i="51" s="1"/>
  <c r="O1089" i="51"/>
  <c r="S1089" i="51" s="1"/>
  <c r="O1097" i="51"/>
  <c r="S1097" i="51" s="1"/>
  <c r="O1105" i="51"/>
  <c r="S1105" i="51" s="1"/>
  <c r="M1088" i="51"/>
  <c r="Q1088" i="51" s="1"/>
  <c r="M1096" i="51"/>
  <c r="Q1096" i="51" s="1"/>
  <c r="M1104" i="51"/>
  <c r="Q1104" i="51" s="1"/>
  <c r="O1088" i="51"/>
  <c r="S1088" i="51" s="1"/>
  <c r="O1090" i="51"/>
  <c r="S1090" i="51" s="1"/>
  <c r="O1098" i="51"/>
  <c r="S1098" i="51" s="1"/>
  <c r="O1106" i="51"/>
  <c r="S1106" i="51" s="1"/>
  <c r="M1089" i="51"/>
  <c r="Q1089" i="51" s="1"/>
  <c r="M1097" i="51"/>
  <c r="Q1097" i="51" s="1"/>
  <c r="M1105" i="51"/>
  <c r="Q1105" i="51" s="1"/>
  <c r="O1096" i="51"/>
  <c r="S1096" i="51" s="1"/>
  <c r="O1091" i="51"/>
  <c r="S1091" i="51" s="1"/>
  <c r="O1099" i="51"/>
  <c r="S1099" i="51" s="1"/>
  <c r="O1107" i="51"/>
  <c r="S1107" i="51" s="1"/>
  <c r="M1090" i="51"/>
  <c r="Q1090" i="51" s="1"/>
  <c r="M1098" i="51"/>
  <c r="Q1098" i="51" s="1"/>
  <c r="M1106" i="51"/>
  <c r="Q1106" i="51" s="1"/>
  <c r="O1092" i="51"/>
  <c r="S1092" i="51" s="1"/>
  <c r="O1100" i="51"/>
  <c r="S1100" i="51" s="1"/>
  <c r="O1108" i="51"/>
  <c r="S1108" i="51" s="1"/>
  <c r="M1091" i="51"/>
  <c r="Q1091" i="51" s="1"/>
  <c r="M1099" i="51"/>
  <c r="Q1099" i="51" s="1"/>
  <c r="M1107" i="51"/>
  <c r="Q1107" i="51" s="1"/>
  <c r="O1104" i="51"/>
  <c r="S1104" i="51" s="1"/>
  <c r="O1085" i="51"/>
  <c r="S1085" i="51" s="1"/>
  <c r="O1093" i="51"/>
  <c r="S1093" i="51" s="1"/>
  <c r="O1101" i="51"/>
  <c r="S1101" i="51" s="1"/>
  <c r="O1109" i="51"/>
  <c r="S1109" i="51" s="1"/>
  <c r="M1092" i="51"/>
  <c r="Q1092" i="51" s="1"/>
  <c r="M1100" i="51"/>
  <c r="Q1100" i="51" s="1"/>
  <c r="M1108" i="51"/>
  <c r="Q1108" i="51" s="1"/>
  <c r="M1087" i="51"/>
  <c r="Q1087" i="51" s="1"/>
  <c r="O1086" i="51"/>
  <c r="S1086" i="51" s="1"/>
  <c r="O1094" i="51"/>
  <c r="S1094" i="51" s="1"/>
  <c r="O1102" i="51"/>
  <c r="S1102" i="51" s="1"/>
  <c r="M1085" i="51"/>
  <c r="Q1085" i="51" s="1"/>
  <c r="M1093" i="51"/>
  <c r="Q1093" i="51" s="1"/>
  <c r="M1101" i="51"/>
  <c r="Q1101" i="51" s="1"/>
  <c r="M1109" i="51"/>
  <c r="Q1109" i="51" s="1"/>
  <c r="M1095" i="51"/>
  <c r="Q1095" i="51" s="1"/>
  <c r="O1087" i="51"/>
  <c r="S1087" i="51" s="1"/>
  <c r="O1095" i="51"/>
  <c r="S1095" i="51" s="1"/>
  <c r="O1103" i="51"/>
  <c r="S1103" i="51" s="1"/>
  <c r="M1086" i="51"/>
  <c r="Q1086" i="51" s="1"/>
  <c r="M1094" i="51"/>
  <c r="Q1094" i="51" s="1"/>
  <c r="M1102" i="51"/>
  <c r="Q1102" i="51" s="1"/>
  <c r="M1103" i="51"/>
  <c r="Q1103" i="51" s="1"/>
  <c r="O829" i="51"/>
  <c r="S829" i="51" s="1"/>
  <c r="O837" i="51"/>
  <c r="S837" i="51" s="1"/>
  <c r="O845" i="51"/>
  <c r="S845" i="51" s="1"/>
  <c r="M828" i="51"/>
  <c r="Q828" i="51" s="1"/>
  <c r="M836" i="51"/>
  <c r="Q836" i="51" s="1"/>
  <c r="M844" i="51"/>
  <c r="Q844" i="51" s="1"/>
  <c r="O836" i="51"/>
  <c r="S836" i="51" s="1"/>
  <c r="O830" i="51"/>
  <c r="S830" i="51" s="1"/>
  <c r="O838" i="51"/>
  <c r="S838" i="51" s="1"/>
  <c r="O846" i="51"/>
  <c r="S846" i="51" s="1"/>
  <c r="M829" i="51"/>
  <c r="Q829" i="51" s="1"/>
  <c r="M837" i="51"/>
  <c r="Q837" i="51" s="1"/>
  <c r="M845" i="51"/>
  <c r="Q845" i="51" s="1"/>
  <c r="O828" i="51"/>
  <c r="S828" i="51" s="1"/>
  <c r="O831" i="51"/>
  <c r="S831" i="51" s="1"/>
  <c r="O839" i="51"/>
  <c r="S839" i="51" s="1"/>
  <c r="O847" i="51"/>
  <c r="S847" i="51" s="1"/>
  <c r="M830" i="51"/>
  <c r="Q830" i="51" s="1"/>
  <c r="M838" i="51"/>
  <c r="Q838" i="51" s="1"/>
  <c r="M846" i="51"/>
  <c r="Q846" i="51" s="1"/>
  <c r="M827" i="51"/>
  <c r="Q827" i="51" s="1"/>
  <c r="O832" i="51"/>
  <c r="S832" i="51" s="1"/>
  <c r="O840" i="51"/>
  <c r="S840" i="51" s="1"/>
  <c r="O848" i="51"/>
  <c r="S848" i="51" s="1"/>
  <c r="M831" i="51"/>
  <c r="Q831" i="51" s="1"/>
  <c r="M839" i="51"/>
  <c r="Q839" i="51" s="1"/>
  <c r="M847" i="51"/>
  <c r="Q847" i="51" s="1"/>
  <c r="O844" i="51"/>
  <c r="S844" i="51" s="1"/>
  <c r="O833" i="51"/>
  <c r="S833" i="51" s="1"/>
  <c r="O841" i="51"/>
  <c r="S841" i="51" s="1"/>
  <c r="O849" i="51"/>
  <c r="S849" i="51" s="1"/>
  <c r="M832" i="51"/>
  <c r="Q832" i="51" s="1"/>
  <c r="M840" i="51"/>
  <c r="Q840" i="51" s="1"/>
  <c r="M848" i="51"/>
  <c r="Q848" i="51" s="1"/>
  <c r="O826" i="51"/>
  <c r="S826" i="51" s="1"/>
  <c r="O834" i="51"/>
  <c r="S834" i="51" s="1"/>
  <c r="O842" i="51"/>
  <c r="S842" i="51" s="1"/>
  <c r="O850" i="51"/>
  <c r="S850" i="51" s="1"/>
  <c r="M833" i="51"/>
  <c r="Q833" i="51" s="1"/>
  <c r="M841" i="51"/>
  <c r="Q841" i="51" s="1"/>
  <c r="M849" i="51"/>
  <c r="Q849" i="51" s="1"/>
  <c r="M835" i="51"/>
  <c r="Q835" i="51" s="1"/>
  <c r="O827" i="51"/>
  <c r="S827" i="51" s="1"/>
  <c r="O835" i="51"/>
  <c r="S835" i="51" s="1"/>
  <c r="O843" i="51"/>
  <c r="S843" i="51" s="1"/>
  <c r="M826" i="51"/>
  <c r="Q826" i="51" s="1"/>
  <c r="M834" i="51"/>
  <c r="Q834" i="51" s="1"/>
  <c r="M842" i="51"/>
  <c r="Q842" i="51" s="1"/>
  <c r="M850" i="51"/>
  <c r="Q850" i="51" s="1"/>
  <c r="M843" i="51"/>
  <c r="Q843" i="51" s="1"/>
  <c r="Q794" i="51"/>
  <c r="S794" i="51"/>
  <c r="S824" i="51"/>
  <c r="S156" i="51"/>
  <c r="O771" i="51"/>
  <c r="S771" i="51" s="1"/>
  <c r="O772" i="51"/>
  <c r="S772" i="51" s="1"/>
  <c r="O780" i="51"/>
  <c r="S780" i="51" s="1"/>
  <c r="O788" i="51"/>
  <c r="S788" i="51" s="1"/>
  <c r="M771" i="51"/>
  <c r="Q771" i="51" s="1"/>
  <c r="M779" i="51"/>
  <c r="Q779" i="51" s="1"/>
  <c r="M787" i="51"/>
  <c r="Q787" i="51" s="1"/>
  <c r="O782" i="51"/>
  <c r="S782" i="51" s="1"/>
  <c r="O790" i="51"/>
  <c r="S790" i="51" s="1"/>
  <c r="M773" i="51"/>
  <c r="Q773" i="51" s="1"/>
  <c r="M781" i="51"/>
  <c r="Q781" i="51" s="1"/>
  <c r="O770" i="51"/>
  <c r="S770" i="51" s="1"/>
  <c r="M785" i="51"/>
  <c r="Q785" i="51" s="1"/>
  <c r="O779" i="51"/>
  <c r="S779" i="51" s="1"/>
  <c r="M786" i="51"/>
  <c r="Q786" i="51" s="1"/>
  <c r="O773" i="51"/>
  <c r="S773" i="51" s="1"/>
  <c r="O781" i="51"/>
  <c r="S781" i="51" s="1"/>
  <c r="O789" i="51"/>
  <c r="S789" i="51" s="1"/>
  <c r="M772" i="51"/>
  <c r="Q772" i="51" s="1"/>
  <c r="M780" i="51"/>
  <c r="Q780" i="51" s="1"/>
  <c r="M788" i="51"/>
  <c r="Q788" i="51" s="1"/>
  <c r="O774" i="51"/>
  <c r="S774" i="51" s="1"/>
  <c r="M789" i="51"/>
  <c r="Q789" i="51" s="1"/>
  <c r="O786" i="51"/>
  <c r="S786" i="51" s="1"/>
  <c r="O767" i="51"/>
  <c r="S767" i="51" s="1"/>
  <c r="O775" i="51"/>
  <c r="S775" i="51" s="1"/>
  <c r="O783" i="51"/>
  <c r="S783" i="51" s="1"/>
  <c r="O791" i="51"/>
  <c r="S791" i="51" s="1"/>
  <c r="M774" i="51"/>
  <c r="Q774" i="51" s="1"/>
  <c r="M782" i="51"/>
  <c r="Q782" i="51" s="1"/>
  <c r="M790" i="51"/>
  <c r="Q790" i="51" s="1"/>
  <c r="O769" i="51"/>
  <c r="S769" i="51" s="1"/>
  <c r="O785" i="51"/>
  <c r="S785" i="51" s="1"/>
  <c r="M768" i="51"/>
  <c r="Q768" i="51" s="1"/>
  <c r="M784" i="51"/>
  <c r="Q784" i="51" s="1"/>
  <c r="O778" i="51"/>
  <c r="S778" i="51" s="1"/>
  <c r="M769" i="51"/>
  <c r="Q769" i="51" s="1"/>
  <c r="O787" i="51"/>
  <c r="S787" i="51" s="1"/>
  <c r="M778" i="51"/>
  <c r="Q778" i="51" s="1"/>
  <c r="O768" i="51"/>
  <c r="S768" i="51" s="1"/>
  <c r="O776" i="51"/>
  <c r="S776" i="51" s="1"/>
  <c r="O784" i="51"/>
  <c r="S784" i="51" s="1"/>
  <c r="M767" i="51"/>
  <c r="Q767" i="51" s="1"/>
  <c r="M775" i="51"/>
  <c r="Q775" i="51" s="1"/>
  <c r="M783" i="51"/>
  <c r="Q783" i="51" s="1"/>
  <c r="M791" i="51"/>
  <c r="Q791" i="51" s="1"/>
  <c r="O777" i="51"/>
  <c r="S777" i="51" s="1"/>
  <c r="M776" i="51"/>
  <c r="Q776" i="51" s="1"/>
  <c r="M777" i="51"/>
  <c r="Q777" i="51" s="1"/>
  <c r="M770" i="51"/>
  <c r="Q770" i="51" s="1"/>
  <c r="Q853" i="51"/>
  <c r="L10" i="82"/>
  <c r="S853" i="51"/>
  <c r="O713" i="51"/>
  <c r="S713" i="51" s="1"/>
  <c r="O721" i="51"/>
  <c r="S721" i="51" s="1"/>
  <c r="O729" i="51"/>
  <c r="S729" i="51" s="1"/>
  <c r="M712" i="51"/>
  <c r="Q712" i="51" s="1"/>
  <c r="M720" i="51"/>
  <c r="Q720" i="51" s="1"/>
  <c r="M728" i="51"/>
  <c r="Q728" i="51" s="1"/>
  <c r="O720" i="51"/>
  <c r="S720" i="51" s="1"/>
  <c r="O714" i="51"/>
  <c r="S714" i="51" s="1"/>
  <c r="O722" i="51"/>
  <c r="S722" i="51" s="1"/>
  <c r="O730" i="51"/>
  <c r="S730" i="51" s="1"/>
  <c r="M713" i="51"/>
  <c r="Q713" i="51" s="1"/>
  <c r="M721" i="51"/>
  <c r="Q721" i="51" s="1"/>
  <c r="M729" i="51"/>
  <c r="Q729" i="51" s="1"/>
  <c r="M727" i="51"/>
  <c r="Q727" i="51" s="1"/>
  <c r="O707" i="51"/>
  <c r="S707" i="51" s="1"/>
  <c r="O715" i="51"/>
  <c r="S715" i="51" s="1"/>
  <c r="O723" i="51"/>
  <c r="S723" i="51" s="1"/>
  <c r="O731" i="51"/>
  <c r="S731" i="51" s="1"/>
  <c r="M714" i="51"/>
  <c r="Q714" i="51" s="1"/>
  <c r="M722" i="51"/>
  <c r="Q722" i="51" s="1"/>
  <c r="M730" i="51"/>
  <c r="Q730" i="51" s="1"/>
  <c r="O708" i="51"/>
  <c r="S708" i="51" s="1"/>
  <c r="O716" i="51"/>
  <c r="S716" i="51" s="1"/>
  <c r="O724" i="51"/>
  <c r="S724" i="51" s="1"/>
  <c r="M707" i="51"/>
  <c r="Q707" i="51" s="1"/>
  <c r="M715" i="51"/>
  <c r="Q715" i="51" s="1"/>
  <c r="M723" i="51"/>
  <c r="Q723" i="51" s="1"/>
  <c r="M731" i="51"/>
  <c r="Q731" i="51" s="1"/>
  <c r="M719" i="51"/>
  <c r="Q719" i="51" s="1"/>
  <c r="O709" i="51"/>
  <c r="S709" i="51" s="1"/>
  <c r="O717" i="51"/>
  <c r="S717" i="51" s="1"/>
  <c r="O725" i="51"/>
  <c r="S725" i="51" s="1"/>
  <c r="M708" i="51"/>
  <c r="Q708" i="51" s="1"/>
  <c r="M716" i="51"/>
  <c r="Q716" i="51" s="1"/>
  <c r="M724" i="51"/>
  <c r="Q724" i="51" s="1"/>
  <c r="O728" i="51"/>
  <c r="S728" i="51" s="1"/>
  <c r="O710" i="51"/>
  <c r="S710" i="51" s="1"/>
  <c r="O718" i="51"/>
  <c r="S718" i="51" s="1"/>
  <c r="O726" i="51"/>
  <c r="S726" i="51" s="1"/>
  <c r="M709" i="51"/>
  <c r="Q709" i="51" s="1"/>
  <c r="M717" i="51"/>
  <c r="Q717" i="51" s="1"/>
  <c r="M725" i="51"/>
  <c r="Q725" i="51" s="1"/>
  <c r="M711" i="51"/>
  <c r="Q711" i="51" s="1"/>
  <c r="O711" i="51"/>
  <c r="S711" i="51" s="1"/>
  <c r="O719" i="51"/>
  <c r="S719" i="51" s="1"/>
  <c r="O727" i="51"/>
  <c r="S727" i="51" s="1"/>
  <c r="M710" i="51"/>
  <c r="Q710" i="51" s="1"/>
  <c r="M718" i="51"/>
  <c r="Q718" i="51" s="1"/>
  <c r="M726" i="51"/>
  <c r="Q726" i="51" s="1"/>
  <c r="O712" i="51"/>
  <c r="S712" i="51" s="1"/>
  <c r="O740" i="51"/>
  <c r="S740" i="51" s="1"/>
  <c r="O748" i="51"/>
  <c r="S748" i="51" s="1"/>
  <c r="O756" i="51"/>
  <c r="S756" i="51" s="1"/>
  <c r="M739" i="51"/>
  <c r="Q739" i="51" s="1"/>
  <c r="M747" i="51"/>
  <c r="Q747" i="51" s="1"/>
  <c r="M755" i="51"/>
  <c r="Q755" i="51" s="1"/>
  <c r="O747" i="51"/>
  <c r="S747" i="51" s="1"/>
  <c r="O741" i="51"/>
  <c r="S741" i="51" s="1"/>
  <c r="O749" i="51"/>
  <c r="S749" i="51" s="1"/>
  <c r="O757" i="51"/>
  <c r="S757" i="51" s="1"/>
  <c r="M740" i="51"/>
  <c r="Q740" i="51" s="1"/>
  <c r="M748" i="51"/>
  <c r="Q748" i="51" s="1"/>
  <c r="M756" i="51"/>
  <c r="Q756" i="51" s="1"/>
  <c r="O739" i="51"/>
  <c r="S739" i="51" s="1"/>
  <c r="O742" i="51"/>
  <c r="S742" i="51" s="1"/>
  <c r="O750" i="51"/>
  <c r="S750" i="51" s="1"/>
  <c r="O758" i="51"/>
  <c r="S758" i="51" s="1"/>
  <c r="M741" i="51"/>
  <c r="Q741" i="51" s="1"/>
  <c r="M749" i="51"/>
  <c r="Q749" i="51" s="1"/>
  <c r="M757" i="51"/>
  <c r="Q757" i="51" s="1"/>
  <c r="O755" i="51"/>
  <c r="S755" i="51" s="1"/>
  <c r="O743" i="51"/>
  <c r="S743" i="51" s="1"/>
  <c r="O751" i="51"/>
  <c r="S751" i="51" s="1"/>
  <c r="O759" i="51"/>
  <c r="S759" i="51" s="1"/>
  <c r="M742" i="51"/>
  <c r="Q742" i="51" s="1"/>
  <c r="M750" i="51"/>
  <c r="Q750" i="51" s="1"/>
  <c r="M758" i="51"/>
  <c r="Q758" i="51" s="1"/>
  <c r="O736" i="51"/>
  <c r="S736" i="51" s="1"/>
  <c r="O744" i="51"/>
  <c r="S744" i="51" s="1"/>
  <c r="O752" i="51"/>
  <c r="S752" i="51" s="1"/>
  <c r="O760" i="51"/>
  <c r="S760" i="51" s="1"/>
  <c r="M743" i="51"/>
  <c r="Q743" i="51" s="1"/>
  <c r="M751" i="51"/>
  <c r="Q751" i="51" s="1"/>
  <c r="M759" i="51"/>
  <c r="Q759" i="51" s="1"/>
  <c r="M754" i="51"/>
  <c r="Q754" i="51" s="1"/>
  <c r="O737" i="51"/>
  <c r="S737" i="51" s="1"/>
  <c r="O745" i="51"/>
  <c r="S745" i="51" s="1"/>
  <c r="O753" i="51"/>
  <c r="S753" i="51" s="1"/>
  <c r="M736" i="51"/>
  <c r="Q736" i="51" s="1"/>
  <c r="M744" i="51"/>
  <c r="Q744" i="51" s="1"/>
  <c r="M752" i="51"/>
  <c r="Q752" i="51" s="1"/>
  <c r="M760" i="51"/>
  <c r="Q760" i="51" s="1"/>
  <c r="M738" i="51"/>
  <c r="Q738" i="51" s="1"/>
  <c r="O738" i="51"/>
  <c r="S738" i="51" s="1"/>
  <c r="O746" i="51"/>
  <c r="S746" i="51" s="1"/>
  <c r="O754" i="51"/>
  <c r="S754" i="51" s="1"/>
  <c r="M737" i="51"/>
  <c r="Q737" i="51" s="1"/>
  <c r="M745" i="51"/>
  <c r="Q745" i="51" s="1"/>
  <c r="M753" i="51"/>
  <c r="Q753" i="51" s="1"/>
  <c r="M746" i="51"/>
  <c r="Q746" i="51" s="1"/>
  <c r="O480" i="51"/>
  <c r="S480" i="51" s="1"/>
  <c r="O488" i="51"/>
  <c r="S488" i="51" s="1"/>
  <c r="O496" i="51"/>
  <c r="S496" i="51" s="1"/>
  <c r="M479" i="51"/>
  <c r="Q479" i="51" s="1"/>
  <c r="M487" i="51"/>
  <c r="Q487" i="51" s="1"/>
  <c r="M495" i="51"/>
  <c r="Q495" i="51" s="1"/>
  <c r="O479" i="51"/>
  <c r="S479" i="51" s="1"/>
  <c r="O481" i="51"/>
  <c r="S481" i="51" s="1"/>
  <c r="O489" i="51"/>
  <c r="S489" i="51" s="1"/>
  <c r="O497" i="51"/>
  <c r="S497" i="51" s="1"/>
  <c r="M480" i="51"/>
  <c r="Q480" i="51" s="1"/>
  <c r="M488" i="51"/>
  <c r="Q488" i="51" s="1"/>
  <c r="M496" i="51"/>
  <c r="Q496" i="51" s="1"/>
  <c r="O482" i="51"/>
  <c r="S482" i="51" s="1"/>
  <c r="O490" i="51"/>
  <c r="S490" i="51" s="1"/>
  <c r="O498" i="51"/>
  <c r="S498" i="51" s="1"/>
  <c r="M481" i="51"/>
  <c r="Q481" i="51" s="1"/>
  <c r="M489" i="51"/>
  <c r="Q489" i="51" s="1"/>
  <c r="M497" i="51"/>
  <c r="Q497" i="51" s="1"/>
  <c r="O487" i="51"/>
  <c r="S487" i="51" s="1"/>
  <c r="O483" i="51"/>
  <c r="S483" i="51" s="1"/>
  <c r="O491" i="51"/>
  <c r="S491" i="51" s="1"/>
  <c r="O499" i="51"/>
  <c r="S499" i="51" s="1"/>
  <c r="M482" i="51"/>
  <c r="Q482" i="51" s="1"/>
  <c r="M490" i="51"/>
  <c r="Q490" i="51" s="1"/>
  <c r="M498" i="51"/>
  <c r="Q498" i="51" s="1"/>
  <c r="M478" i="51"/>
  <c r="Q478" i="51" s="1"/>
  <c r="O484" i="51"/>
  <c r="S484" i="51" s="1"/>
  <c r="O492" i="51"/>
  <c r="S492" i="51" s="1"/>
  <c r="O500" i="51"/>
  <c r="S500" i="51" s="1"/>
  <c r="M483" i="51"/>
  <c r="Q483" i="51" s="1"/>
  <c r="M491" i="51"/>
  <c r="Q491" i="51" s="1"/>
  <c r="M499" i="51"/>
  <c r="Q499" i="51" s="1"/>
  <c r="M486" i="51"/>
  <c r="Q486" i="51" s="1"/>
  <c r="O477" i="51"/>
  <c r="S477" i="51" s="1"/>
  <c r="O485" i="51"/>
  <c r="S485" i="51" s="1"/>
  <c r="O493" i="51"/>
  <c r="S493" i="51" s="1"/>
  <c r="O501" i="51"/>
  <c r="S501" i="51" s="1"/>
  <c r="M484" i="51"/>
  <c r="Q484" i="51" s="1"/>
  <c r="M492" i="51"/>
  <c r="Q492" i="51" s="1"/>
  <c r="M500" i="51"/>
  <c r="Q500" i="51" s="1"/>
  <c r="M494" i="51"/>
  <c r="Q494" i="51" s="1"/>
  <c r="O478" i="51"/>
  <c r="S478" i="51" s="1"/>
  <c r="O486" i="51"/>
  <c r="S486" i="51" s="1"/>
  <c r="O494" i="51"/>
  <c r="S494" i="51" s="1"/>
  <c r="M477" i="51"/>
  <c r="Q477" i="51" s="1"/>
  <c r="M485" i="51"/>
  <c r="Q485" i="51" s="1"/>
  <c r="M493" i="51"/>
  <c r="Q493" i="51" s="1"/>
  <c r="M501" i="51"/>
  <c r="Q501" i="51" s="1"/>
  <c r="O495" i="51"/>
  <c r="S495" i="51" s="1"/>
  <c r="O423" i="51"/>
  <c r="S423" i="51" s="1"/>
  <c r="O431" i="51"/>
  <c r="S431" i="51" s="1"/>
  <c r="O439" i="51"/>
  <c r="S439" i="51" s="1"/>
  <c r="M422" i="51"/>
  <c r="Q422" i="51" s="1"/>
  <c r="M430" i="51"/>
  <c r="Q430" i="51" s="1"/>
  <c r="M438" i="51"/>
  <c r="Q438" i="51" s="1"/>
  <c r="M437" i="51"/>
  <c r="Q437" i="51" s="1"/>
  <c r="O424" i="51"/>
  <c r="S424" i="51" s="1"/>
  <c r="O432" i="51"/>
  <c r="S432" i="51" s="1"/>
  <c r="O440" i="51"/>
  <c r="S440" i="51" s="1"/>
  <c r="M423" i="51"/>
  <c r="Q423" i="51" s="1"/>
  <c r="M431" i="51"/>
  <c r="Q431" i="51" s="1"/>
  <c r="M439" i="51"/>
  <c r="Q439" i="51" s="1"/>
  <c r="O438" i="51"/>
  <c r="S438" i="51" s="1"/>
  <c r="O425" i="51"/>
  <c r="S425" i="51" s="1"/>
  <c r="O433" i="51"/>
  <c r="S433" i="51" s="1"/>
  <c r="O441" i="51"/>
  <c r="S441" i="51" s="1"/>
  <c r="M424" i="51"/>
  <c r="Q424" i="51" s="1"/>
  <c r="M432" i="51"/>
  <c r="Q432" i="51" s="1"/>
  <c r="M440" i="51"/>
  <c r="Q440" i="51" s="1"/>
  <c r="O422" i="51"/>
  <c r="S422" i="51" s="1"/>
  <c r="O426" i="51"/>
  <c r="S426" i="51" s="1"/>
  <c r="O434" i="51"/>
  <c r="S434" i="51" s="1"/>
  <c r="O442" i="51"/>
  <c r="S442" i="51" s="1"/>
  <c r="M425" i="51"/>
  <c r="Q425" i="51" s="1"/>
  <c r="M433" i="51"/>
  <c r="Q433" i="51" s="1"/>
  <c r="M441" i="51"/>
  <c r="Q441" i="51" s="1"/>
  <c r="O430" i="51"/>
  <c r="S430" i="51" s="1"/>
  <c r="O419" i="51"/>
  <c r="S419" i="51" s="1"/>
  <c r="O427" i="51"/>
  <c r="S427" i="51" s="1"/>
  <c r="O435" i="51"/>
  <c r="S435" i="51" s="1"/>
  <c r="O443" i="51"/>
  <c r="S443" i="51" s="1"/>
  <c r="M426" i="51"/>
  <c r="Q426" i="51" s="1"/>
  <c r="M434" i="51"/>
  <c r="Q434" i="51" s="1"/>
  <c r="M442" i="51"/>
  <c r="Q442" i="51" s="1"/>
  <c r="O420" i="51"/>
  <c r="S420" i="51" s="1"/>
  <c r="O428" i="51"/>
  <c r="S428" i="51" s="1"/>
  <c r="O436" i="51"/>
  <c r="S436" i="51" s="1"/>
  <c r="M419" i="51"/>
  <c r="Q419" i="51" s="1"/>
  <c r="M427" i="51"/>
  <c r="Q427" i="51" s="1"/>
  <c r="M435" i="51"/>
  <c r="Q435" i="51" s="1"/>
  <c r="M443" i="51"/>
  <c r="Q443" i="51" s="1"/>
  <c r="M421" i="51"/>
  <c r="Q421" i="51" s="1"/>
  <c r="O421" i="51"/>
  <c r="S421" i="51" s="1"/>
  <c r="O429" i="51"/>
  <c r="S429" i="51" s="1"/>
  <c r="O437" i="51"/>
  <c r="S437" i="51" s="1"/>
  <c r="M420" i="51"/>
  <c r="Q420" i="51" s="1"/>
  <c r="M428" i="51"/>
  <c r="Q428" i="51" s="1"/>
  <c r="M436" i="51"/>
  <c r="Q436" i="51" s="1"/>
  <c r="M429" i="51"/>
  <c r="Q429" i="51" s="1"/>
  <c r="O365" i="51"/>
  <c r="S365" i="51" s="1"/>
  <c r="O373" i="51"/>
  <c r="S373" i="51" s="1"/>
  <c r="O381" i="51"/>
  <c r="S381" i="51" s="1"/>
  <c r="M364" i="51"/>
  <c r="Q364" i="51" s="1"/>
  <c r="M372" i="51"/>
  <c r="Q372" i="51" s="1"/>
  <c r="M380" i="51"/>
  <c r="Q380" i="51" s="1"/>
  <c r="M362" i="51"/>
  <c r="Q362" i="51" s="1"/>
  <c r="O364" i="51"/>
  <c r="S364" i="51" s="1"/>
  <c r="M379" i="51"/>
  <c r="Q379" i="51" s="1"/>
  <c r="O366" i="51"/>
  <c r="S366" i="51" s="1"/>
  <c r="O374" i="51"/>
  <c r="S374" i="51" s="1"/>
  <c r="O382" i="51"/>
  <c r="S382" i="51" s="1"/>
  <c r="M365" i="51"/>
  <c r="Q365" i="51" s="1"/>
  <c r="M373" i="51"/>
  <c r="Q373" i="51" s="1"/>
  <c r="M381" i="51"/>
  <c r="Q381" i="51" s="1"/>
  <c r="O363" i="51"/>
  <c r="S363" i="51" s="1"/>
  <c r="O380" i="51"/>
  <c r="S380" i="51" s="1"/>
  <c r="O359" i="51"/>
  <c r="S359" i="51" s="1"/>
  <c r="O367" i="51"/>
  <c r="S367" i="51" s="1"/>
  <c r="O375" i="51"/>
  <c r="S375" i="51" s="1"/>
  <c r="O383" i="51"/>
  <c r="S383" i="51" s="1"/>
  <c r="M366" i="51"/>
  <c r="Q366" i="51" s="1"/>
  <c r="M374" i="51"/>
  <c r="Q374" i="51" s="1"/>
  <c r="M382" i="51"/>
  <c r="Q382" i="51" s="1"/>
  <c r="M378" i="51"/>
  <c r="Q378" i="51" s="1"/>
  <c r="O372" i="51"/>
  <c r="S372" i="51" s="1"/>
  <c r="O360" i="51"/>
  <c r="S360" i="51" s="1"/>
  <c r="O368" i="51"/>
  <c r="S368" i="51" s="1"/>
  <c r="O376" i="51"/>
  <c r="S376" i="51" s="1"/>
  <c r="M359" i="51"/>
  <c r="Q359" i="51" s="1"/>
  <c r="M367" i="51"/>
  <c r="Q367" i="51" s="1"/>
  <c r="M375" i="51"/>
  <c r="Q375" i="51" s="1"/>
  <c r="M383" i="51"/>
  <c r="Q383" i="51" s="1"/>
  <c r="O371" i="51"/>
  <c r="S371" i="51" s="1"/>
  <c r="M363" i="51"/>
  <c r="Q363" i="51" s="1"/>
  <c r="O361" i="51"/>
  <c r="S361" i="51" s="1"/>
  <c r="O369" i="51"/>
  <c r="S369" i="51" s="1"/>
  <c r="O377" i="51"/>
  <c r="S377" i="51" s="1"/>
  <c r="M360" i="51"/>
  <c r="Q360" i="51" s="1"/>
  <c r="M368" i="51"/>
  <c r="Q368" i="51" s="1"/>
  <c r="M376" i="51"/>
  <c r="Q376" i="51" s="1"/>
  <c r="O379" i="51"/>
  <c r="S379" i="51" s="1"/>
  <c r="O362" i="51"/>
  <c r="S362" i="51" s="1"/>
  <c r="O370" i="51"/>
  <c r="S370" i="51" s="1"/>
  <c r="O378" i="51"/>
  <c r="S378" i="51" s="1"/>
  <c r="M361" i="51"/>
  <c r="Q361" i="51" s="1"/>
  <c r="M369" i="51"/>
  <c r="Q369" i="51" s="1"/>
  <c r="M377" i="51"/>
  <c r="Q377" i="51" s="1"/>
  <c r="M370" i="51"/>
  <c r="Q370" i="51" s="1"/>
  <c r="M371" i="51"/>
  <c r="Q371" i="51" s="1"/>
  <c r="O392" i="51"/>
  <c r="S392" i="51" s="1"/>
  <c r="O400" i="51"/>
  <c r="S400" i="51" s="1"/>
  <c r="O408" i="51"/>
  <c r="S408" i="51" s="1"/>
  <c r="M391" i="51"/>
  <c r="Q391" i="51" s="1"/>
  <c r="M399" i="51"/>
  <c r="Q399" i="51" s="1"/>
  <c r="M407" i="51"/>
  <c r="Q407" i="51" s="1"/>
  <c r="M397" i="51"/>
  <c r="Q397" i="51" s="1"/>
  <c r="O407" i="51"/>
  <c r="S407" i="51" s="1"/>
  <c r="O393" i="51"/>
  <c r="S393" i="51" s="1"/>
  <c r="O401" i="51"/>
  <c r="S401" i="51" s="1"/>
  <c r="O409" i="51"/>
  <c r="S409" i="51" s="1"/>
  <c r="M392" i="51"/>
  <c r="Q392" i="51" s="1"/>
  <c r="M400" i="51"/>
  <c r="Q400" i="51" s="1"/>
  <c r="M408" i="51"/>
  <c r="Q408" i="51" s="1"/>
  <c r="O398" i="51"/>
  <c r="S398" i="51" s="1"/>
  <c r="O391" i="51"/>
  <c r="S391" i="51" s="1"/>
  <c r="O394" i="51"/>
  <c r="S394" i="51" s="1"/>
  <c r="O402" i="51"/>
  <c r="S402" i="51" s="1"/>
  <c r="O410" i="51"/>
  <c r="S410" i="51" s="1"/>
  <c r="M393" i="51"/>
  <c r="Q393" i="51" s="1"/>
  <c r="M401" i="51"/>
  <c r="Q401" i="51" s="1"/>
  <c r="M409" i="51"/>
  <c r="Q409" i="51" s="1"/>
  <c r="M405" i="51"/>
  <c r="Q405" i="51" s="1"/>
  <c r="M398" i="51"/>
  <c r="Q398" i="51" s="1"/>
  <c r="O395" i="51"/>
  <c r="S395" i="51" s="1"/>
  <c r="O403" i="51"/>
  <c r="S403" i="51" s="1"/>
  <c r="O411" i="51"/>
  <c r="S411" i="51" s="1"/>
  <c r="M394" i="51"/>
  <c r="Q394" i="51" s="1"/>
  <c r="M402" i="51"/>
  <c r="Q402" i="51" s="1"/>
  <c r="M410" i="51"/>
  <c r="Q410" i="51" s="1"/>
  <c r="O390" i="51"/>
  <c r="S390" i="51" s="1"/>
  <c r="M390" i="51"/>
  <c r="Q390" i="51" s="1"/>
  <c r="O388" i="51"/>
  <c r="S388" i="51" s="1"/>
  <c r="O396" i="51"/>
  <c r="S396" i="51" s="1"/>
  <c r="O404" i="51"/>
  <c r="S404" i="51" s="1"/>
  <c r="O412" i="51"/>
  <c r="S412" i="51" s="1"/>
  <c r="M395" i="51"/>
  <c r="Q395" i="51" s="1"/>
  <c r="M403" i="51"/>
  <c r="Q403" i="51" s="1"/>
  <c r="M411" i="51"/>
  <c r="Q411" i="51" s="1"/>
  <c r="O406" i="51"/>
  <c r="S406" i="51" s="1"/>
  <c r="O389" i="51"/>
  <c r="S389" i="51" s="1"/>
  <c r="O397" i="51"/>
  <c r="S397" i="51" s="1"/>
  <c r="O405" i="51"/>
  <c r="S405" i="51" s="1"/>
  <c r="M388" i="51"/>
  <c r="Q388" i="51" s="1"/>
  <c r="M396" i="51"/>
  <c r="Q396" i="51" s="1"/>
  <c r="M404" i="51"/>
  <c r="Q404" i="51" s="1"/>
  <c r="M412" i="51"/>
  <c r="Q412" i="51" s="1"/>
  <c r="M389" i="51"/>
  <c r="Q389" i="51" s="1"/>
  <c r="O399" i="51"/>
  <c r="S399" i="51" s="1"/>
  <c r="M406" i="51"/>
  <c r="Q406" i="51" s="1"/>
  <c r="O132" i="51"/>
  <c r="S132" i="51" s="1"/>
  <c r="O140" i="51"/>
  <c r="S140" i="51" s="1"/>
  <c r="O148" i="51"/>
  <c r="S148" i="51" s="1"/>
  <c r="M131" i="51"/>
  <c r="Q131" i="51" s="1"/>
  <c r="M139" i="51"/>
  <c r="Q139" i="51" s="1"/>
  <c r="M147" i="51"/>
  <c r="Q147" i="51" s="1"/>
  <c r="M144" i="51"/>
  <c r="Q144" i="51" s="1"/>
  <c r="O133" i="51"/>
  <c r="S133" i="51" s="1"/>
  <c r="O141" i="51"/>
  <c r="S141" i="51" s="1"/>
  <c r="O149" i="51"/>
  <c r="S149" i="51" s="1"/>
  <c r="M132" i="51"/>
  <c r="Q132" i="51" s="1"/>
  <c r="M140" i="51"/>
  <c r="Q140" i="51" s="1"/>
  <c r="M148" i="51"/>
  <c r="Q148" i="51" s="1"/>
  <c r="M136" i="51"/>
  <c r="Q136" i="51" s="1"/>
  <c r="O134" i="51"/>
  <c r="S134" i="51" s="1"/>
  <c r="O142" i="51"/>
  <c r="S142" i="51" s="1"/>
  <c r="O150" i="51"/>
  <c r="S150" i="51" s="1"/>
  <c r="M133" i="51"/>
  <c r="Q133" i="51" s="1"/>
  <c r="M141" i="51"/>
  <c r="Q141" i="51" s="1"/>
  <c r="M149" i="51"/>
  <c r="Q149" i="51" s="1"/>
  <c r="M152" i="51"/>
  <c r="Q152" i="51" s="1"/>
  <c r="O135" i="51"/>
  <c r="S135" i="51" s="1"/>
  <c r="O143" i="51"/>
  <c r="S143" i="51" s="1"/>
  <c r="O151" i="51"/>
  <c r="S151" i="51" s="1"/>
  <c r="M134" i="51"/>
  <c r="Q134" i="51" s="1"/>
  <c r="M142" i="51"/>
  <c r="Q142" i="51" s="1"/>
  <c r="M150" i="51"/>
  <c r="Q150" i="51" s="1"/>
  <c r="O137" i="51"/>
  <c r="S137" i="51" s="1"/>
  <c r="O136" i="51"/>
  <c r="S136" i="51" s="1"/>
  <c r="O144" i="51"/>
  <c r="S144" i="51" s="1"/>
  <c r="O152" i="51"/>
  <c r="S152" i="51" s="1"/>
  <c r="M135" i="51"/>
  <c r="Q135" i="51" s="1"/>
  <c r="M143" i="51"/>
  <c r="Q143" i="51" s="1"/>
  <c r="M151" i="51"/>
  <c r="Q151" i="51" s="1"/>
  <c r="O145" i="51"/>
  <c r="S145" i="51" s="1"/>
  <c r="O130" i="51"/>
  <c r="S130" i="51" s="1"/>
  <c r="O138" i="51"/>
  <c r="S138" i="51" s="1"/>
  <c r="O146" i="51"/>
  <c r="S146" i="51" s="1"/>
  <c r="M129" i="51"/>
  <c r="Q129" i="51" s="1"/>
  <c r="M137" i="51"/>
  <c r="Q137" i="51" s="1"/>
  <c r="M145" i="51"/>
  <c r="Q145" i="51" s="1"/>
  <c r="M153" i="51"/>
  <c r="Q153" i="51" s="1"/>
  <c r="O129" i="51"/>
  <c r="S129" i="51" s="1"/>
  <c r="O131" i="51"/>
  <c r="S131" i="51" s="1"/>
  <c r="O139" i="51"/>
  <c r="S139" i="51" s="1"/>
  <c r="O147" i="51"/>
  <c r="S147" i="51" s="1"/>
  <c r="M130" i="51"/>
  <c r="Q130" i="51" s="1"/>
  <c r="M138" i="51"/>
  <c r="Q138" i="51" s="1"/>
  <c r="M146" i="51"/>
  <c r="Q146" i="51" s="1"/>
  <c r="O153" i="51"/>
  <c r="S153" i="51" s="1"/>
  <c r="O75" i="51"/>
  <c r="S75" i="51" s="1"/>
  <c r="O83" i="51"/>
  <c r="S83" i="51" s="1"/>
  <c r="O91" i="51"/>
  <c r="S91" i="51" s="1"/>
  <c r="M74" i="51"/>
  <c r="Q74" i="51" s="1"/>
  <c r="M82" i="51"/>
  <c r="Q82" i="51" s="1"/>
  <c r="M90" i="51"/>
  <c r="Q90" i="51" s="1"/>
  <c r="O76" i="51"/>
  <c r="S76" i="51" s="1"/>
  <c r="O84" i="51"/>
  <c r="S84" i="51" s="1"/>
  <c r="O92" i="51"/>
  <c r="S92" i="51" s="1"/>
  <c r="M75" i="51"/>
  <c r="Q75" i="51" s="1"/>
  <c r="M83" i="51"/>
  <c r="Q83" i="51" s="1"/>
  <c r="M91" i="51"/>
  <c r="Q91" i="51" s="1"/>
  <c r="M81" i="51"/>
  <c r="Q81" i="51" s="1"/>
  <c r="O77" i="51"/>
  <c r="S77" i="51" s="1"/>
  <c r="O85" i="51"/>
  <c r="S85" i="51" s="1"/>
  <c r="O93" i="51"/>
  <c r="S93" i="51" s="1"/>
  <c r="M76" i="51"/>
  <c r="Q76" i="51" s="1"/>
  <c r="M84" i="51"/>
  <c r="Q84" i="51" s="1"/>
  <c r="M92" i="51"/>
  <c r="Q92" i="51" s="1"/>
  <c r="M89" i="51"/>
  <c r="Q89" i="51" s="1"/>
  <c r="O78" i="51"/>
  <c r="S78" i="51" s="1"/>
  <c r="O86" i="51"/>
  <c r="S86" i="51" s="1"/>
  <c r="O94" i="51"/>
  <c r="S94" i="51" s="1"/>
  <c r="M77" i="51"/>
  <c r="Q77" i="51" s="1"/>
  <c r="M85" i="51"/>
  <c r="Q85" i="51" s="1"/>
  <c r="M93" i="51"/>
  <c r="Q93" i="51" s="1"/>
  <c r="M73" i="51"/>
  <c r="Q73" i="51" s="1"/>
  <c r="O71" i="51"/>
  <c r="S71" i="51" s="1"/>
  <c r="O79" i="51"/>
  <c r="S79" i="51" s="1"/>
  <c r="O87" i="51"/>
  <c r="S87" i="51" s="1"/>
  <c r="O95" i="51"/>
  <c r="S95" i="51" s="1"/>
  <c r="M78" i="51"/>
  <c r="Q78" i="51" s="1"/>
  <c r="M86" i="51"/>
  <c r="Q86" i="51" s="1"/>
  <c r="M94" i="51"/>
  <c r="Q94" i="51" s="1"/>
  <c r="O74" i="51"/>
  <c r="S74" i="51" s="1"/>
  <c r="O72" i="51"/>
  <c r="S72" i="51" s="1"/>
  <c r="O80" i="51"/>
  <c r="S80" i="51" s="1"/>
  <c r="O88" i="51"/>
  <c r="S88" i="51" s="1"/>
  <c r="M71" i="51"/>
  <c r="Q71" i="51" s="1"/>
  <c r="M79" i="51"/>
  <c r="Q79" i="51" s="1"/>
  <c r="M87" i="51"/>
  <c r="Q87" i="51" s="1"/>
  <c r="M95" i="51"/>
  <c r="Q95" i="51" s="1"/>
  <c r="O90" i="51"/>
  <c r="S90" i="51" s="1"/>
  <c r="O73" i="51"/>
  <c r="S73" i="51" s="1"/>
  <c r="O81" i="51"/>
  <c r="S81" i="51" s="1"/>
  <c r="O89" i="51"/>
  <c r="S89" i="51" s="1"/>
  <c r="M72" i="51"/>
  <c r="Q72" i="51" s="1"/>
  <c r="M80" i="51"/>
  <c r="Q80" i="51" s="1"/>
  <c r="M88" i="51"/>
  <c r="Q88" i="51" s="1"/>
  <c r="O82" i="51"/>
  <c r="S82" i="51" s="1"/>
  <c r="O18" i="51"/>
  <c r="S18" i="51" s="1"/>
  <c r="O26" i="51"/>
  <c r="S26" i="51" s="1"/>
  <c r="O34" i="51"/>
  <c r="S34" i="51" s="1"/>
  <c r="M17" i="51"/>
  <c r="Q17" i="51" s="1"/>
  <c r="M25" i="51"/>
  <c r="Q25" i="51" s="1"/>
  <c r="M33" i="51"/>
  <c r="Q33" i="51" s="1"/>
  <c r="O25" i="51"/>
  <c r="S25" i="51" s="1"/>
  <c r="O19" i="51"/>
  <c r="S19" i="51" s="1"/>
  <c r="O27" i="51"/>
  <c r="S27" i="51" s="1"/>
  <c r="O35" i="51"/>
  <c r="S35" i="51" s="1"/>
  <c r="M18" i="51"/>
  <c r="Q18" i="51" s="1"/>
  <c r="M26" i="51"/>
  <c r="Q26" i="51" s="1"/>
  <c r="M34" i="51"/>
  <c r="Q34" i="51" s="1"/>
  <c r="M16" i="51"/>
  <c r="Q16" i="51" s="1"/>
  <c r="O12" i="51"/>
  <c r="S12" i="51" s="1"/>
  <c r="O20" i="51"/>
  <c r="S20" i="51" s="1"/>
  <c r="O28" i="51"/>
  <c r="S28" i="51" s="1"/>
  <c r="O36" i="51"/>
  <c r="S36" i="51" s="1"/>
  <c r="M19" i="51"/>
  <c r="Q19" i="51" s="1"/>
  <c r="M27" i="51"/>
  <c r="Q27" i="51" s="1"/>
  <c r="M35" i="51"/>
  <c r="Q35" i="51" s="1"/>
  <c r="M32" i="51"/>
  <c r="Q32" i="51" s="1"/>
  <c r="O13" i="51"/>
  <c r="S13" i="51" s="1"/>
  <c r="O21" i="51"/>
  <c r="S21" i="51" s="1"/>
  <c r="O29" i="51"/>
  <c r="S29" i="51" s="1"/>
  <c r="M12" i="51"/>
  <c r="Q12" i="51" s="1"/>
  <c r="M20" i="51"/>
  <c r="Q20" i="51" s="1"/>
  <c r="M28" i="51"/>
  <c r="Q28" i="51" s="1"/>
  <c r="M36" i="51"/>
  <c r="Q36" i="51" s="1"/>
  <c r="O33" i="51"/>
  <c r="S33" i="51" s="1"/>
  <c r="O14" i="51"/>
  <c r="S14" i="51" s="1"/>
  <c r="O22" i="51"/>
  <c r="S22" i="51" s="1"/>
  <c r="O30" i="51"/>
  <c r="S30" i="51" s="1"/>
  <c r="M13" i="51"/>
  <c r="Q13" i="51" s="1"/>
  <c r="M21" i="51"/>
  <c r="Q21" i="51" s="1"/>
  <c r="M29" i="51"/>
  <c r="Q29" i="51" s="1"/>
  <c r="O17" i="51"/>
  <c r="S17" i="51" s="1"/>
  <c r="O15" i="51"/>
  <c r="S15" i="51" s="1"/>
  <c r="O23" i="51"/>
  <c r="S23" i="51" s="1"/>
  <c r="O31" i="51"/>
  <c r="S31" i="51" s="1"/>
  <c r="M14" i="51"/>
  <c r="Q14" i="51" s="1"/>
  <c r="M22" i="51"/>
  <c r="Q22" i="51" s="1"/>
  <c r="M30" i="51"/>
  <c r="Q30" i="51" s="1"/>
  <c r="M24" i="51"/>
  <c r="Q24" i="51" s="1"/>
  <c r="O16" i="51"/>
  <c r="S16" i="51" s="1"/>
  <c r="O24" i="51"/>
  <c r="S24" i="51" s="1"/>
  <c r="O32" i="51"/>
  <c r="S32" i="51" s="1"/>
  <c r="M15" i="51"/>
  <c r="Q15" i="51" s="1"/>
  <c r="M23" i="51"/>
  <c r="Q23" i="51" s="1"/>
  <c r="M31" i="51"/>
  <c r="Q31" i="51" s="1"/>
  <c r="O45" i="51"/>
  <c r="S45" i="51" s="1"/>
  <c r="O53" i="51"/>
  <c r="S53" i="51" s="1"/>
  <c r="O61" i="51"/>
  <c r="S61" i="51" s="1"/>
  <c r="M44" i="51"/>
  <c r="Q44" i="51" s="1"/>
  <c r="M52" i="51"/>
  <c r="Q52" i="51" s="1"/>
  <c r="M60" i="51"/>
  <c r="Q60" i="51" s="1"/>
  <c r="M51" i="51"/>
  <c r="Q51" i="51" s="1"/>
  <c r="O46" i="51"/>
  <c r="S46" i="51" s="1"/>
  <c r="O54" i="51"/>
  <c r="S54" i="51" s="1"/>
  <c r="O62" i="51"/>
  <c r="S62" i="51" s="1"/>
  <c r="M45" i="51"/>
  <c r="Q45" i="51" s="1"/>
  <c r="M53" i="51"/>
  <c r="Q53" i="51" s="1"/>
  <c r="M61" i="51"/>
  <c r="Q61" i="51" s="1"/>
  <c r="O47" i="51"/>
  <c r="S47" i="51" s="1"/>
  <c r="O55" i="51"/>
  <c r="S55" i="51" s="1"/>
  <c r="O63" i="51"/>
  <c r="S63" i="51" s="1"/>
  <c r="M46" i="51"/>
  <c r="Q46" i="51" s="1"/>
  <c r="M54" i="51"/>
  <c r="Q54" i="51" s="1"/>
  <c r="M62" i="51"/>
  <c r="Q62" i="51" s="1"/>
  <c r="O52" i="51"/>
  <c r="S52" i="51" s="1"/>
  <c r="O48" i="51"/>
  <c r="S48" i="51" s="1"/>
  <c r="O56" i="51"/>
  <c r="S56" i="51" s="1"/>
  <c r="O64" i="51"/>
  <c r="S64" i="51" s="1"/>
  <c r="M47" i="51"/>
  <c r="Q47" i="51" s="1"/>
  <c r="M55" i="51"/>
  <c r="Q55" i="51" s="1"/>
  <c r="M63" i="51"/>
  <c r="Q63" i="51" s="1"/>
  <c r="M59" i="51"/>
  <c r="Q59" i="51" s="1"/>
  <c r="O41" i="51"/>
  <c r="S41" i="51" s="1"/>
  <c r="O49" i="51"/>
  <c r="S49" i="51" s="1"/>
  <c r="O57" i="51"/>
  <c r="S57" i="51" s="1"/>
  <c r="O65" i="51"/>
  <c r="S65" i="51" s="1"/>
  <c r="M48" i="51"/>
  <c r="Q48" i="51" s="1"/>
  <c r="M56" i="51"/>
  <c r="Q56" i="51" s="1"/>
  <c r="M64" i="51"/>
  <c r="Q64" i="51" s="1"/>
  <c r="M43" i="51"/>
  <c r="Q43" i="51" s="1"/>
  <c r="O42" i="51"/>
  <c r="S42" i="51" s="1"/>
  <c r="O50" i="51"/>
  <c r="S50" i="51" s="1"/>
  <c r="O58" i="51"/>
  <c r="S58" i="51" s="1"/>
  <c r="M41" i="51"/>
  <c r="Q41" i="51" s="1"/>
  <c r="M49" i="51"/>
  <c r="Q49" i="51" s="1"/>
  <c r="M57" i="51"/>
  <c r="Q57" i="51" s="1"/>
  <c r="M65" i="51"/>
  <c r="Q65" i="51" s="1"/>
  <c r="O44" i="51"/>
  <c r="S44" i="51" s="1"/>
  <c r="O43" i="51"/>
  <c r="S43" i="51" s="1"/>
  <c r="O51" i="51"/>
  <c r="S51" i="51" s="1"/>
  <c r="O59" i="51"/>
  <c r="S59" i="51" s="1"/>
  <c r="M42" i="51"/>
  <c r="Q42" i="51" s="1"/>
  <c r="M50" i="51"/>
  <c r="Q50" i="51" s="1"/>
  <c r="M58" i="51"/>
  <c r="Q58" i="51" s="1"/>
  <c r="O60" i="51"/>
  <c r="S60" i="51" s="1"/>
  <c r="O832" i="37"/>
  <c r="S832" i="37" s="1"/>
  <c r="O840" i="37"/>
  <c r="S840" i="37" s="1"/>
  <c r="O848" i="37"/>
  <c r="S848" i="37" s="1"/>
  <c r="M831" i="37"/>
  <c r="Q831" i="37" s="1"/>
  <c r="M839" i="37"/>
  <c r="Q839" i="37" s="1"/>
  <c r="M847" i="37"/>
  <c r="Q847" i="37" s="1"/>
  <c r="O829" i="37"/>
  <c r="S829" i="37" s="1"/>
  <c r="M844" i="37"/>
  <c r="Q844" i="37" s="1"/>
  <c r="O830" i="37"/>
  <c r="S830" i="37" s="1"/>
  <c r="M829" i="37"/>
  <c r="Q829" i="37" s="1"/>
  <c r="O839" i="37"/>
  <c r="S839" i="37" s="1"/>
  <c r="O833" i="37"/>
  <c r="S833" i="37" s="1"/>
  <c r="O841" i="37"/>
  <c r="S841" i="37" s="1"/>
  <c r="O849" i="37"/>
  <c r="S849" i="37" s="1"/>
  <c r="M832" i="37"/>
  <c r="Q832" i="37" s="1"/>
  <c r="M840" i="37"/>
  <c r="Q840" i="37" s="1"/>
  <c r="M848" i="37"/>
  <c r="Q848" i="37" s="1"/>
  <c r="O853" i="37"/>
  <c r="S853" i="37" s="1"/>
  <c r="M845" i="37"/>
  <c r="Q845" i="37" s="1"/>
  <c r="O847" i="37"/>
  <c r="S847" i="37" s="1"/>
  <c r="M838" i="37"/>
  <c r="Q838" i="37" s="1"/>
  <c r="O834" i="37"/>
  <c r="S834" i="37" s="1"/>
  <c r="O842" i="37"/>
  <c r="S842" i="37" s="1"/>
  <c r="O850" i="37"/>
  <c r="S850" i="37" s="1"/>
  <c r="M833" i="37"/>
  <c r="Q833" i="37" s="1"/>
  <c r="M841" i="37"/>
  <c r="Q841" i="37" s="1"/>
  <c r="M849" i="37"/>
  <c r="Q849" i="37" s="1"/>
  <c r="M836" i="37"/>
  <c r="Q836" i="37" s="1"/>
  <c r="O831" i="37"/>
  <c r="S831" i="37" s="1"/>
  <c r="O835" i="37"/>
  <c r="S835" i="37" s="1"/>
  <c r="O843" i="37"/>
  <c r="S843" i="37" s="1"/>
  <c r="O851" i="37"/>
  <c r="S851" i="37" s="1"/>
  <c r="M834" i="37"/>
  <c r="Q834" i="37" s="1"/>
  <c r="M842" i="37"/>
  <c r="Q842" i="37" s="1"/>
  <c r="M850" i="37"/>
  <c r="Q850" i="37" s="1"/>
  <c r="O845" i="37"/>
  <c r="S845" i="37" s="1"/>
  <c r="O838" i="37"/>
  <c r="S838" i="37" s="1"/>
  <c r="M837" i="37"/>
  <c r="Q837" i="37" s="1"/>
  <c r="M846" i="37"/>
  <c r="Q846" i="37" s="1"/>
  <c r="O836" i="37"/>
  <c r="S836" i="37" s="1"/>
  <c r="O844" i="37"/>
  <c r="S844" i="37" s="1"/>
  <c r="O852" i="37"/>
  <c r="S852" i="37" s="1"/>
  <c r="M835" i="37"/>
  <c r="Q835" i="37" s="1"/>
  <c r="M843" i="37"/>
  <c r="Q843" i="37" s="1"/>
  <c r="M851" i="37"/>
  <c r="Q851" i="37" s="1"/>
  <c r="O837" i="37"/>
  <c r="S837" i="37" s="1"/>
  <c r="M852" i="37"/>
  <c r="Q852" i="37" s="1"/>
  <c r="O846" i="37"/>
  <c r="S846" i="37" s="1"/>
  <c r="M853" i="37"/>
  <c r="Q853" i="37" s="1"/>
  <c r="M830" i="37"/>
  <c r="Q830" i="37" s="1"/>
  <c r="O774" i="37"/>
  <c r="S774" i="37" s="1"/>
  <c r="O782" i="37"/>
  <c r="S782" i="37" s="1"/>
  <c r="O790" i="37"/>
  <c r="S790" i="37" s="1"/>
  <c r="M773" i="37"/>
  <c r="Q773" i="37" s="1"/>
  <c r="M781" i="37"/>
  <c r="Q781" i="37" s="1"/>
  <c r="M789" i="37"/>
  <c r="Q789" i="37" s="1"/>
  <c r="M778" i="37"/>
  <c r="Q778" i="37" s="1"/>
  <c r="O775" i="37"/>
  <c r="S775" i="37" s="1"/>
  <c r="O783" i="37"/>
  <c r="S783" i="37" s="1"/>
  <c r="O791" i="37"/>
  <c r="S791" i="37" s="1"/>
  <c r="M774" i="37"/>
  <c r="Q774" i="37" s="1"/>
  <c r="M782" i="37"/>
  <c r="Q782" i="37" s="1"/>
  <c r="M790" i="37"/>
  <c r="Q790" i="37" s="1"/>
  <c r="O779" i="37"/>
  <c r="S779" i="37" s="1"/>
  <c r="M794" i="37"/>
  <c r="Q794" i="37" s="1"/>
  <c r="M780" i="37"/>
  <c r="Q780" i="37" s="1"/>
  <c r="O776" i="37"/>
  <c r="S776" i="37" s="1"/>
  <c r="O784" i="37"/>
  <c r="S784" i="37" s="1"/>
  <c r="O792" i="37"/>
  <c r="S792" i="37" s="1"/>
  <c r="M775" i="37"/>
  <c r="Q775" i="37" s="1"/>
  <c r="M783" i="37"/>
  <c r="Q783" i="37" s="1"/>
  <c r="M791" i="37"/>
  <c r="Q791" i="37" s="1"/>
  <c r="M770" i="37"/>
  <c r="Q770" i="37" s="1"/>
  <c r="M772" i="37"/>
  <c r="Q772" i="37" s="1"/>
  <c r="O777" i="37"/>
  <c r="S777" i="37" s="1"/>
  <c r="O785" i="37"/>
  <c r="S785" i="37" s="1"/>
  <c r="O793" i="37"/>
  <c r="S793" i="37" s="1"/>
  <c r="M776" i="37"/>
  <c r="Q776" i="37" s="1"/>
  <c r="M784" i="37"/>
  <c r="Q784" i="37" s="1"/>
  <c r="M792" i="37"/>
  <c r="Q792" i="37" s="1"/>
  <c r="O787" i="37"/>
  <c r="S787" i="37" s="1"/>
  <c r="M788" i="37"/>
  <c r="Q788" i="37" s="1"/>
  <c r="O770" i="37"/>
  <c r="S770" i="37" s="1"/>
  <c r="O778" i="37"/>
  <c r="S778" i="37" s="1"/>
  <c r="O786" i="37"/>
  <c r="S786" i="37" s="1"/>
  <c r="O794" i="37"/>
  <c r="S794" i="37" s="1"/>
  <c r="M777" i="37"/>
  <c r="Q777" i="37" s="1"/>
  <c r="M785" i="37"/>
  <c r="Q785" i="37" s="1"/>
  <c r="M793" i="37"/>
  <c r="Q793" i="37" s="1"/>
  <c r="O771" i="37"/>
  <c r="S771" i="37" s="1"/>
  <c r="M786" i="37"/>
  <c r="Q786" i="37" s="1"/>
  <c r="O772" i="37"/>
  <c r="S772" i="37" s="1"/>
  <c r="O780" i="37"/>
  <c r="S780" i="37" s="1"/>
  <c r="O788" i="37"/>
  <c r="S788" i="37" s="1"/>
  <c r="M771" i="37"/>
  <c r="Q771" i="37" s="1"/>
  <c r="M779" i="37"/>
  <c r="Q779" i="37" s="1"/>
  <c r="M787" i="37"/>
  <c r="Q787" i="37" s="1"/>
  <c r="O773" i="37"/>
  <c r="S773" i="37" s="1"/>
  <c r="O781" i="37"/>
  <c r="S781" i="37" s="1"/>
  <c r="O789" i="37"/>
  <c r="S789" i="37" s="1"/>
  <c r="O716" i="37"/>
  <c r="S716" i="37" s="1"/>
  <c r="O724" i="37"/>
  <c r="S724" i="37" s="1"/>
  <c r="O732" i="37"/>
  <c r="S732" i="37" s="1"/>
  <c r="M715" i="37"/>
  <c r="Q715" i="37" s="1"/>
  <c r="M723" i="37"/>
  <c r="Q723" i="37" s="1"/>
  <c r="M731" i="37"/>
  <c r="Q731" i="37" s="1"/>
  <c r="O731" i="37"/>
  <c r="S731" i="37" s="1"/>
  <c r="O717" i="37"/>
  <c r="S717" i="37" s="1"/>
  <c r="O725" i="37"/>
  <c r="S725" i="37" s="1"/>
  <c r="O733" i="37"/>
  <c r="S733" i="37" s="1"/>
  <c r="M716" i="37"/>
  <c r="Q716" i="37" s="1"/>
  <c r="M724" i="37"/>
  <c r="Q724" i="37" s="1"/>
  <c r="M732" i="37"/>
  <c r="Q732" i="37" s="1"/>
  <c r="O723" i="37"/>
  <c r="S723" i="37" s="1"/>
  <c r="O710" i="37"/>
  <c r="S710" i="37" s="1"/>
  <c r="O718" i="37"/>
  <c r="S718" i="37" s="1"/>
  <c r="O726" i="37"/>
  <c r="S726" i="37" s="1"/>
  <c r="O734" i="37"/>
  <c r="S734" i="37" s="1"/>
  <c r="M717" i="37"/>
  <c r="Q717" i="37" s="1"/>
  <c r="M725" i="37"/>
  <c r="Q725" i="37" s="1"/>
  <c r="M733" i="37"/>
  <c r="Q733" i="37" s="1"/>
  <c r="O711" i="37"/>
  <c r="S711" i="37" s="1"/>
  <c r="O719" i="37"/>
  <c r="S719" i="37" s="1"/>
  <c r="O727" i="37"/>
  <c r="S727" i="37" s="1"/>
  <c r="M710" i="37"/>
  <c r="Q710" i="37" s="1"/>
  <c r="M718" i="37"/>
  <c r="Q718" i="37" s="1"/>
  <c r="M726" i="37"/>
  <c r="Q726" i="37" s="1"/>
  <c r="M734" i="37"/>
  <c r="Q734" i="37" s="1"/>
  <c r="M714" i="37"/>
  <c r="Q714" i="37" s="1"/>
  <c r="O712" i="37"/>
  <c r="S712" i="37" s="1"/>
  <c r="O720" i="37"/>
  <c r="S720" i="37" s="1"/>
  <c r="O728" i="37"/>
  <c r="S728" i="37" s="1"/>
  <c r="M711" i="37"/>
  <c r="Q711" i="37" s="1"/>
  <c r="M719" i="37"/>
  <c r="Q719" i="37" s="1"/>
  <c r="M727" i="37"/>
  <c r="Q727" i="37" s="1"/>
  <c r="M730" i="37"/>
  <c r="Q730" i="37" s="1"/>
  <c r="O713" i="37"/>
  <c r="S713" i="37" s="1"/>
  <c r="O721" i="37"/>
  <c r="S721" i="37" s="1"/>
  <c r="O729" i="37"/>
  <c r="S729" i="37" s="1"/>
  <c r="M712" i="37"/>
  <c r="Q712" i="37" s="1"/>
  <c r="M720" i="37"/>
  <c r="Q720" i="37" s="1"/>
  <c r="M728" i="37"/>
  <c r="Q728" i="37" s="1"/>
  <c r="M722" i="37"/>
  <c r="Q722" i="37" s="1"/>
  <c r="O714" i="37"/>
  <c r="S714" i="37" s="1"/>
  <c r="O722" i="37"/>
  <c r="S722" i="37" s="1"/>
  <c r="O730" i="37"/>
  <c r="S730" i="37" s="1"/>
  <c r="M713" i="37"/>
  <c r="Q713" i="37" s="1"/>
  <c r="M721" i="37"/>
  <c r="Q721" i="37" s="1"/>
  <c r="M729" i="37"/>
  <c r="Q729" i="37" s="1"/>
  <c r="O715" i="37"/>
  <c r="S715" i="37" s="1"/>
  <c r="O743" i="37"/>
  <c r="S743" i="37" s="1"/>
  <c r="O751" i="37"/>
  <c r="S751" i="37" s="1"/>
  <c r="O759" i="37"/>
  <c r="S759" i="37" s="1"/>
  <c r="M742" i="37"/>
  <c r="Q742" i="37" s="1"/>
  <c r="M750" i="37"/>
  <c r="Q750" i="37" s="1"/>
  <c r="M758" i="37"/>
  <c r="Q758" i="37" s="1"/>
  <c r="O750" i="37"/>
  <c r="S750" i="37" s="1"/>
  <c r="O744" i="37"/>
  <c r="S744" i="37" s="1"/>
  <c r="O752" i="37"/>
  <c r="S752" i="37" s="1"/>
  <c r="O760" i="37"/>
  <c r="S760" i="37" s="1"/>
  <c r="M743" i="37"/>
  <c r="Q743" i="37" s="1"/>
  <c r="M751" i="37"/>
  <c r="Q751" i="37" s="1"/>
  <c r="M759" i="37"/>
  <c r="Q759" i="37" s="1"/>
  <c r="O745" i="37"/>
  <c r="S745" i="37" s="1"/>
  <c r="O753" i="37"/>
  <c r="S753" i="37" s="1"/>
  <c r="O761" i="37"/>
  <c r="S761" i="37" s="1"/>
  <c r="M744" i="37"/>
  <c r="Q744" i="37" s="1"/>
  <c r="M752" i="37"/>
  <c r="Q752" i="37" s="1"/>
  <c r="M760" i="37"/>
  <c r="Q760" i="37" s="1"/>
  <c r="O758" i="37"/>
  <c r="S758" i="37" s="1"/>
  <c r="O746" i="37"/>
  <c r="S746" i="37" s="1"/>
  <c r="O754" i="37"/>
  <c r="S754" i="37" s="1"/>
  <c r="O762" i="37"/>
  <c r="S762" i="37" s="1"/>
  <c r="M745" i="37"/>
  <c r="Q745" i="37" s="1"/>
  <c r="M753" i="37"/>
  <c r="Q753" i="37" s="1"/>
  <c r="M761" i="37"/>
  <c r="Q761" i="37" s="1"/>
  <c r="O742" i="37"/>
  <c r="S742" i="37" s="1"/>
  <c r="O739" i="37"/>
  <c r="S739" i="37" s="1"/>
  <c r="O747" i="37"/>
  <c r="S747" i="37" s="1"/>
  <c r="O755" i="37"/>
  <c r="S755" i="37" s="1"/>
  <c r="O763" i="37"/>
  <c r="S763" i="37" s="1"/>
  <c r="M746" i="37"/>
  <c r="Q746" i="37" s="1"/>
  <c r="M754" i="37"/>
  <c r="Q754" i="37" s="1"/>
  <c r="M762" i="37"/>
  <c r="Q762" i="37" s="1"/>
  <c r="M757" i="37"/>
  <c r="Q757" i="37" s="1"/>
  <c r="O740" i="37"/>
  <c r="S740" i="37" s="1"/>
  <c r="O748" i="37"/>
  <c r="S748" i="37" s="1"/>
  <c r="O756" i="37"/>
  <c r="S756" i="37" s="1"/>
  <c r="M739" i="37"/>
  <c r="Q739" i="37" s="1"/>
  <c r="M747" i="37"/>
  <c r="Q747" i="37" s="1"/>
  <c r="M755" i="37"/>
  <c r="Q755" i="37" s="1"/>
  <c r="M763" i="37"/>
  <c r="Q763" i="37" s="1"/>
  <c r="M741" i="37"/>
  <c r="Q741" i="37" s="1"/>
  <c r="O741" i="37"/>
  <c r="S741" i="37" s="1"/>
  <c r="O749" i="37"/>
  <c r="S749" i="37" s="1"/>
  <c r="O757" i="37"/>
  <c r="S757" i="37" s="1"/>
  <c r="M740" i="37"/>
  <c r="Q740" i="37" s="1"/>
  <c r="M748" i="37"/>
  <c r="Q748" i="37" s="1"/>
  <c r="M756" i="37"/>
  <c r="Q756" i="37" s="1"/>
  <c r="M749" i="37"/>
  <c r="Q749" i="37" s="1"/>
  <c r="O483" i="37"/>
  <c r="S483" i="37" s="1"/>
  <c r="O491" i="37"/>
  <c r="S491" i="37" s="1"/>
  <c r="O499" i="37"/>
  <c r="S499" i="37" s="1"/>
  <c r="M482" i="37"/>
  <c r="Q482" i="37" s="1"/>
  <c r="M490" i="37"/>
  <c r="Q490" i="37" s="1"/>
  <c r="M498" i="37"/>
  <c r="Q498" i="37" s="1"/>
  <c r="O488" i="37"/>
  <c r="S488" i="37" s="1"/>
  <c r="O484" i="37"/>
  <c r="S484" i="37" s="1"/>
  <c r="O492" i="37"/>
  <c r="S492" i="37" s="1"/>
  <c r="O500" i="37"/>
  <c r="S500" i="37" s="1"/>
  <c r="M483" i="37"/>
  <c r="Q483" i="37" s="1"/>
  <c r="M491" i="37"/>
  <c r="Q491" i="37" s="1"/>
  <c r="M499" i="37"/>
  <c r="Q499" i="37" s="1"/>
  <c r="O480" i="37"/>
  <c r="S480" i="37" s="1"/>
  <c r="O485" i="37"/>
  <c r="S485" i="37" s="1"/>
  <c r="O493" i="37"/>
  <c r="S493" i="37" s="1"/>
  <c r="O501" i="37"/>
  <c r="S501" i="37" s="1"/>
  <c r="M484" i="37"/>
  <c r="Q484" i="37" s="1"/>
  <c r="M492" i="37"/>
  <c r="Q492" i="37" s="1"/>
  <c r="M500" i="37"/>
  <c r="Q500" i="37" s="1"/>
  <c r="M487" i="37"/>
  <c r="Q487" i="37" s="1"/>
  <c r="O486" i="37"/>
  <c r="S486" i="37" s="1"/>
  <c r="O494" i="37"/>
  <c r="S494" i="37" s="1"/>
  <c r="O502" i="37"/>
  <c r="S502" i="37" s="1"/>
  <c r="M485" i="37"/>
  <c r="Q485" i="37" s="1"/>
  <c r="M493" i="37"/>
  <c r="Q493" i="37" s="1"/>
  <c r="M501" i="37"/>
  <c r="Q501" i="37" s="1"/>
  <c r="M503" i="37"/>
  <c r="Q503" i="37" s="1"/>
  <c r="O487" i="37"/>
  <c r="S487" i="37" s="1"/>
  <c r="O495" i="37"/>
  <c r="S495" i="37" s="1"/>
  <c r="O503" i="37"/>
  <c r="S503" i="37" s="1"/>
  <c r="M486" i="37"/>
  <c r="Q486" i="37" s="1"/>
  <c r="M494" i="37"/>
  <c r="Q494" i="37" s="1"/>
  <c r="M502" i="37"/>
  <c r="Q502" i="37" s="1"/>
  <c r="O496" i="37"/>
  <c r="S496" i="37" s="1"/>
  <c r="O481" i="37"/>
  <c r="S481" i="37" s="1"/>
  <c r="O489" i="37"/>
  <c r="S489" i="37" s="1"/>
  <c r="O497" i="37"/>
  <c r="S497" i="37" s="1"/>
  <c r="M480" i="37"/>
  <c r="Q480" i="37" s="1"/>
  <c r="M488" i="37"/>
  <c r="Q488" i="37" s="1"/>
  <c r="M496" i="37"/>
  <c r="Q496" i="37" s="1"/>
  <c r="M504" i="37"/>
  <c r="Q504" i="37" s="1"/>
  <c r="M495" i="37"/>
  <c r="Q495" i="37" s="1"/>
  <c r="O482" i="37"/>
  <c r="S482" i="37" s="1"/>
  <c r="O490" i="37"/>
  <c r="S490" i="37" s="1"/>
  <c r="O498" i="37"/>
  <c r="S498" i="37" s="1"/>
  <c r="M481" i="37"/>
  <c r="Q481" i="37" s="1"/>
  <c r="M489" i="37"/>
  <c r="Q489" i="37" s="1"/>
  <c r="M497" i="37"/>
  <c r="Q497" i="37" s="1"/>
  <c r="O504" i="37"/>
  <c r="S504" i="37" s="1"/>
  <c r="L22" i="79"/>
  <c r="Q448" i="37"/>
  <c r="J22" i="79"/>
  <c r="O425" i="37"/>
  <c r="S425" i="37" s="1"/>
  <c r="O433" i="37"/>
  <c r="S433" i="37" s="1"/>
  <c r="O441" i="37"/>
  <c r="S441" i="37" s="1"/>
  <c r="M424" i="37"/>
  <c r="Q424" i="37" s="1"/>
  <c r="M432" i="37"/>
  <c r="Q432" i="37" s="1"/>
  <c r="M440" i="37"/>
  <c r="Q440" i="37" s="1"/>
  <c r="M431" i="37"/>
  <c r="Q431" i="37" s="1"/>
  <c r="O426" i="37"/>
  <c r="S426" i="37" s="1"/>
  <c r="O434" i="37"/>
  <c r="S434" i="37" s="1"/>
  <c r="O442" i="37"/>
  <c r="S442" i="37" s="1"/>
  <c r="M425" i="37"/>
  <c r="Q425" i="37" s="1"/>
  <c r="M433" i="37"/>
  <c r="Q433" i="37" s="1"/>
  <c r="M441" i="37"/>
  <c r="Q441" i="37" s="1"/>
  <c r="O432" i="37"/>
  <c r="S432" i="37" s="1"/>
  <c r="O427" i="37"/>
  <c r="S427" i="37" s="1"/>
  <c r="O435" i="37"/>
  <c r="S435" i="37" s="1"/>
  <c r="O443" i="37"/>
  <c r="S443" i="37" s="1"/>
  <c r="M426" i="37"/>
  <c r="Q426" i="37" s="1"/>
  <c r="M434" i="37"/>
  <c r="Q434" i="37" s="1"/>
  <c r="M442" i="37"/>
  <c r="Q442" i="37" s="1"/>
  <c r="O428" i="37"/>
  <c r="S428" i="37" s="1"/>
  <c r="O436" i="37"/>
  <c r="S436" i="37" s="1"/>
  <c r="O444" i="37"/>
  <c r="S444" i="37" s="1"/>
  <c r="M427" i="37"/>
  <c r="Q427" i="37" s="1"/>
  <c r="M435" i="37"/>
  <c r="Q435" i="37" s="1"/>
  <c r="M443" i="37"/>
  <c r="Q443" i="37" s="1"/>
  <c r="O440" i="37"/>
  <c r="S440" i="37" s="1"/>
  <c r="O421" i="37"/>
  <c r="S421" i="37" s="1"/>
  <c r="O429" i="37"/>
  <c r="S429" i="37" s="1"/>
  <c r="O437" i="37"/>
  <c r="S437" i="37" s="1"/>
  <c r="O445" i="37"/>
  <c r="S445" i="37" s="1"/>
  <c r="M428" i="37"/>
  <c r="Q428" i="37" s="1"/>
  <c r="M436" i="37"/>
  <c r="Q436" i="37" s="1"/>
  <c r="M444" i="37"/>
  <c r="Q444" i="37" s="1"/>
  <c r="O424" i="37"/>
  <c r="S424" i="37" s="1"/>
  <c r="O422" i="37"/>
  <c r="S422" i="37" s="1"/>
  <c r="O430" i="37"/>
  <c r="S430" i="37" s="1"/>
  <c r="O438" i="37"/>
  <c r="S438" i="37" s="1"/>
  <c r="M421" i="37"/>
  <c r="Q421" i="37" s="1"/>
  <c r="M429" i="37"/>
  <c r="Q429" i="37" s="1"/>
  <c r="M437" i="37"/>
  <c r="Q437" i="37" s="1"/>
  <c r="M445" i="37"/>
  <c r="Q445" i="37" s="1"/>
  <c r="M439" i="37"/>
  <c r="Q439" i="37" s="1"/>
  <c r="O423" i="37"/>
  <c r="S423" i="37" s="1"/>
  <c r="O431" i="37"/>
  <c r="S431" i="37" s="1"/>
  <c r="O439" i="37"/>
  <c r="S439" i="37" s="1"/>
  <c r="M422" i="37"/>
  <c r="Q422" i="37" s="1"/>
  <c r="M430" i="37"/>
  <c r="Q430" i="37" s="1"/>
  <c r="M438" i="37"/>
  <c r="Q438" i="37" s="1"/>
  <c r="M423" i="37"/>
  <c r="Q423" i="37" s="1"/>
  <c r="O367" i="37"/>
  <c r="S367" i="37" s="1"/>
  <c r="O375" i="37"/>
  <c r="S375" i="37" s="1"/>
  <c r="O383" i="37"/>
  <c r="S383" i="37" s="1"/>
  <c r="M366" i="37"/>
  <c r="Q366" i="37" s="1"/>
  <c r="M374" i="37"/>
  <c r="Q374" i="37" s="1"/>
  <c r="M382" i="37"/>
  <c r="Q382" i="37" s="1"/>
  <c r="O372" i="37"/>
  <c r="S372" i="37" s="1"/>
  <c r="O374" i="37"/>
  <c r="S374" i="37" s="1"/>
  <c r="O368" i="37"/>
  <c r="S368" i="37" s="1"/>
  <c r="O376" i="37"/>
  <c r="S376" i="37" s="1"/>
  <c r="O384" i="37"/>
  <c r="S384" i="37" s="1"/>
  <c r="M367" i="37"/>
  <c r="Q367" i="37" s="1"/>
  <c r="M375" i="37"/>
  <c r="Q375" i="37" s="1"/>
  <c r="M383" i="37"/>
  <c r="Q383" i="37" s="1"/>
  <c r="O364" i="37"/>
  <c r="S364" i="37" s="1"/>
  <c r="M379" i="37"/>
  <c r="Q379" i="37" s="1"/>
  <c r="O382" i="37"/>
  <c r="S382" i="37" s="1"/>
  <c r="O361" i="37"/>
  <c r="S361" i="37" s="1"/>
  <c r="O369" i="37"/>
  <c r="S369" i="37" s="1"/>
  <c r="O377" i="37"/>
  <c r="S377" i="37" s="1"/>
  <c r="O385" i="37"/>
  <c r="S385" i="37" s="1"/>
  <c r="M368" i="37"/>
  <c r="Q368" i="37" s="1"/>
  <c r="M376" i="37"/>
  <c r="Q376" i="37" s="1"/>
  <c r="M384" i="37"/>
  <c r="Q384" i="37" s="1"/>
  <c r="M363" i="37"/>
  <c r="Q363" i="37" s="1"/>
  <c r="M365" i="37"/>
  <c r="Q365" i="37" s="1"/>
  <c r="O362" i="37"/>
  <c r="S362" i="37" s="1"/>
  <c r="O370" i="37"/>
  <c r="S370" i="37" s="1"/>
  <c r="O378" i="37"/>
  <c r="S378" i="37" s="1"/>
  <c r="M361" i="37"/>
  <c r="Q361" i="37" s="1"/>
  <c r="M369" i="37"/>
  <c r="Q369" i="37" s="1"/>
  <c r="M377" i="37"/>
  <c r="Q377" i="37" s="1"/>
  <c r="M385" i="37"/>
  <c r="Q385" i="37" s="1"/>
  <c r="M371" i="37"/>
  <c r="Q371" i="37" s="1"/>
  <c r="M381" i="37"/>
  <c r="Q381" i="37" s="1"/>
  <c r="O363" i="37"/>
  <c r="S363" i="37" s="1"/>
  <c r="O371" i="37"/>
  <c r="S371" i="37" s="1"/>
  <c r="O379" i="37"/>
  <c r="S379" i="37" s="1"/>
  <c r="M362" i="37"/>
  <c r="Q362" i="37" s="1"/>
  <c r="M370" i="37"/>
  <c r="Q370" i="37" s="1"/>
  <c r="M378" i="37"/>
  <c r="Q378" i="37" s="1"/>
  <c r="O380" i="37"/>
  <c r="S380" i="37" s="1"/>
  <c r="M373" i="37"/>
  <c r="Q373" i="37" s="1"/>
  <c r="O365" i="37"/>
  <c r="S365" i="37" s="1"/>
  <c r="O373" i="37"/>
  <c r="S373" i="37" s="1"/>
  <c r="O381" i="37"/>
  <c r="S381" i="37" s="1"/>
  <c r="M364" i="37"/>
  <c r="Q364" i="37" s="1"/>
  <c r="M372" i="37"/>
  <c r="Q372" i="37" s="1"/>
  <c r="M380" i="37"/>
  <c r="Q380" i="37" s="1"/>
  <c r="O366" i="37"/>
  <c r="S366" i="37" s="1"/>
  <c r="O394" i="37"/>
  <c r="S394" i="37" s="1"/>
  <c r="O402" i="37"/>
  <c r="S402" i="37" s="1"/>
  <c r="O410" i="37"/>
  <c r="S410" i="37" s="1"/>
  <c r="M393" i="37"/>
  <c r="Q393" i="37" s="1"/>
  <c r="M401" i="37"/>
  <c r="Q401" i="37" s="1"/>
  <c r="M409" i="37"/>
  <c r="Q409" i="37" s="1"/>
  <c r="O407" i="37"/>
  <c r="S407" i="37" s="1"/>
  <c r="O395" i="37"/>
  <c r="S395" i="37" s="1"/>
  <c r="O403" i="37"/>
  <c r="S403" i="37" s="1"/>
  <c r="O411" i="37"/>
  <c r="S411" i="37" s="1"/>
  <c r="M394" i="37"/>
  <c r="Q394" i="37" s="1"/>
  <c r="M402" i="37"/>
  <c r="Q402" i="37" s="1"/>
  <c r="M410" i="37"/>
  <c r="Q410" i="37" s="1"/>
  <c r="O399" i="37"/>
  <c r="S399" i="37" s="1"/>
  <c r="O396" i="37"/>
  <c r="S396" i="37" s="1"/>
  <c r="O404" i="37"/>
  <c r="S404" i="37" s="1"/>
  <c r="O412" i="37"/>
  <c r="S412" i="37" s="1"/>
  <c r="M395" i="37"/>
  <c r="Q395" i="37" s="1"/>
  <c r="M403" i="37"/>
  <c r="Q403" i="37" s="1"/>
  <c r="M411" i="37"/>
  <c r="Q411" i="37" s="1"/>
  <c r="O391" i="37"/>
  <c r="S391" i="37" s="1"/>
  <c r="M406" i="37"/>
  <c r="Q406" i="37" s="1"/>
  <c r="O397" i="37"/>
  <c r="S397" i="37" s="1"/>
  <c r="O405" i="37"/>
  <c r="S405" i="37" s="1"/>
  <c r="O413" i="37"/>
  <c r="S413" i="37" s="1"/>
  <c r="M396" i="37"/>
  <c r="Q396" i="37" s="1"/>
  <c r="M404" i="37"/>
  <c r="Q404" i="37" s="1"/>
  <c r="M412" i="37"/>
  <c r="Q412" i="37" s="1"/>
  <c r="M390" i="37"/>
  <c r="Q390" i="37" s="1"/>
  <c r="M414" i="37"/>
  <c r="Q414" i="37" s="1"/>
  <c r="O390" i="37"/>
  <c r="S390" i="37" s="1"/>
  <c r="O398" i="37"/>
  <c r="S398" i="37" s="1"/>
  <c r="O406" i="37"/>
  <c r="S406" i="37" s="1"/>
  <c r="O414" i="37"/>
  <c r="S414" i="37" s="1"/>
  <c r="M397" i="37"/>
  <c r="Q397" i="37" s="1"/>
  <c r="M405" i="37"/>
  <c r="Q405" i="37" s="1"/>
  <c r="M413" i="37"/>
  <c r="Q413" i="37" s="1"/>
  <c r="M398" i="37"/>
  <c r="Q398" i="37" s="1"/>
  <c r="O392" i="37"/>
  <c r="S392" i="37" s="1"/>
  <c r="O400" i="37"/>
  <c r="S400" i="37" s="1"/>
  <c r="O408" i="37"/>
  <c r="S408" i="37" s="1"/>
  <c r="M391" i="37"/>
  <c r="Q391" i="37" s="1"/>
  <c r="M399" i="37"/>
  <c r="Q399" i="37" s="1"/>
  <c r="M407" i="37"/>
  <c r="Q407" i="37" s="1"/>
  <c r="O393" i="37"/>
  <c r="S393" i="37" s="1"/>
  <c r="O401" i="37"/>
  <c r="S401" i="37" s="1"/>
  <c r="O409" i="37"/>
  <c r="S409" i="37" s="1"/>
  <c r="M392" i="37"/>
  <c r="Q392" i="37" s="1"/>
  <c r="M400" i="37"/>
  <c r="Q400" i="37" s="1"/>
  <c r="M408" i="37"/>
  <c r="Q408" i="37" s="1"/>
  <c r="J10" i="79"/>
  <c r="Q99" i="37"/>
  <c r="Q129" i="37"/>
  <c r="Q158" i="37"/>
  <c r="S99" i="37"/>
  <c r="O134" i="37"/>
  <c r="S134" i="37" s="1"/>
  <c r="O142" i="37"/>
  <c r="S142" i="37" s="1"/>
  <c r="O150" i="37"/>
  <c r="S150" i="37" s="1"/>
  <c r="M133" i="37"/>
  <c r="Q133" i="37" s="1"/>
  <c r="M141" i="37"/>
  <c r="Q141" i="37" s="1"/>
  <c r="M149" i="37"/>
  <c r="Q149" i="37" s="1"/>
  <c r="O147" i="37"/>
  <c r="S147" i="37" s="1"/>
  <c r="M146" i="37"/>
  <c r="Q146" i="37" s="1"/>
  <c r="M140" i="37"/>
  <c r="Q140" i="37" s="1"/>
  <c r="O135" i="37"/>
  <c r="S135" i="37" s="1"/>
  <c r="O143" i="37"/>
  <c r="S143" i="37" s="1"/>
  <c r="O151" i="37"/>
  <c r="S151" i="37" s="1"/>
  <c r="M134" i="37"/>
  <c r="Q134" i="37" s="1"/>
  <c r="M142" i="37"/>
  <c r="Q142" i="37" s="1"/>
  <c r="M150" i="37"/>
  <c r="Q150" i="37" s="1"/>
  <c r="O155" i="37"/>
  <c r="S155" i="37" s="1"/>
  <c r="M148" i="37"/>
  <c r="Q148" i="37" s="1"/>
  <c r="O136" i="37"/>
  <c r="S136" i="37" s="1"/>
  <c r="O144" i="37"/>
  <c r="S144" i="37" s="1"/>
  <c r="O152" i="37"/>
  <c r="S152" i="37" s="1"/>
  <c r="M135" i="37"/>
  <c r="Q135" i="37" s="1"/>
  <c r="M143" i="37"/>
  <c r="Q143" i="37" s="1"/>
  <c r="M151" i="37"/>
  <c r="Q151" i="37" s="1"/>
  <c r="M138" i="37"/>
  <c r="Q138" i="37" s="1"/>
  <c r="O137" i="37"/>
  <c r="S137" i="37" s="1"/>
  <c r="O145" i="37"/>
  <c r="S145" i="37" s="1"/>
  <c r="O153" i="37"/>
  <c r="S153" i="37" s="1"/>
  <c r="M136" i="37"/>
  <c r="Q136" i="37" s="1"/>
  <c r="M144" i="37"/>
  <c r="Q144" i="37" s="1"/>
  <c r="M152" i="37"/>
  <c r="Q152" i="37" s="1"/>
  <c r="O139" i="37"/>
  <c r="S139" i="37" s="1"/>
  <c r="O138" i="37"/>
  <c r="S138" i="37" s="1"/>
  <c r="O146" i="37"/>
  <c r="S146" i="37" s="1"/>
  <c r="O154" i="37"/>
  <c r="S154" i="37" s="1"/>
  <c r="M137" i="37"/>
  <c r="Q137" i="37" s="1"/>
  <c r="M145" i="37"/>
  <c r="Q145" i="37" s="1"/>
  <c r="M153" i="37"/>
  <c r="Q153" i="37" s="1"/>
  <c r="O131" i="37"/>
  <c r="S131" i="37" s="1"/>
  <c r="M154" i="37"/>
  <c r="Q154" i="37" s="1"/>
  <c r="O132" i="37"/>
  <c r="S132" i="37" s="1"/>
  <c r="O140" i="37"/>
  <c r="S140" i="37" s="1"/>
  <c r="O148" i="37"/>
  <c r="S148" i="37" s="1"/>
  <c r="M131" i="37"/>
  <c r="Q131" i="37" s="1"/>
  <c r="M139" i="37"/>
  <c r="Q139" i="37" s="1"/>
  <c r="M147" i="37"/>
  <c r="Q147" i="37" s="1"/>
  <c r="M155" i="37"/>
  <c r="Q155" i="37" s="1"/>
  <c r="O133" i="37"/>
  <c r="S133" i="37" s="1"/>
  <c r="O141" i="37"/>
  <c r="S141" i="37" s="1"/>
  <c r="O149" i="37"/>
  <c r="S149" i="37" s="1"/>
  <c r="M132" i="37"/>
  <c r="Q132" i="37" s="1"/>
  <c r="O76" i="37"/>
  <c r="S76" i="37" s="1"/>
  <c r="O84" i="37"/>
  <c r="S84" i="37" s="1"/>
  <c r="O92" i="37"/>
  <c r="S92" i="37" s="1"/>
  <c r="M75" i="37"/>
  <c r="Q75" i="37" s="1"/>
  <c r="M83" i="37"/>
  <c r="Q83" i="37" s="1"/>
  <c r="M91" i="37"/>
  <c r="Q91" i="37" s="1"/>
  <c r="M90" i="37"/>
  <c r="Q90" i="37" s="1"/>
  <c r="O77" i="37"/>
  <c r="S77" i="37" s="1"/>
  <c r="O85" i="37"/>
  <c r="S85" i="37" s="1"/>
  <c r="O93" i="37"/>
  <c r="S93" i="37" s="1"/>
  <c r="M76" i="37"/>
  <c r="Q76" i="37" s="1"/>
  <c r="M84" i="37"/>
  <c r="Q84" i="37" s="1"/>
  <c r="M92" i="37"/>
  <c r="Q92" i="37" s="1"/>
  <c r="M74" i="37"/>
  <c r="Q74" i="37" s="1"/>
  <c r="O78" i="37"/>
  <c r="S78" i="37" s="1"/>
  <c r="O86" i="37"/>
  <c r="S86" i="37" s="1"/>
  <c r="O94" i="37"/>
  <c r="S94" i="37" s="1"/>
  <c r="M77" i="37"/>
  <c r="Q77" i="37" s="1"/>
  <c r="M85" i="37"/>
  <c r="Q85" i="37" s="1"/>
  <c r="M93" i="37"/>
  <c r="Q93" i="37" s="1"/>
  <c r="M82" i="37"/>
  <c r="Q82" i="37" s="1"/>
  <c r="O79" i="37"/>
  <c r="S79" i="37" s="1"/>
  <c r="O87" i="37"/>
  <c r="S87" i="37" s="1"/>
  <c r="O95" i="37"/>
  <c r="S95" i="37" s="1"/>
  <c r="M78" i="37"/>
  <c r="Q78" i="37" s="1"/>
  <c r="M86" i="37"/>
  <c r="Q86" i="37" s="1"/>
  <c r="M94" i="37"/>
  <c r="Q94" i="37" s="1"/>
  <c r="O83" i="37"/>
  <c r="S83" i="37" s="1"/>
  <c r="O72" i="37"/>
  <c r="S72" i="37" s="1"/>
  <c r="O80" i="37"/>
  <c r="S80" i="37" s="1"/>
  <c r="O88" i="37"/>
  <c r="S88" i="37" s="1"/>
  <c r="O96" i="37"/>
  <c r="S96" i="37" s="1"/>
  <c r="M79" i="37"/>
  <c r="Q79" i="37" s="1"/>
  <c r="M87" i="37"/>
  <c r="Q87" i="37" s="1"/>
  <c r="M95" i="37"/>
  <c r="Q95" i="37" s="1"/>
  <c r="O73" i="37"/>
  <c r="S73" i="37" s="1"/>
  <c r="O81" i="37"/>
  <c r="S81" i="37" s="1"/>
  <c r="O89" i="37"/>
  <c r="S89" i="37" s="1"/>
  <c r="M72" i="37"/>
  <c r="Q72" i="37" s="1"/>
  <c r="M80" i="37"/>
  <c r="Q80" i="37" s="1"/>
  <c r="M88" i="37"/>
  <c r="Q88" i="37" s="1"/>
  <c r="M96" i="37"/>
  <c r="Q96" i="37" s="1"/>
  <c r="O75" i="37"/>
  <c r="S75" i="37" s="1"/>
  <c r="O74" i="37"/>
  <c r="S74" i="37" s="1"/>
  <c r="O82" i="37"/>
  <c r="S82" i="37" s="1"/>
  <c r="O90" i="37"/>
  <c r="S90" i="37" s="1"/>
  <c r="M73" i="37"/>
  <c r="Q73" i="37" s="1"/>
  <c r="M81" i="37"/>
  <c r="Q81" i="37" s="1"/>
  <c r="M89" i="37"/>
  <c r="Q89" i="37" s="1"/>
  <c r="O91" i="37"/>
  <c r="S91" i="37" s="1"/>
  <c r="O18" i="37"/>
  <c r="S18" i="37" s="1"/>
  <c r="O26" i="37"/>
  <c r="S26" i="37" s="1"/>
  <c r="O34" i="37"/>
  <c r="S34" i="37" s="1"/>
  <c r="M17" i="37"/>
  <c r="Q17" i="37" s="1"/>
  <c r="M25" i="37"/>
  <c r="Q25" i="37" s="1"/>
  <c r="M33" i="37"/>
  <c r="Q33" i="37" s="1"/>
  <c r="M32" i="37"/>
  <c r="Q32" i="37" s="1"/>
  <c r="O19" i="37"/>
  <c r="S19" i="37" s="1"/>
  <c r="O27" i="37"/>
  <c r="S27" i="37" s="1"/>
  <c r="O35" i="37"/>
  <c r="S35" i="37" s="1"/>
  <c r="M18" i="37"/>
  <c r="Q18" i="37" s="1"/>
  <c r="M26" i="37"/>
  <c r="Q26" i="37" s="1"/>
  <c r="M34" i="37"/>
  <c r="Q34" i="37" s="1"/>
  <c r="O33" i="37"/>
  <c r="S33" i="37" s="1"/>
  <c r="O12" i="37"/>
  <c r="S12" i="37" s="1"/>
  <c r="O20" i="37"/>
  <c r="S20" i="37" s="1"/>
  <c r="O28" i="37"/>
  <c r="S28" i="37" s="1"/>
  <c r="O36" i="37"/>
  <c r="S36" i="37" s="1"/>
  <c r="M19" i="37"/>
  <c r="Q19" i="37" s="1"/>
  <c r="M27" i="37"/>
  <c r="Q27" i="37" s="1"/>
  <c r="M35" i="37"/>
  <c r="Q35" i="37" s="1"/>
  <c r="M24" i="37"/>
  <c r="Q24" i="37" s="1"/>
  <c r="O13" i="37"/>
  <c r="S13" i="37" s="1"/>
  <c r="O21" i="37"/>
  <c r="S21" i="37" s="1"/>
  <c r="O29" i="37"/>
  <c r="S29" i="37" s="1"/>
  <c r="M12" i="37"/>
  <c r="Q12" i="37" s="1"/>
  <c r="M20" i="37"/>
  <c r="Q20" i="37" s="1"/>
  <c r="M28" i="37"/>
  <c r="Q28" i="37" s="1"/>
  <c r="M36" i="37"/>
  <c r="Q36" i="37" s="1"/>
  <c r="M16" i="37"/>
  <c r="Q16" i="37" s="1"/>
  <c r="O14" i="37"/>
  <c r="S14" i="37" s="1"/>
  <c r="O22" i="37"/>
  <c r="S22" i="37" s="1"/>
  <c r="O30" i="37"/>
  <c r="S30" i="37" s="1"/>
  <c r="M13" i="37"/>
  <c r="Q13" i="37" s="1"/>
  <c r="M21" i="37"/>
  <c r="Q21" i="37" s="1"/>
  <c r="M29" i="37"/>
  <c r="Q29" i="37" s="1"/>
  <c r="O15" i="37"/>
  <c r="S15" i="37" s="1"/>
  <c r="O23" i="37"/>
  <c r="S23" i="37" s="1"/>
  <c r="O31" i="37"/>
  <c r="S31" i="37" s="1"/>
  <c r="M14" i="37"/>
  <c r="Q14" i="37" s="1"/>
  <c r="M22" i="37"/>
  <c r="Q22" i="37" s="1"/>
  <c r="M30" i="37"/>
  <c r="Q30" i="37" s="1"/>
  <c r="O25" i="37"/>
  <c r="S25" i="37" s="1"/>
  <c r="O16" i="37"/>
  <c r="S16" i="37" s="1"/>
  <c r="O24" i="37"/>
  <c r="S24" i="37" s="1"/>
  <c r="O32" i="37"/>
  <c r="S32" i="37" s="1"/>
  <c r="M15" i="37"/>
  <c r="Q15" i="37" s="1"/>
  <c r="M23" i="37"/>
  <c r="Q23" i="37" s="1"/>
  <c r="M31" i="37"/>
  <c r="Q31" i="37" s="1"/>
  <c r="O17" i="37"/>
  <c r="S17" i="37" s="1"/>
  <c r="Q827" i="37"/>
  <c r="S478" i="37"/>
  <c r="S448" i="37"/>
  <c r="O45" i="37"/>
  <c r="S45" i="37" s="1"/>
  <c r="O53" i="37"/>
  <c r="S53" i="37" s="1"/>
  <c r="O61" i="37"/>
  <c r="S61" i="37" s="1"/>
  <c r="M44" i="37"/>
  <c r="Q44" i="37" s="1"/>
  <c r="M52" i="37"/>
  <c r="Q52" i="37" s="1"/>
  <c r="M60" i="37"/>
  <c r="Q60" i="37" s="1"/>
  <c r="O44" i="37"/>
  <c r="S44" i="37" s="1"/>
  <c r="O46" i="37"/>
  <c r="S46" i="37" s="1"/>
  <c r="O54" i="37"/>
  <c r="S54" i="37" s="1"/>
  <c r="O62" i="37"/>
  <c r="S62" i="37" s="1"/>
  <c r="M45" i="37"/>
  <c r="Q45" i="37" s="1"/>
  <c r="M53" i="37"/>
  <c r="Q53" i="37" s="1"/>
  <c r="M61" i="37"/>
  <c r="Q61" i="37" s="1"/>
  <c r="O52" i="37"/>
  <c r="S52" i="37" s="1"/>
  <c r="O47" i="37"/>
  <c r="S47" i="37" s="1"/>
  <c r="O55" i="37"/>
  <c r="S55" i="37" s="1"/>
  <c r="O63" i="37"/>
  <c r="S63" i="37" s="1"/>
  <c r="M46" i="37"/>
  <c r="Q46" i="37" s="1"/>
  <c r="M54" i="37"/>
  <c r="Q54" i="37" s="1"/>
  <c r="M62" i="37"/>
  <c r="Q62" i="37" s="1"/>
  <c r="O60" i="37"/>
  <c r="S60" i="37" s="1"/>
  <c r="O48" i="37"/>
  <c r="S48" i="37" s="1"/>
  <c r="O56" i="37"/>
  <c r="S56" i="37" s="1"/>
  <c r="O64" i="37"/>
  <c r="S64" i="37" s="1"/>
  <c r="M47" i="37"/>
  <c r="Q47" i="37" s="1"/>
  <c r="M55" i="37"/>
  <c r="Q55" i="37" s="1"/>
  <c r="M63" i="37"/>
  <c r="Q63" i="37" s="1"/>
  <c r="M59" i="37"/>
  <c r="Q59" i="37" s="1"/>
  <c r="O41" i="37"/>
  <c r="S41" i="37" s="1"/>
  <c r="O49" i="37"/>
  <c r="S49" i="37" s="1"/>
  <c r="O57" i="37"/>
  <c r="S57" i="37" s="1"/>
  <c r="O65" i="37"/>
  <c r="S65" i="37" s="1"/>
  <c r="M48" i="37"/>
  <c r="Q48" i="37" s="1"/>
  <c r="M56" i="37"/>
  <c r="Q56" i="37" s="1"/>
  <c r="M64" i="37"/>
  <c r="Q64" i="37" s="1"/>
  <c r="O42" i="37"/>
  <c r="S42" i="37" s="1"/>
  <c r="O50" i="37"/>
  <c r="S50" i="37" s="1"/>
  <c r="O58" i="37"/>
  <c r="S58" i="37" s="1"/>
  <c r="M41" i="37"/>
  <c r="Q41" i="37" s="1"/>
  <c r="M49" i="37"/>
  <c r="Q49" i="37" s="1"/>
  <c r="M57" i="37"/>
  <c r="Q57" i="37" s="1"/>
  <c r="M65" i="37"/>
  <c r="Q65" i="37" s="1"/>
  <c r="M51" i="37"/>
  <c r="Q51" i="37" s="1"/>
  <c r="O43" i="37"/>
  <c r="S43" i="37" s="1"/>
  <c r="O51" i="37"/>
  <c r="S51" i="37" s="1"/>
  <c r="O59" i="37"/>
  <c r="S59" i="37" s="1"/>
  <c r="M42" i="37"/>
  <c r="Q42" i="37" s="1"/>
  <c r="M50" i="37"/>
  <c r="Q50" i="37" s="1"/>
  <c r="M58" i="37"/>
  <c r="Q58" i="37" s="1"/>
  <c r="M43" i="37"/>
  <c r="Q43" i="37" s="1"/>
  <c r="Q856" i="37"/>
  <c r="S827" i="37"/>
  <c r="Q797" i="37"/>
  <c r="J34" i="79"/>
  <c r="L10" i="79"/>
  <c r="S158" i="37"/>
  <c r="L34" i="79"/>
  <c r="S856" i="37"/>
  <c r="O1531" i="53"/>
  <c r="S1531" i="53" s="1"/>
  <c r="O1539" i="53"/>
  <c r="S1539" i="53" s="1"/>
  <c r="O1547" i="53"/>
  <c r="S1547" i="53" s="1"/>
  <c r="M1530" i="53"/>
  <c r="Q1530" i="53" s="1"/>
  <c r="M1538" i="53"/>
  <c r="Q1538" i="53" s="1"/>
  <c r="M1546" i="53"/>
  <c r="Q1546" i="53" s="1"/>
  <c r="M1545" i="53"/>
  <c r="Q1545" i="53" s="1"/>
  <c r="O1532" i="53"/>
  <c r="S1532" i="53" s="1"/>
  <c r="O1540" i="53"/>
  <c r="S1540" i="53" s="1"/>
  <c r="O1548" i="53"/>
  <c r="S1548" i="53" s="1"/>
  <c r="M1531" i="53"/>
  <c r="Q1531" i="53" s="1"/>
  <c r="M1539" i="53"/>
  <c r="Q1539" i="53" s="1"/>
  <c r="M1547" i="53"/>
  <c r="Q1547" i="53" s="1"/>
  <c r="O1533" i="53"/>
  <c r="S1533" i="53" s="1"/>
  <c r="O1541" i="53"/>
  <c r="S1541" i="53" s="1"/>
  <c r="O1549" i="53"/>
  <c r="S1549" i="53" s="1"/>
  <c r="M1532" i="53"/>
  <c r="Q1532" i="53" s="1"/>
  <c r="M1540" i="53"/>
  <c r="Q1540" i="53" s="1"/>
  <c r="M1548" i="53"/>
  <c r="Q1548" i="53" s="1"/>
  <c r="M1537" i="53"/>
  <c r="Q1537" i="53" s="1"/>
  <c r="O1534" i="53"/>
  <c r="S1534" i="53" s="1"/>
  <c r="O1542" i="53"/>
  <c r="S1542" i="53" s="1"/>
  <c r="O1550" i="53"/>
  <c r="S1550" i="53" s="1"/>
  <c r="M1533" i="53"/>
  <c r="Q1533" i="53" s="1"/>
  <c r="M1541" i="53"/>
  <c r="Q1541" i="53" s="1"/>
  <c r="M1549" i="53"/>
  <c r="Q1549" i="53" s="1"/>
  <c r="O1530" i="53"/>
  <c r="S1530" i="53" s="1"/>
  <c r="O1535" i="53"/>
  <c r="S1535" i="53" s="1"/>
  <c r="O1543" i="53"/>
  <c r="S1543" i="53" s="1"/>
  <c r="O1551" i="53"/>
  <c r="S1551" i="53" s="1"/>
  <c r="M1534" i="53"/>
  <c r="Q1534" i="53" s="1"/>
  <c r="M1542" i="53"/>
  <c r="Q1542" i="53" s="1"/>
  <c r="M1550" i="53"/>
  <c r="Q1550" i="53" s="1"/>
  <c r="O1546" i="53"/>
  <c r="S1546" i="53" s="1"/>
  <c r="O1528" i="53"/>
  <c r="S1528" i="53" s="1"/>
  <c r="O1536" i="53"/>
  <c r="S1536" i="53" s="1"/>
  <c r="O1544" i="53"/>
  <c r="S1544" i="53" s="1"/>
  <c r="O1552" i="53"/>
  <c r="S1552" i="53" s="1"/>
  <c r="M1535" i="53"/>
  <c r="Q1535" i="53" s="1"/>
  <c r="M1543" i="53"/>
  <c r="Q1543" i="53" s="1"/>
  <c r="M1551" i="53"/>
  <c r="Q1551" i="53" s="1"/>
  <c r="O1538" i="53"/>
  <c r="S1538" i="53" s="1"/>
  <c r="O1529" i="53"/>
  <c r="S1529" i="53" s="1"/>
  <c r="O1537" i="53"/>
  <c r="S1537" i="53" s="1"/>
  <c r="O1545" i="53"/>
  <c r="S1545" i="53" s="1"/>
  <c r="M1528" i="53"/>
  <c r="Q1528" i="53" s="1"/>
  <c r="M1536" i="53"/>
  <c r="Q1536" i="53" s="1"/>
  <c r="M1544" i="53"/>
  <c r="Q1544" i="53" s="1"/>
  <c r="M1552" i="53"/>
  <c r="Q1552" i="53" s="1"/>
  <c r="M1529" i="53"/>
  <c r="Q1529" i="53" s="1"/>
  <c r="O1473" i="53"/>
  <c r="S1473" i="53" s="1"/>
  <c r="O1481" i="53"/>
  <c r="S1481" i="53" s="1"/>
  <c r="O1489" i="53"/>
  <c r="S1489" i="53" s="1"/>
  <c r="M1472" i="53"/>
  <c r="Q1472" i="53" s="1"/>
  <c r="M1480" i="53"/>
  <c r="Q1480" i="53" s="1"/>
  <c r="M1488" i="53"/>
  <c r="Q1488" i="53" s="1"/>
  <c r="O1472" i="53"/>
  <c r="S1472" i="53" s="1"/>
  <c r="O1474" i="53"/>
  <c r="S1474" i="53" s="1"/>
  <c r="O1482" i="53"/>
  <c r="S1482" i="53" s="1"/>
  <c r="O1490" i="53"/>
  <c r="S1490" i="53" s="1"/>
  <c r="M1473" i="53"/>
  <c r="Q1473" i="53" s="1"/>
  <c r="M1481" i="53"/>
  <c r="Q1481" i="53" s="1"/>
  <c r="M1489" i="53"/>
  <c r="Q1489" i="53" s="1"/>
  <c r="O1475" i="53"/>
  <c r="S1475" i="53" s="1"/>
  <c r="O1483" i="53"/>
  <c r="S1483" i="53" s="1"/>
  <c r="O1491" i="53"/>
  <c r="S1491" i="53" s="1"/>
  <c r="M1474" i="53"/>
  <c r="Q1474" i="53" s="1"/>
  <c r="M1482" i="53"/>
  <c r="Q1482" i="53" s="1"/>
  <c r="M1490" i="53"/>
  <c r="Q1490" i="53" s="1"/>
  <c r="O1480" i="53"/>
  <c r="S1480" i="53" s="1"/>
  <c r="O1476" i="53"/>
  <c r="S1476" i="53" s="1"/>
  <c r="O1484" i="53"/>
  <c r="S1484" i="53" s="1"/>
  <c r="O1492" i="53"/>
  <c r="S1492" i="53" s="1"/>
  <c r="M1475" i="53"/>
  <c r="Q1475" i="53" s="1"/>
  <c r="M1483" i="53"/>
  <c r="Q1483" i="53" s="1"/>
  <c r="M1491" i="53"/>
  <c r="Q1491" i="53" s="1"/>
  <c r="M1471" i="53"/>
  <c r="Q1471" i="53" s="1"/>
  <c r="O1469" i="53"/>
  <c r="S1469" i="53" s="1"/>
  <c r="O1477" i="53"/>
  <c r="S1477" i="53" s="1"/>
  <c r="O1485" i="53"/>
  <c r="S1485" i="53" s="1"/>
  <c r="O1493" i="53"/>
  <c r="S1493" i="53" s="1"/>
  <c r="M1476" i="53"/>
  <c r="Q1476" i="53" s="1"/>
  <c r="M1484" i="53"/>
  <c r="Q1484" i="53" s="1"/>
  <c r="M1492" i="53"/>
  <c r="Q1492" i="53" s="1"/>
  <c r="M1479" i="53"/>
  <c r="Q1479" i="53" s="1"/>
  <c r="O1470" i="53"/>
  <c r="S1470" i="53" s="1"/>
  <c r="O1478" i="53"/>
  <c r="S1478" i="53" s="1"/>
  <c r="O1486" i="53"/>
  <c r="S1486" i="53" s="1"/>
  <c r="M1469" i="53"/>
  <c r="Q1469" i="53" s="1"/>
  <c r="M1477" i="53"/>
  <c r="Q1477" i="53" s="1"/>
  <c r="M1485" i="53"/>
  <c r="Q1485" i="53" s="1"/>
  <c r="M1493" i="53"/>
  <c r="Q1493" i="53" s="1"/>
  <c r="M1487" i="53"/>
  <c r="Q1487" i="53" s="1"/>
  <c r="O1471" i="53"/>
  <c r="S1471" i="53" s="1"/>
  <c r="O1479" i="53"/>
  <c r="S1479" i="53" s="1"/>
  <c r="O1487" i="53"/>
  <c r="S1487" i="53" s="1"/>
  <c r="M1470" i="53"/>
  <c r="Q1470" i="53" s="1"/>
  <c r="M1478" i="53"/>
  <c r="Q1478" i="53" s="1"/>
  <c r="M1486" i="53"/>
  <c r="Q1486" i="53" s="1"/>
  <c r="O1488" i="53"/>
  <c r="S1488" i="53" s="1"/>
  <c r="O1415" i="53"/>
  <c r="S1415" i="53" s="1"/>
  <c r="O1423" i="53"/>
  <c r="S1423" i="53" s="1"/>
  <c r="O1431" i="53"/>
  <c r="S1431" i="53" s="1"/>
  <c r="M1414" i="53"/>
  <c r="Q1414" i="53" s="1"/>
  <c r="M1422" i="53"/>
  <c r="Q1422" i="53" s="1"/>
  <c r="M1430" i="53"/>
  <c r="Q1430" i="53" s="1"/>
  <c r="O1414" i="53"/>
  <c r="S1414" i="53" s="1"/>
  <c r="O1416" i="53"/>
  <c r="S1416" i="53" s="1"/>
  <c r="O1424" i="53"/>
  <c r="S1424" i="53" s="1"/>
  <c r="O1432" i="53"/>
  <c r="S1432" i="53" s="1"/>
  <c r="M1415" i="53"/>
  <c r="Q1415" i="53" s="1"/>
  <c r="M1423" i="53"/>
  <c r="Q1423" i="53" s="1"/>
  <c r="M1431" i="53"/>
  <c r="Q1431" i="53" s="1"/>
  <c r="M1421" i="53"/>
  <c r="Q1421" i="53" s="1"/>
  <c r="O1409" i="53"/>
  <c r="S1409" i="53" s="1"/>
  <c r="O1417" i="53"/>
  <c r="S1417" i="53" s="1"/>
  <c r="O1425" i="53"/>
  <c r="S1425" i="53" s="1"/>
  <c r="O1433" i="53"/>
  <c r="S1433" i="53" s="1"/>
  <c r="M1416" i="53"/>
  <c r="Q1416" i="53" s="1"/>
  <c r="M1424" i="53"/>
  <c r="Q1424" i="53" s="1"/>
  <c r="M1432" i="53"/>
  <c r="Q1432" i="53" s="1"/>
  <c r="O1422" i="53"/>
  <c r="S1422" i="53" s="1"/>
  <c r="O1410" i="53"/>
  <c r="S1410" i="53" s="1"/>
  <c r="O1418" i="53"/>
  <c r="S1418" i="53" s="1"/>
  <c r="O1426" i="53"/>
  <c r="S1426" i="53" s="1"/>
  <c r="M1409" i="53"/>
  <c r="Q1409" i="53" s="1"/>
  <c r="M1417" i="53"/>
  <c r="Q1417" i="53" s="1"/>
  <c r="M1425" i="53"/>
  <c r="Q1425" i="53" s="1"/>
  <c r="M1433" i="53"/>
  <c r="Q1433" i="53" s="1"/>
  <c r="M1429" i="53"/>
  <c r="Q1429" i="53" s="1"/>
  <c r="O1411" i="53"/>
  <c r="S1411" i="53" s="1"/>
  <c r="O1419" i="53"/>
  <c r="S1419" i="53" s="1"/>
  <c r="O1427" i="53"/>
  <c r="S1427" i="53" s="1"/>
  <c r="M1410" i="53"/>
  <c r="Q1410" i="53" s="1"/>
  <c r="M1418" i="53"/>
  <c r="Q1418" i="53" s="1"/>
  <c r="M1426" i="53"/>
  <c r="Q1426" i="53" s="1"/>
  <c r="O1430" i="53"/>
  <c r="S1430" i="53" s="1"/>
  <c r="O1412" i="53"/>
  <c r="S1412" i="53" s="1"/>
  <c r="O1420" i="53"/>
  <c r="S1420" i="53" s="1"/>
  <c r="O1428" i="53"/>
  <c r="S1428" i="53" s="1"/>
  <c r="M1411" i="53"/>
  <c r="Q1411" i="53" s="1"/>
  <c r="M1419" i="53"/>
  <c r="Q1419" i="53" s="1"/>
  <c r="M1427" i="53"/>
  <c r="Q1427" i="53" s="1"/>
  <c r="O1413" i="53"/>
  <c r="S1413" i="53" s="1"/>
  <c r="O1421" i="53"/>
  <c r="S1421" i="53" s="1"/>
  <c r="O1429" i="53"/>
  <c r="S1429" i="53" s="1"/>
  <c r="M1412" i="53"/>
  <c r="Q1412" i="53" s="1"/>
  <c r="M1420" i="53"/>
  <c r="Q1420" i="53" s="1"/>
  <c r="M1428" i="53"/>
  <c r="Q1428" i="53" s="1"/>
  <c r="M1413" i="53"/>
  <c r="Q1413" i="53" s="1"/>
  <c r="O1442" i="53"/>
  <c r="S1442" i="53" s="1"/>
  <c r="O1450" i="53"/>
  <c r="S1450" i="53" s="1"/>
  <c r="O1458" i="53"/>
  <c r="S1458" i="53" s="1"/>
  <c r="M1441" i="53"/>
  <c r="Q1441" i="53" s="1"/>
  <c r="M1449" i="53"/>
  <c r="Q1449" i="53" s="1"/>
  <c r="M1457" i="53"/>
  <c r="Q1457" i="53" s="1"/>
  <c r="M1440" i="53"/>
  <c r="Q1440" i="53" s="1"/>
  <c r="O1443" i="53"/>
  <c r="S1443" i="53" s="1"/>
  <c r="O1451" i="53"/>
  <c r="S1451" i="53" s="1"/>
  <c r="O1459" i="53"/>
  <c r="S1459" i="53" s="1"/>
  <c r="M1442" i="53"/>
  <c r="Q1442" i="53" s="1"/>
  <c r="M1450" i="53"/>
  <c r="Q1450" i="53" s="1"/>
  <c r="M1458" i="53"/>
  <c r="Q1458" i="53" s="1"/>
  <c r="M1448" i="53"/>
  <c r="Q1448" i="53" s="1"/>
  <c r="O1444" i="53"/>
  <c r="S1444" i="53" s="1"/>
  <c r="O1452" i="53"/>
  <c r="S1452" i="53" s="1"/>
  <c r="O1460" i="53"/>
  <c r="S1460" i="53" s="1"/>
  <c r="M1443" i="53"/>
  <c r="Q1443" i="53" s="1"/>
  <c r="M1451" i="53"/>
  <c r="Q1451" i="53" s="1"/>
  <c r="M1459" i="53"/>
  <c r="Q1459" i="53" s="1"/>
  <c r="O1457" i="53"/>
  <c r="S1457" i="53" s="1"/>
  <c r="O1445" i="53"/>
  <c r="S1445" i="53" s="1"/>
  <c r="O1453" i="53"/>
  <c r="S1453" i="53" s="1"/>
  <c r="O1461" i="53"/>
  <c r="S1461" i="53" s="1"/>
  <c r="M1444" i="53"/>
  <c r="Q1444" i="53" s="1"/>
  <c r="M1452" i="53"/>
  <c r="Q1452" i="53" s="1"/>
  <c r="M1460" i="53"/>
  <c r="Q1460" i="53" s="1"/>
  <c r="M1456" i="53"/>
  <c r="Q1456" i="53" s="1"/>
  <c r="O1438" i="53"/>
  <c r="S1438" i="53" s="1"/>
  <c r="O1446" i="53"/>
  <c r="S1446" i="53" s="1"/>
  <c r="O1454" i="53"/>
  <c r="S1454" i="53" s="1"/>
  <c r="O1462" i="53"/>
  <c r="S1462" i="53" s="1"/>
  <c r="M1445" i="53"/>
  <c r="Q1445" i="53" s="1"/>
  <c r="M1453" i="53"/>
  <c r="Q1453" i="53" s="1"/>
  <c r="M1461" i="53"/>
  <c r="Q1461" i="53" s="1"/>
  <c r="O1439" i="53"/>
  <c r="S1439" i="53" s="1"/>
  <c r="O1447" i="53"/>
  <c r="S1447" i="53" s="1"/>
  <c r="O1455" i="53"/>
  <c r="S1455" i="53" s="1"/>
  <c r="M1438" i="53"/>
  <c r="Q1438" i="53" s="1"/>
  <c r="M1446" i="53"/>
  <c r="Q1446" i="53" s="1"/>
  <c r="M1454" i="53"/>
  <c r="Q1454" i="53" s="1"/>
  <c r="M1462" i="53"/>
  <c r="Q1462" i="53" s="1"/>
  <c r="O1441" i="53"/>
  <c r="S1441" i="53" s="1"/>
  <c r="O1440" i="53"/>
  <c r="S1440" i="53" s="1"/>
  <c r="O1448" i="53"/>
  <c r="S1448" i="53" s="1"/>
  <c r="O1456" i="53"/>
  <c r="S1456" i="53" s="1"/>
  <c r="M1439" i="53"/>
  <c r="Q1439" i="53" s="1"/>
  <c r="M1447" i="53"/>
  <c r="Q1447" i="53" s="1"/>
  <c r="M1455" i="53"/>
  <c r="Q1455" i="53" s="1"/>
  <c r="O1449" i="53"/>
  <c r="S1449" i="53" s="1"/>
  <c r="O1182" i="53"/>
  <c r="S1182" i="53" s="1"/>
  <c r="O1190" i="53"/>
  <c r="S1190" i="53" s="1"/>
  <c r="O1198" i="53"/>
  <c r="S1198" i="53" s="1"/>
  <c r="M1181" i="53"/>
  <c r="Q1181" i="53" s="1"/>
  <c r="M1189" i="53"/>
  <c r="Q1189" i="53" s="1"/>
  <c r="M1197" i="53"/>
  <c r="Q1197" i="53" s="1"/>
  <c r="O1187" i="53"/>
  <c r="S1187" i="53" s="1"/>
  <c r="M1202" i="53"/>
  <c r="Q1202" i="53" s="1"/>
  <c r="O1183" i="53"/>
  <c r="S1183" i="53" s="1"/>
  <c r="O1191" i="53"/>
  <c r="S1191" i="53" s="1"/>
  <c r="O1199" i="53"/>
  <c r="S1199" i="53" s="1"/>
  <c r="M1182" i="53"/>
  <c r="Q1182" i="53" s="1"/>
  <c r="M1190" i="53"/>
  <c r="Q1190" i="53" s="1"/>
  <c r="M1198" i="53"/>
  <c r="Q1198" i="53" s="1"/>
  <c r="O1195" i="53"/>
  <c r="S1195" i="53" s="1"/>
  <c r="O1184" i="53"/>
  <c r="S1184" i="53" s="1"/>
  <c r="O1192" i="53"/>
  <c r="S1192" i="53" s="1"/>
  <c r="O1200" i="53"/>
  <c r="S1200" i="53" s="1"/>
  <c r="M1183" i="53"/>
  <c r="Q1183" i="53" s="1"/>
  <c r="M1191" i="53"/>
  <c r="Q1191" i="53" s="1"/>
  <c r="M1199" i="53"/>
  <c r="Q1199" i="53" s="1"/>
  <c r="O1179" i="53"/>
  <c r="S1179" i="53" s="1"/>
  <c r="M1194" i="53"/>
  <c r="Q1194" i="53" s="1"/>
  <c r="O1185" i="53"/>
  <c r="S1185" i="53" s="1"/>
  <c r="O1193" i="53"/>
  <c r="S1193" i="53" s="1"/>
  <c r="O1201" i="53"/>
  <c r="S1201" i="53" s="1"/>
  <c r="M1184" i="53"/>
  <c r="Q1184" i="53" s="1"/>
  <c r="M1192" i="53"/>
  <c r="Q1192" i="53" s="1"/>
  <c r="M1200" i="53"/>
  <c r="Q1200" i="53" s="1"/>
  <c r="O1203" i="53"/>
  <c r="S1203" i="53" s="1"/>
  <c r="M1196" i="53"/>
  <c r="Q1196" i="53" s="1"/>
  <c r="O1186" i="53"/>
  <c r="S1186" i="53" s="1"/>
  <c r="O1194" i="53"/>
  <c r="S1194" i="53" s="1"/>
  <c r="O1202" i="53"/>
  <c r="S1202" i="53" s="1"/>
  <c r="M1185" i="53"/>
  <c r="Q1185" i="53" s="1"/>
  <c r="M1193" i="53"/>
  <c r="Q1193" i="53" s="1"/>
  <c r="M1201" i="53"/>
  <c r="Q1201" i="53" s="1"/>
  <c r="M1186" i="53"/>
  <c r="Q1186" i="53" s="1"/>
  <c r="O1180" i="53"/>
  <c r="S1180" i="53" s="1"/>
  <c r="O1188" i="53"/>
  <c r="S1188" i="53" s="1"/>
  <c r="O1196" i="53"/>
  <c r="S1196" i="53" s="1"/>
  <c r="M1179" i="53"/>
  <c r="Q1179" i="53" s="1"/>
  <c r="M1187" i="53"/>
  <c r="Q1187" i="53" s="1"/>
  <c r="M1195" i="53"/>
  <c r="Q1195" i="53" s="1"/>
  <c r="M1203" i="53"/>
  <c r="Q1203" i="53" s="1"/>
  <c r="O1181" i="53"/>
  <c r="S1181" i="53" s="1"/>
  <c r="O1189" i="53"/>
  <c r="S1189" i="53" s="1"/>
  <c r="O1197" i="53"/>
  <c r="S1197" i="53" s="1"/>
  <c r="M1180" i="53"/>
  <c r="Q1180" i="53" s="1"/>
  <c r="M1188" i="53"/>
  <c r="Q1188" i="53" s="1"/>
  <c r="Q100" i="53"/>
  <c r="L9" i="81"/>
  <c r="O1124" i="53"/>
  <c r="S1124" i="53" s="1"/>
  <c r="O1132" i="53"/>
  <c r="S1132" i="53" s="1"/>
  <c r="O1140" i="53"/>
  <c r="S1140" i="53" s="1"/>
  <c r="M1123" i="53"/>
  <c r="Q1123" i="53" s="1"/>
  <c r="M1131" i="53"/>
  <c r="Q1131" i="53" s="1"/>
  <c r="M1139" i="53"/>
  <c r="Q1139" i="53" s="1"/>
  <c r="M1130" i="53"/>
  <c r="Q1130" i="53" s="1"/>
  <c r="O1125" i="53"/>
  <c r="S1125" i="53" s="1"/>
  <c r="O1133" i="53"/>
  <c r="S1133" i="53" s="1"/>
  <c r="O1141" i="53"/>
  <c r="S1141" i="53" s="1"/>
  <c r="M1124" i="53"/>
  <c r="Q1124" i="53" s="1"/>
  <c r="M1132" i="53"/>
  <c r="Q1132" i="53" s="1"/>
  <c r="M1140" i="53"/>
  <c r="Q1140" i="53" s="1"/>
  <c r="M1122" i="53"/>
  <c r="Q1122" i="53" s="1"/>
  <c r="O1126" i="53"/>
  <c r="S1126" i="53" s="1"/>
  <c r="O1134" i="53"/>
  <c r="S1134" i="53" s="1"/>
  <c r="O1142" i="53"/>
  <c r="S1142" i="53" s="1"/>
  <c r="M1125" i="53"/>
  <c r="Q1125" i="53" s="1"/>
  <c r="M1133" i="53"/>
  <c r="Q1133" i="53" s="1"/>
  <c r="M1141" i="53"/>
  <c r="Q1141" i="53" s="1"/>
  <c r="M1138" i="53"/>
  <c r="Q1138" i="53" s="1"/>
  <c r="O1127" i="53"/>
  <c r="S1127" i="53" s="1"/>
  <c r="O1135" i="53"/>
  <c r="S1135" i="53" s="1"/>
  <c r="O1143" i="53"/>
  <c r="S1143" i="53" s="1"/>
  <c r="M1126" i="53"/>
  <c r="Q1126" i="53" s="1"/>
  <c r="M1134" i="53"/>
  <c r="Q1134" i="53" s="1"/>
  <c r="M1142" i="53"/>
  <c r="Q1142" i="53" s="1"/>
  <c r="O1120" i="53"/>
  <c r="S1120" i="53" s="1"/>
  <c r="O1128" i="53"/>
  <c r="S1128" i="53" s="1"/>
  <c r="O1136" i="53"/>
  <c r="S1136" i="53" s="1"/>
  <c r="O1144" i="53"/>
  <c r="S1144" i="53" s="1"/>
  <c r="M1127" i="53"/>
  <c r="Q1127" i="53" s="1"/>
  <c r="M1135" i="53"/>
  <c r="Q1135" i="53" s="1"/>
  <c r="M1143" i="53"/>
  <c r="Q1143" i="53" s="1"/>
  <c r="O1131" i="53"/>
  <c r="S1131" i="53" s="1"/>
  <c r="O1121" i="53"/>
  <c r="S1121" i="53" s="1"/>
  <c r="O1129" i="53"/>
  <c r="S1129" i="53" s="1"/>
  <c r="O1137" i="53"/>
  <c r="S1137" i="53" s="1"/>
  <c r="M1120" i="53"/>
  <c r="Q1120" i="53" s="1"/>
  <c r="M1128" i="53"/>
  <c r="Q1128" i="53" s="1"/>
  <c r="M1136" i="53"/>
  <c r="Q1136" i="53" s="1"/>
  <c r="M1144" i="53"/>
  <c r="Q1144" i="53" s="1"/>
  <c r="O1139" i="53"/>
  <c r="S1139" i="53" s="1"/>
  <c r="O1122" i="53"/>
  <c r="S1122" i="53" s="1"/>
  <c r="O1130" i="53"/>
  <c r="S1130" i="53" s="1"/>
  <c r="O1138" i="53"/>
  <c r="S1138" i="53" s="1"/>
  <c r="M1121" i="53"/>
  <c r="Q1121" i="53" s="1"/>
  <c r="M1129" i="53"/>
  <c r="Q1129" i="53" s="1"/>
  <c r="M1137" i="53"/>
  <c r="Q1137" i="53" s="1"/>
  <c r="O1123" i="53"/>
  <c r="S1123" i="53" s="1"/>
  <c r="Q798" i="53"/>
  <c r="O1066" i="53"/>
  <c r="S1066" i="53" s="1"/>
  <c r="O1074" i="53"/>
  <c r="S1074" i="53" s="1"/>
  <c r="O1082" i="53"/>
  <c r="S1082" i="53" s="1"/>
  <c r="M1065" i="53"/>
  <c r="Q1065" i="53" s="1"/>
  <c r="M1073" i="53"/>
  <c r="Q1073" i="53" s="1"/>
  <c r="M1081" i="53"/>
  <c r="Q1081" i="53" s="1"/>
  <c r="O1081" i="53"/>
  <c r="S1081" i="53" s="1"/>
  <c r="O1067" i="53"/>
  <c r="S1067" i="53" s="1"/>
  <c r="O1075" i="53"/>
  <c r="S1075" i="53" s="1"/>
  <c r="O1083" i="53"/>
  <c r="S1083" i="53" s="1"/>
  <c r="M1066" i="53"/>
  <c r="Q1066" i="53" s="1"/>
  <c r="M1074" i="53"/>
  <c r="Q1074" i="53" s="1"/>
  <c r="M1082" i="53"/>
  <c r="Q1082" i="53" s="1"/>
  <c r="M1064" i="53"/>
  <c r="Q1064" i="53" s="1"/>
  <c r="O1060" i="53"/>
  <c r="S1060" i="53" s="1"/>
  <c r="O1068" i="53"/>
  <c r="S1068" i="53" s="1"/>
  <c r="O1076" i="53"/>
  <c r="S1076" i="53" s="1"/>
  <c r="O1084" i="53"/>
  <c r="S1084" i="53" s="1"/>
  <c r="M1067" i="53"/>
  <c r="Q1067" i="53" s="1"/>
  <c r="M1075" i="53"/>
  <c r="Q1075" i="53" s="1"/>
  <c r="M1083" i="53"/>
  <c r="Q1083" i="53" s="1"/>
  <c r="M1080" i="53"/>
  <c r="Q1080" i="53" s="1"/>
  <c r="O1061" i="53"/>
  <c r="S1061" i="53" s="1"/>
  <c r="O1069" i="53"/>
  <c r="S1069" i="53" s="1"/>
  <c r="O1077" i="53"/>
  <c r="S1077" i="53" s="1"/>
  <c r="M1060" i="53"/>
  <c r="Q1060" i="53" s="1"/>
  <c r="M1068" i="53"/>
  <c r="Q1068" i="53" s="1"/>
  <c r="M1076" i="53"/>
  <c r="Q1076" i="53" s="1"/>
  <c r="M1084" i="53"/>
  <c r="Q1084" i="53" s="1"/>
  <c r="O1065" i="53"/>
  <c r="S1065" i="53" s="1"/>
  <c r="O1062" i="53"/>
  <c r="S1062" i="53" s="1"/>
  <c r="O1070" i="53"/>
  <c r="S1070" i="53" s="1"/>
  <c r="O1078" i="53"/>
  <c r="S1078" i="53" s="1"/>
  <c r="M1061" i="53"/>
  <c r="Q1061" i="53" s="1"/>
  <c r="M1069" i="53"/>
  <c r="Q1069" i="53" s="1"/>
  <c r="M1077" i="53"/>
  <c r="Q1077" i="53" s="1"/>
  <c r="O1063" i="53"/>
  <c r="S1063" i="53" s="1"/>
  <c r="O1071" i="53"/>
  <c r="S1071" i="53" s="1"/>
  <c r="O1079" i="53"/>
  <c r="S1079" i="53" s="1"/>
  <c r="M1062" i="53"/>
  <c r="Q1062" i="53" s="1"/>
  <c r="M1070" i="53"/>
  <c r="Q1070" i="53" s="1"/>
  <c r="M1078" i="53"/>
  <c r="Q1078" i="53" s="1"/>
  <c r="O1073" i="53"/>
  <c r="S1073" i="53" s="1"/>
  <c r="O1064" i="53"/>
  <c r="S1064" i="53" s="1"/>
  <c r="O1072" i="53"/>
  <c r="S1072" i="53" s="1"/>
  <c r="O1080" i="53"/>
  <c r="S1080" i="53" s="1"/>
  <c r="M1063" i="53"/>
  <c r="Q1063" i="53" s="1"/>
  <c r="M1071" i="53"/>
  <c r="Q1071" i="53" s="1"/>
  <c r="M1079" i="53"/>
  <c r="Q1079" i="53" s="1"/>
  <c r="M1072" i="53"/>
  <c r="Q1072" i="53" s="1"/>
  <c r="O1093" i="53"/>
  <c r="S1093" i="53" s="1"/>
  <c r="O1101" i="53"/>
  <c r="S1101" i="53" s="1"/>
  <c r="O1109" i="53"/>
  <c r="S1109" i="53" s="1"/>
  <c r="M1092" i="53"/>
  <c r="Q1092" i="53" s="1"/>
  <c r="M1100" i="53"/>
  <c r="Q1100" i="53" s="1"/>
  <c r="M1108" i="53"/>
  <c r="Q1108" i="53" s="1"/>
  <c r="M1099" i="53"/>
  <c r="Q1099" i="53" s="1"/>
  <c r="O1094" i="53"/>
  <c r="S1094" i="53" s="1"/>
  <c r="O1102" i="53"/>
  <c r="S1102" i="53" s="1"/>
  <c r="O1110" i="53"/>
  <c r="S1110" i="53" s="1"/>
  <c r="M1093" i="53"/>
  <c r="Q1093" i="53" s="1"/>
  <c r="M1101" i="53"/>
  <c r="Q1101" i="53" s="1"/>
  <c r="M1109" i="53"/>
  <c r="Q1109" i="53" s="1"/>
  <c r="M1091" i="53"/>
  <c r="Q1091" i="53" s="1"/>
  <c r="O1095" i="53"/>
  <c r="S1095" i="53" s="1"/>
  <c r="O1103" i="53"/>
  <c r="S1103" i="53" s="1"/>
  <c r="O1111" i="53"/>
  <c r="S1111" i="53" s="1"/>
  <c r="M1094" i="53"/>
  <c r="Q1094" i="53" s="1"/>
  <c r="M1102" i="53"/>
  <c r="Q1102" i="53" s="1"/>
  <c r="M1110" i="53"/>
  <c r="Q1110" i="53" s="1"/>
  <c r="O1100" i="53"/>
  <c r="S1100" i="53" s="1"/>
  <c r="O1096" i="53"/>
  <c r="S1096" i="53" s="1"/>
  <c r="O1104" i="53"/>
  <c r="S1104" i="53" s="1"/>
  <c r="O1112" i="53"/>
  <c r="S1112" i="53" s="1"/>
  <c r="M1095" i="53"/>
  <c r="Q1095" i="53" s="1"/>
  <c r="M1103" i="53"/>
  <c r="Q1103" i="53" s="1"/>
  <c r="M1111" i="53"/>
  <c r="Q1111" i="53" s="1"/>
  <c r="O1089" i="53"/>
  <c r="S1089" i="53" s="1"/>
  <c r="O1097" i="53"/>
  <c r="S1097" i="53" s="1"/>
  <c r="O1105" i="53"/>
  <c r="S1105" i="53" s="1"/>
  <c r="O1113" i="53"/>
  <c r="S1113" i="53" s="1"/>
  <c r="M1096" i="53"/>
  <c r="Q1096" i="53" s="1"/>
  <c r="M1104" i="53"/>
  <c r="Q1104" i="53" s="1"/>
  <c r="M1112" i="53"/>
  <c r="Q1112" i="53" s="1"/>
  <c r="O1092" i="53"/>
  <c r="S1092" i="53" s="1"/>
  <c r="O1090" i="53"/>
  <c r="S1090" i="53" s="1"/>
  <c r="O1098" i="53"/>
  <c r="S1098" i="53" s="1"/>
  <c r="O1106" i="53"/>
  <c r="S1106" i="53" s="1"/>
  <c r="M1089" i="53"/>
  <c r="Q1089" i="53" s="1"/>
  <c r="M1097" i="53"/>
  <c r="Q1097" i="53" s="1"/>
  <c r="M1105" i="53"/>
  <c r="Q1105" i="53" s="1"/>
  <c r="M1113" i="53"/>
  <c r="Q1113" i="53" s="1"/>
  <c r="M1107" i="53"/>
  <c r="Q1107" i="53" s="1"/>
  <c r="O1091" i="53"/>
  <c r="S1091" i="53" s="1"/>
  <c r="O1099" i="53"/>
  <c r="S1099" i="53" s="1"/>
  <c r="O1107" i="53"/>
  <c r="S1107" i="53" s="1"/>
  <c r="M1090" i="53"/>
  <c r="Q1090" i="53" s="1"/>
  <c r="M1098" i="53"/>
  <c r="Q1098" i="53" s="1"/>
  <c r="M1106" i="53"/>
  <c r="Q1106" i="53" s="1"/>
  <c r="O1108" i="53"/>
  <c r="S1108" i="53" s="1"/>
  <c r="S159" i="53"/>
  <c r="Q159" i="53"/>
  <c r="J39" i="81"/>
  <c r="S828" i="53"/>
  <c r="Q828" i="53"/>
  <c r="O833" i="53"/>
  <c r="S833" i="53" s="1"/>
  <c r="O841" i="53"/>
  <c r="S841" i="53" s="1"/>
  <c r="O849" i="53"/>
  <c r="S849" i="53" s="1"/>
  <c r="M832" i="53"/>
  <c r="Q832" i="53" s="1"/>
  <c r="M840" i="53"/>
  <c r="Q840" i="53" s="1"/>
  <c r="M848" i="53"/>
  <c r="Q848" i="53" s="1"/>
  <c r="O842" i="53"/>
  <c r="S842" i="53" s="1"/>
  <c r="O850" i="53"/>
  <c r="S850" i="53" s="1"/>
  <c r="M833" i="53"/>
  <c r="Q833" i="53" s="1"/>
  <c r="M841" i="53"/>
  <c r="Q841" i="53" s="1"/>
  <c r="M849" i="53"/>
  <c r="Q849" i="53" s="1"/>
  <c r="O834" i="53"/>
  <c r="S834" i="53" s="1"/>
  <c r="O835" i="53"/>
  <c r="S835" i="53" s="1"/>
  <c r="O843" i="53"/>
  <c r="S843" i="53" s="1"/>
  <c r="O851" i="53"/>
  <c r="S851" i="53" s="1"/>
  <c r="M834" i="53"/>
  <c r="Q834" i="53" s="1"/>
  <c r="M842" i="53"/>
  <c r="Q842" i="53" s="1"/>
  <c r="M850" i="53"/>
  <c r="Q850" i="53" s="1"/>
  <c r="O839" i="53"/>
  <c r="S839" i="53" s="1"/>
  <c r="M846" i="53"/>
  <c r="Q846" i="53" s="1"/>
  <c r="M831" i="53"/>
  <c r="Q831" i="53" s="1"/>
  <c r="O836" i="53"/>
  <c r="S836" i="53" s="1"/>
  <c r="O844" i="53"/>
  <c r="S844" i="53" s="1"/>
  <c r="O852" i="53"/>
  <c r="S852" i="53" s="1"/>
  <c r="M835" i="53"/>
  <c r="Q835" i="53" s="1"/>
  <c r="M843" i="53"/>
  <c r="Q843" i="53" s="1"/>
  <c r="M851" i="53"/>
  <c r="Q851" i="53" s="1"/>
  <c r="O847" i="53"/>
  <c r="S847" i="53" s="1"/>
  <c r="M838" i="53"/>
  <c r="Q838" i="53" s="1"/>
  <c r="O840" i="53"/>
  <c r="S840" i="53" s="1"/>
  <c r="M839" i="53"/>
  <c r="Q839" i="53" s="1"/>
  <c r="O837" i="53"/>
  <c r="S837" i="53" s="1"/>
  <c r="O845" i="53"/>
  <c r="S845" i="53" s="1"/>
  <c r="O853" i="53"/>
  <c r="S853" i="53" s="1"/>
  <c r="M836" i="53"/>
  <c r="Q836" i="53" s="1"/>
  <c r="M844" i="53"/>
  <c r="Q844" i="53" s="1"/>
  <c r="M852" i="53"/>
  <c r="Q852" i="53" s="1"/>
  <c r="O831" i="53"/>
  <c r="S831" i="53" s="1"/>
  <c r="M854" i="53"/>
  <c r="Q854" i="53" s="1"/>
  <c r="O832" i="53"/>
  <c r="S832" i="53" s="1"/>
  <c r="M847" i="53"/>
  <c r="Q847" i="53" s="1"/>
  <c r="O830" i="53"/>
  <c r="S830" i="53" s="1"/>
  <c r="O838" i="53"/>
  <c r="S838" i="53" s="1"/>
  <c r="O846" i="53"/>
  <c r="S846" i="53" s="1"/>
  <c r="O854" i="53"/>
  <c r="S854" i="53" s="1"/>
  <c r="M837" i="53"/>
  <c r="Q837" i="53" s="1"/>
  <c r="M845" i="53"/>
  <c r="Q845" i="53" s="1"/>
  <c r="M853" i="53"/>
  <c r="Q853" i="53" s="1"/>
  <c r="M830" i="53"/>
  <c r="Q830" i="53" s="1"/>
  <c r="O848" i="53"/>
  <c r="S848" i="53" s="1"/>
  <c r="Q130" i="53"/>
  <c r="Q857" i="53"/>
  <c r="O775" i="53"/>
  <c r="S775" i="53" s="1"/>
  <c r="O783" i="53"/>
  <c r="S783" i="53" s="1"/>
  <c r="O791" i="53"/>
  <c r="S791" i="53" s="1"/>
  <c r="M774" i="53"/>
  <c r="Q774" i="53" s="1"/>
  <c r="M782" i="53"/>
  <c r="Q782" i="53" s="1"/>
  <c r="M790" i="53"/>
  <c r="Q790" i="53" s="1"/>
  <c r="O774" i="53"/>
  <c r="S774" i="53" s="1"/>
  <c r="O776" i="53"/>
  <c r="S776" i="53" s="1"/>
  <c r="O784" i="53"/>
  <c r="S784" i="53" s="1"/>
  <c r="O792" i="53"/>
  <c r="S792" i="53" s="1"/>
  <c r="M775" i="53"/>
  <c r="Q775" i="53" s="1"/>
  <c r="M783" i="53"/>
  <c r="Q783" i="53" s="1"/>
  <c r="M791" i="53"/>
  <c r="Q791" i="53" s="1"/>
  <c r="M773" i="53"/>
  <c r="Q773" i="53" s="1"/>
  <c r="O777" i="53"/>
  <c r="S777" i="53" s="1"/>
  <c r="O785" i="53"/>
  <c r="S785" i="53" s="1"/>
  <c r="O793" i="53"/>
  <c r="S793" i="53" s="1"/>
  <c r="M776" i="53"/>
  <c r="Q776" i="53" s="1"/>
  <c r="M784" i="53"/>
  <c r="Q784" i="53" s="1"/>
  <c r="M792" i="53"/>
  <c r="Q792" i="53" s="1"/>
  <c r="O790" i="53"/>
  <c r="S790" i="53" s="1"/>
  <c r="O778" i="53"/>
  <c r="S778" i="53" s="1"/>
  <c r="O786" i="53"/>
  <c r="S786" i="53" s="1"/>
  <c r="O794" i="53"/>
  <c r="S794" i="53" s="1"/>
  <c r="M777" i="53"/>
  <c r="Q777" i="53" s="1"/>
  <c r="M785" i="53"/>
  <c r="Q785" i="53" s="1"/>
  <c r="M793" i="53"/>
  <c r="Q793" i="53" s="1"/>
  <c r="O771" i="53"/>
  <c r="S771" i="53" s="1"/>
  <c r="O779" i="53"/>
  <c r="S779" i="53" s="1"/>
  <c r="O787" i="53"/>
  <c r="S787" i="53" s="1"/>
  <c r="O795" i="53"/>
  <c r="S795" i="53" s="1"/>
  <c r="M778" i="53"/>
  <c r="Q778" i="53" s="1"/>
  <c r="M786" i="53"/>
  <c r="Q786" i="53" s="1"/>
  <c r="M794" i="53"/>
  <c r="Q794" i="53" s="1"/>
  <c r="O782" i="53"/>
  <c r="S782" i="53" s="1"/>
  <c r="O772" i="53"/>
  <c r="S772" i="53" s="1"/>
  <c r="O780" i="53"/>
  <c r="S780" i="53" s="1"/>
  <c r="O788" i="53"/>
  <c r="S788" i="53" s="1"/>
  <c r="M771" i="53"/>
  <c r="Q771" i="53" s="1"/>
  <c r="M779" i="53"/>
  <c r="Q779" i="53" s="1"/>
  <c r="M787" i="53"/>
  <c r="Q787" i="53" s="1"/>
  <c r="M795" i="53"/>
  <c r="Q795" i="53" s="1"/>
  <c r="M781" i="53"/>
  <c r="Q781" i="53" s="1"/>
  <c r="O773" i="53"/>
  <c r="S773" i="53" s="1"/>
  <c r="O781" i="53"/>
  <c r="S781" i="53" s="1"/>
  <c r="O789" i="53"/>
  <c r="S789" i="53" s="1"/>
  <c r="M772" i="53"/>
  <c r="Q772" i="53" s="1"/>
  <c r="M780" i="53"/>
  <c r="Q780" i="53" s="1"/>
  <c r="M788" i="53"/>
  <c r="Q788" i="53" s="1"/>
  <c r="M789" i="53"/>
  <c r="Q789" i="53" s="1"/>
  <c r="O744" i="53"/>
  <c r="S744" i="53" s="1"/>
  <c r="O752" i="53"/>
  <c r="S752" i="53" s="1"/>
  <c r="O760" i="53"/>
  <c r="S760" i="53" s="1"/>
  <c r="M743" i="53"/>
  <c r="Q743" i="53" s="1"/>
  <c r="M751" i="53"/>
  <c r="Q751" i="53" s="1"/>
  <c r="M759" i="53"/>
  <c r="Q759" i="53" s="1"/>
  <c r="O749" i="53"/>
  <c r="S749" i="53" s="1"/>
  <c r="O745" i="53"/>
  <c r="S745" i="53" s="1"/>
  <c r="O753" i="53"/>
  <c r="S753" i="53" s="1"/>
  <c r="O761" i="53"/>
  <c r="S761" i="53" s="1"/>
  <c r="M744" i="53"/>
  <c r="Q744" i="53" s="1"/>
  <c r="M752" i="53"/>
  <c r="Q752" i="53" s="1"/>
  <c r="M760" i="53"/>
  <c r="Q760" i="53" s="1"/>
  <c r="M740" i="53"/>
  <c r="Q740" i="53" s="1"/>
  <c r="O746" i="53"/>
  <c r="S746" i="53" s="1"/>
  <c r="O754" i="53"/>
  <c r="S754" i="53" s="1"/>
  <c r="O762" i="53"/>
  <c r="S762" i="53" s="1"/>
  <c r="M745" i="53"/>
  <c r="Q745" i="53" s="1"/>
  <c r="M753" i="53"/>
  <c r="Q753" i="53" s="1"/>
  <c r="M761" i="53"/>
  <c r="Q761" i="53" s="1"/>
  <c r="M756" i="53"/>
  <c r="Q756" i="53" s="1"/>
  <c r="O747" i="53"/>
  <c r="S747" i="53" s="1"/>
  <c r="O755" i="53"/>
  <c r="S755" i="53" s="1"/>
  <c r="O763" i="53"/>
  <c r="S763" i="53" s="1"/>
  <c r="M746" i="53"/>
  <c r="Q746" i="53" s="1"/>
  <c r="M754" i="53"/>
  <c r="Q754" i="53" s="1"/>
  <c r="M762" i="53"/>
  <c r="Q762" i="53" s="1"/>
  <c r="M764" i="53"/>
  <c r="Q764" i="53" s="1"/>
  <c r="O740" i="53"/>
  <c r="S740" i="53" s="1"/>
  <c r="O748" i="53"/>
  <c r="S748" i="53" s="1"/>
  <c r="O756" i="53"/>
  <c r="S756" i="53" s="1"/>
  <c r="O764" i="53"/>
  <c r="S764" i="53" s="1"/>
  <c r="M747" i="53"/>
  <c r="Q747" i="53" s="1"/>
  <c r="M755" i="53"/>
  <c r="Q755" i="53" s="1"/>
  <c r="M763" i="53"/>
  <c r="Q763" i="53" s="1"/>
  <c r="O741" i="53"/>
  <c r="S741" i="53" s="1"/>
  <c r="O742" i="53"/>
  <c r="S742" i="53" s="1"/>
  <c r="O750" i="53"/>
  <c r="S750" i="53" s="1"/>
  <c r="O758" i="53"/>
  <c r="S758" i="53" s="1"/>
  <c r="M741" i="53"/>
  <c r="Q741" i="53" s="1"/>
  <c r="M749" i="53"/>
  <c r="Q749" i="53" s="1"/>
  <c r="M757" i="53"/>
  <c r="Q757" i="53" s="1"/>
  <c r="O757" i="53"/>
  <c r="S757" i="53" s="1"/>
  <c r="O743" i="53"/>
  <c r="S743" i="53" s="1"/>
  <c r="O751" i="53"/>
  <c r="S751" i="53" s="1"/>
  <c r="O759" i="53"/>
  <c r="S759" i="53" s="1"/>
  <c r="M742" i="53"/>
  <c r="Q742" i="53" s="1"/>
  <c r="M750" i="53"/>
  <c r="Q750" i="53" s="1"/>
  <c r="M758" i="53"/>
  <c r="Q758" i="53" s="1"/>
  <c r="M748" i="53"/>
  <c r="Q748" i="53" s="1"/>
  <c r="O717" i="53"/>
  <c r="S717" i="53" s="1"/>
  <c r="O725" i="53"/>
  <c r="S725" i="53" s="1"/>
  <c r="O733" i="53"/>
  <c r="S733" i="53" s="1"/>
  <c r="M716" i="53"/>
  <c r="Q716" i="53" s="1"/>
  <c r="M724" i="53"/>
  <c r="Q724" i="53" s="1"/>
  <c r="M732" i="53"/>
  <c r="Q732" i="53" s="1"/>
  <c r="M713" i="53"/>
  <c r="Q713" i="53" s="1"/>
  <c r="O718" i="53"/>
  <c r="S718" i="53" s="1"/>
  <c r="O726" i="53"/>
  <c r="S726" i="53" s="1"/>
  <c r="O734" i="53"/>
  <c r="S734" i="53" s="1"/>
  <c r="M717" i="53"/>
  <c r="Q717" i="53" s="1"/>
  <c r="M725" i="53"/>
  <c r="Q725" i="53" s="1"/>
  <c r="M733" i="53"/>
  <c r="Q733" i="53" s="1"/>
  <c r="M721" i="53"/>
  <c r="Q721" i="53" s="1"/>
  <c r="O711" i="53"/>
  <c r="S711" i="53" s="1"/>
  <c r="O719" i="53"/>
  <c r="S719" i="53" s="1"/>
  <c r="O727" i="53"/>
  <c r="S727" i="53" s="1"/>
  <c r="O735" i="53"/>
  <c r="S735" i="53" s="1"/>
  <c r="M718" i="53"/>
  <c r="Q718" i="53" s="1"/>
  <c r="M726" i="53"/>
  <c r="Q726" i="53" s="1"/>
  <c r="M734" i="53"/>
  <c r="Q734" i="53" s="1"/>
  <c r="O730" i="53"/>
  <c r="S730" i="53" s="1"/>
  <c r="O712" i="53"/>
  <c r="S712" i="53" s="1"/>
  <c r="O720" i="53"/>
  <c r="S720" i="53" s="1"/>
  <c r="O728" i="53"/>
  <c r="S728" i="53" s="1"/>
  <c r="M711" i="53"/>
  <c r="Q711" i="53" s="1"/>
  <c r="M719" i="53"/>
  <c r="Q719" i="53" s="1"/>
  <c r="M727" i="53"/>
  <c r="Q727" i="53" s="1"/>
  <c r="M735" i="53"/>
  <c r="Q735" i="53" s="1"/>
  <c r="M729" i="53"/>
  <c r="Q729" i="53" s="1"/>
  <c r="O713" i="53"/>
  <c r="S713" i="53" s="1"/>
  <c r="O721" i="53"/>
  <c r="S721" i="53" s="1"/>
  <c r="O729" i="53"/>
  <c r="S729" i="53" s="1"/>
  <c r="M712" i="53"/>
  <c r="Q712" i="53" s="1"/>
  <c r="M720" i="53"/>
  <c r="Q720" i="53" s="1"/>
  <c r="M728" i="53"/>
  <c r="Q728" i="53" s="1"/>
  <c r="O715" i="53"/>
  <c r="S715" i="53" s="1"/>
  <c r="O723" i="53"/>
  <c r="S723" i="53" s="1"/>
  <c r="O731" i="53"/>
  <c r="S731" i="53" s="1"/>
  <c r="M714" i="53"/>
  <c r="Q714" i="53" s="1"/>
  <c r="M722" i="53"/>
  <c r="Q722" i="53" s="1"/>
  <c r="M730" i="53"/>
  <c r="Q730" i="53" s="1"/>
  <c r="O722" i="53"/>
  <c r="S722" i="53" s="1"/>
  <c r="O716" i="53"/>
  <c r="S716" i="53" s="1"/>
  <c r="O724" i="53"/>
  <c r="S724" i="53" s="1"/>
  <c r="O732" i="53"/>
  <c r="S732" i="53" s="1"/>
  <c r="M715" i="53"/>
  <c r="Q715" i="53" s="1"/>
  <c r="M723" i="53"/>
  <c r="Q723" i="53" s="1"/>
  <c r="M731" i="53"/>
  <c r="Q731" i="53" s="1"/>
  <c r="O714" i="53"/>
  <c r="S714" i="53" s="1"/>
  <c r="O484" i="53"/>
  <c r="S484" i="53" s="1"/>
  <c r="O492" i="53"/>
  <c r="S492" i="53" s="1"/>
  <c r="O500" i="53"/>
  <c r="S500" i="53" s="1"/>
  <c r="M483" i="53"/>
  <c r="Q483" i="53" s="1"/>
  <c r="M491" i="53"/>
  <c r="Q491" i="53" s="1"/>
  <c r="M499" i="53"/>
  <c r="Q499" i="53" s="1"/>
  <c r="M482" i="53"/>
  <c r="Q482" i="53" s="1"/>
  <c r="O485" i="53"/>
  <c r="S485" i="53" s="1"/>
  <c r="O493" i="53"/>
  <c r="S493" i="53" s="1"/>
  <c r="O501" i="53"/>
  <c r="S501" i="53" s="1"/>
  <c r="M484" i="53"/>
  <c r="Q484" i="53" s="1"/>
  <c r="M492" i="53"/>
  <c r="Q492" i="53" s="1"/>
  <c r="M500" i="53"/>
  <c r="Q500" i="53" s="1"/>
  <c r="M498" i="53"/>
  <c r="Q498" i="53" s="1"/>
  <c r="O486" i="53"/>
  <c r="S486" i="53" s="1"/>
  <c r="O494" i="53"/>
  <c r="S494" i="53" s="1"/>
  <c r="O502" i="53"/>
  <c r="S502" i="53" s="1"/>
  <c r="M485" i="53"/>
  <c r="Q485" i="53" s="1"/>
  <c r="M493" i="53"/>
  <c r="Q493" i="53" s="1"/>
  <c r="M501" i="53"/>
  <c r="Q501" i="53" s="1"/>
  <c r="O499" i="53"/>
  <c r="S499" i="53" s="1"/>
  <c r="O487" i="53"/>
  <c r="S487" i="53" s="1"/>
  <c r="O495" i="53"/>
  <c r="S495" i="53" s="1"/>
  <c r="O503" i="53"/>
  <c r="S503" i="53" s="1"/>
  <c r="M486" i="53"/>
  <c r="Q486" i="53" s="1"/>
  <c r="M494" i="53"/>
  <c r="Q494" i="53" s="1"/>
  <c r="M502" i="53"/>
  <c r="Q502" i="53" s="1"/>
  <c r="M490" i="53"/>
  <c r="Q490" i="53" s="1"/>
  <c r="O488" i="53"/>
  <c r="S488" i="53" s="1"/>
  <c r="O496" i="53"/>
  <c r="S496" i="53" s="1"/>
  <c r="O504" i="53"/>
  <c r="S504" i="53" s="1"/>
  <c r="M487" i="53"/>
  <c r="Q487" i="53" s="1"/>
  <c r="M495" i="53"/>
  <c r="Q495" i="53" s="1"/>
  <c r="M503" i="53"/>
  <c r="Q503" i="53" s="1"/>
  <c r="O481" i="53"/>
  <c r="S481" i="53" s="1"/>
  <c r="O489" i="53"/>
  <c r="S489" i="53" s="1"/>
  <c r="O497" i="53"/>
  <c r="S497" i="53" s="1"/>
  <c r="O505" i="53"/>
  <c r="S505" i="53" s="1"/>
  <c r="M488" i="53"/>
  <c r="Q488" i="53" s="1"/>
  <c r="M496" i="53"/>
  <c r="Q496" i="53" s="1"/>
  <c r="M504" i="53"/>
  <c r="Q504" i="53" s="1"/>
  <c r="O483" i="53"/>
  <c r="S483" i="53" s="1"/>
  <c r="O482" i="53"/>
  <c r="S482" i="53" s="1"/>
  <c r="O490" i="53"/>
  <c r="S490" i="53" s="1"/>
  <c r="O498" i="53"/>
  <c r="S498" i="53" s="1"/>
  <c r="M481" i="53"/>
  <c r="Q481" i="53" s="1"/>
  <c r="M489" i="53"/>
  <c r="Q489" i="53" s="1"/>
  <c r="M497" i="53"/>
  <c r="Q497" i="53" s="1"/>
  <c r="M505" i="53"/>
  <c r="Q505" i="53" s="1"/>
  <c r="O491" i="53"/>
  <c r="S491" i="53" s="1"/>
  <c r="Q508" i="53"/>
  <c r="L24" i="81"/>
  <c r="O426" i="53"/>
  <c r="S426" i="53" s="1"/>
  <c r="O434" i="53"/>
  <c r="S434" i="53" s="1"/>
  <c r="O442" i="53"/>
  <c r="S442" i="53" s="1"/>
  <c r="M425" i="53"/>
  <c r="Q425" i="53" s="1"/>
  <c r="M433" i="53"/>
  <c r="Q433" i="53" s="1"/>
  <c r="M441" i="53"/>
  <c r="Q441" i="53" s="1"/>
  <c r="M431" i="53"/>
  <c r="Q431" i="53" s="1"/>
  <c r="M424" i="53"/>
  <c r="Q424" i="53" s="1"/>
  <c r="O427" i="53"/>
  <c r="S427" i="53" s="1"/>
  <c r="O435" i="53"/>
  <c r="S435" i="53" s="1"/>
  <c r="O443" i="53"/>
  <c r="S443" i="53" s="1"/>
  <c r="M426" i="53"/>
  <c r="Q426" i="53" s="1"/>
  <c r="M434" i="53"/>
  <c r="Q434" i="53" s="1"/>
  <c r="M442" i="53"/>
  <c r="Q442" i="53" s="1"/>
  <c r="O424" i="53"/>
  <c r="S424" i="53" s="1"/>
  <c r="O425" i="53"/>
  <c r="S425" i="53" s="1"/>
  <c r="M440" i="53"/>
  <c r="Q440" i="53" s="1"/>
  <c r="O428" i="53"/>
  <c r="S428" i="53" s="1"/>
  <c r="O436" i="53"/>
  <c r="S436" i="53" s="1"/>
  <c r="O444" i="53"/>
  <c r="S444" i="53" s="1"/>
  <c r="M427" i="53"/>
  <c r="Q427" i="53" s="1"/>
  <c r="M435" i="53"/>
  <c r="Q435" i="53" s="1"/>
  <c r="M443" i="53"/>
  <c r="Q443" i="53" s="1"/>
  <c r="M439" i="53"/>
  <c r="Q439" i="53" s="1"/>
  <c r="O433" i="53"/>
  <c r="S433" i="53" s="1"/>
  <c r="O429" i="53"/>
  <c r="S429" i="53" s="1"/>
  <c r="O437" i="53"/>
  <c r="S437" i="53" s="1"/>
  <c r="O445" i="53"/>
  <c r="S445" i="53" s="1"/>
  <c r="M428" i="53"/>
  <c r="Q428" i="53" s="1"/>
  <c r="M436" i="53"/>
  <c r="Q436" i="53" s="1"/>
  <c r="M444" i="53"/>
  <c r="Q444" i="53" s="1"/>
  <c r="O440" i="53"/>
  <c r="S440" i="53" s="1"/>
  <c r="O441" i="53"/>
  <c r="S441" i="53" s="1"/>
  <c r="O422" i="53"/>
  <c r="S422" i="53" s="1"/>
  <c r="O430" i="53"/>
  <c r="S430" i="53" s="1"/>
  <c r="O438" i="53"/>
  <c r="S438" i="53" s="1"/>
  <c r="O446" i="53"/>
  <c r="S446" i="53" s="1"/>
  <c r="M429" i="53"/>
  <c r="Q429" i="53" s="1"/>
  <c r="M437" i="53"/>
  <c r="Q437" i="53" s="1"/>
  <c r="M445" i="53"/>
  <c r="Q445" i="53" s="1"/>
  <c r="O432" i="53"/>
  <c r="S432" i="53" s="1"/>
  <c r="O423" i="53"/>
  <c r="S423" i="53" s="1"/>
  <c r="O431" i="53"/>
  <c r="S431" i="53" s="1"/>
  <c r="O439" i="53"/>
  <c r="S439" i="53" s="1"/>
  <c r="M422" i="53"/>
  <c r="Q422" i="53" s="1"/>
  <c r="M430" i="53"/>
  <c r="Q430" i="53" s="1"/>
  <c r="M438" i="53"/>
  <c r="Q438" i="53" s="1"/>
  <c r="M446" i="53"/>
  <c r="Q446" i="53" s="1"/>
  <c r="M423" i="53"/>
  <c r="Q423" i="53" s="1"/>
  <c r="M432" i="53"/>
  <c r="Q432" i="53" s="1"/>
  <c r="S130" i="53"/>
  <c r="S100" i="53"/>
  <c r="L39" i="81"/>
  <c r="S857" i="53"/>
  <c r="Q449" i="53"/>
  <c r="S449" i="53"/>
  <c r="T45" i="21"/>
  <c r="T37" i="21"/>
  <c r="T29" i="21"/>
  <c r="T21" i="21"/>
  <c r="U48" i="21"/>
  <c r="U40" i="21"/>
  <c r="U32" i="21"/>
  <c r="U16" i="21"/>
  <c r="T86" i="21"/>
  <c r="T78" i="21"/>
  <c r="T62" i="21"/>
  <c r="T54" i="21"/>
  <c r="U81" i="21"/>
  <c r="U65" i="21"/>
  <c r="U57" i="21"/>
  <c r="U159" i="21"/>
  <c r="U69" i="21"/>
  <c r="T20" i="21"/>
  <c r="U20" i="21"/>
  <c r="U75" i="21"/>
  <c r="T94" i="21"/>
  <c r="T149" i="21"/>
  <c r="U175" i="21"/>
  <c r="T203" i="21"/>
  <c r="U174" i="21"/>
  <c r="U103" i="21"/>
  <c r="U150" i="21"/>
  <c r="U197" i="21"/>
  <c r="U17" i="21"/>
  <c r="U72" i="21"/>
  <c r="T91" i="21"/>
  <c r="T146" i="21"/>
  <c r="T201" i="21"/>
  <c r="U172" i="21"/>
  <c r="T122" i="21"/>
  <c r="U93" i="21"/>
  <c r="U148" i="21"/>
  <c r="U203" i="21"/>
  <c r="U124" i="21"/>
  <c r="T144" i="21"/>
  <c r="T199" i="21"/>
  <c r="U170" i="21"/>
  <c r="T151" i="21"/>
  <c r="U177" i="21"/>
  <c r="U114" i="21"/>
  <c r="T189" i="21"/>
  <c r="U29" i="21"/>
  <c r="U47" i="21"/>
  <c r="U31" i="21"/>
  <c r="U23" i="21"/>
  <c r="U15" i="21"/>
  <c r="Y158" i="21"/>
  <c r="Y134" i="21"/>
  <c r="S856" i="54"/>
  <c r="Q856" i="54"/>
  <c r="S827" i="54"/>
  <c r="Q827" i="54"/>
  <c r="S797" i="54"/>
  <c r="Q797" i="54"/>
  <c r="L34" i="84"/>
  <c r="J34" i="84"/>
  <c r="L76" i="81"/>
  <c r="J76" i="81"/>
  <c r="S1555" i="53"/>
  <c r="Q1555" i="53"/>
  <c r="S1526" i="53"/>
  <c r="Q1526" i="53"/>
  <c r="S1496" i="53"/>
  <c r="Q1496" i="53"/>
  <c r="T156" i="21"/>
  <c r="U79" i="21"/>
  <c r="T28" i="21"/>
  <c r="U67" i="21"/>
  <c r="U121" i="21"/>
  <c r="T141" i="21"/>
  <c r="T196" i="21"/>
  <c r="T124" i="21"/>
  <c r="U95" i="21"/>
  <c r="U189" i="21"/>
  <c r="U64" i="21"/>
  <c r="T138" i="21"/>
  <c r="T114" i="21"/>
  <c r="U140" i="21"/>
  <c r="U195" i="21"/>
  <c r="U116" i="21"/>
  <c r="T136" i="21"/>
  <c r="T191" i="21"/>
  <c r="T143" i="21"/>
  <c r="U106" i="21"/>
  <c r="U161" i="21"/>
  <c r="T181" i="21"/>
  <c r="U39" i="21"/>
  <c r="T43" i="21"/>
  <c r="T35" i="21"/>
  <c r="T27" i="21"/>
  <c r="T19" i="21"/>
  <c r="U38" i="21"/>
  <c r="U30" i="21"/>
  <c r="U22" i="21"/>
  <c r="T84" i="21"/>
  <c r="T68" i="21"/>
  <c r="U87" i="21"/>
  <c r="U71" i="21"/>
  <c r="U55" i="21"/>
  <c r="S507" i="52"/>
  <c r="Q507" i="52"/>
  <c r="S478" i="52"/>
  <c r="Q478" i="52"/>
  <c r="S448" i="52"/>
  <c r="Q448" i="52"/>
  <c r="L25" i="83"/>
  <c r="J25" i="83"/>
  <c r="U104" i="21"/>
  <c r="T55" i="21"/>
  <c r="T36" i="21"/>
  <c r="U59" i="21"/>
  <c r="U113" i="21"/>
  <c r="T133" i="21"/>
  <c r="T188" i="21"/>
  <c r="T116" i="21"/>
  <c r="T163" i="21"/>
  <c r="U181" i="21"/>
  <c r="T85" i="21"/>
  <c r="T130" i="21"/>
  <c r="T106" i="21"/>
  <c r="T161" i="21"/>
  <c r="U132" i="21"/>
  <c r="U187" i="21"/>
  <c r="T135" i="21"/>
  <c r="U98" i="21"/>
  <c r="T173" i="21"/>
  <c r="U62" i="21"/>
  <c r="T15" i="21"/>
  <c r="T42" i="21"/>
  <c r="T34" i="21"/>
  <c r="T26" i="21"/>
  <c r="T18" i="21"/>
  <c r="U45" i="21"/>
  <c r="U37" i="21"/>
  <c r="U21" i="21"/>
  <c r="T83" i="21"/>
  <c r="T67" i="21"/>
  <c r="U86" i="21"/>
  <c r="U70" i="21"/>
  <c r="U54" i="21"/>
  <c r="Y164" i="21"/>
  <c r="T164" i="21"/>
  <c r="X140" i="21"/>
  <c r="T140" i="21"/>
  <c r="T112" i="21"/>
  <c r="T66" i="21"/>
  <c r="T44" i="21"/>
  <c r="T80" i="21"/>
  <c r="U105" i="21"/>
  <c r="U160" i="21"/>
  <c r="T180" i="21"/>
  <c r="T155" i="21"/>
  <c r="T202" i="21"/>
  <c r="U173" i="21"/>
  <c r="T77" i="21"/>
  <c r="T98" i="21"/>
  <c r="T153" i="21"/>
  <c r="U179" i="21"/>
  <c r="T119" i="21"/>
  <c r="U145" i="21"/>
  <c r="U200" i="21"/>
  <c r="T148" i="21"/>
  <c r="U73" i="21"/>
  <c r="T23" i="21"/>
  <c r="S158" i="54"/>
  <c r="Q158" i="54"/>
  <c r="S129" i="54"/>
  <c r="Q129" i="54"/>
  <c r="S99" i="54"/>
  <c r="Q99" i="54"/>
  <c r="L10" i="84"/>
  <c r="J10" i="84"/>
  <c r="T76" i="21"/>
  <c r="U14" i="21"/>
  <c r="T72" i="21"/>
  <c r="U152" i="21"/>
  <c r="T172" i="21"/>
  <c r="T147" i="21"/>
  <c r="T194" i="21"/>
  <c r="T69" i="21"/>
  <c r="T123" i="21"/>
  <c r="U125" i="21"/>
  <c r="T145" i="21"/>
  <c r="T111" i="21"/>
  <c r="U137" i="21"/>
  <c r="U192" i="21"/>
  <c r="T31" i="21"/>
  <c r="T48" i="21"/>
  <c r="T40" i="21"/>
  <c r="T32" i="21"/>
  <c r="T24" i="21"/>
  <c r="T16" i="21"/>
  <c r="U43" i="21"/>
  <c r="U27" i="21"/>
  <c r="U19" i="21"/>
  <c r="T73" i="21"/>
  <c r="T65" i="21"/>
  <c r="T57" i="21"/>
  <c r="U76" i="21"/>
  <c r="U68" i="21"/>
  <c r="U60" i="21"/>
  <c r="L22" i="82"/>
  <c r="S504" i="51"/>
  <c r="Q504" i="51"/>
  <c r="J22" i="82"/>
  <c r="U24" i="21"/>
  <c r="U199" i="21"/>
  <c r="T139" i="21"/>
  <c r="T186" i="21"/>
  <c r="U41" i="21"/>
  <c r="T61" i="21"/>
  <c r="U117" i="21"/>
  <c r="T137" i="21"/>
  <c r="T103" i="21"/>
  <c r="T158" i="21"/>
  <c r="U184" i="21"/>
  <c r="T93" i="21"/>
  <c r="T59" i="21"/>
  <c r="T39" i="21"/>
  <c r="U42" i="21"/>
  <c r="U34" i="21"/>
  <c r="U26" i="21"/>
  <c r="L54" i="81"/>
  <c r="J54" i="81"/>
  <c r="S1206" i="53"/>
  <c r="Q1206" i="53"/>
  <c r="S1177" i="53"/>
  <c r="Q1177" i="53"/>
  <c r="S1147" i="53"/>
  <c r="Q1147" i="53"/>
  <c r="U35" i="21"/>
  <c r="T56" i="21"/>
  <c r="T131" i="21"/>
  <c r="T178" i="21"/>
  <c r="T162" i="21"/>
  <c r="T160" i="21"/>
  <c r="T95" i="21"/>
  <c r="T150" i="21"/>
  <c r="U176" i="21"/>
  <c r="T47" i="21"/>
  <c r="S1205" i="52"/>
  <c r="Q1205" i="52"/>
  <c r="S1176" i="52"/>
  <c r="Q1176" i="52"/>
  <c r="S1146" i="52"/>
  <c r="Q1146" i="52"/>
  <c r="L49" i="83"/>
  <c r="J49" i="83"/>
  <c r="U46" i="21"/>
  <c r="U83" i="21"/>
  <c r="T157" i="21"/>
  <c r="T170" i="21"/>
  <c r="U80" i="21"/>
  <c r="T154" i="21"/>
  <c r="U101" i="21"/>
  <c r="T152" i="21"/>
  <c r="T159" i="21"/>
  <c r="U122" i="21"/>
  <c r="T142" i="21"/>
  <c r="U18" i="21"/>
  <c r="T132" i="21"/>
  <c r="O368" i="53"/>
  <c r="S368" i="53" s="1"/>
  <c r="O376" i="53"/>
  <c r="S376" i="53" s="1"/>
  <c r="O384" i="53"/>
  <c r="S384" i="53" s="1"/>
  <c r="M367" i="53"/>
  <c r="Q367" i="53" s="1"/>
  <c r="M375" i="53"/>
  <c r="Q375" i="53" s="1"/>
  <c r="M383" i="53"/>
  <c r="Q383" i="53" s="1"/>
  <c r="O367" i="53"/>
  <c r="S367" i="53" s="1"/>
  <c r="O369" i="53"/>
  <c r="S369" i="53" s="1"/>
  <c r="O377" i="53"/>
  <c r="S377" i="53" s="1"/>
  <c r="O385" i="53"/>
  <c r="S385" i="53" s="1"/>
  <c r="M368" i="53"/>
  <c r="Q368" i="53" s="1"/>
  <c r="M376" i="53"/>
  <c r="Q376" i="53" s="1"/>
  <c r="M384" i="53"/>
  <c r="Q384" i="53" s="1"/>
  <c r="M382" i="53"/>
  <c r="Q382" i="53" s="1"/>
  <c r="O362" i="53"/>
  <c r="S362" i="53" s="1"/>
  <c r="O370" i="53"/>
  <c r="S370" i="53" s="1"/>
  <c r="O378" i="53"/>
  <c r="S378" i="53" s="1"/>
  <c r="O386" i="53"/>
  <c r="S386" i="53" s="1"/>
  <c r="M369" i="53"/>
  <c r="Q369" i="53" s="1"/>
  <c r="M377" i="53"/>
  <c r="Q377" i="53" s="1"/>
  <c r="M385" i="53"/>
  <c r="Q385" i="53" s="1"/>
  <c r="M366" i="53"/>
  <c r="Q366" i="53" s="1"/>
  <c r="O363" i="53"/>
  <c r="S363" i="53" s="1"/>
  <c r="O371" i="53"/>
  <c r="S371" i="53" s="1"/>
  <c r="O379" i="53"/>
  <c r="S379" i="53" s="1"/>
  <c r="M362" i="53"/>
  <c r="Q362" i="53" s="1"/>
  <c r="M370" i="53"/>
  <c r="Q370" i="53" s="1"/>
  <c r="M378" i="53"/>
  <c r="Q378" i="53" s="1"/>
  <c r="M386" i="53"/>
  <c r="Q386" i="53" s="1"/>
  <c r="M374" i="53"/>
  <c r="Q374" i="53" s="1"/>
  <c r="O364" i="53"/>
  <c r="S364" i="53" s="1"/>
  <c r="O372" i="53"/>
  <c r="S372" i="53" s="1"/>
  <c r="O380" i="53"/>
  <c r="S380" i="53" s="1"/>
  <c r="M363" i="53"/>
  <c r="Q363" i="53" s="1"/>
  <c r="M371" i="53"/>
  <c r="Q371" i="53" s="1"/>
  <c r="M379" i="53"/>
  <c r="Q379" i="53" s="1"/>
  <c r="M381" i="53"/>
  <c r="Q381" i="53" s="1"/>
  <c r="O375" i="53"/>
  <c r="S375" i="53" s="1"/>
  <c r="O365" i="53"/>
  <c r="S365" i="53" s="1"/>
  <c r="O373" i="53"/>
  <c r="S373" i="53" s="1"/>
  <c r="O381" i="53"/>
  <c r="S381" i="53" s="1"/>
  <c r="M364" i="53"/>
  <c r="Q364" i="53" s="1"/>
  <c r="M372" i="53"/>
  <c r="Q372" i="53" s="1"/>
  <c r="M380" i="53"/>
  <c r="Q380" i="53" s="1"/>
  <c r="M373" i="53"/>
  <c r="Q373" i="53" s="1"/>
  <c r="O383" i="53"/>
  <c r="S383" i="53" s="1"/>
  <c r="O366" i="53"/>
  <c r="S366" i="53" s="1"/>
  <c r="O374" i="53"/>
  <c r="S374" i="53" s="1"/>
  <c r="O382" i="53"/>
  <c r="S382" i="53" s="1"/>
  <c r="M365" i="53"/>
  <c r="Q365" i="53" s="1"/>
  <c r="O395" i="53"/>
  <c r="S395" i="53" s="1"/>
  <c r="O403" i="53"/>
  <c r="S403" i="53" s="1"/>
  <c r="O411" i="53"/>
  <c r="S411" i="53" s="1"/>
  <c r="M394" i="53"/>
  <c r="Q394" i="53" s="1"/>
  <c r="M402" i="53"/>
  <c r="Q402" i="53" s="1"/>
  <c r="M410" i="53"/>
  <c r="Q410" i="53" s="1"/>
  <c r="M401" i="53"/>
  <c r="Q401" i="53" s="1"/>
  <c r="O396" i="53"/>
  <c r="S396" i="53" s="1"/>
  <c r="O404" i="53"/>
  <c r="S404" i="53" s="1"/>
  <c r="O412" i="53"/>
  <c r="S412" i="53" s="1"/>
  <c r="M395" i="53"/>
  <c r="Q395" i="53" s="1"/>
  <c r="M403" i="53"/>
  <c r="Q403" i="53" s="1"/>
  <c r="M411" i="53"/>
  <c r="Q411" i="53" s="1"/>
  <c r="O410" i="53"/>
  <c r="S410" i="53" s="1"/>
  <c r="O397" i="53"/>
  <c r="S397" i="53" s="1"/>
  <c r="O405" i="53"/>
  <c r="S405" i="53" s="1"/>
  <c r="O413" i="53"/>
  <c r="S413" i="53" s="1"/>
  <c r="M396" i="53"/>
  <c r="Q396" i="53" s="1"/>
  <c r="M404" i="53"/>
  <c r="Q404" i="53" s="1"/>
  <c r="M412" i="53"/>
  <c r="Q412" i="53" s="1"/>
  <c r="O398" i="53"/>
  <c r="S398" i="53" s="1"/>
  <c r="O406" i="53"/>
  <c r="S406" i="53" s="1"/>
  <c r="O414" i="53"/>
  <c r="S414" i="53" s="1"/>
  <c r="M397" i="53"/>
  <c r="Q397" i="53" s="1"/>
  <c r="M405" i="53"/>
  <c r="Q405" i="53" s="1"/>
  <c r="M413" i="53"/>
  <c r="Q413" i="53" s="1"/>
  <c r="M393" i="53"/>
  <c r="Q393" i="53" s="1"/>
  <c r="O391" i="53"/>
  <c r="S391" i="53" s="1"/>
  <c r="O399" i="53"/>
  <c r="S399" i="53" s="1"/>
  <c r="O407" i="53"/>
  <c r="S407" i="53" s="1"/>
  <c r="O415" i="53"/>
  <c r="S415" i="53" s="1"/>
  <c r="M398" i="53"/>
  <c r="Q398" i="53" s="1"/>
  <c r="M406" i="53"/>
  <c r="Q406" i="53" s="1"/>
  <c r="M414" i="53"/>
  <c r="Q414" i="53" s="1"/>
  <c r="M409" i="53"/>
  <c r="Q409" i="53" s="1"/>
  <c r="O392" i="53"/>
  <c r="S392" i="53" s="1"/>
  <c r="O400" i="53"/>
  <c r="S400" i="53" s="1"/>
  <c r="O408" i="53"/>
  <c r="S408" i="53" s="1"/>
  <c r="M391" i="53"/>
  <c r="Q391" i="53" s="1"/>
  <c r="M399" i="53"/>
  <c r="Q399" i="53" s="1"/>
  <c r="M407" i="53"/>
  <c r="Q407" i="53" s="1"/>
  <c r="M415" i="53"/>
  <c r="Q415" i="53" s="1"/>
  <c r="O394" i="53"/>
  <c r="S394" i="53" s="1"/>
  <c r="O393" i="53"/>
  <c r="S393" i="53" s="1"/>
  <c r="O401" i="53"/>
  <c r="S401" i="53" s="1"/>
  <c r="O409" i="53"/>
  <c r="S409" i="53" s="1"/>
  <c r="M392" i="53"/>
  <c r="Q392" i="53" s="1"/>
  <c r="M400" i="53"/>
  <c r="Q400" i="53" s="1"/>
  <c r="M408" i="53"/>
  <c r="Q408" i="53" s="1"/>
  <c r="O402" i="53"/>
  <c r="S402" i="53" s="1"/>
  <c r="O135" i="53"/>
  <c r="S135" i="53" s="1"/>
  <c r="O143" i="53"/>
  <c r="S143" i="53" s="1"/>
  <c r="O151" i="53"/>
  <c r="S151" i="53" s="1"/>
  <c r="M134" i="53"/>
  <c r="Q134" i="53" s="1"/>
  <c r="M142" i="53"/>
  <c r="Q142" i="53" s="1"/>
  <c r="M150" i="53"/>
  <c r="Q150" i="53" s="1"/>
  <c r="O136" i="53"/>
  <c r="S136" i="53" s="1"/>
  <c r="O144" i="53"/>
  <c r="S144" i="53" s="1"/>
  <c r="O152" i="53"/>
  <c r="S152" i="53" s="1"/>
  <c r="M135" i="53"/>
  <c r="Q135" i="53" s="1"/>
  <c r="M143" i="53"/>
  <c r="Q143" i="53" s="1"/>
  <c r="M151" i="53"/>
  <c r="Q151" i="53" s="1"/>
  <c r="M133" i="53"/>
  <c r="Q133" i="53" s="1"/>
  <c r="O137" i="53"/>
  <c r="S137" i="53" s="1"/>
  <c r="O145" i="53"/>
  <c r="S145" i="53" s="1"/>
  <c r="O153" i="53"/>
  <c r="S153" i="53" s="1"/>
  <c r="M136" i="53"/>
  <c r="Q136" i="53" s="1"/>
  <c r="M144" i="53"/>
  <c r="Q144" i="53" s="1"/>
  <c r="M152" i="53"/>
  <c r="Q152" i="53" s="1"/>
  <c r="O142" i="53"/>
  <c r="S142" i="53" s="1"/>
  <c r="O138" i="53"/>
  <c r="S138" i="53" s="1"/>
  <c r="O146" i="53"/>
  <c r="S146" i="53" s="1"/>
  <c r="O154" i="53"/>
  <c r="S154" i="53" s="1"/>
  <c r="M137" i="53"/>
  <c r="Q137" i="53" s="1"/>
  <c r="M145" i="53"/>
  <c r="Q145" i="53" s="1"/>
  <c r="M153" i="53"/>
  <c r="Q153" i="53" s="1"/>
  <c r="M141" i="53"/>
  <c r="Q141" i="53" s="1"/>
  <c r="O139" i="53"/>
  <c r="S139" i="53" s="1"/>
  <c r="O147" i="53"/>
  <c r="S147" i="53" s="1"/>
  <c r="O155" i="53"/>
  <c r="S155" i="53" s="1"/>
  <c r="M138" i="53"/>
  <c r="Q138" i="53" s="1"/>
  <c r="M146" i="53"/>
  <c r="Q146" i="53" s="1"/>
  <c r="M154" i="53"/>
  <c r="Q154" i="53" s="1"/>
  <c r="M149" i="53"/>
  <c r="Q149" i="53" s="1"/>
  <c r="O132" i="53"/>
  <c r="S132" i="53" s="1"/>
  <c r="O140" i="53"/>
  <c r="S140" i="53" s="1"/>
  <c r="O148" i="53"/>
  <c r="S148" i="53" s="1"/>
  <c r="O156" i="53"/>
  <c r="S156" i="53" s="1"/>
  <c r="M139" i="53"/>
  <c r="Q139" i="53" s="1"/>
  <c r="M147" i="53"/>
  <c r="Q147" i="53" s="1"/>
  <c r="M155" i="53"/>
  <c r="Q155" i="53" s="1"/>
  <c r="O134" i="53"/>
  <c r="S134" i="53" s="1"/>
  <c r="O133" i="53"/>
  <c r="S133" i="53" s="1"/>
  <c r="O141" i="53"/>
  <c r="S141" i="53" s="1"/>
  <c r="O149" i="53"/>
  <c r="S149" i="53" s="1"/>
  <c r="M132" i="53"/>
  <c r="Q132" i="53" s="1"/>
  <c r="M140" i="53"/>
  <c r="Q140" i="53" s="1"/>
  <c r="M148" i="53"/>
  <c r="Q148" i="53" s="1"/>
  <c r="M156" i="53"/>
  <c r="Q156" i="53" s="1"/>
  <c r="O150" i="53"/>
  <c r="S150" i="53" s="1"/>
  <c r="O77" i="53"/>
  <c r="S77" i="53" s="1"/>
  <c r="O85" i="53"/>
  <c r="S85" i="53" s="1"/>
  <c r="O93" i="53"/>
  <c r="S93" i="53" s="1"/>
  <c r="M76" i="53"/>
  <c r="Q76" i="53" s="1"/>
  <c r="M84" i="53"/>
  <c r="Q84" i="53" s="1"/>
  <c r="M92" i="53"/>
  <c r="Q92" i="53" s="1"/>
  <c r="O91" i="53"/>
  <c r="S91" i="53" s="1"/>
  <c r="M83" i="53"/>
  <c r="Q83" i="53" s="1"/>
  <c r="O78" i="53"/>
  <c r="S78" i="53" s="1"/>
  <c r="O86" i="53"/>
  <c r="S86" i="53" s="1"/>
  <c r="O94" i="53"/>
  <c r="S94" i="53" s="1"/>
  <c r="M77" i="53"/>
  <c r="Q77" i="53" s="1"/>
  <c r="M85" i="53"/>
  <c r="Q85" i="53" s="1"/>
  <c r="M93" i="53"/>
  <c r="Q93" i="53" s="1"/>
  <c r="M90" i="53"/>
  <c r="Q90" i="53" s="1"/>
  <c r="O92" i="53"/>
  <c r="S92" i="53" s="1"/>
  <c r="O79" i="53"/>
  <c r="S79" i="53" s="1"/>
  <c r="O87" i="53"/>
  <c r="S87" i="53" s="1"/>
  <c r="O95" i="53"/>
  <c r="S95" i="53" s="1"/>
  <c r="M78" i="53"/>
  <c r="Q78" i="53" s="1"/>
  <c r="M86" i="53"/>
  <c r="Q86" i="53" s="1"/>
  <c r="M94" i="53"/>
  <c r="Q94" i="53" s="1"/>
  <c r="M82" i="53"/>
  <c r="Q82" i="53" s="1"/>
  <c r="M91" i="53"/>
  <c r="Q91" i="53" s="1"/>
  <c r="O80" i="53"/>
  <c r="S80" i="53" s="1"/>
  <c r="O88" i="53"/>
  <c r="S88" i="53" s="1"/>
  <c r="O96" i="53"/>
  <c r="S96" i="53" s="1"/>
  <c r="M79" i="53"/>
  <c r="Q79" i="53" s="1"/>
  <c r="M87" i="53"/>
  <c r="Q87" i="53" s="1"/>
  <c r="M95" i="53"/>
  <c r="Q95" i="53" s="1"/>
  <c r="M74" i="53"/>
  <c r="Q74" i="53" s="1"/>
  <c r="O76" i="53"/>
  <c r="S76" i="53" s="1"/>
  <c r="O73" i="53"/>
  <c r="S73" i="53" s="1"/>
  <c r="O81" i="53"/>
  <c r="S81" i="53" s="1"/>
  <c r="O89" i="53"/>
  <c r="S89" i="53" s="1"/>
  <c r="O97" i="53"/>
  <c r="S97" i="53" s="1"/>
  <c r="M80" i="53"/>
  <c r="Q80" i="53" s="1"/>
  <c r="M88" i="53"/>
  <c r="Q88" i="53" s="1"/>
  <c r="M96" i="53"/>
  <c r="Q96" i="53" s="1"/>
  <c r="O75" i="53"/>
  <c r="S75" i="53" s="1"/>
  <c r="O84" i="53"/>
  <c r="S84" i="53" s="1"/>
  <c r="O74" i="53"/>
  <c r="S74" i="53" s="1"/>
  <c r="O82" i="53"/>
  <c r="S82" i="53" s="1"/>
  <c r="O90" i="53"/>
  <c r="S90" i="53" s="1"/>
  <c r="M73" i="53"/>
  <c r="Q73" i="53" s="1"/>
  <c r="M81" i="53"/>
  <c r="Q81" i="53" s="1"/>
  <c r="M89" i="53"/>
  <c r="Q89" i="53" s="1"/>
  <c r="M97" i="53"/>
  <c r="Q97" i="53" s="1"/>
  <c r="O83" i="53"/>
  <c r="S83" i="53" s="1"/>
  <c r="M75" i="53"/>
  <c r="Q75" i="53" s="1"/>
  <c r="O19" i="53"/>
  <c r="S19" i="53" s="1"/>
  <c r="O27" i="53"/>
  <c r="S27" i="53" s="1"/>
  <c r="O35" i="53"/>
  <c r="S35" i="53" s="1"/>
  <c r="M18" i="53"/>
  <c r="Q18" i="53" s="1"/>
  <c r="M26" i="53"/>
  <c r="Q26" i="53" s="1"/>
  <c r="M34" i="53"/>
  <c r="Q34" i="53" s="1"/>
  <c r="O26" i="53"/>
  <c r="S26" i="53" s="1"/>
  <c r="O20" i="53"/>
  <c r="S20" i="53" s="1"/>
  <c r="O28" i="53"/>
  <c r="S28" i="53" s="1"/>
  <c r="O36" i="53"/>
  <c r="S36" i="53" s="1"/>
  <c r="M19" i="53"/>
  <c r="Q19" i="53" s="1"/>
  <c r="M27" i="53"/>
  <c r="Q27" i="53" s="1"/>
  <c r="M35" i="53"/>
  <c r="Q35" i="53" s="1"/>
  <c r="O13" i="53"/>
  <c r="S13" i="53" s="1"/>
  <c r="O21" i="53"/>
  <c r="S21" i="53" s="1"/>
  <c r="O29" i="53"/>
  <c r="S29" i="53" s="1"/>
  <c r="O37" i="53"/>
  <c r="S37" i="53" s="1"/>
  <c r="M20" i="53"/>
  <c r="Q20" i="53" s="1"/>
  <c r="M28" i="53"/>
  <c r="Q28" i="53" s="1"/>
  <c r="M36" i="53"/>
  <c r="Q36" i="53" s="1"/>
  <c r="O34" i="53"/>
  <c r="S34" i="53" s="1"/>
  <c r="O14" i="53"/>
  <c r="S14" i="53" s="1"/>
  <c r="O22" i="53"/>
  <c r="S22" i="53" s="1"/>
  <c r="O30" i="53"/>
  <c r="S30" i="53" s="1"/>
  <c r="M13" i="53"/>
  <c r="Q13" i="53" s="1"/>
  <c r="M21" i="53"/>
  <c r="Q21" i="53" s="1"/>
  <c r="M29" i="53"/>
  <c r="Q29" i="53" s="1"/>
  <c r="M37" i="53"/>
  <c r="Q37" i="53" s="1"/>
  <c r="M32" i="53"/>
  <c r="Q32" i="53" s="1"/>
  <c r="M17" i="53"/>
  <c r="Q17" i="53" s="1"/>
  <c r="O15" i="53"/>
  <c r="S15" i="53" s="1"/>
  <c r="O23" i="53"/>
  <c r="S23" i="53" s="1"/>
  <c r="O31" i="53"/>
  <c r="S31" i="53" s="1"/>
  <c r="M14" i="53"/>
  <c r="Q14" i="53" s="1"/>
  <c r="M22" i="53"/>
  <c r="Q22" i="53" s="1"/>
  <c r="M30" i="53"/>
  <c r="Q30" i="53" s="1"/>
  <c r="M16" i="53"/>
  <c r="Q16" i="53" s="1"/>
  <c r="M25" i="53"/>
  <c r="Q25" i="53" s="1"/>
  <c r="O16" i="53"/>
  <c r="S16" i="53" s="1"/>
  <c r="O24" i="53"/>
  <c r="S24" i="53" s="1"/>
  <c r="O32" i="53"/>
  <c r="S32" i="53" s="1"/>
  <c r="M15" i="53"/>
  <c r="Q15" i="53" s="1"/>
  <c r="M23" i="53"/>
  <c r="Q23" i="53" s="1"/>
  <c r="M31" i="53"/>
  <c r="Q31" i="53" s="1"/>
  <c r="O33" i="53"/>
  <c r="S33" i="53" s="1"/>
  <c r="O18" i="53"/>
  <c r="S18" i="53" s="1"/>
  <c r="O17" i="53"/>
  <c r="S17" i="53" s="1"/>
  <c r="O25" i="53"/>
  <c r="S25" i="53" s="1"/>
  <c r="M24" i="53"/>
  <c r="Q24" i="53" s="1"/>
  <c r="M33" i="53"/>
  <c r="Q33" i="53" s="1"/>
  <c r="O46" i="53"/>
  <c r="S46" i="53" s="1"/>
  <c r="O54" i="53"/>
  <c r="S54" i="53" s="1"/>
  <c r="O62" i="53"/>
  <c r="S62" i="53" s="1"/>
  <c r="M45" i="53"/>
  <c r="Q45" i="53" s="1"/>
  <c r="M53" i="53"/>
  <c r="Q53" i="53" s="1"/>
  <c r="M61" i="53"/>
  <c r="Q61" i="53" s="1"/>
  <c r="M60" i="53"/>
  <c r="Q60" i="53" s="1"/>
  <c r="O47" i="53"/>
  <c r="S47" i="53" s="1"/>
  <c r="O55" i="53"/>
  <c r="S55" i="53" s="1"/>
  <c r="O63" i="53"/>
  <c r="S63" i="53" s="1"/>
  <c r="M46" i="53"/>
  <c r="Q46" i="53" s="1"/>
  <c r="M54" i="53"/>
  <c r="Q54" i="53" s="1"/>
  <c r="M62" i="53"/>
  <c r="Q62" i="53" s="1"/>
  <c r="O61" i="53"/>
  <c r="S61" i="53" s="1"/>
  <c r="O48" i="53"/>
  <c r="S48" i="53" s="1"/>
  <c r="O56" i="53"/>
  <c r="S56" i="53" s="1"/>
  <c r="O64" i="53"/>
  <c r="S64" i="53" s="1"/>
  <c r="M47" i="53"/>
  <c r="Q47" i="53" s="1"/>
  <c r="M55" i="53"/>
  <c r="Q55" i="53" s="1"/>
  <c r="M63" i="53"/>
  <c r="Q63" i="53" s="1"/>
  <c r="M44" i="53"/>
  <c r="Q44" i="53" s="1"/>
  <c r="O49" i="53"/>
  <c r="S49" i="53" s="1"/>
  <c r="O57" i="53"/>
  <c r="S57" i="53" s="1"/>
  <c r="O65" i="53"/>
  <c r="S65" i="53" s="1"/>
  <c r="M48" i="53"/>
  <c r="Q48" i="53" s="1"/>
  <c r="M56" i="53"/>
  <c r="Q56" i="53" s="1"/>
  <c r="M64" i="53"/>
  <c r="Q64" i="53" s="1"/>
  <c r="O42" i="53"/>
  <c r="S42" i="53" s="1"/>
  <c r="O50" i="53"/>
  <c r="S50" i="53" s="1"/>
  <c r="O58" i="53"/>
  <c r="S58" i="53" s="1"/>
  <c r="O66" i="53"/>
  <c r="S66" i="53" s="1"/>
  <c r="M49" i="53"/>
  <c r="Q49" i="53" s="1"/>
  <c r="M57" i="53"/>
  <c r="Q57" i="53" s="1"/>
  <c r="M65" i="53"/>
  <c r="Q65" i="53" s="1"/>
  <c r="O53" i="53"/>
  <c r="S53" i="53" s="1"/>
  <c r="O43" i="53"/>
  <c r="S43" i="53" s="1"/>
  <c r="O51" i="53"/>
  <c r="S51" i="53" s="1"/>
  <c r="O59" i="53"/>
  <c r="S59" i="53" s="1"/>
  <c r="M42" i="53"/>
  <c r="Q42" i="53" s="1"/>
  <c r="M50" i="53"/>
  <c r="Q50" i="53" s="1"/>
  <c r="M58" i="53"/>
  <c r="Q58" i="53" s="1"/>
  <c r="M66" i="53"/>
  <c r="Q66" i="53" s="1"/>
  <c r="O45" i="53"/>
  <c r="S45" i="53" s="1"/>
  <c r="O44" i="53"/>
  <c r="S44" i="53" s="1"/>
  <c r="O52" i="53"/>
  <c r="S52" i="53" s="1"/>
  <c r="O60" i="53"/>
  <c r="S60" i="53" s="1"/>
  <c r="M43" i="53"/>
  <c r="Q43" i="53" s="1"/>
  <c r="M51" i="53"/>
  <c r="Q51" i="53" s="1"/>
  <c r="M59" i="53"/>
  <c r="Q59" i="53" s="1"/>
  <c r="M52" i="53"/>
  <c r="Q52" i="53" s="1"/>
  <c r="O830" i="59"/>
  <c r="S830" i="59" s="1"/>
  <c r="O838" i="59"/>
  <c r="S838" i="59" s="1"/>
  <c r="O846" i="59"/>
  <c r="S846" i="59" s="1"/>
  <c r="M829" i="59"/>
  <c r="Q829" i="59" s="1"/>
  <c r="M837" i="59"/>
  <c r="Q837" i="59" s="1"/>
  <c r="M845" i="59"/>
  <c r="Q845" i="59" s="1"/>
  <c r="M836" i="59"/>
  <c r="Q836" i="59" s="1"/>
  <c r="O831" i="59"/>
  <c r="S831" i="59" s="1"/>
  <c r="O839" i="59"/>
  <c r="S839" i="59" s="1"/>
  <c r="O847" i="59"/>
  <c r="S847" i="59" s="1"/>
  <c r="M830" i="59"/>
  <c r="Q830" i="59" s="1"/>
  <c r="M838" i="59"/>
  <c r="Q838" i="59" s="1"/>
  <c r="M846" i="59"/>
  <c r="Q846" i="59" s="1"/>
  <c r="M844" i="59"/>
  <c r="Q844" i="59" s="1"/>
  <c r="O832" i="59"/>
  <c r="S832" i="59" s="1"/>
  <c r="O840" i="59"/>
  <c r="S840" i="59" s="1"/>
  <c r="O848" i="59"/>
  <c r="S848" i="59" s="1"/>
  <c r="M831" i="59"/>
  <c r="Q831" i="59" s="1"/>
  <c r="M839" i="59"/>
  <c r="Q839" i="59" s="1"/>
  <c r="M847" i="59"/>
  <c r="Q847" i="59" s="1"/>
  <c r="O845" i="59"/>
  <c r="S845" i="59" s="1"/>
  <c r="O833" i="59"/>
  <c r="S833" i="59" s="1"/>
  <c r="O841" i="59"/>
  <c r="S841" i="59" s="1"/>
  <c r="O849" i="59"/>
  <c r="S849" i="59" s="1"/>
  <c r="M832" i="59"/>
  <c r="Q832" i="59" s="1"/>
  <c r="M840" i="59"/>
  <c r="Q840" i="59" s="1"/>
  <c r="M848" i="59"/>
  <c r="Q848" i="59" s="1"/>
  <c r="M828" i="59"/>
  <c r="Q828" i="59" s="1"/>
  <c r="O834" i="59"/>
  <c r="S834" i="59" s="1"/>
  <c r="O842" i="59"/>
  <c r="S842" i="59" s="1"/>
  <c r="O850" i="59"/>
  <c r="S850" i="59" s="1"/>
  <c r="M833" i="59"/>
  <c r="Q833" i="59" s="1"/>
  <c r="M841" i="59"/>
  <c r="Q841" i="59" s="1"/>
  <c r="M849" i="59"/>
  <c r="Q849" i="59" s="1"/>
  <c r="O829" i="59"/>
  <c r="S829" i="59" s="1"/>
  <c r="O827" i="59"/>
  <c r="S827" i="59" s="1"/>
  <c r="O835" i="59"/>
  <c r="S835" i="59" s="1"/>
  <c r="O843" i="59"/>
  <c r="S843" i="59" s="1"/>
  <c r="O851" i="59"/>
  <c r="S851" i="59" s="1"/>
  <c r="M834" i="59"/>
  <c r="Q834" i="59" s="1"/>
  <c r="M842" i="59"/>
  <c r="Q842" i="59" s="1"/>
  <c r="M850" i="59"/>
  <c r="Q850" i="59" s="1"/>
  <c r="O837" i="59"/>
  <c r="S837" i="59" s="1"/>
  <c r="O828" i="59"/>
  <c r="S828" i="59" s="1"/>
  <c r="O836" i="59"/>
  <c r="S836" i="59" s="1"/>
  <c r="O844" i="59"/>
  <c r="S844" i="59" s="1"/>
  <c r="M827" i="59"/>
  <c r="Q827" i="59" s="1"/>
  <c r="M835" i="59"/>
  <c r="Q835" i="59" s="1"/>
  <c r="M843" i="59"/>
  <c r="Q843" i="59" s="1"/>
  <c r="M851" i="59"/>
  <c r="Q851" i="59" s="1"/>
  <c r="O772" i="59"/>
  <c r="S772" i="59" s="1"/>
  <c r="O780" i="59"/>
  <c r="S780" i="59" s="1"/>
  <c r="O788" i="59"/>
  <c r="S788" i="59" s="1"/>
  <c r="M771" i="59"/>
  <c r="Q771" i="59" s="1"/>
  <c r="M779" i="59"/>
  <c r="Q779" i="59" s="1"/>
  <c r="M787" i="59"/>
  <c r="Q787" i="59" s="1"/>
  <c r="O773" i="59"/>
  <c r="S773" i="59" s="1"/>
  <c r="O781" i="59"/>
  <c r="S781" i="59" s="1"/>
  <c r="O789" i="59"/>
  <c r="S789" i="59" s="1"/>
  <c r="M772" i="59"/>
  <c r="Q772" i="59" s="1"/>
  <c r="M780" i="59"/>
  <c r="Q780" i="59" s="1"/>
  <c r="M788" i="59"/>
  <c r="Q788" i="59" s="1"/>
  <c r="O787" i="59"/>
  <c r="S787" i="59" s="1"/>
  <c r="O774" i="59"/>
  <c r="S774" i="59" s="1"/>
  <c r="O782" i="59"/>
  <c r="S782" i="59" s="1"/>
  <c r="O790" i="59"/>
  <c r="S790" i="59" s="1"/>
  <c r="M773" i="59"/>
  <c r="Q773" i="59" s="1"/>
  <c r="M781" i="59"/>
  <c r="Q781" i="59" s="1"/>
  <c r="M789" i="59"/>
  <c r="Q789" i="59" s="1"/>
  <c r="M786" i="59"/>
  <c r="Q786" i="59" s="1"/>
  <c r="O775" i="59"/>
  <c r="S775" i="59" s="1"/>
  <c r="O783" i="59"/>
  <c r="S783" i="59" s="1"/>
  <c r="O791" i="59"/>
  <c r="S791" i="59" s="1"/>
  <c r="M774" i="59"/>
  <c r="Q774" i="59" s="1"/>
  <c r="M782" i="59"/>
  <c r="Q782" i="59" s="1"/>
  <c r="M790" i="59"/>
  <c r="Q790" i="59" s="1"/>
  <c r="O779" i="59"/>
  <c r="S779" i="59" s="1"/>
  <c r="O768" i="59"/>
  <c r="S768" i="59" s="1"/>
  <c r="O776" i="59"/>
  <c r="S776" i="59" s="1"/>
  <c r="O784" i="59"/>
  <c r="S784" i="59" s="1"/>
  <c r="O792" i="59"/>
  <c r="S792" i="59" s="1"/>
  <c r="M775" i="59"/>
  <c r="Q775" i="59" s="1"/>
  <c r="M783" i="59"/>
  <c r="Q783" i="59" s="1"/>
  <c r="M791" i="59"/>
  <c r="Q791" i="59" s="1"/>
  <c r="M770" i="59"/>
  <c r="Q770" i="59" s="1"/>
  <c r="O769" i="59"/>
  <c r="S769" i="59" s="1"/>
  <c r="O777" i="59"/>
  <c r="S777" i="59" s="1"/>
  <c r="O785" i="59"/>
  <c r="S785" i="59" s="1"/>
  <c r="M768" i="59"/>
  <c r="Q768" i="59" s="1"/>
  <c r="M776" i="59"/>
  <c r="Q776" i="59" s="1"/>
  <c r="M784" i="59"/>
  <c r="Q784" i="59" s="1"/>
  <c r="M792" i="59"/>
  <c r="Q792" i="59" s="1"/>
  <c r="O771" i="59"/>
  <c r="S771" i="59" s="1"/>
  <c r="O770" i="59"/>
  <c r="S770" i="59" s="1"/>
  <c r="O778" i="59"/>
  <c r="S778" i="59" s="1"/>
  <c r="O786" i="59"/>
  <c r="S786" i="59" s="1"/>
  <c r="M769" i="59"/>
  <c r="Q769" i="59" s="1"/>
  <c r="M777" i="59"/>
  <c r="Q777" i="59" s="1"/>
  <c r="M785" i="59"/>
  <c r="Q785" i="59" s="1"/>
  <c r="M778" i="59"/>
  <c r="Q778" i="59" s="1"/>
  <c r="O714" i="59"/>
  <c r="S714" i="59" s="1"/>
  <c r="O722" i="59"/>
  <c r="S722" i="59" s="1"/>
  <c r="O730" i="59"/>
  <c r="S730" i="59" s="1"/>
  <c r="M713" i="59"/>
  <c r="Q713" i="59" s="1"/>
  <c r="M721" i="59"/>
  <c r="Q721" i="59" s="1"/>
  <c r="M729" i="59"/>
  <c r="Q729" i="59" s="1"/>
  <c r="M730" i="59"/>
  <c r="Q730" i="59" s="1"/>
  <c r="O715" i="59"/>
  <c r="S715" i="59" s="1"/>
  <c r="O723" i="59"/>
  <c r="S723" i="59" s="1"/>
  <c r="O731" i="59"/>
  <c r="S731" i="59" s="1"/>
  <c r="M714" i="59"/>
  <c r="Q714" i="59" s="1"/>
  <c r="M722" i="59"/>
  <c r="Q722" i="59" s="1"/>
  <c r="M728" i="59"/>
  <c r="Q728" i="59" s="1"/>
  <c r="O708" i="59"/>
  <c r="S708" i="59" s="1"/>
  <c r="O716" i="59"/>
  <c r="S716" i="59" s="1"/>
  <c r="O724" i="59"/>
  <c r="S724" i="59" s="1"/>
  <c r="O732" i="59"/>
  <c r="S732" i="59" s="1"/>
  <c r="M715" i="59"/>
  <c r="Q715" i="59" s="1"/>
  <c r="M723" i="59"/>
  <c r="Q723" i="59" s="1"/>
  <c r="M731" i="59"/>
  <c r="Q731" i="59" s="1"/>
  <c r="M720" i="59"/>
  <c r="Q720" i="59" s="1"/>
  <c r="O709" i="59"/>
  <c r="S709" i="59" s="1"/>
  <c r="O717" i="59"/>
  <c r="S717" i="59" s="1"/>
  <c r="O725" i="59"/>
  <c r="S725" i="59" s="1"/>
  <c r="M708" i="59"/>
  <c r="Q708" i="59" s="1"/>
  <c r="M716" i="59"/>
  <c r="Q716" i="59" s="1"/>
  <c r="M724" i="59"/>
  <c r="Q724" i="59" s="1"/>
  <c r="M732" i="59"/>
  <c r="Q732" i="59" s="1"/>
  <c r="O713" i="59"/>
  <c r="S713" i="59" s="1"/>
  <c r="O710" i="59"/>
  <c r="S710" i="59" s="1"/>
  <c r="O718" i="59"/>
  <c r="S718" i="59" s="1"/>
  <c r="O726" i="59"/>
  <c r="S726" i="59" s="1"/>
  <c r="M709" i="59"/>
  <c r="Q709" i="59" s="1"/>
  <c r="M717" i="59"/>
  <c r="Q717" i="59" s="1"/>
  <c r="M725" i="59"/>
  <c r="Q725" i="59" s="1"/>
  <c r="M712" i="59"/>
  <c r="Q712" i="59" s="1"/>
  <c r="O711" i="59"/>
  <c r="S711" i="59" s="1"/>
  <c r="O719" i="59"/>
  <c r="S719" i="59" s="1"/>
  <c r="O727" i="59"/>
  <c r="S727" i="59" s="1"/>
  <c r="M710" i="59"/>
  <c r="Q710" i="59" s="1"/>
  <c r="M718" i="59"/>
  <c r="Q718" i="59" s="1"/>
  <c r="M726" i="59"/>
  <c r="Q726" i="59" s="1"/>
  <c r="O721" i="59"/>
  <c r="S721" i="59" s="1"/>
  <c r="O712" i="59"/>
  <c r="S712" i="59" s="1"/>
  <c r="O720" i="59"/>
  <c r="S720" i="59" s="1"/>
  <c r="O728" i="59"/>
  <c r="S728" i="59" s="1"/>
  <c r="M711" i="59"/>
  <c r="Q711" i="59" s="1"/>
  <c r="M719" i="59"/>
  <c r="Q719" i="59" s="1"/>
  <c r="M727" i="59"/>
  <c r="Q727" i="59" s="1"/>
  <c r="O729" i="59"/>
  <c r="S729" i="59" s="1"/>
  <c r="O741" i="59"/>
  <c r="S741" i="59" s="1"/>
  <c r="O749" i="59"/>
  <c r="S749" i="59" s="1"/>
  <c r="O757" i="59"/>
  <c r="S757" i="59" s="1"/>
  <c r="M740" i="59"/>
  <c r="Q740" i="59" s="1"/>
  <c r="M748" i="59"/>
  <c r="Q748" i="59" s="1"/>
  <c r="M756" i="59"/>
  <c r="Q756" i="59" s="1"/>
  <c r="M747" i="59"/>
  <c r="Q747" i="59" s="1"/>
  <c r="O742" i="59"/>
  <c r="S742" i="59" s="1"/>
  <c r="O750" i="59"/>
  <c r="S750" i="59" s="1"/>
  <c r="O758" i="59"/>
  <c r="S758" i="59" s="1"/>
  <c r="M741" i="59"/>
  <c r="Q741" i="59" s="1"/>
  <c r="M749" i="59"/>
  <c r="Q749" i="59" s="1"/>
  <c r="M757" i="59"/>
  <c r="Q757" i="59" s="1"/>
  <c r="M739" i="59"/>
  <c r="Q739" i="59" s="1"/>
  <c r="O743" i="59"/>
  <c r="S743" i="59" s="1"/>
  <c r="O751" i="59"/>
  <c r="S751" i="59" s="1"/>
  <c r="O759" i="59"/>
  <c r="S759" i="59" s="1"/>
  <c r="M742" i="59"/>
  <c r="Q742" i="59" s="1"/>
  <c r="M750" i="59"/>
  <c r="Q750" i="59" s="1"/>
  <c r="M758" i="59"/>
  <c r="Q758" i="59" s="1"/>
  <c r="M755" i="59"/>
  <c r="Q755" i="59" s="1"/>
  <c r="O744" i="59"/>
  <c r="S744" i="59" s="1"/>
  <c r="O752" i="59"/>
  <c r="S752" i="59" s="1"/>
  <c r="O760" i="59"/>
  <c r="S760" i="59" s="1"/>
  <c r="M743" i="59"/>
  <c r="Q743" i="59" s="1"/>
  <c r="M751" i="59"/>
  <c r="Q751" i="59" s="1"/>
  <c r="M759" i="59"/>
  <c r="Q759" i="59" s="1"/>
  <c r="O737" i="59"/>
  <c r="S737" i="59" s="1"/>
  <c r="O745" i="59"/>
  <c r="S745" i="59" s="1"/>
  <c r="O753" i="59"/>
  <c r="S753" i="59" s="1"/>
  <c r="O761" i="59"/>
  <c r="S761" i="59" s="1"/>
  <c r="M744" i="59"/>
  <c r="Q744" i="59" s="1"/>
  <c r="M752" i="59"/>
  <c r="Q752" i="59" s="1"/>
  <c r="M760" i="59"/>
  <c r="Q760" i="59" s="1"/>
  <c r="O740" i="59"/>
  <c r="S740" i="59" s="1"/>
  <c r="O738" i="59"/>
  <c r="S738" i="59" s="1"/>
  <c r="O746" i="59"/>
  <c r="S746" i="59" s="1"/>
  <c r="O754" i="59"/>
  <c r="S754" i="59" s="1"/>
  <c r="M737" i="59"/>
  <c r="Q737" i="59" s="1"/>
  <c r="M745" i="59"/>
  <c r="Q745" i="59" s="1"/>
  <c r="M753" i="59"/>
  <c r="Q753" i="59" s="1"/>
  <c r="M761" i="59"/>
  <c r="Q761" i="59" s="1"/>
  <c r="O756" i="59"/>
  <c r="S756" i="59" s="1"/>
  <c r="O739" i="59"/>
  <c r="S739" i="59" s="1"/>
  <c r="O747" i="59"/>
  <c r="S747" i="59" s="1"/>
  <c r="O755" i="59"/>
  <c r="S755" i="59" s="1"/>
  <c r="M738" i="59"/>
  <c r="Q738" i="59" s="1"/>
  <c r="M746" i="59"/>
  <c r="Q746" i="59" s="1"/>
  <c r="M754" i="59"/>
  <c r="Q754" i="59" s="1"/>
  <c r="O748" i="59"/>
  <c r="S748" i="59" s="1"/>
  <c r="O481" i="59"/>
  <c r="S481" i="59" s="1"/>
  <c r="O489" i="59"/>
  <c r="S489" i="59" s="1"/>
  <c r="O497" i="59"/>
  <c r="S497" i="59" s="1"/>
  <c r="M480" i="59"/>
  <c r="Q480" i="59" s="1"/>
  <c r="M488" i="59"/>
  <c r="Q488" i="59" s="1"/>
  <c r="M496" i="59"/>
  <c r="Q496" i="59" s="1"/>
  <c r="O482" i="59"/>
  <c r="S482" i="59" s="1"/>
  <c r="O490" i="59"/>
  <c r="S490" i="59" s="1"/>
  <c r="O498" i="59"/>
  <c r="S498" i="59" s="1"/>
  <c r="M481" i="59"/>
  <c r="Q481" i="59" s="1"/>
  <c r="M489" i="59"/>
  <c r="Q489" i="59" s="1"/>
  <c r="M497" i="59"/>
  <c r="Q497" i="59" s="1"/>
  <c r="O483" i="59"/>
  <c r="S483" i="59" s="1"/>
  <c r="O491" i="59"/>
  <c r="S491" i="59" s="1"/>
  <c r="O499" i="59"/>
  <c r="S499" i="59" s="1"/>
  <c r="M482" i="59"/>
  <c r="Q482" i="59" s="1"/>
  <c r="M490" i="59"/>
  <c r="Q490" i="59" s="1"/>
  <c r="M498" i="59"/>
  <c r="Q498" i="59" s="1"/>
  <c r="M487" i="59"/>
  <c r="Q487" i="59" s="1"/>
  <c r="O484" i="59"/>
  <c r="S484" i="59" s="1"/>
  <c r="O492" i="59"/>
  <c r="S492" i="59" s="1"/>
  <c r="O500" i="59"/>
  <c r="S500" i="59" s="1"/>
  <c r="M483" i="59"/>
  <c r="Q483" i="59" s="1"/>
  <c r="M491" i="59"/>
  <c r="Q491" i="59" s="1"/>
  <c r="M499" i="59"/>
  <c r="Q499" i="59" s="1"/>
  <c r="M479" i="59"/>
  <c r="Q479" i="59" s="1"/>
  <c r="O485" i="59"/>
  <c r="S485" i="59" s="1"/>
  <c r="O493" i="59"/>
  <c r="S493" i="59" s="1"/>
  <c r="O501" i="59"/>
  <c r="S501" i="59" s="1"/>
  <c r="M484" i="59"/>
  <c r="Q484" i="59" s="1"/>
  <c r="M492" i="59"/>
  <c r="Q492" i="59" s="1"/>
  <c r="M500" i="59"/>
  <c r="Q500" i="59" s="1"/>
  <c r="O480" i="59"/>
  <c r="S480" i="59" s="1"/>
  <c r="O478" i="59"/>
  <c r="S478" i="59" s="1"/>
  <c r="O486" i="59"/>
  <c r="S486" i="59" s="1"/>
  <c r="O494" i="59"/>
  <c r="S494" i="59" s="1"/>
  <c r="O502" i="59"/>
  <c r="S502" i="59" s="1"/>
  <c r="M485" i="59"/>
  <c r="Q485" i="59" s="1"/>
  <c r="M493" i="59"/>
  <c r="Q493" i="59" s="1"/>
  <c r="M501" i="59"/>
  <c r="Q501" i="59" s="1"/>
  <c r="O496" i="59"/>
  <c r="S496" i="59" s="1"/>
  <c r="O479" i="59"/>
  <c r="S479" i="59" s="1"/>
  <c r="O487" i="59"/>
  <c r="S487" i="59" s="1"/>
  <c r="O495" i="59"/>
  <c r="S495" i="59" s="1"/>
  <c r="M478" i="59"/>
  <c r="Q478" i="59" s="1"/>
  <c r="M486" i="59"/>
  <c r="Q486" i="59" s="1"/>
  <c r="M494" i="59"/>
  <c r="Q494" i="59" s="1"/>
  <c r="M502" i="59"/>
  <c r="Q502" i="59" s="1"/>
  <c r="O488" i="59"/>
  <c r="S488" i="59" s="1"/>
  <c r="M495" i="59"/>
  <c r="Q495" i="59" s="1"/>
  <c r="O423" i="59"/>
  <c r="S423" i="59" s="1"/>
  <c r="O431" i="59"/>
  <c r="S431" i="59" s="1"/>
  <c r="O439" i="59"/>
  <c r="S439" i="59" s="1"/>
  <c r="M422" i="59"/>
  <c r="Q422" i="59" s="1"/>
  <c r="M430" i="59"/>
  <c r="Q430" i="59" s="1"/>
  <c r="M438" i="59"/>
  <c r="Q438" i="59" s="1"/>
  <c r="O424" i="59"/>
  <c r="S424" i="59" s="1"/>
  <c r="O432" i="59"/>
  <c r="S432" i="59" s="1"/>
  <c r="O440" i="59"/>
  <c r="S440" i="59" s="1"/>
  <c r="M423" i="59"/>
  <c r="Q423" i="59" s="1"/>
  <c r="M431" i="59"/>
  <c r="Q431" i="59" s="1"/>
  <c r="M439" i="59"/>
  <c r="Q439" i="59" s="1"/>
  <c r="M421" i="59"/>
  <c r="Q421" i="59" s="1"/>
  <c r="O425" i="59"/>
  <c r="S425" i="59" s="1"/>
  <c r="O433" i="59"/>
  <c r="S433" i="59" s="1"/>
  <c r="O441" i="59"/>
  <c r="S441" i="59" s="1"/>
  <c r="M424" i="59"/>
  <c r="Q424" i="59" s="1"/>
  <c r="M432" i="59"/>
  <c r="Q432" i="59" s="1"/>
  <c r="M440" i="59"/>
  <c r="Q440" i="59" s="1"/>
  <c r="O430" i="59"/>
  <c r="S430" i="59" s="1"/>
  <c r="O426" i="59"/>
  <c r="S426" i="59" s="1"/>
  <c r="O434" i="59"/>
  <c r="S434" i="59" s="1"/>
  <c r="O442" i="59"/>
  <c r="S442" i="59" s="1"/>
  <c r="M425" i="59"/>
  <c r="Q425" i="59" s="1"/>
  <c r="M433" i="59"/>
  <c r="Q433" i="59" s="1"/>
  <c r="M441" i="59"/>
  <c r="Q441" i="59" s="1"/>
  <c r="M429" i="59"/>
  <c r="Q429" i="59" s="1"/>
  <c r="O419" i="59"/>
  <c r="S419" i="59" s="1"/>
  <c r="O427" i="59"/>
  <c r="S427" i="59" s="1"/>
  <c r="O435" i="59"/>
  <c r="S435" i="59" s="1"/>
  <c r="O443" i="59"/>
  <c r="S443" i="59" s="1"/>
  <c r="M426" i="59"/>
  <c r="Q426" i="59" s="1"/>
  <c r="M434" i="59"/>
  <c r="Q434" i="59" s="1"/>
  <c r="M442" i="59"/>
  <c r="Q442" i="59" s="1"/>
  <c r="O422" i="59"/>
  <c r="S422" i="59" s="1"/>
  <c r="O420" i="59"/>
  <c r="S420" i="59" s="1"/>
  <c r="O428" i="59"/>
  <c r="S428" i="59" s="1"/>
  <c r="O436" i="59"/>
  <c r="S436" i="59" s="1"/>
  <c r="M419" i="59"/>
  <c r="Q419" i="59" s="1"/>
  <c r="M427" i="59"/>
  <c r="Q427" i="59" s="1"/>
  <c r="M435" i="59"/>
  <c r="Q435" i="59" s="1"/>
  <c r="M443" i="59"/>
  <c r="Q443" i="59" s="1"/>
  <c r="O438" i="59"/>
  <c r="S438" i="59" s="1"/>
  <c r="O421" i="59"/>
  <c r="S421" i="59" s="1"/>
  <c r="O429" i="59"/>
  <c r="S429" i="59" s="1"/>
  <c r="O437" i="59"/>
  <c r="S437" i="59" s="1"/>
  <c r="M420" i="59"/>
  <c r="Q420" i="59" s="1"/>
  <c r="M428" i="59"/>
  <c r="Q428" i="59" s="1"/>
  <c r="M436" i="59"/>
  <c r="Q436" i="59" s="1"/>
  <c r="M437" i="59"/>
  <c r="Q437" i="59" s="1"/>
  <c r="O365" i="59"/>
  <c r="S365" i="59" s="1"/>
  <c r="O373" i="59"/>
  <c r="S373" i="59" s="1"/>
  <c r="O381" i="59"/>
  <c r="S381" i="59" s="1"/>
  <c r="M364" i="59"/>
  <c r="Q364" i="59" s="1"/>
  <c r="M372" i="59"/>
  <c r="Q372" i="59" s="1"/>
  <c r="M380" i="59"/>
  <c r="Q380" i="59" s="1"/>
  <c r="M371" i="59"/>
  <c r="Q371" i="59" s="1"/>
  <c r="O366" i="59"/>
  <c r="S366" i="59" s="1"/>
  <c r="O374" i="59"/>
  <c r="S374" i="59" s="1"/>
  <c r="O382" i="59"/>
  <c r="S382" i="59" s="1"/>
  <c r="M365" i="59"/>
  <c r="Q365" i="59" s="1"/>
  <c r="M373" i="59"/>
  <c r="Q373" i="59" s="1"/>
  <c r="M381" i="59"/>
  <c r="Q381" i="59" s="1"/>
  <c r="O380" i="59"/>
  <c r="S380" i="59" s="1"/>
  <c r="O359" i="59"/>
  <c r="S359" i="59" s="1"/>
  <c r="O367" i="59"/>
  <c r="S367" i="59" s="1"/>
  <c r="O375" i="59"/>
  <c r="S375" i="59" s="1"/>
  <c r="O383" i="59"/>
  <c r="S383" i="59" s="1"/>
  <c r="M366" i="59"/>
  <c r="Q366" i="59" s="1"/>
  <c r="M374" i="59"/>
  <c r="Q374" i="59" s="1"/>
  <c r="M382" i="59"/>
  <c r="Q382" i="59" s="1"/>
  <c r="M363" i="59"/>
  <c r="Q363" i="59" s="1"/>
  <c r="O360" i="59"/>
  <c r="S360" i="59" s="1"/>
  <c r="O368" i="59"/>
  <c r="S368" i="59" s="1"/>
  <c r="O376" i="59"/>
  <c r="S376" i="59" s="1"/>
  <c r="M359" i="59"/>
  <c r="Q359" i="59" s="1"/>
  <c r="M367" i="59"/>
  <c r="Q367" i="59" s="1"/>
  <c r="M375" i="59"/>
  <c r="Q375" i="59" s="1"/>
  <c r="M383" i="59"/>
  <c r="Q383" i="59" s="1"/>
  <c r="M379" i="59"/>
  <c r="Q379" i="59" s="1"/>
  <c r="O361" i="59"/>
  <c r="S361" i="59" s="1"/>
  <c r="O369" i="59"/>
  <c r="S369" i="59" s="1"/>
  <c r="O377" i="59"/>
  <c r="S377" i="59" s="1"/>
  <c r="M360" i="59"/>
  <c r="Q360" i="59" s="1"/>
  <c r="M368" i="59"/>
  <c r="Q368" i="59" s="1"/>
  <c r="M376" i="59"/>
  <c r="Q376" i="59" s="1"/>
  <c r="O372" i="59"/>
  <c r="S372" i="59" s="1"/>
  <c r="O362" i="59"/>
  <c r="S362" i="59" s="1"/>
  <c r="O370" i="59"/>
  <c r="S370" i="59" s="1"/>
  <c r="O378" i="59"/>
  <c r="S378" i="59" s="1"/>
  <c r="M361" i="59"/>
  <c r="Q361" i="59" s="1"/>
  <c r="M369" i="59"/>
  <c r="Q369" i="59" s="1"/>
  <c r="M377" i="59"/>
  <c r="Q377" i="59" s="1"/>
  <c r="O364" i="59"/>
  <c r="S364" i="59" s="1"/>
  <c r="O363" i="59"/>
  <c r="S363" i="59" s="1"/>
  <c r="O371" i="59"/>
  <c r="S371" i="59" s="1"/>
  <c r="O379" i="59"/>
  <c r="S379" i="59" s="1"/>
  <c r="M362" i="59"/>
  <c r="Q362" i="59" s="1"/>
  <c r="M370" i="59"/>
  <c r="Q370" i="59" s="1"/>
  <c r="M378" i="59"/>
  <c r="Q378" i="59" s="1"/>
  <c r="O392" i="59"/>
  <c r="S392" i="59" s="1"/>
  <c r="O400" i="59"/>
  <c r="S400" i="59" s="1"/>
  <c r="O408" i="59"/>
  <c r="S408" i="59" s="1"/>
  <c r="M391" i="59"/>
  <c r="Q391" i="59" s="1"/>
  <c r="M399" i="59"/>
  <c r="Q399" i="59" s="1"/>
  <c r="M407" i="59"/>
  <c r="Q407" i="59" s="1"/>
  <c r="O399" i="59"/>
  <c r="S399" i="59" s="1"/>
  <c r="O393" i="59"/>
  <c r="S393" i="59" s="1"/>
  <c r="O401" i="59"/>
  <c r="S401" i="59" s="1"/>
  <c r="O409" i="59"/>
  <c r="S409" i="59" s="1"/>
  <c r="M392" i="59"/>
  <c r="Q392" i="59" s="1"/>
  <c r="M400" i="59"/>
  <c r="Q400" i="59" s="1"/>
  <c r="M408" i="59"/>
  <c r="Q408" i="59" s="1"/>
  <c r="M390" i="59"/>
  <c r="Q390" i="59" s="1"/>
  <c r="O394" i="59"/>
  <c r="S394" i="59" s="1"/>
  <c r="O402" i="59"/>
  <c r="S402" i="59" s="1"/>
  <c r="O410" i="59"/>
  <c r="S410" i="59" s="1"/>
  <c r="M393" i="59"/>
  <c r="Q393" i="59" s="1"/>
  <c r="M401" i="59"/>
  <c r="Q401" i="59" s="1"/>
  <c r="M409" i="59"/>
  <c r="Q409" i="59" s="1"/>
  <c r="O391" i="59"/>
  <c r="S391" i="59" s="1"/>
  <c r="O395" i="59"/>
  <c r="S395" i="59" s="1"/>
  <c r="O403" i="59"/>
  <c r="S403" i="59" s="1"/>
  <c r="O411" i="59"/>
  <c r="S411" i="59" s="1"/>
  <c r="M394" i="59"/>
  <c r="Q394" i="59" s="1"/>
  <c r="M402" i="59"/>
  <c r="Q402" i="59" s="1"/>
  <c r="M410" i="59"/>
  <c r="Q410" i="59" s="1"/>
  <c r="O388" i="59"/>
  <c r="S388" i="59" s="1"/>
  <c r="O396" i="59"/>
  <c r="S396" i="59" s="1"/>
  <c r="O404" i="59"/>
  <c r="S404" i="59" s="1"/>
  <c r="O412" i="59"/>
  <c r="S412" i="59" s="1"/>
  <c r="M395" i="59"/>
  <c r="Q395" i="59" s="1"/>
  <c r="M403" i="59"/>
  <c r="Q403" i="59" s="1"/>
  <c r="M411" i="59"/>
  <c r="Q411" i="59" s="1"/>
  <c r="M406" i="59"/>
  <c r="Q406" i="59" s="1"/>
  <c r="O389" i="59"/>
  <c r="S389" i="59" s="1"/>
  <c r="O397" i="59"/>
  <c r="S397" i="59" s="1"/>
  <c r="O405" i="59"/>
  <c r="S405" i="59" s="1"/>
  <c r="M388" i="59"/>
  <c r="Q388" i="59" s="1"/>
  <c r="M396" i="59"/>
  <c r="Q396" i="59" s="1"/>
  <c r="M404" i="59"/>
  <c r="Q404" i="59" s="1"/>
  <c r="M412" i="59"/>
  <c r="Q412" i="59" s="1"/>
  <c r="M398" i="59"/>
  <c r="Q398" i="59" s="1"/>
  <c r="O390" i="59"/>
  <c r="S390" i="59" s="1"/>
  <c r="O398" i="59"/>
  <c r="S398" i="59" s="1"/>
  <c r="O406" i="59"/>
  <c r="S406" i="59" s="1"/>
  <c r="M389" i="59"/>
  <c r="Q389" i="59" s="1"/>
  <c r="M397" i="59"/>
  <c r="Q397" i="59" s="1"/>
  <c r="M405" i="59"/>
  <c r="Q405" i="59" s="1"/>
  <c r="O407" i="59"/>
  <c r="S407" i="59" s="1"/>
  <c r="O133" i="59"/>
  <c r="S133" i="59" s="1"/>
  <c r="O141" i="59"/>
  <c r="S141" i="59" s="1"/>
  <c r="O149" i="59"/>
  <c r="S149" i="59" s="1"/>
  <c r="M132" i="59"/>
  <c r="Q132" i="59" s="1"/>
  <c r="M140" i="59"/>
  <c r="Q140" i="59" s="1"/>
  <c r="M148" i="59"/>
  <c r="Q148" i="59" s="1"/>
  <c r="O134" i="59"/>
  <c r="S134" i="59" s="1"/>
  <c r="O142" i="59"/>
  <c r="S142" i="59" s="1"/>
  <c r="O150" i="59"/>
  <c r="S150" i="59" s="1"/>
  <c r="M133" i="59"/>
  <c r="Q133" i="59" s="1"/>
  <c r="M141" i="59"/>
  <c r="Q141" i="59" s="1"/>
  <c r="M149" i="59"/>
  <c r="Q149" i="59" s="1"/>
  <c r="M139" i="59"/>
  <c r="Q139" i="59" s="1"/>
  <c r="O135" i="59"/>
  <c r="S135" i="59" s="1"/>
  <c r="O143" i="59"/>
  <c r="S143" i="59" s="1"/>
  <c r="O151" i="59"/>
  <c r="S151" i="59" s="1"/>
  <c r="M134" i="59"/>
  <c r="Q134" i="59" s="1"/>
  <c r="M142" i="59"/>
  <c r="Q142" i="59" s="1"/>
  <c r="M150" i="59"/>
  <c r="Q150" i="59" s="1"/>
  <c r="M143" i="59"/>
  <c r="Q143" i="59" s="1"/>
  <c r="M131" i="59"/>
  <c r="Q131" i="59" s="1"/>
  <c r="O136" i="59"/>
  <c r="S136" i="59" s="1"/>
  <c r="O144" i="59"/>
  <c r="S144" i="59" s="1"/>
  <c r="O152" i="59"/>
  <c r="S152" i="59" s="1"/>
  <c r="M135" i="59"/>
  <c r="Q135" i="59" s="1"/>
  <c r="M151" i="59"/>
  <c r="Q151" i="59" s="1"/>
  <c r="M147" i="59"/>
  <c r="Q147" i="59" s="1"/>
  <c r="O129" i="59"/>
  <c r="S129" i="59" s="1"/>
  <c r="O137" i="59"/>
  <c r="S137" i="59" s="1"/>
  <c r="O145" i="59"/>
  <c r="S145" i="59" s="1"/>
  <c r="O153" i="59"/>
  <c r="S153" i="59" s="1"/>
  <c r="M136" i="59"/>
  <c r="Q136" i="59" s="1"/>
  <c r="M144" i="59"/>
  <c r="Q144" i="59" s="1"/>
  <c r="M152" i="59"/>
  <c r="Q152" i="59" s="1"/>
  <c r="O148" i="59"/>
  <c r="S148" i="59" s="1"/>
  <c r="O130" i="59"/>
  <c r="S130" i="59" s="1"/>
  <c r="O138" i="59"/>
  <c r="S138" i="59" s="1"/>
  <c r="O146" i="59"/>
  <c r="S146" i="59" s="1"/>
  <c r="M129" i="59"/>
  <c r="Q129" i="59" s="1"/>
  <c r="M137" i="59"/>
  <c r="Q137" i="59" s="1"/>
  <c r="M145" i="59"/>
  <c r="Q145" i="59" s="1"/>
  <c r="M153" i="59"/>
  <c r="Q153" i="59" s="1"/>
  <c r="M146" i="59"/>
  <c r="Q146" i="59" s="1"/>
  <c r="O132" i="59"/>
  <c r="S132" i="59" s="1"/>
  <c r="O131" i="59"/>
  <c r="S131" i="59" s="1"/>
  <c r="O139" i="59"/>
  <c r="S139" i="59" s="1"/>
  <c r="O147" i="59"/>
  <c r="S147" i="59" s="1"/>
  <c r="M130" i="59"/>
  <c r="Q130" i="59" s="1"/>
  <c r="M138" i="59"/>
  <c r="Q138" i="59" s="1"/>
  <c r="O140" i="59"/>
  <c r="S140" i="59" s="1"/>
  <c r="O74" i="59"/>
  <c r="S74" i="59" s="1"/>
  <c r="O82" i="59"/>
  <c r="S82" i="59" s="1"/>
  <c r="O90" i="59"/>
  <c r="S90" i="59" s="1"/>
  <c r="M73" i="59"/>
  <c r="Q73" i="59" s="1"/>
  <c r="M81" i="59"/>
  <c r="Q81" i="59" s="1"/>
  <c r="M89" i="59"/>
  <c r="Q89" i="59" s="1"/>
  <c r="M80" i="59"/>
  <c r="Q80" i="59" s="1"/>
  <c r="O75" i="59"/>
  <c r="S75" i="59" s="1"/>
  <c r="O83" i="59"/>
  <c r="S83" i="59" s="1"/>
  <c r="O91" i="59"/>
  <c r="S91" i="59" s="1"/>
  <c r="M74" i="59"/>
  <c r="Q74" i="59" s="1"/>
  <c r="M82" i="59"/>
  <c r="Q82" i="59" s="1"/>
  <c r="M90" i="59"/>
  <c r="Q90" i="59" s="1"/>
  <c r="O81" i="59"/>
  <c r="S81" i="59" s="1"/>
  <c r="O76" i="59"/>
  <c r="S76" i="59" s="1"/>
  <c r="O84" i="59"/>
  <c r="S84" i="59" s="1"/>
  <c r="O92" i="59"/>
  <c r="S92" i="59" s="1"/>
  <c r="M75" i="59"/>
  <c r="Q75" i="59" s="1"/>
  <c r="M83" i="59"/>
  <c r="Q83" i="59" s="1"/>
  <c r="M91" i="59"/>
  <c r="Q91" i="59" s="1"/>
  <c r="O73" i="59"/>
  <c r="S73" i="59" s="1"/>
  <c r="O77" i="59"/>
  <c r="S77" i="59" s="1"/>
  <c r="O85" i="59"/>
  <c r="S85" i="59" s="1"/>
  <c r="O93" i="59"/>
  <c r="S93" i="59" s="1"/>
  <c r="M76" i="59"/>
  <c r="Q76" i="59" s="1"/>
  <c r="M84" i="59"/>
  <c r="Q84" i="59" s="1"/>
  <c r="M92" i="59"/>
  <c r="Q92" i="59" s="1"/>
  <c r="O89" i="59"/>
  <c r="S89" i="59" s="1"/>
  <c r="O70" i="59"/>
  <c r="S70" i="59" s="1"/>
  <c r="O78" i="59"/>
  <c r="S78" i="59" s="1"/>
  <c r="O86" i="59"/>
  <c r="S86" i="59" s="1"/>
  <c r="O94" i="59"/>
  <c r="S94" i="59" s="1"/>
  <c r="M77" i="59"/>
  <c r="Q77" i="59" s="1"/>
  <c r="M85" i="59"/>
  <c r="Q85" i="59" s="1"/>
  <c r="M93" i="59"/>
  <c r="Q93" i="59" s="1"/>
  <c r="O71" i="59"/>
  <c r="S71" i="59" s="1"/>
  <c r="O79" i="59"/>
  <c r="S79" i="59" s="1"/>
  <c r="O87" i="59"/>
  <c r="S87" i="59" s="1"/>
  <c r="M70" i="59"/>
  <c r="Q70" i="59" s="1"/>
  <c r="M78" i="59"/>
  <c r="Q78" i="59" s="1"/>
  <c r="M86" i="59"/>
  <c r="Q86" i="59" s="1"/>
  <c r="M94" i="59"/>
  <c r="Q94" i="59" s="1"/>
  <c r="M72" i="59"/>
  <c r="Q72" i="59" s="1"/>
  <c r="O72" i="59"/>
  <c r="S72" i="59" s="1"/>
  <c r="O80" i="59"/>
  <c r="S80" i="59" s="1"/>
  <c r="O88" i="59"/>
  <c r="S88" i="59" s="1"/>
  <c r="M71" i="59"/>
  <c r="Q71" i="59" s="1"/>
  <c r="M79" i="59"/>
  <c r="Q79" i="59" s="1"/>
  <c r="M87" i="59"/>
  <c r="Q87" i="59" s="1"/>
  <c r="M88" i="59"/>
  <c r="Q88" i="59" s="1"/>
  <c r="O18" i="59"/>
  <c r="S18" i="59" s="1"/>
  <c r="O26" i="59"/>
  <c r="S26" i="59" s="1"/>
  <c r="O34" i="59"/>
  <c r="S34" i="59" s="1"/>
  <c r="M17" i="59"/>
  <c r="Q17" i="59" s="1"/>
  <c r="M25" i="59"/>
  <c r="Q25" i="59" s="1"/>
  <c r="M33" i="59"/>
  <c r="Q33" i="59" s="1"/>
  <c r="O17" i="59"/>
  <c r="S17" i="59" s="1"/>
  <c r="O19" i="59"/>
  <c r="S19" i="59" s="1"/>
  <c r="O27" i="59"/>
  <c r="S27" i="59" s="1"/>
  <c r="O35" i="59"/>
  <c r="S35" i="59" s="1"/>
  <c r="M18" i="59"/>
  <c r="Q18" i="59" s="1"/>
  <c r="M26" i="59"/>
  <c r="Q26" i="59" s="1"/>
  <c r="M34" i="59"/>
  <c r="Q34" i="59" s="1"/>
  <c r="M16" i="59"/>
  <c r="Q16" i="59" s="1"/>
  <c r="O12" i="59"/>
  <c r="S12" i="59" s="1"/>
  <c r="O20" i="59"/>
  <c r="S20" i="59" s="1"/>
  <c r="O28" i="59"/>
  <c r="S28" i="59" s="1"/>
  <c r="O36" i="59"/>
  <c r="S36" i="59" s="1"/>
  <c r="M19" i="59"/>
  <c r="Q19" i="59" s="1"/>
  <c r="M27" i="59"/>
  <c r="Q27" i="59" s="1"/>
  <c r="M35" i="59"/>
  <c r="Q35" i="59" s="1"/>
  <c r="O13" i="59"/>
  <c r="S13" i="59" s="1"/>
  <c r="O21" i="59"/>
  <c r="S21" i="59" s="1"/>
  <c r="O29" i="59"/>
  <c r="S29" i="59" s="1"/>
  <c r="M12" i="59"/>
  <c r="Q12" i="59" s="1"/>
  <c r="M20" i="59"/>
  <c r="Q20" i="59" s="1"/>
  <c r="M28" i="59"/>
  <c r="Q28" i="59" s="1"/>
  <c r="M36" i="59"/>
  <c r="Q36" i="59" s="1"/>
  <c r="O25" i="59"/>
  <c r="S25" i="59" s="1"/>
  <c r="O14" i="59"/>
  <c r="S14" i="59" s="1"/>
  <c r="O22" i="59"/>
  <c r="S22" i="59" s="1"/>
  <c r="O30" i="59"/>
  <c r="S30" i="59" s="1"/>
  <c r="M13" i="59"/>
  <c r="Q13" i="59" s="1"/>
  <c r="M21" i="59"/>
  <c r="Q21" i="59" s="1"/>
  <c r="M29" i="59"/>
  <c r="Q29" i="59" s="1"/>
  <c r="M30" i="59"/>
  <c r="Q30" i="59" s="1"/>
  <c r="M24" i="59"/>
  <c r="Q24" i="59" s="1"/>
  <c r="O15" i="59"/>
  <c r="S15" i="59" s="1"/>
  <c r="O23" i="59"/>
  <c r="S23" i="59" s="1"/>
  <c r="O31" i="59"/>
  <c r="S31" i="59" s="1"/>
  <c r="M14" i="59"/>
  <c r="Q14" i="59" s="1"/>
  <c r="M22" i="59"/>
  <c r="Q22" i="59" s="1"/>
  <c r="M32" i="59"/>
  <c r="Q32" i="59" s="1"/>
  <c r="O16" i="59"/>
  <c r="S16" i="59" s="1"/>
  <c r="O24" i="59"/>
  <c r="S24" i="59" s="1"/>
  <c r="O32" i="59"/>
  <c r="S32" i="59" s="1"/>
  <c r="M15" i="59"/>
  <c r="Q15" i="59" s="1"/>
  <c r="M23" i="59"/>
  <c r="Q23" i="59" s="1"/>
  <c r="M31" i="59"/>
  <c r="Q31" i="59" s="1"/>
  <c r="O33" i="59"/>
  <c r="S33" i="59" s="1"/>
  <c r="O45" i="59"/>
  <c r="S45" i="59" s="1"/>
  <c r="O53" i="59"/>
  <c r="S53" i="59" s="1"/>
  <c r="O61" i="59"/>
  <c r="S61" i="59" s="1"/>
  <c r="M44" i="59"/>
  <c r="Q44" i="59" s="1"/>
  <c r="M52" i="59"/>
  <c r="Q52" i="59" s="1"/>
  <c r="M60" i="59"/>
  <c r="Q60" i="59" s="1"/>
  <c r="M43" i="59"/>
  <c r="Q43" i="59" s="1"/>
  <c r="O46" i="59"/>
  <c r="S46" i="59" s="1"/>
  <c r="O54" i="59"/>
  <c r="S54" i="59" s="1"/>
  <c r="O62" i="59"/>
  <c r="S62" i="59" s="1"/>
  <c r="M45" i="59"/>
  <c r="Q45" i="59" s="1"/>
  <c r="M53" i="59"/>
  <c r="Q53" i="59" s="1"/>
  <c r="M61" i="59"/>
  <c r="Q61" i="59" s="1"/>
  <c r="O47" i="59"/>
  <c r="S47" i="59" s="1"/>
  <c r="O55" i="59"/>
  <c r="S55" i="59" s="1"/>
  <c r="O63" i="59"/>
  <c r="S63" i="59" s="1"/>
  <c r="M46" i="59"/>
  <c r="Q46" i="59" s="1"/>
  <c r="M54" i="59"/>
  <c r="Q54" i="59" s="1"/>
  <c r="M62" i="59"/>
  <c r="Q62" i="59" s="1"/>
  <c r="O60" i="59"/>
  <c r="S60" i="59" s="1"/>
  <c r="O48" i="59"/>
  <c r="S48" i="59" s="1"/>
  <c r="O56" i="59"/>
  <c r="S56" i="59" s="1"/>
  <c r="O64" i="59"/>
  <c r="S64" i="59" s="1"/>
  <c r="M47" i="59"/>
  <c r="Q47" i="59" s="1"/>
  <c r="M55" i="59"/>
  <c r="Q55" i="59" s="1"/>
  <c r="M63" i="59"/>
  <c r="Q63" i="59" s="1"/>
  <c r="M51" i="59"/>
  <c r="Q51" i="59" s="1"/>
  <c r="O41" i="59"/>
  <c r="S41" i="59" s="1"/>
  <c r="O49" i="59"/>
  <c r="S49" i="59" s="1"/>
  <c r="O57" i="59"/>
  <c r="S57" i="59" s="1"/>
  <c r="O65" i="59"/>
  <c r="S65" i="59" s="1"/>
  <c r="M48" i="59"/>
  <c r="Q48" i="59" s="1"/>
  <c r="M56" i="59"/>
  <c r="Q56" i="59" s="1"/>
  <c r="M64" i="59"/>
  <c r="Q64" i="59" s="1"/>
  <c r="O52" i="59"/>
  <c r="S52" i="59" s="1"/>
  <c r="O42" i="59"/>
  <c r="S42" i="59" s="1"/>
  <c r="O50" i="59"/>
  <c r="S50" i="59" s="1"/>
  <c r="O58" i="59"/>
  <c r="S58" i="59" s="1"/>
  <c r="M41" i="59"/>
  <c r="Q41" i="59" s="1"/>
  <c r="M49" i="59"/>
  <c r="Q49" i="59" s="1"/>
  <c r="M57" i="59"/>
  <c r="Q57" i="59" s="1"/>
  <c r="M65" i="59"/>
  <c r="Q65" i="59" s="1"/>
  <c r="M59" i="59"/>
  <c r="Q59" i="59" s="1"/>
  <c r="O43" i="59"/>
  <c r="S43" i="59" s="1"/>
  <c r="O51" i="59"/>
  <c r="S51" i="59" s="1"/>
  <c r="O59" i="59"/>
  <c r="S59" i="59" s="1"/>
  <c r="M42" i="59"/>
  <c r="Q42" i="59" s="1"/>
  <c r="M50" i="59"/>
  <c r="Q50" i="59" s="1"/>
  <c r="M58" i="59"/>
  <c r="Q58" i="59" s="1"/>
  <c r="O44" i="59"/>
  <c r="S44" i="59" s="1"/>
  <c r="O136" i="31"/>
  <c r="S136" i="31" s="1"/>
  <c r="O144" i="31"/>
  <c r="S144" i="31" s="1"/>
  <c r="O152" i="31"/>
  <c r="S152" i="31" s="1"/>
  <c r="M135" i="31"/>
  <c r="Q135" i="31" s="1"/>
  <c r="M143" i="31"/>
  <c r="Q143" i="31" s="1"/>
  <c r="M151" i="31"/>
  <c r="Q151" i="31" s="1"/>
  <c r="M144" i="31"/>
  <c r="Q144" i="31" s="1"/>
  <c r="M150" i="31"/>
  <c r="Q150" i="31" s="1"/>
  <c r="O137" i="31"/>
  <c r="S137" i="31" s="1"/>
  <c r="O145" i="31"/>
  <c r="S145" i="31" s="1"/>
  <c r="O153" i="31"/>
  <c r="S153" i="31" s="1"/>
  <c r="M136" i="31"/>
  <c r="Q136" i="31" s="1"/>
  <c r="M152" i="31"/>
  <c r="Q152" i="31" s="1"/>
  <c r="M142" i="31"/>
  <c r="Q142" i="31" s="1"/>
  <c r="O138" i="31"/>
  <c r="S138" i="31" s="1"/>
  <c r="O146" i="31"/>
  <c r="S146" i="31" s="1"/>
  <c r="O154" i="31"/>
  <c r="S154" i="31" s="1"/>
  <c r="M137" i="31"/>
  <c r="Q137" i="31" s="1"/>
  <c r="M145" i="31"/>
  <c r="Q145" i="31" s="1"/>
  <c r="M153" i="31"/>
  <c r="Q153" i="31" s="1"/>
  <c r="M156" i="31"/>
  <c r="Q156" i="31" s="1"/>
  <c r="O151" i="31"/>
  <c r="S151" i="31" s="1"/>
  <c r="O139" i="31"/>
  <c r="S139" i="31" s="1"/>
  <c r="O147" i="31"/>
  <c r="S147" i="31" s="1"/>
  <c r="O155" i="31"/>
  <c r="S155" i="31" s="1"/>
  <c r="M138" i="31"/>
  <c r="Q138" i="31" s="1"/>
  <c r="M146" i="31"/>
  <c r="Q146" i="31" s="1"/>
  <c r="M154" i="31"/>
  <c r="Q154" i="31" s="1"/>
  <c r="M140" i="31"/>
  <c r="Q140" i="31" s="1"/>
  <c r="O135" i="31"/>
  <c r="S135" i="31" s="1"/>
  <c r="O140" i="31"/>
  <c r="S140" i="31" s="1"/>
  <c r="O148" i="31"/>
  <c r="S148" i="31" s="1"/>
  <c r="O156" i="31"/>
  <c r="S156" i="31" s="1"/>
  <c r="M139" i="31"/>
  <c r="Q139" i="31" s="1"/>
  <c r="M147" i="31"/>
  <c r="Q147" i="31" s="1"/>
  <c r="M155" i="31"/>
  <c r="Q155" i="31" s="1"/>
  <c r="M148" i="31"/>
  <c r="Q148" i="31" s="1"/>
  <c r="O133" i="31"/>
  <c r="S133" i="31" s="1"/>
  <c r="O141" i="31"/>
  <c r="S141" i="31" s="1"/>
  <c r="O149" i="31"/>
  <c r="S149" i="31" s="1"/>
  <c r="O157" i="31"/>
  <c r="S157" i="31" s="1"/>
  <c r="M134" i="31"/>
  <c r="Q134" i="31" s="1"/>
  <c r="O134" i="31"/>
  <c r="S134" i="31" s="1"/>
  <c r="O142" i="31"/>
  <c r="S142" i="31" s="1"/>
  <c r="O150" i="31"/>
  <c r="S150" i="31" s="1"/>
  <c r="M133" i="31"/>
  <c r="Q133" i="31" s="1"/>
  <c r="M141" i="31"/>
  <c r="Q141" i="31" s="1"/>
  <c r="M149" i="31"/>
  <c r="Q149" i="31" s="1"/>
  <c r="M157" i="31"/>
  <c r="Q157" i="31" s="1"/>
  <c r="O143" i="31"/>
  <c r="S143" i="31" s="1"/>
  <c r="O76" i="31"/>
  <c r="S76" i="31" s="1"/>
  <c r="O84" i="31"/>
  <c r="S84" i="31" s="1"/>
  <c r="O92" i="31"/>
  <c r="S92" i="31" s="1"/>
  <c r="M75" i="31"/>
  <c r="Q75" i="31" s="1"/>
  <c r="M83" i="31"/>
  <c r="Q83" i="31" s="1"/>
  <c r="M91" i="31"/>
  <c r="Q91" i="31" s="1"/>
  <c r="M76" i="31"/>
  <c r="Q76" i="31" s="1"/>
  <c r="M84" i="31"/>
  <c r="Q84" i="31" s="1"/>
  <c r="M93" i="31"/>
  <c r="Q93" i="31" s="1"/>
  <c r="O77" i="31"/>
  <c r="S77" i="31" s="1"/>
  <c r="O85" i="31"/>
  <c r="S85" i="31" s="1"/>
  <c r="O93" i="31"/>
  <c r="S93" i="31" s="1"/>
  <c r="M92" i="31"/>
  <c r="Q92" i="31" s="1"/>
  <c r="O78" i="31"/>
  <c r="S78" i="31" s="1"/>
  <c r="O86" i="31"/>
  <c r="S86" i="31" s="1"/>
  <c r="O94" i="31"/>
  <c r="S94" i="31" s="1"/>
  <c r="M77" i="31"/>
  <c r="Q77" i="31" s="1"/>
  <c r="M85" i="31"/>
  <c r="Q85" i="31" s="1"/>
  <c r="O79" i="31"/>
  <c r="S79" i="31" s="1"/>
  <c r="O87" i="31"/>
  <c r="S87" i="31" s="1"/>
  <c r="O95" i="31"/>
  <c r="S95" i="31" s="1"/>
  <c r="M78" i="31"/>
  <c r="Q78" i="31" s="1"/>
  <c r="M86" i="31"/>
  <c r="Q86" i="31" s="1"/>
  <c r="M94" i="31"/>
  <c r="Q94" i="31" s="1"/>
  <c r="O75" i="31"/>
  <c r="S75" i="31" s="1"/>
  <c r="M82" i="31"/>
  <c r="Q82" i="31" s="1"/>
  <c r="O72" i="31"/>
  <c r="S72" i="31" s="1"/>
  <c r="O80" i="31"/>
  <c r="S80" i="31" s="1"/>
  <c r="O88" i="31"/>
  <c r="S88" i="31" s="1"/>
  <c r="O96" i="31"/>
  <c r="S96" i="31" s="1"/>
  <c r="M79" i="31"/>
  <c r="Q79" i="31" s="1"/>
  <c r="M87" i="31"/>
  <c r="Q87" i="31" s="1"/>
  <c r="M95" i="31"/>
  <c r="Q95" i="31" s="1"/>
  <c r="O91" i="31"/>
  <c r="S91" i="31" s="1"/>
  <c r="O73" i="31"/>
  <c r="S73" i="31" s="1"/>
  <c r="O81" i="31"/>
  <c r="S81" i="31" s="1"/>
  <c r="O89" i="31"/>
  <c r="S89" i="31" s="1"/>
  <c r="M72" i="31"/>
  <c r="Q72" i="31" s="1"/>
  <c r="M80" i="31"/>
  <c r="Q80" i="31" s="1"/>
  <c r="M88" i="31"/>
  <c r="Q88" i="31" s="1"/>
  <c r="M96" i="31"/>
  <c r="Q96" i="31" s="1"/>
  <c r="M74" i="31"/>
  <c r="Q74" i="31" s="1"/>
  <c r="O74" i="31"/>
  <c r="S74" i="31" s="1"/>
  <c r="O82" i="31"/>
  <c r="S82" i="31" s="1"/>
  <c r="O90" i="31"/>
  <c r="S90" i="31" s="1"/>
  <c r="M73" i="31"/>
  <c r="Q73" i="31" s="1"/>
  <c r="M81" i="31"/>
  <c r="Q81" i="31" s="1"/>
  <c r="M89" i="31"/>
  <c r="Q89" i="31" s="1"/>
  <c r="O83" i="31"/>
  <c r="S83" i="31" s="1"/>
  <c r="M90" i="31"/>
  <c r="Q90" i="31" s="1"/>
  <c r="O18" i="31"/>
  <c r="S18" i="31" s="1"/>
  <c r="O26" i="31"/>
  <c r="S26" i="31" s="1"/>
  <c r="O34" i="31"/>
  <c r="S34" i="31" s="1"/>
  <c r="M17" i="31"/>
  <c r="Q17" i="31" s="1"/>
  <c r="M25" i="31"/>
  <c r="Q25" i="31" s="1"/>
  <c r="M33" i="31"/>
  <c r="Q33" i="31" s="1"/>
  <c r="M36" i="31"/>
  <c r="Q36" i="31" s="1"/>
  <c r="M24" i="31"/>
  <c r="Q24" i="31" s="1"/>
  <c r="O19" i="31"/>
  <c r="S19" i="31" s="1"/>
  <c r="O27" i="31"/>
  <c r="S27" i="31" s="1"/>
  <c r="O35" i="31"/>
  <c r="S35" i="31" s="1"/>
  <c r="M18" i="31"/>
  <c r="Q18" i="31" s="1"/>
  <c r="M26" i="31"/>
  <c r="Q26" i="31" s="1"/>
  <c r="M34" i="31"/>
  <c r="Q34" i="31" s="1"/>
  <c r="O33" i="31"/>
  <c r="S33" i="31" s="1"/>
  <c r="O12" i="31"/>
  <c r="S12" i="31" s="1"/>
  <c r="O20" i="31"/>
  <c r="S20" i="31" s="1"/>
  <c r="O28" i="31"/>
  <c r="S28" i="31" s="1"/>
  <c r="O36" i="31"/>
  <c r="S36" i="31" s="1"/>
  <c r="M19" i="31"/>
  <c r="Q19" i="31" s="1"/>
  <c r="M27" i="31"/>
  <c r="Q27" i="31" s="1"/>
  <c r="M35" i="31"/>
  <c r="Q35" i="31" s="1"/>
  <c r="M16" i="31"/>
  <c r="Q16" i="31" s="1"/>
  <c r="O13" i="31"/>
  <c r="S13" i="31" s="1"/>
  <c r="O21" i="31"/>
  <c r="S21" i="31" s="1"/>
  <c r="O29" i="31"/>
  <c r="S29" i="31" s="1"/>
  <c r="M12" i="31"/>
  <c r="Q12" i="31" s="1"/>
  <c r="M20" i="31"/>
  <c r="Q20" i="31" s="1"/>
  <c r="M28" i="31"/>
  <c r="Q28" i="31" s="1"/>
  <c r="O14" i="31"/>
  <c r="S14" i="31" s="1"/>
  <c r="O22" i="31"/>
  <c r="S22" i="31" s="1"/>
  <c r="O30" i="31"/>
  <c r="S30" i="31" s="1"/>
  <c r="M13" i="31"/>
  <c r="Q13" i="31" s="1"/>
  <c r="M21" i="31"/>
  <c r="Q21" i="31" s="1"/>
  <c r="M29" i="31"/>
  <c r="Q29" i="31" s="1"/>
  <c r="O17" i="31"/>
  <c r="S17" i="31" s="1"/>
  <c r="O15" i="31"/>
  <c r="S15" i="31" s="1"/>
  <c r="O23" i="31"/>
  <c r="S23" i="31" s="1"/>
  <c r="O31" i="31"/>
  <c r="S31" i="31" s="1"/>
  <c r="M14" i="31"/>
  <c r="Q14" i="31" s="1"/>
  <c r="M22" i="31"/>
  <c r="Q22" i="31" s="1"/>
  <c r="M30" i="31"/>
  <c r="Q30" i="31" s="1"/>
  <c r="O25" i="31"/>
  <c r="S25" i="31" s="1"/>
  <c r="O16" i="31"/>
  <c r="S16" i="31" s="1"/>
  <c r="O24" i="31"/>
  <c r="S24" i="31" s="1"/>
  <c r="O32" i="31"/>
  <c r="S32" i="31" s="1"/>
  <c r="M15" i="31"/>
  <c r="Q15" i="31" s="1"/>
  <c r="M23" i="31"/>
  <c r="Q23" i="31" s="1"/>
  <c r="M31" i="31"/>
  <c r="Q31" i="31" s="1"/>
  <c r="M32" i="31"/>
  <c r="Q32" i="31" s="1"/>
  <c r="O46" i="31"/>
  <c r="S46" i="31" s="1"/>
  <c r="O54" i="31"/>
  <c r="S54" i="31" s="1"/>
  <c r="O62" i="31"/>
  <c r="S62" i="31" s="1"/>
  <c r="M45" i="31"/>
  <c r="Q45" i="31" s="1"/>
  <c r="M53" i="31"/>
  <c r="Q53" i="31" s="1"/>
  <c r="M61" i="31"/>
  <c r="Q61" i="31" s="1"/>
  <c r="M44" i="31"/>
  <c r="Q44" i="31" s="1"/>
  <c r="O47" i="31"/>
  <c r="S47" i="31" s="1"/>
  <c r="O55" i="31"/>
  <c r="S55" i="31" s="1"/>
  <c r="O63" i="31"/>
  <c r="S63" i="31" s="1"/>
  <c r="M46" i="31"/>
  <c r="Q46" i="31" s="1"/>
  <c r="M54" i="31"/>
  <c r="Q54" i="31" s="1"/>
  <c r="M62" i="31"/>
  <c r="Q62" i="31" s="1"/>
  <c r="O45" i="31"/>
  <c r="S45" i="31" s="1"/>
  <c r="O48" i="31"/>
  <c r="S48" i="31" s="1"/>
  <c r="O56" i="31"/>
  <c r="S56" i="31" s="1"/>
  <c r="O64" i="31"/>
  <c r="S64" i="31" s="1"/>
  <c r="M47" i="31"/>
  <c r="Q47" i="31" s="1"/>
  <c r="M55" i="31"/>
  <c r="Q55" i="31" s="1"/>
  <c r="M63" i="31"/>
  <c r="Q63" i="31" s="1"/>
  <c r="M52" i="31"/>
  <c r="Q52" i="31" s="1"/>
  <c r="O49" i="31"/>
  <c r="S49" i="31" s="1"/>
  <c r="O57" i="31"/>
  <c r="S57" i="31" s="1"/>
  <c r="O65" i="31"/>
  <c r="S65" i="31" s="1"/>
  <c r="M48" i="31"/>
  <c r="Q48" i="31" s="1"/>
  <c r="M56" i="31"/>
  <c r="Q56" i="31" s="1"/>
  <c r="M64" i="31"/>
  <c r="Q64" i="31" s="1"/>
  <c r="O42" i="31"/>
  <c r="S42" i="31" s="1"/>
  <c r="O50" i="31"/>
  <c r="S50" i="31" s="1"/>
  <c r="O58" i="31"/>
  <c r="S58" i="31" s="1"/>
  <c r="O66" i="31"/>
  <c r="S66" i="31" s="1"/>
  <c r="M49" i="31"/>
  <c r="Q49" i="31" s="1"/>
  <c r="M57" i="31"/>
  <c r="Q57" i="31" s="1"/>
  <c r="M65" i="31"/>
  <c r="Q65" i="31" s="1"/>
  <c r="O61" i="31"/>
  <c r="S61" i="31" s="1"/>
  <c r="O43" i="31"/>
  <c r="S43" i="31" s="1"/>
  <c r="O51" i="31"/>
  <c r="S51" i="31" s="1"/>
  <c r="O59" i="31"/>
  <c r="S59" i="31" s="1"/>
  <c r="M42" i="31"/>
  <c r="Q42" i="31" s="1"/>
  <c r="M50" i="31"/>
  <c r="Q50" i="31" s="1"/>
  <c r="M58" i="31"/>
  <c r="Q58" i="31" s="1"/>
  <c r="M66" i="31"/>
  <c r="Q66" i="31" s="1"/>
  <c r="O53" i="31"/>
  <c r="S53" i="31" s="1"/>
  <c r="O44" i="31"/>
  <c r="S44" i="31" s="1"/>
  <c r="O52" i="31"/>
  <c r="S52" i="31" s="1"/>
  <c r="O60" i="31"/>
  <c r="S60" i="31" s="1"/>
  <c r="M43" i="31"/>
  <c r="Q43" i="31" s="1"/>
  <c r="M51" i="31"/>
  <c r="Q51" i="31" s="1"/>
  <c r="M59" i="31"/>
  <c r="Q59" i="31" s="1"/>
  <c r="M60" i="31"/>
  <c r="Q60" i="31" s="1"/>
  <c r="O484" i="31"/>
  <c r="S484" i="31" s="1"/>
  <c r="O492" i="31"/>
  <c r="S492" i="31" s="1"/>
  <c r="O500" i="31"/>
  <c r="S500" i="31" s="1"/>
  <c r="M483" i="31"/>
  <c r="Q483" i="31" s="1"/>
  <c r="M491" i="31"/>
  <c r="Q491" i="31" s="1"/>
  <c r="M499" i="31"/>
  <c r="Q499" i="31" s="1"/>
  <c r="O493" i="31"/>
  <c r="S493" i="31" s="1"/>
  <c r="M492" i="31"/>
  <c r="Q492" i="31" s="1"/>
  <c r="O502" i="31"/>
  <c r="S502" i="31" s="1"/>
  <c r="O485" i="31"/>
  <c r="S485" i="31" s="1"/>
  <c r="M504" i="31"/>
  <c r="Q504" i="31" s="1"/>
  <c r="O486" i="31"/>
  <c r="S486" i="31" s="1"/>
  <c r="M501" i="31"/>
  <c r="Q501" i="31" s="1"/>
  <c r="O487" i="31"/>
  <c r="S487" i="31" s="1"/>
  <c r="O495" i="31"/>
  <c r="S495" i="31" s="1"/>
  <c r="O503" i="31"/>
  <c r="S503" i="31" s="1"/>
  <c r="M486" i="31"/>
  <c r="Q486" i="31" s="1"/>
  <c r="M494" i="31"/>
  <c r="Q494" i="31" s="1"/>
  <c r="M502" i="31"/>
  <c r="Q502" i="31" s="1"/>
  <c r="O489" i="31"/>
  <c r="S489" i="31" s="1"/>
  <c r="O505" i="31"/>
  <c r="S505" i="31" s="1"/>
  <c r="M496" i="31"/>
  <c r="Q496" i="31" s="1"/>
  <c r="O488" i="31"/>
  <c r="S488" i="31" s="1"/>
  <c r="O496" i="31"/>
  <c r="S496" i="31" s="1"/>
  <c r="O504" i="31"/>
  <c r="S504" i="31" s="1"/>
  <c r="M487" i="31"/>
  <c r="Q487" i="31" s="1"/>
  <c r="M495" i="31"/>
  <c r="Q495" i="31" s="1"/>
  <c r="M503" i="31"/>
  <c r="Q503" i="31" s="1"/>
  <c r="O481" i="31"/>
  <c r="S481" i="31" s="1"/>
  <c r="O497" i="31"/>
  <c r="S497" i="31" s="1"/>
  <c r="M488" i="31"/>
  <c r="Q488" i="31" s="1"/>
  <c r="O482" i="31"/>
  <c r="S482" i="31" s="1"/>
  <c r="O490" i="31"/>
  <c r="S490" i="31" s="1"/>
  <c r="O498" i="31"/>
  <c r="S498" i="31" s="1"/>
  <c r="M481" i="31"/>
  <c r="Q481" i="31" s="1"/>
  <c r="M489" i="31"/>
  <c r="Q489" i="31" s="1"/>
  <c r="M497" i="31"/>
  <c r="Q497" i="31" s="1"/>
  <c r="M505" i="31"/>
  <c r="Q505" i="31" s="1"/>
  <c r="M484" i="31"/>
  <c r="Q484" i="31" s="1"/>
  <c r="O494" i="31"/>
  <c r="S494" i="31" s="1"/>
  <c r="M493" i="31"/>
  <c r="Q493" i="31" s="1"/>
  <c r="O483" i="31"/>
  <c r="S483" i="31" s="1"/>
  <c r="O491" i="31"/>
  <c r="S491" i="31" s="1"/>
  <c r="O499" i="31"/>
  <c r="S499" i="31" s="1"/>
  <c r="M482" i="31"/>
  <c r="Q482" i="31" s="1"/>
  <c r="M490" i="31"/>
  <c r="Q490" i="31" s="1"/>
  <c r="M498" i="31"/>
  <c r="Q498" i="31" s="1"/>
  <c r="O501" i="31"/>
  <c r="S501" i="31" s="1"/>
  <c r="M500" i="31"/>
  <c r="Q500" i="31" s="1"/>
  <c r="M485" i="31"/>
  <c r="Q485" i="31" s="1"/>
  <c r="O426" i="31"/>
  <c r="S426" i="31" s="1"/>
  <c r="O434" i="31"/>
  <c r="S434" i="31" s="1"/>
  <c r="O442" i="31"/>
  <c r="S442" i="31" s="1"/>
  <c r="M425" i="31"/>
  <c r="Q425" i="31" s="1"/>
  <c r="M433" i="31"/>
  <c r="Q433" i="31" s="1"/>
  <c r="M441" i="31"/>
  <c r="Q441" i="31" s="1"/>
  <c r="M424" i="31"/>
  <c r="Q424" i="31" s="1"/>
  <c r="O427" i="31"/>
  <c r="S427" i="31" s="1"/>
  <c r="O435" i="31"/>
  <c r="S435" i="31" s="1"/>
  <c r="O443" i="31"/>
  <c r="S443" i="31" s="1"/>
  <c r="M426" i="31"/>
  <c r="Q426" i="31" s="1"/>
  <c r="M434" i="31"/>
  <c r="Q434" i="31" s="1"/>
  <c r="M442" i="31"/>
  <c r="Q442" i="31" s="1"/>
  <c r="O441" i="31"/>
  <c r="S441" i="31" s="1"/>
  <c r="O428" i="31"/>
  <c r="S428" i="31" s="1"/>
  <c r="O436" i="31"/>
  <c r="S436" i="31" s="1"/>
  <c r="O444" i="31"/>
  <c r="S444" i="31" s="1"/>
  <c r="M427" i="31"/>
  <c r="Q427" i="31" s="1"/>
  <c r="M435" i="31"/>
  <c r="Q435" i="31" s="1"/>
  <c r="M443" i="31"/>
  <c r="Q443" i="31" s="1"/>
  <c r="O429" i="31"/>
  <c r="S429" i="31" s="1"/>
  <c r="O437" i="31"/>
  <c r="S437" i="31" s="1"/>
  <c r="O445" i="31"/>
  <c r="S445" i="31" s="1"/>
  <c r="M428" i="31"/>
  <c r="Q428" i="31" s="1"/>
  <c r="M436" i="31"/>
  <c r="Q436" i="31" s="1"/>
  <c r="M444" i="31"/>
  <c r="Q444" i="31" s="1"/>
  <c r="O425" i="31"/>
  <c r="S425" i="31" s="1"/>
  <c r="O422" i="31"/>
  <c r="S422" i="31" s="1"/>
  <c r="O430" i="31"/>
  <c r="S430" i="31" s="1"/>
  <c r="O438" i="31"/>
  <c r="S438" i="31" s="1"/>
  <c r="O446" i="31"/>
  <c r="S446" i="31" s="1"/>
  <c r="M429" i="31"/>
  <c r="Q429" i="31" s="1"/>
  <c r="M437" i="31"/>
  <c r="Q437" i="31" s="1"/>
  <c r="M445" i="31"/>
  <c r="Q445" i="31" s="1"/>
  <c r="M440" i="31"/>
  <c r="Q440" i="31" s="1"/>
  <c r="O423" i="31"/>
  <c r="S423" i="31" s="1"/>
  <c r="O431" i="31"/>
  <c r="S431" i="31" s="1"/>
  <c r="O439" i="31"/>
  <c r="S439" i="31" s="1"/>
  <c r="M422" i="31"/>
  <c r="Q422" i="31" s="1"/>
  <c r="M430" i="31"/>
  <c r="Q430" i="31" s="1"/>
  <c r="M438" i="31"/>
  <c r="Q438" i="31" s="1"/>
  <c r="M446" i="31"/>
  <c r="Q446" i="31" s="1"/>
  <c r="M432" i="31"/>
  <c r="Q432" i="31" s="1"/>
  <c r="O424" i="31"/>
  <c r="S424" i="31" s="1"/>
  <c r="O432" i="31"/>
  <c r="S432" i="31" s="1"/>
  <c r="O440" i="31"/>
  <c r="S440" i="31" s="1"/>
  <c r="M423" i="31"/>
  <c r="Q423" i="31" s="1"/>
  <c r="M431" i="31"/>
  <c r="Q431" i="31" s="1"/>
  <c r="M439" i="31"/>
  <c r="Q439" i="31" s="1"/>
  <c r="O433" i="31"/>
  <c r="S433" i="31" s="1"/>
  <c r="O396" i="31"/>
  <c r="S396" i="31" s="1"/>
  <c r="O404" i="31"/>
  <c r="S404" i="31" s="1"/>
  <c r="O412" i="31"/>
  <c r="S412" i="31" s="1"/>
  <c r="M395" i="31"/>
  <c r="Q395" i="31" s="1"/>
  <c r="M403" i="31"/>
  <c r="Q403" i="31" s="1"/>
  <c r="M411" i="31"/>
  <c r="Q411" i="31" s="1"/>
  <c r="O401" i="31"/>
  <c r="S401" i="31" s="1"/>
  <c r="M416" i="31"/>
  <c r="Q416" i="31" s="1"/>
  <c r="O397" i="31"/>
  <c r="S397" i="31" s="1"/>
  <c r="O405" i="31"/>
  <c r="S405" i="31" s="1"/>
  <c r="O413" i="31"/>
  <c r="S413" i="31" s="1"/>
  <c r="M396" i="31"/>
  <c r="Q396" i="31" s="1"/>
  <c r="M404" i="31"/>
  <c r="Q404" i="31" s="1"/>
  <c r="M412" i="31"/>
  <c r="Q412" i="31" s="1"/>
  <c r="M400" i="31"/>
  <c r="Q400" i="31" s="1"/>
  <c r="O398" i="31"/>
  <c r="S398" i="31" s="1"/>
  <c r="O406" i="31"/>
  <c r="S406" i="31" s="1"/>
  <c r="O414" i="31"/>
  <c r="S414" i="31" s="1"/>
  <c r="M397" i="31"/>
  <c r="Q397" i="31" s="1"/>
  <c r="M405" i="31"/>
  <c r="Q405" i="31" s="1"/>
  <c r="M413" i="31"/>
  <c r="Q413" i="31" s="1"/>
  <c r="O393" i="31"/>
  <c r="S393" i="31" s="1"/>
  <c r="M408" i="31"/>
  <c r="Q408" i="31" s="1"/>
  <c r="M394" i="31"/>
  <c r="Q394" i="31" s="1"/>
  <c r="O399" i="31"/>
  <c r="S399" i="31" s="1"/>
  <c r="O407" i="31"/>
  <c r="S407" i="31" s="1"/>
  <c r="O415" i="31"/>
  <c r="S415" i="31" s="1"/>
  <c r="M398" i="31"/>
  <c r="Q398" i="31" s="1"/>
  <c r="M406" i="31"/>
  <c r="Q406" i="31" s="1"/>
  <c r="M414" i="31"/>
  <c r="Q414" i="31" s="1"/>
  <c r="M392" i="31"/>
  <c r="Q392" i="31" s="1"/>
  <c r="M410" i="31"/>
  <c r="Q410" i="31" s="1"/>
  <c r="O392" i="31"/>
  <c r="S392" i="31" s="1"/>
  <c r="O400" i="31"/>
  <c r="S400" i="31" s="1"/>
  <c r="O408" i="31"/>
  <c r="S408" i="31" s="1"/>
  <c r="O416" i="31"/>
  <c r="S416" i="31" s="1"/>
  <c r="M399" i="31"/>
  <c r="Q399" i="31" s="1"/>
  <c r="M407" i="31"/>
  <c r="Q407" i="31" s="1"/>
  <c r="M415" i="31"/>
  <c r="Q415" i="31" s="1"/>
  <c r="O409" i="31"/>
  <c r="S409" i="31" s="1"/>
  <c r="O394" i="31"/>
  <c r="S394" i="31" s="1"/>
  <c r="O402" i="31"/>
  <c r="S402" i="31" s="1"/>
  <c r="O410" i="31"/>
  <c r="S410" i="31" s="1"/>
  <c r="M393" i="31"/>
  <c r="Q393" i="31" s="1"/>
  <c r="M401" i="31"/>
  <c r="Q401" i="31" s="1"/>
  <c r="M409" i="31"/>
  <c r="Q409" i="31" s="1"/>
  <c r="O395" i="31"/>
  <c r="S395" i="31" s="1"/>
  <c r="O403" i="31"/>
  <c r="S403" i="31" s="1"/>
  <c r="O411" i="31"/>
  <c r="S411" i="31" s="1"/>
  <c r="M402" i="31"/>
  <c r="Q402" i="31" s="1"/>
  <c r="O369" i="31"/>
  <c r="S369" i="31" s="1"/>
  <c r="O377" i="31"/>
  <c r="S377" i="31" s="1"/>
  <c r="O385" i="31"/>
  <c r="S385" i="31" s="1"/>
  <c r="M368" i="31"/>
  <c r="Q368" i="31" s="1"/>
  <c r="M376" i="31"/>
  <c r="Q376" i="31" s="1"/>
  <c r="M384" i="31"/>
  <c r="Q384" i="31" s="1"/>
  <c r="O366" i="31"/>
  <c r="S366" i="31" s="1"/>
  <c r="M381" i="31"/>
  <c r="Q381" i="31" s="1"/>
  <c r="O376" i="31"/>
  <c r="S376" i="31" s="1"/>
  <c r="O370" i="31"/>
  <c r="S370" i="31" s="1"/>
  <c r="O378" i="31"/>
  <c r="S378" i="31" s="1"/>
  <c r="O386" i="31"/>
  <c r="S386" i="31" s="1"/>
  <c r="M369" i="31"/>
  <c r="Q369" i="31" s="1"/>
  <c r="M377" i="31"/>
  <c r="Q377" i="31" s="1"/>
  <c r="M385" i="31"/>
  <c r="Q385" i="31" s="1"/>
  <c r="M373" i="31"/>
  <c r="Q373" i="31" s="1"/>
  <c r="M367" i="31"/>
  <c r="Q367" i="31" s="1"/>
  <c r="O363" i="31"/>
  <c r="S363" i="31" s="1"/>
  <c r="O371" i="31"/>
  <c r="S371" i="31" s="1"/>
  <c r="O379" i="31"/>
  <c r="S379" i="31" s="1"/>
  <c r="O387" i="31"/>
  <c r="S387" i="31" s="1"/>
  <c r="M370" i="31"/>
  <c r="Q370" i="31" s="1"/>
  <c r="M378" i="31"/>
  <c r="Q378" i="31" s="1"/>
  <c r="M386" i="31"/>
  <c r="Q386" i="31" s="1"/>
  <c r="O374" i="31"/>
  <c r="S374" i="31" s="1"/>
  <c r="O384" i="31"/>
  <c r="S384" i="31" s="1"/>
  <c r="O364" i="31"/>
  <c r="S364" i="31" s="1"/>
  <c r="O372" i="31"/>
  <c r="S372" i="31" s="1"/>
  <c r="O380" i="31"/>
  <c r="S380" i="31" s="1"/>
  <c r="M363" i="31"/>
  <c r="Q363" i="31" s="1"/>
  <c r="M371" i="31"/>
  <c r="Q371" i="31" s="1"/>
  <c r="M379" i="31"/>
  <c r="Q379" i="31" s="1"/>
  <c r="M387" i="31"/>
  <c r="Q387" i="31" s="1"/>
  <c r="O382" i="31"/>
  <c r="S382" i="31" s="1"/>
  <c r="M383" i="31"/>
  <c r="Q383" i="31" s="1"/>
  <c r="O365" i="31"/>
  <c r="S365" i="31" s="1"/>
  <c r="O373" i="31"/>
  <c r="S373" i="31" s="1"/>
  <c r="O381" i="31"/>
  <c r="S381" i="31" s="1"/>
  <c r="M364" i="31"/>
  <c r="Q364" i="31" s="1"/>
  <c r="M372" i="31"/>
  <c r="Q372" i="31" s="1"/>
  <c r="M380" i="31"/>
  <c r="Q380" i="31" s="1"/>
  <c r="M365" i="31"/>
  <c r="Q365" i="31" s="1"/>
  <c r="O368" i="31"/>
  <c r="S368" i="31" s="1"/>
  <c r="O367" i="31"/>
  <c r="S367" i="31" s="1"/>
  <c r="O375" i="31"/>
  <c r="S375" i="31" s="1"/>
  <c r="O383" i="31"/>
  <c r="S383" i="31" s="1"/>
  <c r="M366" i="31"/>
  <c r="Q366" i="31" s="1"/>
  <c r="M374" i="31"/>
  <c r="Q374" i="31" s="1"/>
  <c r="M382" i="31"/>
  <c r="Q382" i="31" s="1"/>
  <c r="M375" i="31"/>
  <c r="Q375" i="31" s="1"/>
  <c r="X161" i="21"/>
  <c r="X155" i="21"/>
  <c r="X131" i="21"/>
  <c r="Y156" i="21"/>
  <c r="X152" i="21"/>
  <c r="Y151" i="21"/>
  <c r="Y150" i="21"/>
  <c r="X149" i="21"/>
  <c r="Y144" i="21"/>
  <c r="X143" i="21"/>
  <c r="Y138" i="21"/>
  <c r="X139" i="21"/>
  <c r="Y132" i="21"/>
  <c r="X164" i="21"/>
  <c r="X137" i="21"/>
  <c r="X163" i="21"/>
  <c r="X148" i="21"/>
  <c r="X134" i="21"/>
  <c r="Y154" i="21"/>
  <c r="Y140" i="21"/>
  <c r="X147" i="21"/>
  <c r="X133" i="21"/>
  <c r="Y153" i="21"/>
  <c r="X160" i="21"/>
  <c r="X146" i="21"/>
  <c r="X159" i="21"/>
  <c r="X145" i="21"/>
  <c r="X130" i="21"/>
  <c r="Y136" i="21"/>
  <c r="X158" i="21"/>
  <c r="Y135" i="21"/>
  <c r="X157" i="21"/>
  <c r="X142" i="21"/>
  <c r="X141" i="21"/>
  <c r="Y162" i="21"/>
  <c r="B99" i="67"/>
  <c r="I68" i="5"/>
  <c r="I67" i="5"/>
  <c r="H66" i="5"/>
  <c r="D65" i="5"/>
  <c r="H64" i="5"/>
  <c r="H63" i="5"/>
  <c r="D62" i="5"/>
  <c r="H61" i="5"/>
  <c r="H60" i="5"/>
  <c r="H59" i="5"/>
  <c r="H58" i="5"/>
  <c r="H57" i="5"/>
  <c r="H56" i="5"/>
  <c r="H55" i="5"/>
  <c r="H54" i="5"/>
  <c r="D53" i="5"/>
  <c r="H48" i="5"/>
  <c r="H42" i="5"/>
  <c r="H37" i="5"/>
  <c r="H33" i="5"/>
  <c r="H27" i="5"/>
  <c r="H23" i="5"/>
  <c r="H20" i="5"/>
  <c r="H19" i="5"/>
  <c r="D18" i="5"/>
  <c r="H17" i="5"/>
  <c r="H16" i="5"/>
  <c r="H15" i="5"/>
  <c r="I14" i="5"/>
  <c r="I13" i="5"/>
  <c r="I12" i="5"/>
  <c r="I11" i="5"/>
  <c r="H10" i="5"/>
  <c r="H9" i="5"/>
  <c r="D8" i="5"/>
  <c r="L95" i="67"/>
  <c r="K95" i="67"/>
  <c r="O95" i="67"/>
  <c r="N95" i="67"/>
  <c r="Q1203" i="54" l="1"/>
  <c r="S1203" i="54"/>
  <c r="Q1144" i="54"/>
  <c r="S1144" i="54"/>
  <c r="Q1113" i="54"/>
  <c r="Q1084" i="54"/>
  <c r="S1113" i="54"/>
  <c r="S1084" i="54"/>
  <c r="Q854" i="54"/>
  <c r="S854" i="54"/>
  <c r="Q795" i="54"/>
  <c r="S795" i="54"/>
  <c r="S764" i="54"/>
  <c r="S735" i="54"/>
  <c r="Q764" i="54"/>
  <c r="Q735" i="54"/>
  <c r="Q446" i="54"/>
  <c r="S446" i="54"/>
  <c r="Q505" i="54"/>
  <c r="S505" i="54"/>
  <c r="Q415" i="54"/>
  <c r="S415" i="54"/>
  <c r="Q386" i="54"/>
  <c r="S386" i="54"/>
  <c r="Q156" i="54"/>
  <c r="S156" i="54"/>
  <c r="S97" i="54"/>
  <c r="Q97" i="54"/>
  <c r="S66" i="54"/>
  <c r="Q66" i="54"/>
  <c r="Q37" i="54"/>
  <c r="S37" i="54"/>
  <c r="Q1552" i="52"/>
  <c r="S1552" i="52"/>
  <c r="Q1493" i="52"/>
  <c r="S1493" i="52"/>
  <c r="Q1462" i="52"/>
  <c r="S1462" i="52"/>
  <c r="Q1433" i="52"/>
  <c r="S1433" i="52"/>
  <c r="Q1203" i="52"/>
  <c r="S1203" i="52"/>
  <c r="Q1144" i="52"/>
  <c r="S1144" i="52"/>
  <c r="Q1113" i="52"/>
  <c r="Q1084" i="52"/>
  <c r="S1113" i="52"/>
  <c r="S1084" i="52"/>
  <c r="Q854" i="52"/>
  <c r="S854" i="52"/>
  <c r="Q795" i="52"/>
  <c r="S795" i="52"/>
  <c r="S764" i="52"/>
  <c r="S735" i="52"/>
  <c r="Q764" i="52"/>
  <c r="Q735" i="52"/>
  <c r="S505" i="52"/>
  <c r="Q505" i="52"/>
  <c r="Q446" i="52"/>
  <c r="S446" i="52"/>
  <c r="Q415" i="52"/>
  <c r="S415" i="52"/>
  <c r="Q386" i="52"/>
  <c r="S386" i="52"/>
  <c r="Q156" i="52"/>
  <c r="S156" i="52"/>
  <c r="Q97" i="52"/>
  <c r="S97" i="52"/>
  <c r="S37" i="52"/>
  <c r="S66" i="52"/>
  <c r="Q37" i="52"/>
  <c r="Q66" i="52"/>
  <c r="Q1199" i="51"/>
  <c r="S1199" i="51"/>
  <c r="Q1141" i="51"/>
  <c r="S1141" i="51"/>
  <c r="S1081" i="51"/>
  <c r="S1110" i="51"/>
  <c r="Q1081" i="51"/>
  <c r="Q1110" i="51"/>
  <c r="Q851" i="51"/>
  <c r="S851" i="51"/>
  <c r="S792" i="51"/>
  <c r="Q792" i="51"/>
  <c r="S732" i="51"/>
  <c r="S761" i="51"/>
  <c r="Q761" i="51"/>
  <c r="Q732" i="51"/>
  <c r="Q502" i="51"/>
  <c r="S502" i="51"/>
  <c r="Q444" i="51"/>
  <c r="S444" i="51"/>
  <c r="Q413" i="51"/>
  <c r="Q384" i="51"/>
  <c r="S413" i="51"/>
  <c r="S384" i="51"/>
  <c r="Q154" i="51"/>
  <c r="S154" i="51"/>
  <c r="Q96" i="51"/>
  <c r="S96" i="51"/>
  <c r="S37" i="51"/>
  <c r="S66" i="51"/>
  <c r="Q37" i="51"/>
  <c r="Q66" i="51"/>
  <c r="S854" i="37"/>
  <c r="Q854" i="37"/>
  <c r="Q795" i="37"/>
  <c r="S795" i="37"/>
  <c r="S735" i="37"/>
  <c r="S764" i="37"/>
  <c r="Q764" i="37"/>
  <c r="Q735" i="37"/>
  <c r="Q505" i="37"/>
  <c r="S505" i="37"/>
  <c r="S446" i="37"/>
  <c r="Q446" i="37"/>
  <c r="Q386" i="37"/>
  <c r="Q415" i="37"/>
  <c r="Q156" i="37"/>
  <c r="S386" i="37"/>
  <c r="S415" i="37"/>
  <c r="S156" i="37"/>
  <c r="Q97" i="37"/>
  <c r="S97" i="37"/>
  <c r="S37" i="37"/>
  <c r="Q66" i="37"/>
  <c r="S66" i="37"/>
  <c r="Q37" i="37"/>
  <c r="Q1553" i="53"/>
  <c r="S1553" i="53"/>
  <c r="Q1494" i="53"/>
  <c r="S1494" i="53"/>
  <c r="S1463" i="53"/>
  <c r="S1434" i="53"/>
  <c r="Q1434" i="53"/>
  <c r="Q1463" i="53"/>
  <c r="S1204" i="53"/>
  <c r="Q1204" i="53"/>
  <c r="S1145" i="53"/>
  <c r="Q1145" i="53"/>
  <c r="S1085" i="53"/>
  <c r="S1114" i="53"/>
  <c r="Q1085" i="53"/>
  <c r="Q1114" i="53"/>
  <c r="S855" i="53"/>
  <c r="Q855" i="53"/>
  <c r="Q796" i="53"/>
  <c r="S796" i="53"/>
  <c r="Q765" i="53"/>
  <c r="S765" i="53"/>
  <c r="Q736" i="53"/>
  <c r="S736" i="53"/>
  <c r="Q506" i="53"/>
  <c r="S506" i="53"/>
  <c r="Q447" i="53"/>
  <c r="S447" i="53"/>
  <c r="S387" i="53"/>
  <c r="S416" i="53"/>
  <c r="Q387" i="53"/>
  <c r="Q416" i="53"/>
  <c r="Q157" i="53"/>
  <c r="S157" i="53"/>
  <c r="Q98" i="53"/>
  <c r="S98" i="53"/>
  <c r="S67" i="53"/>
  <c r="S38" i="53"/>
  <c r="Q67" i="53"/>
  <c r="Q38" i="53"/>
  <c r="Q852" i="59"/>
  <c r="S852" i="59"/>
  <c r="Q793" i="59"/>
  <c r="S793" i="59"/>
  <c r="S762" i="59"/>
  <c r="S733" i="59"/>
  <c r="Q762" i="59"/>
  <c r="Q733" i="59"/>
  <c r="Q503" i="59"/>
  <c r="S503" i="59"/>
  <c r="Q444" i="59"/>
  <c r="S444" i="59"/>
  <c r="S384" i="59"/>
  <c r="S413" i="59"/>
  <c r="Q384" i="59"/>
  <c r="Q413" i="59"/>
  <c r="Q154" i="59"/>
  <c r="S154" i="59"/>
  <c r="Q95" i="59"/>
  <c r="S95" i="59"/>
  <c r="S37" i="59"/>
  <c r="S66" i="59"/>
  <c r="Q66" i="59"/>
  <c r="Q37" i="59"/>
  <c r="Q158" i="31"/>
  <c r="S158" i="31"/>
  <c r="Q97" i="31"/>
  <c r="S97" i="31"/>
  <c r="S37" i="31"/>
  <c r="S67" i="31"/>
  <c r="Q37" i="31"/>
  <c r="Q67" i="31"/>
  <c r="S506" i="31"/>
  <c r="Q506" i="31"/>
  <c r="Q447" i="31"/>
  <c r="S447" i="31"/>
  <c r="Q388" i="31"/>
  <c r="Q417" i="31"/>
  <c r="S388" i="31"/>
  <c r="S417" i="31"/>
  <c r="O112" i="86"/>
  <c r="M112" i="86"/>
  <c r="K112" i="86"/>
  <c r="I112" i="86"/>
  <c r="C112" i="86"/>
  <c r="O36" i="67" l="1"/>
  <c r="P11" i="67"/>
  <c r="P12" i="67"/>
  <c r="P13" i="67"/>
  <c r="P14" i="67"/>
  <c r="P15" i="67"/>
  <c r="P16" i="67"/>
  <c r="P17" i="67"/>
  <c r="P18" i="67"/>
  <c r="P19" i="67"/>
  <c r="P20" i="67"/>
  <c r="P21" i="67"/>
  <c r="P22" i="67"/>
  <c r="P23" i="67"/>
  <c r="P24" i="67"/>
  <c r="P25" i="67"/>
  <c r="P26" i="67"/>
  <c r="P27" i="67"/>
  <c r="P28" i="67"/>
  <c r="P29" i="67"/>
  <c r="P30" i="67"/>
  <c r="P31" i="67"/>
  <c r="P32" i="67"/>
  <c r="P33" i="67"/>
  <c r="P34" i="67"/>
  <c r="P35" i="67"/>
  <c r="N36" i="67"/>
  <c r="H11" i="67"/>
  <c r="M11" i="67" s="1"/>
  <c r="H12" i="67"/>
  <c r="K12" i="67" s="1"/>
  <c r="H13" i="67"/>
  <c r="M13" i="67" s="1"/>
  <c r="H14" i="67"/>
  <c r="M14" i="67" s="1"/>
  <c r="H15" i="67"/>
  <c r="M15" i="67" s="1"/>
  <c r="H16" i="67"/>
  <c r="K16" i="67" s="1"/>
  <c r="H17" i="67"/>
  <c r="M17" i="67" s="1"/>
  <c r="H18" i="67"/>
  <c r="M18" i="67" s="1"/>
  <c r="H19" i="67"/>
  <c r="K19" i="67" s="1"/>
  <c r="H20" i="67"/>
  <c r="K20" i="67" s="1"/>
  <c r="H21" i="67"/>
  <c r="M21" i="67" s="1"/>
  <c r="H22" i="67"/>
  <c r="M22" i="67" s="1"/>
  <c r="H23" i="67"/>
  <c r="M23" i="67" s="1"/>
  <c r="H24" i="67"/>
  <c r="K24" i="67" s="1"/>
  <c r="H25" i="67"/>
  <c r="M25" i="67" s="1"/>
  <c r="H26" i="67"/>
  <c r="K26" i="67" s="1"/>
  <c r="H27" i="67"/>
  <c r="K27" i="67" s="1"/>
  <c r="H28" i="67"/>
  <c r="K28" i="67" s="1"/>
  <c r="H29" i="67"/>
  <c r="M29" i="67" s="1"/>
  <c r="H30" i="67"/>
  <c r="M30" i="67" s="1"/>
  <c r="H31" i="67"/>
  <c r="M31" i="67" s="1"/>
  <c r="H32" i="67"/>
  <c r="K32" i="67" s="1"/>
  <c r="H33" i="67"/>
  <c r="M33" i="67" s="1"/>
  <c r="H34" i="67"/>
  <c r="K34" i="67" s="1"/>
  <c r="H35" i="67"/>
  <c r="K35" i="67" s="1"/>
  <c r="C11" i="67"/>
  <c r="C12" i="67"/>
  <c r="C13" i="67"/>
  <c r="C14" i="67"/>
  <c r="C15" i="67"/>
  <c r="C16" i="67"/>
  <c r="C17" i="67"/>
  <c r="C18" i="67"/>
  <c r="C19" i="67"/>
  <c r="C20" i="67"/>
  <c r="C21" i="67"/>
  <c r="C22" i="67"/>
  <c r="C23" i="67"/>
  <c r="C24" i="67"/>
  <c r="C25" i="67"/>
  <c r="C26" i="67"/>
  <c r="C27" i="67"/>
  <c r="C28" i="67"/>
  <c r="C29" i="67"/>
  <c r="C30" i="67"/>
  <c r="C31" i="67"/>
  <c r="C32" i="67"/>
  <c r="C33" i="67"/>
  <c r="C34" i="67"/>
  <c r="C35" i="67"/>
  <c r="I95"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M40" i="63"/>
  <c r="M41" i="63"/>
  <c r="M42" i="63"/>
  <c r="M43" i="63"/>
  <c r="M44" i="63"/>
  <c r="M45" i="63"/>
  <c r="M46" i="63"/>
  <c r="M47" i="63"/>
  <c r="M48" i="63"/>
  <c r="M49" i="63"/>
  <c r="M50" i="63"/>
  <c r="M51" i="63"/>
  <c r="M52" i="63"/>
  <c r="M53" i="63"/>
  <c r="M54" i="63"/>
  <c r="M55" i="63"/>
  <c r="M56" i="63"/>
  <c r="M57" i="63"/>
  <c r="M58" i="63"/>
  <c r="M59" i="63"/>
  <c r="M60" i="63"/>
  <c r="M61" i="63"/>
  <c r="M62" i="63"/>
  <c r="M63" i="63"/>
  <c r="M64" i="63"/>
  <c r="T34" i="61"/>
  <c r="S34" i="61"/>
  <c r="R34" i="61"/>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Q34" i="61"/>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P34" i="61"/>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O34" i="61"/>
  <c r="L70" i="63"/>
  <c r="L71" i="63"/>
  <c r="L72" i="63"/>
  <c r="L73" i="63"/>
  <c r="L74" i="63"/>
  <c r="L75" i="63"/>
  <c r="L76" i="63"/>
  <c r="L77" i="63"/>
  <c r="L78" i="63"/>
  <c r="L79" i="63"/>
  <c r="L80" i="63"/>
  <c r="L81" i="63"/>
  <c r="L82" i="63"/>
  <c r="L83" i="63"/>
  <c r="L84" i="63"/>
  <c r="L85" i="63"/>
  <c r="L86" i="63"/>
  <c r="L87" i="63"/>
  <c r="L88" i="63"/>
  <c r="L89" i="63"/>
  <c r="L90" i="63"/>
  <c r="L91" i="63"/>
  <c r="L92" i="63"/>
  <c r="L93" i="63"/>
  <c r="L94" i="63"/>
  <c r="M34" i="61"/>
  <c r="K70" i="63"/>
  <c r="K71" i="63"/>
  <c r="K72" i="63"/>
  <c r="K73" i="63"/>
  <c r="K74" i="63"/>
  <c r="K75" i="63"/>
  <c r="K76" i="63"/>
  <c r="K77" i="63"/>
  <c r="K78" i="63"/>
  <c r="K79" i="63"/>
  <c r="K80" i="63"/>
  <c r="K81" i="63"/>
  <c r="K82" i="63"/>
  <c r="K83" i="63"/>
  <c r="K84" i="63"/>
  <c r="K85" i="63"/>
  <c r="K86" i="63"/>
  <c r="K87" i="63"/>
  <c r="K88" i="63"/>
  <c r="K89" i="63"/>
  <c r="K90" i="63"/>
  <c r="K91" i="63"/>
  <c r="K92" i="63"/>
  <c r="K93" i="63"/>
  <c r="K94" i="63"/>
  <c r="L34" i="61"/>
  <c r="J70" i="63"/>
  <c r="J71" i="63"/>
  <c r="J72" i="63"/>
  <c r="J73" i="63"/>
  <c r="J74" i="63"/>
  <c r="J75" i="63"/>
  <c r="J76" i="63"/>
  <c r="J77" i="63"/>
  <c r="J78" i="63"/>
  <c r="J79" i="63"/>
  <c r="J80" i="63"/>
  <c r="J81" i="63"/>
  <c r="J82" i="63"/>
  <c r="J83" i="63"/>
  <c r="J84" i="63"/>
  <c r="J85" i="63"/>
  <c r="J86" i="63"/>
  <c r="J87" i="63"/>
  <c r="J88" i="63"/>
  <c r="J89" i="63"/>
  <c r="J90" i="63"/>
  <c r="J91" i="63"/>
  <c r="J92" i="63"/>
  <c r="J93" i="63"/>
  <c r="J94" i="63"/>
  <c r="K34" i="61"/>
  <c r="N70" i="63"/>
  <c r="N71" i="63"/>
  <c r="N72" i="63"/>
  <c r="N73" i="63"/>
  <c r="N74" i="63"/>
  <c r="N75" i="63"/>
  <c r="N76" i="63"/>
  <c r="N77" i="63"/>
  <c r="N78" i="63"/>
  <c r="N79" i="63"/>
  <c r="N80" i="63"/>
  <c r="N81" i="63"/>
  <c r="N82" i="63"/>
  <c r="N83" i="63"/>
  <c r="N84" i="63"/>
  <c r="N85" i="63"/>
  <c r="N86" i="63"/>
  <c r="N87" i="63"/>
  <c r="N88" i="63"/>
  <c r="N89" i="63"/>
  <c r="N90" i="63"/>
  <c r="N91" i="63"/>
  <c r="N92" i="63"/>
  <c r="N93" i="63"/>
  <c r="N94" i="63"/>
  <c r="I40" i="63"/>
  <c r="I41" i="63"/>
  <c r="I42" i="63"/>
  <c r="O42" i="63" s="1"/>
  <c r="I43" i="63"/>
  <c r="O43" i="63" s="1"/>
  <c r="I44" i="63"/>
  <c r="O44" i="63" s="1"/>
  <c r="I45" i="63"/>
  <c r="O45" i="63" s="1"/>
  <c r="I46" i="63"/>
  <c r="O46" i="63" s="1"/>
  <c r="I47" i="63"/>
  <c r="O47" i="63" s="1"/>
  <c r="I48" i="63"/>
  <c r="O48" i="63" s="1"/>
  <c r="I49" i="63"/>
  <c r="I50" i="63"/>
  <c r="O50" i="63" s="1"/>
  <c r="I51" i="63"/>
  <c r="O51" i="63" s="1"/>
  <c r="I52" i="63"/>
  <c r="I53" i="63"/>
  <c r="O53" i="63" s="1"/>
  <c r="I54" i="63"/>
  <c r="O54" i="63" s="1"/>
  <c r="I55" i="63"/>
  <c r="O55" i="63" s="1"/>
  <c r="I56" i="63"/>
  <c r="O56" i="63" s="1"/>
  <c r="I57" i="63"/>
  <c r="I58" i="63"/>
  <c r="O58" i="63" s="1"/>
  <c r="I59" i="63"/>
  <c r="O59" i="63" s="1"/>
  <c r="I60" i="63"/>
  <c r="I61" i="63"/>
  <c r="O61" i="63" s="1"/>
  <c r="I62" i="63"/>
  <c r="O62" i="63" s="1"/>
  <c r="I63" i="63"/>
  <c r="O63" i="63" s="1"/>
  <c r="I64" i="63"/>
  <c r="O64" i="63" s="1"/>
  <c r="I9" i="63"/>
  <c r="N9" i="63" s="1"/>
  <c r="I10" i="63"/>
  <c r="O10" i="63" s="1"/>
  <c r="Q10" i="63" s="1"/>
  <c r="I11" i="63"/>
  <c r="M11" i="63" s="1"/>
  <c r="I12" i="63"/>
  <c r="M12" i="63" s="1"/>
  <c r="I13" i="63"/>
  <c r="N13" i="63" s="1"/>
  <c r="I14" i="63"/>
  <c r="O14" i="63" s="1"/>
  <c r="Q14" i="63" s="1"/>
  <c r="I15" i="63"/>
  <c r="O15" i="63" s="1"/>
  <c r="Q15" i="63" s="1"/>
  <c r="I16" i="63"/>
  <c r="O16" i="63" s="1"/>
  <c r="Q16" i="63" s="1"/>
  <c r="I17" i="63"/>
  <c r="N17" i="63" s="1"/>
  <c r="I18" i="63"/>
  <c r="O18" i="63" s="1"/>
  <c r="Q18" i="63" s="1"/>
  <c r="I19" i="63"/>
  <c r="M19" i="63" s="1"/>
  <c r="I20" i="63"/>
  <c r="M20" i="63" s="1"/>
  <c r="I21" i="63"/>
  <c r="N21" i="63" s="1"/>
  <c r="I22" i="63"/>
  <c r="O22" i="63" s="1"/>
  <c r="Q22" i="63" s="1"/>
  <c r="I23" i="63"/>
  <c r="O23" i="63" s="1"/>
  <c r="Q23" i="63" s="1"/>
  <c r="I24" i="63"/>
  <c r="O24" i="63" s="1"/>
  <c r="Q24" i="63" s="1"/>
  <c r="I25" i="63"/>
  <c r="N25" i="63" s="1"/>
  <c r="I26" i="63"/>
  <c r="O26" i="63" s="1"/>
  <c r="Q26" i="63" s="1"/>
  <c r="I27" i="63"/>
  <c r="M27" i="63" s="1"/>
  <c r="I28" i="63"/>
  <c r="M28" i="63" s="1"/>
  <c r="I29" i="63"/>
  <c r="N29" i="63" s="1"/>
  <c r="I30" i="63"/>
  <c r="O30" i="63" s="1"/>
  <c r="Q30" i="63" s="1"/>
  <c r="I31" i="63"/>
  <c r="M31" i="63" s="1"/>
  <c r="I32" i="63"/>
  <c r="O32" i="63" s="1"/>
  <c r="Q32" i="63" s="1"/>
  <c r="I33" i="63"/>
  <c r="N33" i="63" s="1"/>
  <c r="I34" i="61"/>
  <c r="D99" i="63"/>
  <c r="D100" i="63"/>
  <c r="D101" i="63"/>
  <c r="D102" i="63"/>
  <c r="D103" i="63"/>
  <c r="D104" i="63"/>
  <c r="D105" i="63"/>
  <c r="D106" i="63"/>
  <c r="D107" i="63"/>
  <c r="D108" i="63"/>
  <c r="D109" i="63"/>
  <c r="D110" i="63"/>
  <c r="D111" i="63"/>
  <c r="D112" i="63"/>
  <c r="D113" i="63"/>
  <c r="D114" i="63"/>
  <c r="D115" i="63"/>
  <c r="D116" i="63"/>
  <c r="D117" i="63"/>
  <c r="D118" i="63"/>
  <c r="D119" i="63"/>
  <c r="D120" i="63"/>
  <c r="D121" i="63"/>
  <c r="D122" i="63"/>
  <c r="D123"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B9" i="61"/>
  <c r="B10" i="61"/>
  <c r="B11" i="61"/>
  <c r="B12" i="61"/>
  <c r="B13" i="61"/>
  <c r="B14" i="61"/>
  <c r="B15" i="61"/>
  <c r="B16" i="61"/>
  <c r="B17" i="61"/>
  <c r="B18" i="61"/>
  <c r="B19" i="61"/>
  <c r="B20" i="61"/>
  <c r="B21" i="61"/>
  <c r="B22" i="61"/>
  <c r="B23" i="61"/>
  <c r="B24" i="61"/>
  <c r="B25" i="61"/>
  <c r="B26" i="61"/>
  <c r="B27" i="61"/>
  <c r="B28" i="61"/>
  <c r="B29" i="61"/>
  <c r="B30" i="61"/>
  <c r="B31" i="61"/>
  <c r="B32" i="61"/>
  <c r="B33" i="61"/>
  <c r="M65" i="63" l="1"/>
  <c r="P65" i="63" s="1"/>
  <c r="P47" i="63"/>
  <c r="Q48" i="63"/>
  <c r="N65" i="63"/>
  <c r="Q65" i="63" s="1"/>
  <c r="Q95" i="63" s="1"/>
  <c r="O70" i="63"/>
  <c r="P46" i="63"/>
  <c r="Q47" i="63"/>
  <c r="Q77" i="63" s="1"/>
  <c r="Q46" i="63"/>
  <c r="P59" i="63"/>
  <c r="Q60" i="63"/>
  <c r="P58" i="63"/>
  <c r="Q59" i="63"/>
  <c r="Q58" i="63"/>
  <c r="Q88" i="63" s="1"/>
  <c r="O40" i="63"/>
  <c r="I65" i="63"/>
  <c r="O65" i="63" s="1"/>
  <c r="P43" i="63"/>
  <c r="Q56" i="63"/>
  <c r="Q86" i="63" s="1"/>
  <c r="Q44" i="63"/>
  <c r="Q74" i="63" s="1"/>
  <c r="Q55" i="63"/>
  <c r="Q85" i="63" s="1"/>
  <c r="Q43" i="63"/>
  <c r="Q73" i="63" s="1"/>
  <c r="P55" i="63"/>
  <c r="P62" i="63"/>
  <c r="P50" i="63"/>
  <c r="Q63" i="63"/>
  <c r="Q93" i="63" s="1"/>
  <c r="Q51" i="63"/>
  <c r="O41" i="63"/>
  <c r="O52" i="63"/>
  <c r="P57" i="63"/>
  <c r="P45" i="63"/>
  <c r="P56" i="63"/>
  <c r="P44" i="63"/>
  <c r="Q57" i="63"/>
  <c r="Q87" i="63" s="1"/>
  <c r="Q45" i="63"/>
  <c r="Q75" i="63" s="1"/>
  <c r="P54" i="63"/>
  <c r="P42" i="63"/>
  <c r="Q90" i="63"/>
  <c r="O60" i="63"/>
  <c r="P53" i="63"/>
  <c r="P41" i="63"/>
  <c r="Q54" i="63"/>
  <c r="Q84" i="63" s="1"/>
  <c r="Q42" i="63"/>
  <c r="Q72" i="63" s="1"/>
  <c r="O49" i="63"/>
  <c r="P64" i="63"/>
  <c r="P52" i="63"/>
  <c r="P40" i="63"/>
  <c r="Q53" i="63"/>
  <c r="Q83" i="63" s="1"/>
  <c r="Q41" i="63"/>
  <c r="Q71" i="63" s="1"/>
  <c r="P63" i="63"/>
  <c r="P51" i="63"/>
  <c r="Q64" i="63"/>
  <c r="Q94" i="63" s="1"/>
  <c r="Q52" i="63"/>
  <c r="Q82" i="63" s="1"/>
  <c r="Q40" i="63"/>
  <c r="Q70" i="63" s="1"/>
  <c r="P61" i="63"/>
  <c r="P49" i="63"/>
  <c r="Q62" i="63"/>
  <c r="Q92" i="63" s="1"/>
  <c r="Q50" i="63"/>
  <c r="Q80" i="63" s="1"/>
  <c r="P60" i="63"/>
  <c r="P48" i="63"/>
  <c r="Q61" i="63"/>
  <c r="Q91" i="63" s="1"/>
  <c r="Q49" i="63"/>
  <c r="Q79" i="63" s="1"/>
  <c r="O57" i="63"/>
  <c r="M91" i="63"/>
  <c r="O91" i="63" s="1"/>
  <c r="M83" i="63"/>
  <c r="O83" i="63" s="1"/>
  <c r="M75" i="63"/>
  <c r="O75" i="63" s="1"/>
  <c r="M89" i="63"/>
  <c r="O89" i="63" s="1"/>
  <c r="M81" i="63"/>
  <c r="O81" i="63" s="1"/>
  <c r="M88" i="63"/>
  <c r="O88" i="63" s="1"/>
  <c r="M80" i="63"/>
  <c r="O80" i="63" s="1"/>
  <c r="M92" i="63"/>
  <c r="O92" i="63" s="1"/>
  <c r="M84" i="63"/>
  <c r="O84" i="63" s="1"/>
  <c r="M76" i="63"/>
  <c r="O76" i="63" s="1"/>
  <c r="K18" i="67"/>
  <c r="K17" i="67"/>
  <c r="M26" i="67"/>
  <c r="M90" i="63"/>
  <c r="O90" i="63" s="1"/>
  <c r="M24" i="67"/>
  <c r="Q76" i="63"/>
  <c r="N32" i="63"/>
  <c r="N10" i="63"/>
  <c r="O12" i="63"/>
  <c r="Q12" i="63" s="1"/>
  <c r="K33" i="67"/>
  <c r="M35" i="67"/>
  <c r="M19" i="67"/>
  <c r="N95" i="63"/>
  <c r="M72" i="63"/>
  <c r="O72" i="63" s="1"/>
  <c r="M82" i="63"/>
  <c r="O82" i="63" s="1"/>
  <c r="M74" i="63"/>
  <c r="O74" i="63" s="1"/>
  <c r="M33" i="63"/>
  <c r="P33" i="63" s="1"/>
  <c r="N27" i="63"/>
  <c r="P27" i="63" s="1"/>
  <c r="O33" i="63"/>
  <c r="Q33" i="63" s="1"/>
  <c r="O11" i="63"/>
  <c r="Q11" i="63" s="1"/>
  <c r="K31" i="67"/>
  <c r="M34" i="67"/>
  <c r="M87" i="63"/>
  <c r="O87" i="63" s="1"/>
  <c r="M79" i="63"/>
  <c r="O79" i="63" s="1"/>
  <c r="J95" i="63"/>
  <c r="M73" i="63"/>
  <c r="O73" i="63" s="1"/>
  <c r="M26" i="63"/>
  <c r="N26" i="63"/>
  <c r="O28" i="63"/>
  <c r="Q28" i="63" s="1"/>
  <c r="O9" i="63"/>
  <c r="Q9" i="63" s="1"/>
  <c r="M32" i="67"/>
  <c r="M16" i="67"/>
  <c r="M94" i="63"/>
  <c r="O94" i="63" s="1"/>
  <c r="M86" i="63"/>
  <c r="O86" i="63" s="1"/>
  <c r="M78" i="63"/>
  <c r="O78" i="63" s="1"/>
  <c r="M70" i="63"/>
  <c r="M25" i="63"/>
  <c r="P25" i="63" s="1"/>
  <c r="N24" i="63"/>
  <c r="O27" i="63"/>
  <c r="Q27" i="63" s="1"/>
  <c r="Q89" i="63"/>
  <c r="Q78" i="63"/>
  <c r="K25" i="67"/>
  <c r="M28" i="67"/>
  <c r="M12" i="67"/>
  <c r="M93" i="63"/>
  <c r="O93" i="63" s="1"/>
  <c r="M85" i="63"/>
  <c r="O85" i="63" s="1"/>
  <c r="M77" i="63"/>
  <c r="O77" i="63" s="1"/>
  <c r="M18" i="63"/>
  <c r="N19" i="63"/>
  <c r="P19" i="63" s="1"/>
  <c r="O25" i="63"/>
  <c r="Q25" i="63" s="1"/>
  <c r="K23" i="67"/>
  <c r="M27" i="67"/>
  <c r="K95" i="63"/>
  <c r="M17" i="63"/>
  <c r="P17" i="63" s="1"/>
  <c r="N18" i="63"/>
  <c r="O20" i="63"/>
  <c r="Q20" i="63" s="1"/>
  <c r="M10" i="63"/>
  <c r="N16" i="63"/>
  <c r="O19" i="63"/>
  <c r="Q19" i="63" s="1"/>
  <c r="Q81" i="63"/>
  <c r="J36" i="67"/>
  <c r="P36" i="67"/>
  <c r="N41" i="67" s="1"/>
  <c r="L95" i="63"/>
  <c r="M9" i="63"/>
  <c r="P9" i="63" s="1"/>
  <c r="N11" i="63"/>
  <c r="P11" i="63" s="1"/>
  <c r="O17" i="63"/>
  <c r="Q17" i="63" s="1"/>
  <c r="K15" i="67"/>
  <c r="M20" i="67"/>
  <c r="I34" i="63"/>
  <c r="M23" i="63"/>
  <c r="M71" i="63"/>
  <c r="O71" i="63" s="1"/>
  <c r="N28" i="63"/>
  <c r="P28" i="63" s="1"/>
  <c r="N20" i="63"/>
  <c r="P20" i="63" s="1"/>
  <c r="N12" i="63"/>
  <c r="O29" i="63"/>
  <c r="Q29" i="63" s="1"/>
  <c r="O21" i="63"/>
  <c r="Q21" i="63" s="1"/>
  <c r="O13" i="63"/>
  <c r="Q13" i="63" s="1"/>
  <c r="K11" i="67"/>
  <c r="M32" i="63"/>
  <c r="M24" i="63"/>
  <c r="M16" i="63"/>
  <c r="M30" i="63"/>
  <c r="M22" i="63"/>
  <c r="M14" i="63"/>
  <c r="N31" i="63"/>
  <c r="P31" i="63" s="1"/>
  <c r="N23" i="63"/>
  <c r="N15" i="63"/>
  <c r="H36" i="67"/>
  <c r="K30" i="67"/>
  <c r="K22" i="67"/>
  <c r="K14" i="67"/>
  <c r="M15" i="63"/>
  <c r="M29" i="63"/>
  <c r="P29" i="63" s="1"/>
  <c r="M21" i="63"/>
  <c r="P21" i="63" s="1"/>
  <c r="M13" i="63"/>
  <c r="P13" i="63" s="1"/>
  <c r="N30" i="63"/>
  <c r="N22" i="63"/>
  <c r="N14" i="63"/>
  <c r="O31" i="63"/>
  <c r="Q31" i="63" s="1"/>
  <c r="I36" i="67"/>
  <c r="I37" i="67" s="1"/>
  <c r="K29" i="67"/>
  <c r="K21" i="67"/>
  <c r="K13" i="67"/>
  <c r="B357" i="53"/>
  <c r="I29" i="5" s="1"/>
  <c r="J37" i="67" l="1"/>
  <c r="P32" i="63"/>
  <c r="P24" i="63"/>
  <c r="P16" i="63"/>
  <c r="M36" i="67"/>
  <c r="P14" i="63"/>
  <c r="P10" i="63"/>
  <c r="P15" i="63"/>
  <c r="P26" i="63"/>
  <c r="Q34" i="63"/>
  <c r="L34" i="63" s="1"/>
  <c r="N34" i="63"/>
  <c r="P18" i="63"/>
  <c r="M95" i="63"/>
  <c r="O95" i="63" s="1"/>
  <c r="M34" i="63"/>
  <c r="J34" i="63" s="1"/>
  <c r="P12" i="63"/>
  <c r="P22" i="63"/>
  <c r="P30" i="63"/>
  <c r="O34" i="63"/>
  <c r="K36" i="67"/>
  <c r="P23" i="63"/>
  <c r="O18" i="89"/>
  <c r="O16" i="7"/>
  <c r="N16" i="6"/>
  <c r="N16" i="87"/>
  <c r="K45" i="61"/>
  <c r="O8" i="61" s="1"/>
  <c r="L45" i="61"/>
  <c r="P8" i="61" s="1"/>
  <c r="M45" i="61"/>
  <c r="Q8" i="61" s="1"/>
  <c r="N45" i="61"/>
  <c r="R8" i="61" s="1"/>
  <c r="O45" i="61"/>
  <c r="S8" i="61" s="1"/>
  <c r="P45" i="61"/>
  <c r="T8" i="61" s="1"/>
  <c r="C58" i="92"/>
  <c r="C57" i="92"/>
  <c r="C56" i="92"/>
  <c r="C55" i="92"/>
  <c r="C54" i="92"/>
  <c r="N16" i="4"/>
  <c r="D25" i="87"/>
  <c r="D21" i="87"/>
  <c r="D22" i="87"/>
  <c r="D23" i="87"/>
  <c r="D24" i="87"/>
  <c r="L12" i="69"/>
  <c r="Q12" i="69" s="1"/>
  <c r="J12" i="69"/>
  <c r="O12" i="69" s="1"/>
  <c r="C101" i="67"/>
  <c r="N67" i="67"/>
  <c r="K41" i="61"/>
  <c r="K38" i="61"/>
  <c r="K8" i="61" s="1"/>
  <c r="L38" i="61"/>
  <c r="L8" i="61" s="1"/>
  <c r="M38" i="61"/>
  <c r="M8" i="61" s="1"/>
  <c r="N37" i="67" l="1"/>
  <c r="O37" i="67"/>
  <c r="P34" i="63"/>
  <c r="K34" i="63" s="1"/>
  <c r="B706" i="53"/>
  <c r="I30" i="5" s="1"/>
  <c r="L96" i="67"/>
  <c r="B858" i="53" l="1"/>
  <c r="D42" i="83" l="1"/>
  <c r="D41" i="83"/>
  <c r="D40" i="83"/>
  <c r="D39" i="83"/>
  <c r="D38" i="83"/>
  <c r="B705" i="52"/>
  <c r="I45" i="5" s="1"/>
  <c r="D81" i="81"/>
  <c r="D80" i="81"/>
  <c r="D79" i="81"/>
  <c r="D78" i="81"/>
  <c r="D77" i="81"/>
  <c r="B1404" i="53"/>
  <c r="I32" i="5" s="1"/>
  <c r="B1556" i="53" l="1"/>
  <c r="C36" i="83"/>
  <c r="C75" i="81"/>
  <c r="D7" i="92"/>
  <c r="C46" i="83" l="1"/>
  <c r="C113" i="86" s="1"/>
  <c r="D43" i="83"/>
  <c r="C111" i="86" s="1"/>
  <c r="L79" i="81"/>
  <c r="Q79" i="81" s="1"/>
  <c r="J81" i="81"/>
  <c r="O81" i="81" s="1"/>
  <c r="H154" i="86"/>
  <c r="J42" i="83"/>
  <c r="O42" i="83" s="1"/>
  <c r="L42" i="83"/>
  <c r="Q42" i="83" s="1"/>
  <c r="L81" i="81"/>
  <c r="Q81" i="81" s="1"/>
  <c r="D82" i="81"/>
  <c r="C85" i="81"/>
  <c r="J78" i="81"/>
  <c r="O78" i="81" s="1"/>
  <c r="J79" i="81"/>
  <c r="O79" i="81" s="1"/>
  <c r="L78" i="81"/>
  <c r="Q78" i="81" s="1"/>
  <c r="O164" i="86"/>
  <c r="N41" i="92" s="1"/>
  <c r="M164" i="86"/>
  <c r="L41" i="92" s="1"/>
  <c r="K164" i="86"/>
  <c r="J41" i="92" s="1"/>
  <c r="I164" i="86"/>
  <c r="H41" i="92" s="1"/>
  <c r="B154" i="86"/>
  <c r="B152" i="86"/>
  <c r="H152" i="86"/>
  <c r="D10" i="92" s="1"/>
  <c r="E10" i="92" s="1"/>
  <c r="O155" i="86"/>
  <c r="N53" i="92" s="1"/>
  <c r="M155" i="86"/>
  <c r="L53" i="92" s="1"/>
  <c r="K155" i="86"/>
  <c r="J53" i="92" s="1"/>
  <c r="I155" i="86"/>
  <c r="H53" i="92" s="1"/>
  <c r="B153" i="86"/>
  <c r="H153" i="86"/>
  <c r="H8" i="73"/>
  <c r="H10" i="73" s="1"/>
  <c r="H13" i="73" s="1"/>
  <c r="M13" i="73" s="1"/>
  <c r="O76" i="86"/>
  <c r="M76" i="86"/>
  <c r="K76" i="86"/>
  <c r="I76" i="86"/>
  <c r="O72" i="86"/>
  <c r="M72" i="86"/>
  <c r="K72" i="86"/>
  <c r="I72" i="86"/>
  <c r="O68" i="86"/>
  <c r="M68" i="86"/>
  <c r="K68" i="86"/>
  <c r="I68" i="86"/>
  <c r="O64" i="86"/>
  <c r="M64" i="86"/>
  <c r="K64" i="86"/>
  <c r="I64" i="86"/>
  <c r="O146" i="86"/>
  <c r="M146" i="86"/>
  <c r="K146" i="86"/>
  <c r="I146" i="86"/>
  <c r="O140" i="86"/>
  <c r="M140" i="86"/>
  <c r="K140" i="86"/>
  <c r="O136" i="86"/>
  <c r="M136" i="86"/>
  <c r="K136" i="86"/>
  <c r="O132" i="86"/>
  <c r="M132" i="86"/>
  <c r="K132" i="86"/>
  <c r="O128" i="86"/>
  <c r="M128" i="86"/>
  <c r="K128" i="86"/>
  <c r="I140" i="86"/>
  <c r="I136" i="86"/>
  <c r="I132" i="86"/>
  <c r="I128" i="86"/>
  <c r="O120" i="86"/>
  <c r="M120" i="86"/>
  <c r="K120" i="86"/>
  <c r="I120" i="86"/>
  <c r="O116" i="86"/>
  <c r="M116" i="86"/>
  <c r="K116" i="86"/>
  <c r="O108" i="86"/>
  <c r="M108" i="86"/>
  <c r="K108" i="86"/>
  <c r="O104" i="86"/>
  <c r="M104" i="86"/>
  <c r="K104" i="86"/>
  <c r="I116" i="86"/>
  <c r="I108" i="86"/>
  <c r="I104" i="86"/>
  <c r="O96" i="86"/>
  <c r="M96" i="86"/>
  <c r="K96" i="86"/>
  <c r="O92" i="86"/>
  <c r="M92" i="86"/>
  <c r="K92" i="86"/>
  <c r="O88" i="86"/>
  <c r="M88" i="86"/>
  <c r="K88" i="86"/>
  <c r="O84" i="86"/>
  <c r="M84" i="86"/>
  <c r="K84" i="86"/>
  <c r="I96" i="86"/>
  <c r="I92" i="86"/>
  <c r="I88" i="86"/>
  <c r="I84" i="86"/>
  <c r="O56" i="86"/>
  <c r="M56" i="86"/>
  <c r="K56" i="86"/>
  <c r="O52" i="86"/>
  <c r="M52" i="86"/>
  <c r="K52" i="86"/>
  <c r="I52" i="86"/>
  <c r="I56" i="86"/>
  <c r="O48" i="86"/>
  <c r="M48" i="86"/>
  <c r="K48" i="86"/>
  <c r="I48" i="86"/>
  <c r="I24" i="86"/>
  <c r="O23" i="86"/>
  <c r="M23" i="86"/>
  <c r="K23" i="86"/>
  <c r="I23" i="86"/>
  <c r="O36" i="86"/>
  <c r="M36" i="86"/>
  <c r="K36" i="86"/>
  <c r="C40" i="86"/>
  <c r="O40" i="86"/>
  <c r="M40" i="86"/>
  <c r="K40" i="86"/>
  <c r="I40" i="86"/>
  <c r="I36" i="86"/>
  <c r="I32" i="86"/>
  <c r="O32" i="86"/>
  <c r="M32" i="86"/>
  <c r="K32" i="86"/>
  <c r="O24" i="86"/>
  <c r="M24" i="86"/>
  <c r="K24" i="86"/>
  <c r="O20" i="86"/>
  <c r="M20" i="86"/>
  <c r="K20" i="86"/>
  <c r="I20" i="86"/>
  <c r="C140" i="86"/>
  <c r="C136" i="86"/>
  <c r="C132" i="86"/>
  <c r="C128" i="86"/>
  <c r="O126" i="86"/>
  <c r="M126" i="86"/>
  <c r="K126" i="86"/>
  <c r="I126" i="86"/>
  <c r="O102" i="86"/>
  <c r="M102" i="86"/>
  <c r="K102" i="86"/>
  <c r="I102" i="86"/>
  <c r="O82" i="86"/>
  <c r="M82" i="86"/>
  <c r="K82" i="86"/>
  <c r="I82" i="86"/>
  <c r="O62" i="86"/>
  <c r="M62" i="86"/>
  <c r="K62" i="86"/>
  <c r="I62" i="86"/>
  <c r="O46" i="86"/>
  <c r="M46" i="86"/>
  <c r="K46" i="86"/>
  <c r="I46" i="86"/>
  <c r="O30" i="86"/>
  <c r="M30" i="86"/>
  <c r="K30" i="86"/>
  <c r="I30" i="86"/>
  <c r="O18" i="86"/>
  <c r="M18" i="86"/>
  <c r="K18" i="86"/>
  <c r="I18" i="86"/>
  <c r="B8" i="86"/>
  <c r="C14" i="86" s="1"/>
  <c r="O4" i="86"/>
  <c r="M4" i="86"/>
  <c r="K4" i="86"/>
  <c r="I4" i="86"/>
  <c r="B125" i="86"/>
  <c r="C143" i="86" s="1"/>
  <c r="C120" i="86"/>
  <c r="C116" i="86"/>
  <c r="C108" i="86"/>
  <c r="C104" i="86"/>
  <c r="B101" i="86"/>
  <c r="C123" i="86" s="1"/>
  <c r="C96" i="86"/>
  <c r="C92" i="86"/>
  <c r="C88" i="86"/>
  <c r="C84" i="86"/>
  <c r="B81" i="86"/>
  <c r="C99" i="86" s="1"/>
  <c r="C76" i="86"/>
  <c r="C72" i="86"/>
  <c r="C68" i="86"/>
  <c r="C64" i="86"/>
  <c r="B61" i="86"/>
  <c r="C79" i="86" s="1"/>
  <c r="C56" i="86"/>
  <c r="C52" i="86"/>
  <c r="C48" i="86"/>
  <c r="B45" i="86"/>
  <c r="C59" i="86" s="1"/>
  <c r="C36" i="86"/>
  <c r="C32" i="86"/>
  <c r="B29" i="86"/>
  <c r="C43" i="86" s="1"/>
  <c r="C24" i="86"/>
  <c r="C20" i="86"/>
  <c r="B17" i="86"/>
  <c r="C27" i="86" s="1"/>
  <c r="C12" i="86"/>
  <c r="O9" i="86"/>
  <c r="M9" i="86"/>
  <c r="K9" i="86"/>
  <c r="I9" i="86"/>
  <c r="C11" i="86"/>
  <c r="C10" i="86"/>
  <c r="D27" i="82"/>
  <c r="J9" i="69"/>
  <c r="L9" i="69"/>
  <c r="C18" i="69"/>
  <c r="C19" i="69"/>
  <c r="D14" i="78"/>
  <c r="D13" i="78"/>
  <c r="D12" i="78"/>
  <c r="D11" i="78"/>
  <c r="D10" i="78"/>
  <c r="D27" i="78"/>
  <c r="D26" i="78"/>
  <c r="D25" i="78"/>
  <c r="D24" i="78"/>
  <c r="D23" i="78"/>
  <c r="D15" i="79"/>
  <c r="D14" i="79"/>
  <c r="D13" i="79"/>
  <c r="D12" i="79"/>
  <c r="D11" i="79"/>
  <c r="D27" i="79"/>
  <c r="D26" i="79"/>
  <c r="D25" i="79"/>
  <c r="D24" i="79"/>
  <c r="D23" i="79"/>
  <c r="D39" i="79"/>
  <c r="D38" i="79"/>
  <c r="D37" i="79"/>
  <c r="D36" i="79"/>
  <c r="D35" i="79"/>
  <c r="D15" i="80"/>
  <c r="D14" i="80"/>
  <c r="D13" i="80"/>
  <c r="D12" i="80"/>
  <c r="D11" i="80"/>
  <c r="D27" i="80"/>
  <c r="D26" i="80"/>
  <c r="D25" i="80"/>
  <c r="D24" i="80"/>
  <c r="D23" i="80"/>
  <c r="D39" i="80"/>
  <c r="D38" i="80"/>
  <c r="D37" i="80"/>
  <c r="D36" i="80"/>
  <c r="D35" i="80"/>
  <c r="D14" i="81"/>
  <c r="D13" i="81"/>
  <c r="D12" i="81"/>
  <c r="D11" i="81"/>
  <c r="D10" i="81"/>
  <c r="D29" i="81"/>
  <c r="D28" i="81"/>
  <c r="D27" i="81"/>
  <c r="D26" i="81"/>
  <c r="D25" i="81"/>
  <c r="D44" i="81"/>
  <c r="D43" i="81"/>
  <c r="D42" i="81"/>
  <c r="D41" i="81"/>
  <c r="D40" i="81"/>
  <c r="D59" i="81"/>
  <c r="D58" i="81"/>
  <c r="D57" i="81"/>
  <c r="D56" i="81"/>
  <c r="D55" i="81"/>
  <c r="D15" i="82"/>
  <c r="D14" i="82"/>
  <c r="D13" i="82"/>
  <c r="D12" i="82"/>
  <c r="D11" i="82"/>
  <c r="D26" i="82"/>
  <c r="D25" i="82"/>
  <c r="D24" i="82"/>
  <c r="D23" i="82"/>
  <c r="D39" i="82"/>
  <c r="D38" i="82"/>
  <c r="D37" i="82"/>
  <c r="D36" i="82"/>
  <c r="D35" i="82"/>
  <c r="D51" i="82"/>
  <c r="D50" i="82"/>
  <c r="D49" i="82"/>
  <c r="D48" i="82"/>
  <c r="D47" i="82"/>
  <c r="D15" i="83"/>
  <c r="D14" i="83"/>
  <c r="D13" i="83"/>
  <c r="D12" i="83"/>
  <c r="D11" i="83"/>
  <c r="D30" i="83"/>
  <c r="D29" i="83"/>
  <c r="D28" i="83"/>
  <c r="D27" i="83"/>
  <c r="D26" i="83"/>
  <c r="D54" i="83"/>
  <c r="D53" i="83"/>
  <c r="D52" i="83"/>
  <c r="D51" i="83"/>
  <c r="D50" i="83"/>
  <c r="D66" i="83"/>
  <c r="D65" i="83"/>
  <c r="D64" i="83"/>
  <c r="D63" i="83"/>
  <c r="D62" i="83"/>
  <c r="D15" i="84"/>
  <c r="D14" i="84"/>
  <c r="D13" i="84"/>
  <c r="D12" i="84"/>
  <c r="D11" i="84"/>
  <c r="D27" i="84"/>
  <c r="D26" i="84"/>
  <c r="D25" i="84"/>
  <c r="D24" i="84"/>
  <c r="D23" i="84"/>
  <c r="D39" i="84"/>
  <c r="D38" i="84"/>
  <c r="D37" i="84"/>
  <c r="D36" i="84"/>
  <c r="D35" i="84"/>
  <c r="D51" i="84"/>
  <c r="D50" i="84"/>
  <c r="D49" i="84"/>
  <c r="D48" i="84"/>
  <c r="D47" i="84"/>
  <c r="C56" i="67"/>
  <c r="P43" i="67"/>
  <c r="C8" i="69"/>
  <c r="Q100" i="67"/>
  <c r="K67" i="67"/>
  <c r="C104" i="67"/>
  <c r="C103" i="67"/>
  <c r="J100" i="67"/>
  <c r="I100" i="67"/>
  <c r="B1054" i="54"/>
  <c r="I52" i="5" s="1"/>
  <c r="B1403" i="52"/>
  <c r="I47" i="5" s="1"/>
  <c r="B703" i="59"/>
  <c r="I26" i="5" s="1"/>
  <c r="B354" i="59"/>
  <c r="I25" i="5" s="1"/>
  <c r="J8" i="22"/>
  <c r="K10" i="70"/>
  <c r="K10" i="68"/>
  <c r="K10" i="64"/>
  <c r="K10" i="62"/>
  <c r="K10" i="32"/>
  <c r="C28" i="70"/>
  <c r="C27" i="70"/>
  <c r="C29" i="68"/>
  <c r="C27" i="68"/>
  <c r="C29" i="64"/>
  <c r="C28" i="64"/>
  <c r="C27" i="64"/>
  <c r="C29" i="62"/>
  <c r="C28" i="62"/>
  <c r="C27" i="62"/>
  <c r="M17" i="73"/>
  <c r="M16" i="73"/>
  <c r="M15" i="73"/>
  <c r="M14" i="73"/>
  <c r="M25" i="73"/>
  <c r="M24" i="73"/>
  <c r="M23" i="73"/>
  <c r="M22" i="73"/>
  <c r="C105" i="67"/>
  <c r="J101" i="67"/>
  <c r="I101" i="67"/>
  <c r="O63" i="67"/>
  <c r="N63" i="67"/>
  <c r="I63" i="67"/>
  <c r="J63" i="67"/>
  <c r="L53" i="67"/>
  <c r="K53" i="67"/>
  <c r="J53" i="67"/>
  <c r="I53" i="67"/>
  <c r="L54" i="67"/>
  <c r="L11" i="69" s="1"/>
  <c r="Q11" i="69" s="1"/>
  <c r="K54" i="67"/>
  <c r="J11" i="69" s="1"/>
  <c r="O11" i="69" s="1"/>
  <c r="C52" i="67"/>
  <c r="C33" i="71"/>
  <c r="C31" i="71"/>
  <c r="C30" i="71"/>
  <c r="D13" i="92" l="1"/>
  <c r="E13" i="92" s="1"/>
  <c r="C165" i="86"/>
  <c r="C42" i="92" s="1"/>
  <c r="C169" i="86"/>
  <c r="C46" i="92" s="1"/>
  <c r="C172" i="86"/>
  <c r="C49" i="92" s="1"/>
  <c r="C171" i="86"/>
  <c r="C48" i="92" s="1"/>
  <c r="C170" i="86"/>
  <c r="C47" i="92" s="1"/>
  <c r="C168" i="86"/>
  <c r="C45" i="92" s="1"/>
  <c r="C167" i="86"/>
  <c r="C44" i="92" s="1"/>
  <c r="C166" i="86"/>
  <c r="C43" i="92" s="1"/>
  <c r="C45" i="84"/>
  <c r="D52" i="84" s="1"/>
  <c r="C139" i="86" s="1"/>
  <c r="C21" i="80"/>
  <c r="D28" i="80" s="1"/>
  <c r="C51" i="86" s="1"/>
  <c r="L77" i="81"/>
  <c r="Q77" i="81" s="1"/>
  <c r="J77" i="81"/>
  <c r="O77" i="81" s="1"/>
  <c r="I25" i="86"/>
  <c r="K25" i="86"/>
  <c r="O25" i="86"/>
  <c r="M25" i="86"/>
  <c r="O9" i="69"/>
  <c r="C60" i="83"/>
  <c r="C33" i="80"/>
  <c r="D40" i="80" s="1"/>
  <c r="C55" i="86" s="1"/>
  <c r="Q9" i="69"/>
  <c r="K96" i="67"/>
  <c r="R100" i="67"/>
  <c r="O100" i="67"/>
  <c r="C29" i="70"/>
  <c r="N100" i="67"/>
  <c r="Q4" i="59"/>
  <c r="O4" i="59"/>
  <c r="C32" i="71"/>
  <c r="C28" i="68"/>
  <c r="M4" i="59"/>
  <c r="S4" i="59"/>
  <c r="K10" i="73"/>
  <c r="M31" i="73" s="1"/>
  <c r="I10" i="73"/>
  <c r="H21" i="73" s="1"/>
  <c r="M21" i="73" s="1"/>
  <c r="J10" i="73"/>
  <c r="C22" i="65"/>
  <c r="C21" i="65"/>
  <c r="C20" i="65"/>
  <c r="C19" i="65"/>
  <c r="C138" i="63"/>
  <c r="C137" i="63"/>
  <c r="C136" i="63"/>
  <c r="C50" i="61"/>
  <c r="C49" i="61"/>
  <c r="C48" i="61"/>
  <c r="C55" i="84" l="1"/>
  <c r="C141" i="86" s="1"/>
  <c r="C31" i="80"/>
  <c r="C53" i="86" s="1"/>
  <c r="K42" i="67"/>
  <c r="D67" i="83"/>
  <c r="C119" i="86" s="1"/>
  <c r="C70" i="83"/>
  <c r="C121" i="86" s="1"/>
  <c r="C43" i="80"/>
  <c r="C57" i="86" s="1"/>
  <c r="P45" i="67"/>
  <c r="L66" i="83"/>
  <c r="Q66" i="83" s="1"/>
  <c r="J66" i="83"/>
  <c r="O66" i="83" s="1"/>
  <c r="M32" i="73"/>
  <c r="L35" i="80"/>
  <c r="Q35" i="80" s="1"/>
  <c r="J35" i="80"/>
  <c r="O35" i="80" s="1"/>
  <c r="J39" i="80"/>
  <c r="O39" i="80" s="1"/>
  <c r="J36" i="80"/>
  <c r="O36" i="80" s="1"/>
  <c r="L36" i="80"/>
  <c r="Q36" i="80" s="1"/>
  <c r="L39" i="80"/>
  <c r="Q39" i="80" s="1"/>
  <c r="J27" i="80"/>
  <c r="O27" i="80" s="1"/>
  <c r="L27" i="80"/>
  <c r="Q27" i="80" s="1"/>
  <c r="M30" i="73"/>
  <c r="M29" i="73"/>
  <c r="M33" i="73"/>
  <c r="K41" i="67"/>
  <c r="J3" i="21"/>
  <c r="B7" i="59"/>
  <c r="I24" i="5" s="1"/>
  <c r="B1055" i="53"/>
  <c r="I31" i="5" s="1"/>
  <c r="B705" i="54"/>
  <c r="I51" i="5" s="1"/>
  <c r="B356" i="54"/>
  <c r="I50" i="5" s="1"/>
  <c r="B7" i="54"/>
  <c r="I49" i="5" s="1"/>
  <c r="B1054" i="52"/>
  <c r="I46" i="5" s="1"/>
  <c r="B356" i="52"/>
  <c r="I44" i="5" s="1"/>
  <c r="B7" i="52"/>
  <c r="I43" i="5" s="1"/>
  <c r="B1051" i="51"/>
  <c r="I41" i="5" s="1"/>
  <c r="B702" i="51"/>
  <c r="I40" i="5" s="1"/>
  <c r="B354" i="51"/>
  <c r="I39" i="5" s="1"/>
  <c r="B7" i="51"/>
  <c r="I38" i="5" s="1"/>
  <c r="B7" i="53"/>
  <c r="I28" i="5" s="1"/>
  <c r="B705" i="37"/>
  <c r="I36" i="5" s="1"/>
  <c r="B356" i="37"/>
  <c r="I35" i="5" s="1"/>
  <c r="B7" i="37"/>
  <c r="I34" i="5" s="1"/>
  <c r="B358" i="31"/>
  <c r="I22" i="5" s="1"/>
  <c r="B7" i="31"/>
  <c r="I21" i="5" s="1"/>
  <c r="J215" i="21"/>
  <c r="C220" i="21"/>
  <c r="D11" i="21"/>
  <c r="C24" i="22"/>
  <c r="O96" i="67" l="1"/>
  <c r="N96" i="67"/>
  <c r="B1202" i="51"/>
  <c r="B854" i="51"/>
  <c r="B505" i="51"/>
  <c r="B157" i="51"/>
  <c r="B857" i="37"/>
  <c r="B508" i="37"/>
  <c r="B159" i="37"/>
  <c r="B160" i="53"/>
  <c r="B509" i="53"/>
  <c r="B1207" i="53"/>
  <c r="N56" i="67"/>
  <c r="N58" i="67" s="1"/>
  <c r="C21" i="78"/>
  <c r="D28" i="78" s="1"/>
  <c r="C23" i="86" s="1"/>
  <c r="C8" i="78"/>
  <c r="B19" i="78"/>
  <c r="C24" i="83"/>
  <c r="C38" i="81"/>
  <c r="C23" i="81"/>
  <c r="C21" i="84"/>
  <c r="C9" i="82"/>
  <c r="C19" i="82" s="1"/>
  <c r="C85" i="86" s="1"/>
  <c r="C33" i="82"/>
  <c r="C8" i="81"/>
  <c r="C53" i="81"/>
  <c r="C9" i="83"/>
  <c r="C33" i="84"/>
  <c r="C45" i="82"/>
  <c r="C9" i="84"/>
  <c r="C21" i="82"/>
  <c r="C48" i="83"/>
  <c r="C9" i="80"/>
  <c r="D16" i="80" s="1"/>
  <c r="C47" i="86" s="1"/>
  <c r="C21" i="79"/>
  <c r="C33" i="79"/>
  <c r="C9" i="79"/>
  <c r="K43" i="67"/>
  <c r="K45" i="67" s="1"/>
  <c r="S4" i="53"/>
  <c r="Q4" i="53"/>
  <c r="O4" i="53"/>
  <c r="M4" i="53"/>
  <c r="S1027" i="54" l="1"/>
  <c r="S1725" i="52"/>
  <c r="S678" i="54"/>
  <c r="S1376" i="54"/>
  <c r="S329" i="54"/>
  <c r="S1376" i="52"/>
  <c r="S1027" i="52"/>
  <c r="S1024" i="51"/>
  <c r="S675" i="51"/>
  <c r="S678" i="52"/>
  <c r="S329" i="52"/>
  <c r="S1025" i="59"/>
  <c r="S676" i="59"/>
  <c r="S1372" i="51"/>
  <c r="S327" i="51"/>
  <c r="S327" i="59"/>
  <c r="S1377" i="53"/>
  <c r="S330" i="53"/>
  <c r="S1726" i="53"/>
  <c r="S1027" i="37"/>
  <c r="S678" i="37"/>
  <c r="S1028" i="53"/>
  <c r="S679" i="53"/>
  <c r="S679" i="31"/>
  <c r="S329" i="37"/>
  <c r="S331" i="31"/>
  <c r="S1369" i="54"/>
  <c r="S322" i="54"/>
  <c r="S1020" i="54"/>
  <c r="S1718" i="52"/>
  <c r="S671" i="54"/>
  <c r="S1369" i="52"/>
  <c r="S1020" i="52"/>
  <c r="S1365" i="51"/>
  <c r="S322" i="52"/>
  <c r="S671" i="52"/>
  <c r="S668" i="51"/>
  <c r="S1017" i="51"/>
  <c r="S320" i="51"/>
  <c r="S669" i="59"/>
  <c r="S1018" i="59"/>
  <c r="S1719" i="53"/>
  <c r="S1021" i="53"/>
  <c r="S672" i="53"/>
  <c r="S320" i="59"/>
  <c r="S323" i="53"/>
  <c r="S1020" i="37"/>
  <c r="S1370" i="53"/>
  <c r="S671" i="37"/>
  <c r="S322" i="37"/>
  <c r="S324" i="31"/>
  <c r="S672" i="31"/>
  <c r="S1368" i="54"/>
  <c r="S321" i="54"/>
  <c r="S1019" i="54"/>
  <c r="S1717" i="52"/>
  <c r="S670" i="54"/>
  <c r="S1368" i="52"/>
  <c r="S1019" i="52"/>
  <c r="S670" i="52"/>
  <c r="S1017" i="59"/>
  <c r="S1016" i="51"/>
  <c r="S1364" i="51"/>
  <c r="S667" i="51"/>
  <c r="S319" i="51"/>
  <c r="S1718" i="53"/>
  <c r="S321" i="52"/>
  <c r="S671" i="53"/>
  <c r="S668" i="59"/>
  <c r="S319" i="59"/>
  <c r="S321" i="37"/>
  <c r="S1020" i="53"/>
  <c r="S322" i="53"/>
  <c r="S1019" i="37"/>
  <c r="S1369" i="53"/>
  <c r="S670" i="37"/>
  <c r="S323" i="31"/>
  <c r="S671" i="31"/>
  <c r="M677" i="54"/>
  <c r="M1375" i="54"/>
  <c r="M328" i="54"/>
  <c r="M1026" i="54"/>
  <c r="M1724" i="52"/>
  <c r="M1026" i="52"/>
  <c r="M1375" i="52"/>
  <c r="M677" i="52"/>
  <c r="M674" i="51"/>
  <c r="M328" i="52"/>
  <c r="M1371" i="51"/>
  <c r="M1023" i="51"/>
  <c r="M675" i="59"/>
  <c r="M326" i="51"/>
  <c r="M1024" i="59"/>
  <c r="M326" i="59"/>
  <c r="M1725" i="53"/>
  <c r="M1376" i="53"/>
  <c r="M329" i="53"/>
  <c r="M328" i="37"/>
  <c r="M678" i="53"/>
  <c r="M1026" i="37"/>
  <c r="M678" i="31"/>
  <c r="M1027" i="53"/>
  <c r="M677" i="37"/>
  <c r="M330" i="31"/>
  <c r="Q1017" i="54"/>
  <c r="Q1715" i="52"/>
  <c r="Q668" i="54"/>
  <c r="Q1366" i="54"/>
  <c r="Q319" i="54"/>
  <c r="Q1366" i="52"/>
  <c r="Q1017" i="52"/>
  <c r="Q668" i="52"/>
  <c r="Q1014" i="51"/>
  <c r="Q1362" i="51"/>
  <c r="Q317" i="51"/>
  <c r="Q665" i="51"/>
  <c r="Q1015" i="59"/>
  <c r="Q319" i="52"/>
  <c r="Q317" i="59"/>
  <c r="Q1716" i="53"/>
  <c r="Q666" i="59"/>
  <c r="Q1367" i="53"/>
  <c r="Q320" i="53"/>
  <c r="Q1017" i="37"/>
  <c r="Q669" i="53"/>
  <c r="Q668" i="37"/>
  <c r="Q1018" i="53"/>
  <c r="Q319" i="37"/>
  <c r="Q321" i="31"/>
  <c r="Q669" i="31"/>
  <c r="S1392" i="54"/>
  <c r="S345" i="54"/>
  <c r="S1043" i="54"/>
  <c r="S1741" i="52"/>
  <c r="S694" i="54"/>
  <c r="S1392" i="52"/>
  <c r="S1043" i="52"/>
  <c r="S1041" i="59"/>
  <c r="S694" i="52"/>
  <c r="S345" i="52"/>
  <c r="S1040" i="51"/>
  <c r="S1388" i="51"/>
  <c r="S1742" i="53"/>
  <c r="S691" i="51"/>
  <c r="S343" i="51"/>
  <c r="S692" i="59"/>
  <c r="S343" i="59"/>
  <c r="S695" i="53"/>
  <c r="S345" i="37"/>
  <c r="S1044" i="53"/>
  <c r="S1043" i="37"/>
  <c r="S1393" i="53"/>
  <c r="S346" i="53"/>
  <c r="S694" i="37"/>
  <c r="S695" i="31"/>
  <c r="S347" i="31"/>
  <c r="M701" i="54"/>
  <c r="M1399" i="54"/>
  <c r="M352" i="54"/>
  <c r="M1050" i="54"/>
  <c r="M1748" i="52"/>
  <c r="M1050" i="52"/>
  <c r="M1399" i="52"/>
  <c r="M352" i="52"/>
  <c r="M701" i="52"/>
  <c r="M698" i="51"/>
  <c r="M1047" i="51"/>
  <c r="M350" i="51"/>
  <c r="M1395" i="51"/>
  <c r="M699" i="59"/>
  <c r="M350" i="59"/>
  <c r="M1048" i="59"/>
  <c r="M1749" i="53"/>
  <c r="M1400" i="53"/>
  <c r="M353" i="53"/>
  <c r="M352" i="37"/>
  <c r="M1050" i="37"/>
  <c r="M702" i="31"/>
  <c r="M702" i="53"/>
  <c r="M701" i="37"/>
  <c r="M1051" i="53"/>
  <c r="M354" i="31"/>
  <c r="M1020" i="54"/>
  <c r="M1718" i="52"/>
  <c r="M671" i="54"/>
  <c r="M1369" i="54"/>
  <c r="M322" i="54"/>
  <c r="M1369" i="52"/>
  <c r="M1020" i="52"/>
  <c r="M322" i="52"/>
  <c r="M668" i="51"/>
  <c r="M671" i="52"/>
  <c r="M1017" i="51"/>
  <c r="M669" i="59"/>
  <c r="M1365" i="51"/>
  <c r="M320" i="51"/>
  <c r="M1719" i="53"/>
  <c r="M1018" i="59"/>
  <c r="M320" i="59"/>
  <c r="M1370" i="53"/>
  <c r="M323" i="53"/>
  <c r="M1020" i="37"/>
  <c r="M1021" i="53"/>
  <c r="M671" i="37"/>
  <c r="M672" i="53"/>
  <c r="M324" i="31"/>
  <c r="M672" i="31"/>
  <c r="M322" i="37"/>
  <c r="Q676" i="54"/>
  <c r="Q1374" i="54"/>
  <c r="Q327" i="54"/>
  <c r="Q1025" i="54"/>
  <c r="Q1723" i="52"/>
  <c r="Q1025" i="52"/>
  <c r="Q1374" i="52"/>
  <c r="Q327" i="52"/>
  <c r="Q676" i="52"/>
  <c r="Q1370" i="51"/>
  <c r="Q673" i="51"/>
  <c r="Q325" i="51"/>
  <c r="Q1022" i="51"/>
  <c r="Q674" i="59"/>
  <c r="Q1724" i="53"/>
  <c r="Q325" i="59"/>
  <c r="Q1375" i="53"/>
  <c r="Q1023" i="59"/>
  <c r="Q1026" i="53"/>
  <c r="Q676" i="37"/>
  <c r="Q327" i="37"/>
  <c r="Q328" i="53"/>
  <c r="Q1025" i="37"/>
  <c r="Q677" i="53"/>
  <c r="Q329" i="31"/>
  <c r="Q677" i="31"/>
  <c r="O681" i="54"/>
  <c r="O1379" i="54"/>
  <c r="O332" i="54"/>
  <c r="O1030" i="54"/>
  <c r="O1728" i="52"/>
  <c r="O1030" i="52"/>
  <c r="O1379" i="52"/>
  <c r="O681" i="52"/>
  <c r="O1027" i="51"/>
  <c r="O678" i="51"/>
  <c r="O1375" i="51"/>
  <c r="O332" i="52"/>
  <c r="O679" i="59"/>
  <c r="O1028" i="59"/>
  <c r="O330" i="59"/>
  <c r="O330" i="51"/>
  <c r="O1380" i="53"/>
  <c r="O333" i="53"/>
  <c r="O332" i="37"/>
  <c r="O682" i="53"/>
  <c r="O1030" i="37"/>
  <c r="O682" i="31"/>
  <c r="O1031" i="53"/>
  <c r="O681" i="37"/>
  <c r="O1729" i="53"/>
  <c r="O334" i="31"/>
  <c r="S686" i="54"/>
  <c r="S1384" i="54"/>
  <c r="S337" i="54"/>
  <c r="S1035" i="54"/>
  <c r="S1733" i="52"/>
  <c r="S1384" i="52"/>
  <c r="S1035" i="52"/>
  <c r="S686" i="52"/>
  <c r="S337" i="52"/>
  <c r="S335" i="51"/>
  <c r="S1032" i="51"/>
  <c r="S683" i="51"/>
  <c r="S335" i="59"/>
  <c r="S1033" i="59"/>
  <c r="S1380" i="51"/>
  <c r="S1734" i="53"/>
  <c r="S1036" i="53"/>
  <c r="S684" i="59"/>
  <c r="S686" i="37"/>
  <c r="S1385" i="53"/>
  <c r="S338" i="53"/>
  <c r="S337" i="37"/>
  <c r="S687" i="53"/>
  <c r="S1035" i="37"/>
  <c r="S339" i="31"/>
  <c r="S687" i="31"/>
  <c r="M1045" i="54"/>
  <c r="M1743" i="52"/>
  <c r="M696" i="54"/>
  <c r="M1394" i="54"/>
  <c r="M347" i="54"/>
  <c r="M1394" i="52"/>
  <c r="M1045" i="52"/>
  <c r="M696" i="52"/>
  <c r="M1390" i="51"/>
  <c r="M345" i="51"/>
  <c r="M693" i="51"/>
  <c r="M347" i="52"/>
  <c r="M1042" i="51"/>
  <c r="M345" i="59"/>
  <c r="M1744" i="53"/>
  <c r="M1043" i="59"/>
  <c r="M694" i="59"/>
  <c r="M1395" i="53"/>
  <c r="M1045" i="37"/>
  <c r="M697" i="53"/>
  <c r="M348" i="53"/>
  <c r="M696" i="37"/>
  <c r="M1046" i="53"/>
  <c r="M347" i="37"/>
  <c r="M349" i="31"/>
  <c r="M697" i="31"/>
  <c r="M691" i="54"/>
  <c r="M1389" i="54"/>
  <c r="M342" i="54"/>
  <c r="M1040" i="54"/>
  <c r="M1389" i="52"/>
  <c r="M1738" i="52"/>
  <c r="M1040" i="52"/>
  <c r="M340" i="51"/>
  <c r="M691" i="52"/>
  <c r="M342" i="52"/>
  <c r="M1385" i="51"/>
  <c r="M340" i="59"/>
  <c r="M1037" i="51"/>
  <c r="M688" i="51"/>
  <c r="M1038" i="59"/>
  <c r="M689" i="59"/>
  <c r="M1041" i="53"/>
  <c r="M691" i="37"/>
  <c r="M1739" i="53"/>
  <c r="M692" i="53"/>
  <c r="M343" i="53"/>
  <c r="M1390" i="53"/>
  <c r="M1040" i="37"/>
  <c r="M344" i="31"/>
  <c r="M342" i="37"/>
  <c r="M692" i="31"/>
  <c r="S1367" i="54"/>
  <c r="S320" i="54"/>
  <c r="S1018" i="54"/>
  <c r="S1716" i="52"/>
  <c r="S669" i="54"/>
  <c r="S1367" i="52"/>
  <c r="S320" i="52"/>
  <c r="S1018" i="52"/>
  <c r="S669" i="52"/>
  <c r="S1016" i="59"/>
  <c r="S1363" i="51"/>
  <c r="S666" i="51"/>
  <c r="S1015" i="51"/>
  <c r="S1019" i="53"/>
  <c r="S1717" i="53"/>
  <c r="S667" i="59"/>
  <c r="S1368" i="53"/>
  <c r="S318" i="51"/>
  <c r="S318" i="59"/>
  <c r="S321" i="53"/>
  <c r="S1018" i="37"/>
  <c r="S670" i="53"/>
  <c r="S669" i="37"/>
  <c r="S320" i="37"/>
  <c r="S322" i="31"/>
  <c r="S670" i="31"/>
  <c r="M1042" i="54"/>
  <c r="M1740" i="52"/>
  <c r="M693" i="54"/>
  <c r="M1391" i="54"/>
  <c r="M344" i="54"/>
  <c r="M1391" i="52"/>
  <c r="M1042" i="52"/>
  <c r="M344" i="52"/>
  <c r="M1039" i="51"/>
  <c r="M342" i="51"/>
  <c r="M1387" i="51"/>
  <c r="M693" i="52"/>
  <c r="M690" i="51"/>
  <c r="M1040" i="59"/>
  <c r="M691" i="59"/>
  <c r="M342" i="59"/>
  <c r="M1741" i="53"/>
  <c r="M694" i="53"/>
  <c r="M693" i="37"/>
  <c r="M345" i="53"/>
  <c r="M1043" i="53"/>
  <c r="M1392" i="53"/>
  <c r="M344" i="37"/>
  <c r="M1042" i="37"/>
  <c r="M694" i="31"/>
  <c r="M346" i="31"/>
  <c r="Q698" i="54"/>
  <c r="Q1396" i="54"/>
  <c r="Q349" i="54"/>
  <c r="Q1047" i="54"/>
  <c r="Q1745" i="52"/>
  <c r="Q1047" i="52"/>
  <c r="Q1396" i="52"/>
  <c r="Q698" i="52"/>
  <c r="Q1044" i="51"/>
  <c r="Q347" i="51"/>
  <c r="Q1392" i="51"/>
  <c r="Q347" i="59"/>
  <c r="Q349" i="52"/>
  <c r="Q695" i="51"/>
  <c r="Q1397" i="53"/>
  <c r="Q350" i="53"/>
  <c r="Q1045" i="59"/>
  <c r="Q696" i="59"/>
  <c r="Q1746" i="53"/>
  <c r="Q699" i="53"/>
  <c r="Q1048" i="53"/>
  <c r="Q1047" i="37"/>
  <c r="Q698" i="37"/>
  <c r="Q351" i="31"/>
  <c r="Q349" i="37"/>
  <c r="Q699" i="31"/>
  <c r="O1037" i="54"/>
  <c r="O1735" i="52"/>
  <c r="O688" i="54"/>
  <c r="O1386" i="54"/>
  <c r="O339" i="54"/>
  <c r="O1386" i="52"/>
  <c r="O1037" i="52"/>
  <c r="O688" i="52"/>
  <c r="O1034" i="51"/>
  <c r="O337" i="51"/>
  <c r="O685" i="51"/>
  <c r="O1382" i="51"/>
  <c r="O339" i="52"/>
  <c r="O337" i="59"/>
  <c r="O1035" i="59"/>
  <c r="O1387" i="53"/>
  <c r="O340" i="53"/>
  <c r="O1736" i="53"/>
  <c r="O686" i="59"/>
  <c r="O1038" i="53"/>
  <c r="O1037" i="37"/>
  <c r="O688" i="37"/>
  <c r="O689" i="53"/>
  <c r="O339" i="37"/>
  <c r="O341" i="31"/>
  <c r="O689" i="31"/>
  <c r="S1028" i="54"/>
  <c r="S1726" i="52"/>
  <c r="S679" i="54"/>
  <c r="S1377" i="54"/>
  <c r="S330" i="54"/>
  <c r="S1377" i="52"/>
  <c r="S1028" i="52"/>
  <c r="S679" i="52"/>
  <c r="S1025" i="51"/>
  <c r="S328" i="51"/>
  <c r="S330" i="52"/>
  <c r="S1373" i="51"/>
  <c r="S676" i="51"/>
  <c r="S328" i="59"/>
  <c r="S677" i="59"/>
  <c r="S1026" i="59"/>
  <c r="S1378" i="53"/>
  <c r="S331" i="53"/>
  <c r="S1727" i="53"/>
  <c r="S680" i="53"/>
  <c r="S1028" i="37"/>
  <c r="S679" i="37"/>
  <c r="S1029" i="53"/>
  <c r="S330" i="37"/>
  <c r="S680" i="31"/>
  <c r="S332" i="31"/>
  <c r="M1385" i="54"/>
  <c r="M338" i="54"/>
  <c r="M1036" i="54"/>
  <c r="M1734" i="52"/>
  <c r="M687" i="54"/>
  <c r="M1385" i="52"/>
  <c r="M1036" i="52"/>
  <c r="M338" i="52"/>
  <c r="M1033" i="51"/>
  <c r="M687" i="52"/>
  <c r="M1381" i="51"/>
  <c r="M1034" i="59"/>
  <c r="M684" i="51"/>
  <c r="M336" i="51"/>
  <c r="M685" i="59"/>
  <c r="M336" i="59"/>
  <c r="M1735" i="53"/>
  <c r="M688" i="53"/>
  <c r="M1037" i="53"/>
  <c r="M1386" i="53"/>
  <c r="M1036" i="37"/>
  <c r="M687" i="37"/>
  <c r="M339" i="53"/>
  <c r="M340" i="31"/>
  <c r="M338" i="37"/>
  <c r="M688" i="31"/>
  <c r="Q1041" i="54"/>
  <c r="Q1739" i="52"/>
  <c r="Q692" i="54"/>
  <c r="Q1390" i="54"/>
  <c r="Q343" i="54"/>
  <c r="Q1041" i="52"/>
  <c r="Q1390" i="52"/>
  <c r="Q692" i="52"/>
  <c r="Q1038" i="51"/>
  <c r="Q341" i="51"/>
  <c r="Q689" i="51"/>
  <c r="Q343" i="52"/>
  <c r="Q1386" i="51"/>
  <c r="Q341" i="59"/>
  <c r="Q1740" i="53"/>
  <c r="Q1391" i="53"/>
  <c r="Q344" i="53"/>
  <c r="Q690" i="59"/>
  <c r="Q1039" i="59"/>
  <c r="Q1042" i="53"/>
  <c r="Q1041" i="37"/>
  <c r="Q692" i="37"/>
  <c r="Q693" i="53"/>
  <c r="Q343" i="37"/>
  <c r="Q345" i="31"/>
  <c r="Q693" i="31"/>
  <c r="O1046" i="54"/>
  <c r="O1744" i="52"/>
  <c r="O697" i="54"/>
  <c r="O1395" i="54"/>
  <c r="O348" i="54"/>
  <c r="O1395" i="52"/>
  <c r="O1046" i="52"/>
  <c r="O348" i="52"/>
  <c r="O346" i="51"/>
  <c r="O697" i="52"/>
  <c r="O1043" i="51"/>
  <c r="O1391" i="51"/>
  <c r="O694" i="51"/>
  <c r="O1044" i="59"/>
  <c r="O1745" i="53"/>
  <c r="O695" i="59"/>
  <c r="O346" i="59"/>
  <c r="O698" i="53"/>
  <c r="O697" i="37"/>
  <c r="O1047" i="53"/>
  <c r="O348" i="37"/>
  <c r="O1396" i="53"/>
  <c r="O1046" i="37"/>
  <c r="O349" i="53"/>
  <c r="O350" i="31"/>
  <c r="O698" i="31"/>
  <c r="S1051" i="54"/>
  <c r="S1749" i="52"/>
  <c r="S702" i="54"/>
  <c r="S1400" i="54"/>
  <c r="S353" i="54"/>
  <c r="S1400" i="52"/>
  <c r="S1051" i="52"/>
  <c r="S702" i="52"/>
  <c r="S699" i="51"/>
  <c r="S353" i="52"/>
  <c r="S1048" i="51"/>
  <c r="S1049" i="59"/>
  <c r="S700" i="59"/>
  <c r="S1396" i="51"/>
  <c r="S351" i="51"/>
  <c r="S1401" i="53"/>
  <c r="S354" i="53"/>
  <c r="S351" i="59"/>
  <c r="S1051" i="37"/>
  <c r="S703" i="53"/>
  <c r="S702" i="37"/>
  <c r="S1750" i="53"/>
  <c r="S1052" i="53"/>
  <c r="S355" i="31"/>
  <c r="S703" i="31"/>
  <c r="S353" i="37"/>
  <c r="S672" i="54"/>
  <c r="S1370" i="52"/>
  <c r="S1370" i="54"/>
  <c r="S323" i="54"/>
  <c r="S1021" i="54"/>
  <c r="S1719" i="52"/>
  <c r="S1021" i="52"/>
  <c r="S672" i="52"/>
  <c r="S323" i="52"/>
  <c r="S669" i="51"/>
  <c r="S1018" i="51"/>
  <c r="S1366" i="51"/>
  <c r="S321" i="51"/>
  <c r="S670" i="59"/>
  <c r="S321" i="59"/>
  <c r="S1019" i="59"/>
  <c r="S1720" i="53"/>
  <c r="S1371" i="53"/>
  <c r="S324" i="53"/>
  <c r="S1022" i="53"/>
  <c r="S323" i="37"/>
  <c r="S1021" i="37"/>
  <c r="S673" i="31"/>
  <c r="S673" i="53"/>
  <c r="S672" i="37"/>
  <c r="S325" i="31"/>
  <c r="M1033" i="54"/>
  <c r="M1731" i="52"/>
  <c r="M684" i="54"/>
  <c r="M1382" i="54"/>
  <c r="M335" i="54"/>
  <c r="M1382" i="52"/>
  <c r="M1033" i="52"/>
  <c r="M684" i="52"/>
  <c r="M333" i="51"/>
  <c r="M1378" i="51"/>
  <c r="M1030" i="51"/>
  <c r="M681" i="51"/>
  <c r="M333" i="59"/>
  <c r="M335" i="52"/>
  <c r="M1732" i="53"/>
  <c r="M1383" i="53"/>
  <c r="M682" i="59"/>
  <c r="M1031" i="59"/>
  <c r="M1034" i="53"/>
  <c r="M1033" i="37"/>
  <c r="M684" i="37"/>
  <c r="M336" i="53"/>
  <c r="M685" i="53"/>
  <c r="M335" i="37"/>
  <c r="M337" i="31"/>
  <c r="M685" i="31"/>
  <c r="M679" i="54"/>
  <c r="M1377" i="54"/>
  <c r="M330" i="54"/>
  <c r="M1028" i="54"/>
  <c r="M1726" i="52"/>
  <c r="M1377" i="52"/>
  <c r="M328" i="51"/>
  <c r="M1028" i="52"/>
  <c r="M330" i="52"/>
  <c r="M676" i="51"/>
  <c r="M679" i="52"/>
  <c r="M328" i="59"/>
  <c r="M1373" i="51"/>
  <c r="M1025" i="51"/>
  <c r="M1029" i="53"/>
  <c r="M677" i="59"/>
  <c r="M1026" i="59"/>
  <c r="M679" i="37"/>
  <c r="M331" i="53"/>
  <c r="M680" i="53"/>
  <c r="M1028" i="37"/>
  <c r="M1727" i="53"/>
  <c r="M1378" i="53"/>
  <c r="M680" i="31"/>
  <c r="M330" i="37"/>
  <c r="M332" i="31"/>
  <c r="O696" i="54"/>
  <c r="O1394" i="54"/>
  <c r="O347" i="54"/>
  <c r="O1045" i="54"/>
  <c r="O1743" i="52"/>
  <c r="O1394" i="52"/>
  <c r="O347" i="52"/>
  <c r="O1045" i="52"/>
  <c r="O696" i="52"/>
  <c r="O1042" i="51"/>
  <c r="O1390" i="51"/>
  <c r="O693" i="51"/>
  <c r="O1043" i="59"/>
  <c r="O345" i="51"/>
  <c r="O1744" i="53"/>
  <c r="O1395" i="53"/>
  <c r="O694" i="59"/>
  <c r="O345" i="59"/>
  <c r="O1046" i="53"/>
  <c r="O696" i="37"/>
  <c r="O697" i="53"/>
  <c r="O347" i="37"/>
  <c r="O1045" i="37"/>
  <c r="O348" i="53"/>
  <c r="O349" i="31"/>
  <c r="O697" i="31"/>
  <c r="M678" i="54"/>
  <c r="M1376" i="54"/>
  <c r="M329" i="54"/>
  <c r="M1027" i="54"/>
  <c r="M1725" i="52"/>
  <c r="M1027" i="52"/>
  <c r="M678" i="52"/>
  <c r="M1376" i="52"/>
  <c r="M327" i="51"/>
  <c r="M329" i="52"/>
  <c r="M675" i="51"/>
  <c r="M327" i="59"/>
  <c r="M1372" i="51"/>
  <c r="M1024" i="51"/>
  <c r="M1377" i="53"/>
  <c r="M676" i="59"/>
  <c r="M1025" i="59"/>
  <c r="M330" i="53"/>
  <c r="M679" i="53"/>
  <c r="M1027" i="37"/>
  <c r="M1028" i="53"/>
  <c r="M1726" i="53"/>
  <c r="M678" i="37"/>
  <c r="M331" i="31"/>
  <c r="M679" i="31"/>
  <c r="M329" i="37"/>
  <c r="Q1382" i="54"/>
  <c r="Q335" i="54"/>
  <c r="Q1033" i="54"/>
  <c r="Q1731" i="52"/>
  <c r="Q684" i="54"/>
  <c r="Q1382" i="52"/>
  <c r="Q1033" i="52"/>
  <c r="Q1378" i="51"/>
  <c r="Q684" i="52"/>
  <c r="Q681" i="51"/>
  <c r="Q335" i="52"/>
  <c r="Q1030" i="51"/>
  <c r="Q682" i="59"/>
  <c r="Q333" i="51"/>
  <c r="Q1732" i="53"/>
  <c r="Q685" i="53"/>
  <c r="Q1031" i="59"/>
  <c r="Q333" i="59"/>
  <c r="Q336" i="53"/>
  <c r="Q1033" i="37"/>
  <c r="Q1383" i="53"/>
  <c r="Q1034" i="53"/>
  <c r="Q684" i="37"/>
  <c r="Q335" i="37"/>
  <c r="Q337" i="31"/>
  <c r="Q685" i="31"/>
  <c r="O1023" i="54"/>
  <c r="O1721" i="52"/>
  <c r="O674" i="54"/>
  <c r="O1372" i="52"/>
  <c r="O1372" i="54"/>
  <c r="O325" i="54"/>
  <c r="O1023" i="52"/>
  <c r="O1368" i="51"/>
  <c r="O674" i="52"/>
  <c r="O1020" i="51"/>
  <c r="O671" i="51"/>
  <c r="O1021" i="59"/>
  <c r="O325" i="52"/>
  <c r="O672" i="59"/>
  <c r="O323" i="51"/>
  <c r="O675" i="53"/>
  <c r="O323" i="59"/>
  <c r="O1722" i="53"/>
  <c r="O1024" i="53"/>
  <c r="O674" i="37"/>
  <c r="O325" i="37"/>
  <c r="O326" i="53"/>
  <c r="O1373" i="53"/>
  <c r="O1023" i="37"/>
  <c r="O675" i="31"/>
  <c r="O327" i="31"/>
  <c r="M702" i="54"/>
  <c r="M1400" i="54"/>
  <c r="M353" i="54"/>
  <c r="M1051" i="54"/>
  <c r="M1749" i="52"/>
  <c r="M1051" i="52"/>
  <c r="M702" i="52"/>
  <c r="M1400" i="52"/>
  <c r="M351" i="51"/>
  <c r="M353" i="52"/>
  <c r="M1396" i="51"/>
  <c r="M1048" i="51"/>
  <c r="M699" i="51"/>
  <c r="M351" i="59"/>
  <c r="M1401" i="53"/>
  <c r="M1049" i="59"/>
  <c r="M1750" i="53"/>
  <c r="M700" i="59"/>
  <c r="M1052" i="53"/>
  <c r="M1051" i="37"/>
  <c r="M703" i="53"/>
  <c r="M354" i="53"/>
  <c r="M702" i="37"/>
  <c r="M355" i="31"/>
  <c r="M353" i="37"/>
  <c r="M703" i="31"/>
  <c r="M1371" i="54"/>
  <c r="M324" i="54"/>
  <c r="M1022" i="54"/>
  <c r="M1720" i="52"/>
  <c r="M673" i="54"/>
  <c r="M1371" i="52"/>
  <c r="M324" i="52"/>
  <c r="M1022" i="52"/>
  <c r="M673" i="52"/>
  <c r="M322" i="51"/>
  <c r="M1019" i="51"/>
  <c r="M1367" i="51"/>
  <c r="M670" i="51"/>
  <c r="M322" i="59"/>
  <c r="M671" i="59"/>
  <c r="M1020" i="59"/>
  <c r="M1023" i="53"/>
  <c r="M674" i="53"/>
  <c r="M1022" i="37"/>
  <c r="M1372" i="53"/>
  <c r="M673" i="37"/>
  <c r="M326" i="31"/>
  <c r="M1721" i="53"/>
  <c r="M325" i="53"/>
  <c r="M324" i="37"/>
  <c r="M674" i="31"/>
  <c r="Q1026" i="54"/>
  <c r="Q1724" i="52"/>
  <c r="Q677" i="54"/>
  <c r="Q1375" i="54"/>
  <c r="Q328" i="54"/>
  <c r="Q1026" i="52"/>
  <c r="Q1375" i="52"/>
  <c r="Q677" i="52"/>
  <c r="Q1024" i="59"/>
  <c r="Q1371" i="51"/>
  <c r="Q674" i="51"/>
  <c r="Q326" i="51"/>
  <c r="Q328" i="52"/>
  <c r="Q1023" i="51"/>
  <c r="Q1725" i="53"/>
  <c r="Q675" i="59"/>
  <c r="Q326" i="59"/>
  <c r="Q678" i="53"/>
  <c r="Q1027" i="53"/>
  <c r="Q1376" i="53"/>
  <c r="Q677" i="37"/>
  <c r="Q328" i="37"/>
  <c r="Q329" i="53"/>
  <c r="Q1026" i="37"/>
  <c r="Q330" i="31"/>
  <c r="Q678" i="31"/>
  <c r="O683" i="54"/>
  <c r="O1381" i="54"/>
  <c r="O334" i="54"/>
  <c r="O1032" i="54"/>
  <c r="O1730" i="52"/>
  <c r="O1381" i="52"/>
  <c r="O334" i="52"/>
  <c r="O332" i="51"/>
  <c r="O1032" i="52"/>
  <c r="O1029" i="51"/>
  <c r="O683" i="52"/>
  <c r="O680" i="51"/>
  <c r="O1377" i="51"/>
  <c r="O332" i="59"/>
  <c r="O1030" i="59"/>
  <c r="O1731" i="53"/>
  <c r="O1033" i="53"/>
  <c r="O681" i="59"/>
  <c r="O683" i="37"/>
  <c r="O1382" i="53"/>
  <c r="O335" i="53"/>
  <c r="O334" i="37"/>
  <c r="O684" i="53"/>
  <c r="O1032" i="37"/>
  <c r="O336" i="31"/>
  <c r="O684" i="31"/>
  <c r="S687" i="54"/>
  <c r="S1385" i="54"/>
  <c r="S338" i="54"/>
  <c r="S1036" i="54"/>
  <c r="S1734" i="52"/>
  <c r="S1385" i="52"/>
  <c r="S1036" i="52"/>
  <c r="S338" i="52"/>
  <c r="S687" i="52"/>
  <c r="S1034" i="59"/>
  <c r="S1381" i="51"/>
  <c r="S684" i="51"/>
  <c r="S1033" i="51"/>
  <c r="S336" i="51"/>
  <c r="S1386" i="53"/>
  <c r="S1037" i="53"/>
  <c r="S685" i="59"/>
  <c r="S336" i="59"/>
  <c r="S687" i="37"/>
  <c r="S339" i="53"/>
  <c r="S1735" i="53"/>
  <c r="S338" i="37"/>
  <c r="S688" i="53"/>
  <c r="S1036" i="37"/>
  <c r="S340" i="31"/>
  <c r="S688" i="31"/>
  <c r="M1044" i="54"/>
  <c r="M1742" i="52"/>
  <c r="M695" i="54"/>
  <c r="M1393" i="54"/>
  <c r="M346" i="54"/>
  <c r="M1393" i="52"/>
  <c r="M1044" i="52"/>
  <c r="M346" i="52"/>
  <c r="M692" i="51"/>
  <c r="M693" i="59"/>
  <c r="M1389" i="51"/>
  <c r="M1041" i="51"/>
  <c r="M695" i="52"/>
  <c r="M1042" i="59"/>
  <c r="M1394" i="53"/>
  <c r="M347" i="53"/>
  <c r="M344" i="51"/>
  <c r="M344" i="59"/>
  <c r="M1044" i="37"/>
  <c r="M1743" i="53"/>
  <c r="M696" i="53"/>
  <c r="M695" i="37"/>
  <c r="M1045" i="53"/>
  <c r="M346" i="37"/>
  <c r="M696" i="31"/>
  <c r="M348" i="31"/>
  <c r="M1021" i="54"/>
  <c r="M1719" i="52"/>
  <c r="M672" i="54"/>
  <c r="M1370" i="54"/>
  <c r="M323" i="54"/>
  <c r="M1370" i="52"/>
  <c r="M1021" i="52"/>
  <c r="M672" i="52"/>
  <c r="M323" i="52"/>
  <c r="M321" i="51"/>
  <c r="M1018" i="51"/>
  <c r="M1366" i="51"/>
  <c r="M669" i="51"/>
  <c r="M321" i="59"/>
  <c r="M670" i="59"/>
  <c r="M1720" i="53"/>
  <c r="M1019" i="59"/>
  <c r="M1371" i="53"/>
  <c r="M673" i="53"/>
  <c r="M1021" i="37"/>
  <c r="M1022" i="53"/>
  <c r="M672" i="37"/>
  <c r="M324" i="53"/>
  <c r="M323" i="37"/>
  <c r="M325" i="31"/>
  <c r="M673" i="31"/>
  <c r="Q1051" i="54"/>
  <c r="Q1749" i="52"/>
  <c r="Q702" i="54"/>
  <c r="Q1400" i="52"/>
  <c r="Q1400" i="54"/>
  <c r="Q353" i="54"/>
  <c r="Q1051" i="52"/>
  <c r="Q1396" i="51"/>
  <c r="Q699" i="51"/>
  <c r="Q353" i="52"/>
  <c r="Q1048" i="51"/>
  <c r="Q1049" i="59"/>
  <c r="Q700" i="59"/>
  <c r="Q702" i="52"/>
  <c r="Q703" i="53"/>
  <c r="Q351" i="51"/>
  <c r="Q351" i="59"/>
  <c r="Q1750" i="53"/>
  <c r="Q354" i="53"/>
  <c r="Q1401" i="53"/>
  <c r="Q702" i="37"/>
  <c r="Q1052" i="53"/>
  <c r="Q353" i="37"/>
  <c r="Q1051" i="37"/>
  <c r="Q703" i="31"/>
  <c r="Q355" i="31"/>
  <c r="S1050" i="54"/>
  <c r="S1748" i="52"/>
  <c r="S701" i="54"/>
  <c r="S1399" i="52"/>
  <c r="S1399" i="54"/>
  <c r="S352" i="54"/>
  <c r="S1050" i="52"/>
  <c r="S1395" i="51"/>
  <c r="S701" i="52"/>
  <c r="S698" i="51"/>
  <c r="S352" i="52"/>
  <c r="S1047" i="51"/>
  <c r="S1048" i="59"/>
  <c r="S699" i="59"/>
  <c r="S702" i="53"/>
  <c r="S350" i="51"/>
  <c r="S1749" i="53"/>
  <c r="S350" i="59"/>
  <c r="S353" i="53"/>
  <c r="S701" i="37"/>
  <c r="S1051" i="53"/>
  <c r="S352" i="37"/>
  <c r="S1400" i="53"/>
  <c r="S1050" i="37"/>
  <c r="S702" i="31"/>
  <c r="S354" i="31"/>
  <c r="M1043" i="54"/>
  <c r="M1741" i="52"/>
  <c r="M694" i="54"/>
  <c r="M1392" i="54"/>
  <c r="M345" i="54"/>
  <c r="M1392" i="52"/>
  <c r="M1043" i="52"/>
  <c r="M1388" i="51"/>
  <c r="M691" i="51"/>
  <c r="M345" i="52"/>
  <c r="M1041" i="59"/>
  <c r="M692" i="59"/>
  <c r="M1040" i="51"/>
  <c r="M694" i="52"/>
  <c r="M1742" i="53"/>
  <c r="M695" i="53"/>
  <c r="M343" i="51"/>
  <c r="M343" i="59"/>
  <c r="M694" i="37"/>
  <c r="M346" i="53"/>
  <c r="M1044" i="53"/>
  <c r="M1393" i="53"/>
  <c r="M1043" i="37"/>
  <c r="M695" i="31"/>
  <c r="M345" i="37"/>
  <c r="M347" i="31"/>
  <c r="Q699" i="54"/>
  <c r="Q1397" i="54"/>
  <c r="Q350" i="54"/>
  <c r="Q1048" i="54"/>
  <c r="Q1746" i="52"/>
  <c r="Q1397" i="52"/>
  <c r="Q699" i="52"/>
  <c r="Q1048" i="52"/>
  <c r="Q348" i="51"/>
  <c r="Q1393" i="51"/>
  <c r="Q348" i="59"/>
  <c r="Q350" i="52"/>
  <c r="Q696" i="51"/>
  <c r="Q1045" i="51"/>
  <c r="Q1046" i="59"/>
  <c r="Q697" i="59"/>
  <c r="Q1049" i="53"/>
  <c r="Q1747" i="53"/>
  <c r="Q699" i="37"/>
  <c r="Q1398" i="53"/>
  <c r="Q700" i="53"/>
  <c r="Q350" i="37"/>
  <c r="Q1048" i="37"/>
  <c r="Q351" i="53"/>
  <c r="Q352" i="31"/>
  <c r="Q700" i="31"/>
  <c r="Q1367" i="54"/>
  <c r="Q320" i="54"/>
  <c r="Q1018" i="54"/>
  <c r="Q1716" i="52"/>
  <c r="Q669" i="54"/>
  <c r="Q1367" i="52"/>
  <c r="Q669" i="52"/>
  <c r="Q1363" i="51"/>
  <c r="Q1018" i="52"/>
  <c r="Q318" i="51"/>
  <c r="Q666" i="51"/>
  <c r="Q1015" i="51"/>
  <c r="Q320" i="52"/>
  <c r="Q318" i="59"/>
  <c r="Q1016" i="59"/>
  <c r="Q1717" i="53"/>
  <c r="Q667" i="59"/>
  <c r="Q1019" i="53"/>
  <c r="Q321" i="53"/>
  <c r="Q1018" i="37"/>
  <c r="Q670" i="53"/>
  <c r="Q669" i="37"/>
  <c r="Q322" i="31"/>
  <c r="Q1368" i="53"/>
  <c r="Q320" i="37"/>
  <c r="Q670" i="31"/>
  <c r="S1393" i="54"/>
  <c r="S346" i="54"/>
  <c r="S1044" i="54"/>
  <c r="S1742" i="52"/>
  <c r="S695" i="54"/>
  <c r="S1393" i="52"/>
  <c r="S1044" i="52"/>
  <c r="S1389" i="51"/>
  <c r="S346" i="52"/>
  <c r="S695" i="52"/>
  <c r="S692" i="51"/>
  <c r="S1041" i="51"/>
  <c r="S344" i="51"/>
  <c r="S693" i="59"/>
  <c r="S1042" i="59"/>
  <c r="S1045" i="53"/>
  <c r="S344" i="59"/>
  <c r="S696" i="53"/>
  <c r="S1743" i="53"/>
  <c r="S1044" i="37"/>
  <c r="S1394" i="53"/>
  <c r="S347" i="53"/>
  <c r="S695" i="37"/>
  <c r="S696" i="31"/>
  <c r="S346" i="37"/>
  <c r="S348" i="31"/>
  <c r="M1386" i="54"/>
  <c r="M339" i="54"/>
  <c r="M1037" i="54"/>
  <c r="M1735" i="52"/>
  <c r="M688" i="54"/>
  <c r="M1386" i="52"/>
  <c r="M1037" i="52"/>
  <c r="M1382" i="51"/>
  <c r="M339" i="52"/>
  <c r="M688" i="52"/>
  <c r="M685" i="51"/>
  <c r="M1034" i="51"/>
  <c r="M1035" i="59"/>
  <c r="M337" i="51"/>
  <c r="M686" i="59"/>
  <c r="M337" i="59"/>
  <c r="M1736" i="53"/>
  <c r="M689" i="53"/>
  <c r="M1038" i="53"/>
  <c r="M1387" i="53"/>
  <c r="M1037" i="37"/>
  <c r="M688" i="37"/>
  <c r="M340" i="53"/>
  <c r="M341" i="31"/>
  <c r="M339" i="37"/>
  <c r="M689" i="31"/>
  <c r="Q1391" i="54"/>
  <c r="Q344" i="54"/>
  <c r="Q1042" i="54"/>
  <c r="Q1740" i="52"/>
  <c r="Q693" i="54"/>
  <c r="Q1391" i="52"/>
  <c r="Q1042" i="52"/>
  <c r="Q344" i="52"/>
  <c r="Q693" i="52"/>
  <c r="Q1039" i="51"/>
  <c r="Q342" i="51"/>
  <c r="Q690" i="51"/>
  <c r="Q1387" i="51"/>
  <c r="Q342" i="59"/>
  <c r="Q1040" i="59"/>
  <c r="Q1741" i="53"/>
  <c r="Q691" i="59"/>
  <c r="Q1043" i="53"/>
  <c r="Q1042" i="37"/>
  <c r="Q345" i="53"/>
  <c r="Q693" i="37"/>
  <c r="Q346" i="31"/>
  <c r="Q694" i="53"/>
  <c r="Q1392" i="53"/>
  <c r="Q344" i="37"/>
  <c r="Q694" i="31"/>
  <c r="O1047" i="54"/>
  <c r="O1745" i="52"/>
  <c r="O698" i="54"/>
  <c r="O1396" i="54"/>
  <c r="O349" i="54"/>
  <c r="O1396" i="52"/>
  <c r="O1047" i="52"/>
  <c r="O1392" i="51"/>
  <c r="O695" i="51"/>
  <c r="O349" i="52"/>
  <c r="O698" i="52"/>
  <c r="O1045" i="59"/>
  <c r="O696" i="59"/>
  <c r="O1044" i="51"/>
  <c r="O699" i="53"/>
  <c r="O347" i="51"/>
  <c r="O1746" i="53"/>
  <c r="O347" i="59"/>
  <c r="O350" i="53"/>
  <c r="O698" i="37"/>
  <c r="O1048" i="53"/>
  <c r="O349" i="37"/>
  <c r="O1397" i="53"/>
  <c r="O1047" i="37"/>
  <c r="O699" i="31"/>
  <c r="O351" i="31"/>
  <c r="O1366" i="54"/>
  <c r="O319" i="54"/>
  <c r="O1017" i="54"/>
  <c r="O1715" i="52"/>
  <c r="O668" i="54"/>
  <c r="O1366" i="52"/>
  <c r="O1017" i="52"/>
  <c r="O1362" i="51"/>
  <c r="O319" i="52"/>
  <c r="O668" i="52"/>
  <c r="O665" i="51"/>
  <c r="O1014" i="51"/>
  <c r="O317" i="51"/>
  <c r="O1015" i="59"/>
  <c r="O666" i="59"/>
  <c r="O1716" i="53"/>
  <c r="O669" i="53"/>
  <c r="O317" i="59"/>
  <c r="O320" i="53"/>
  <c r="O1017" i="37"/>
  <c r="O1367" i="53"/>
  <c r="O668" i="37"/>
  <c r="O1018" i="53"/>
  <c r="O321" i="31"/>
  <c r="O319" i="37"/>
  <c r="O669" i="31"/>
  <c r="S673" i="54"/>
  <c r="S1371" i="54"/>
  <c r="S324" i="54"/>
  <c r="S1022" i="54"/>
  <c r="S1720" i="52"/>
  <c r="S1022" i="52"/>
  <c r="S1371" i="52"/>
  <c r="S673" i="52"/>
  <c r="S1019" i="51"/>
  <c r="S322" i="51"/>
  <c r="S324" i="52"/>
  <c r="S1367" i="51"/>
  <c r="S670" i="51"/>
  <c r="S322" i="59"/>
  <c r="S1372" i="53"/>
  <c r="S325" i="53"/>
  <c r="S1020" i="59"/>
  <c r="S671" i="59"/>
  <c r="S1023" i="53"/>
  <c r="S324" i="37"/>
  <c r="S1721" i="53"/>
  <c r="S1022" i="37"/>
  <c r="S674" i="53"/>
  <c r="S673" i="37"/>
  <c r="S326" i="31"/>
  <c r="S674" i="31"/>
  <c r="M1030" i="54"/>
  <c r="M1728" i="52"/>
  <c r="M681" i="54"/>
  <c r="M1379" i="54"/>
  <c r="M332" i="54"/>
  <c r="M1379" i="52"/>
  <c r="M1030" i="52"/>
  <c r="M332" i="52"/>
  <c r="M1375" i="51"/>
  <c r="M1027" i="51"/>
  <c r="M330" i="51"/>
  <c r="M681" i="52"/>
  <c r="M1028" i="59"/>
  <c r="M1729" i="53"/>
  <c r="M678" i="51"/>
  <c r="M679" i="59"/>
  <c r="M330" i="59"/>
  <c r="M682" i="53"/>
  <c r="M681" i="37"/>
  <c r="M333" i="53"/>
  <c r="M332" i="37"/>
  <c r="M1031" i="53"/>
  <c r="M1030" i="37"/>
  <c r="M1380" i="53"/>
  <c r="M682" i="31"/>
  <c r="M334" i="31"/>
  <c r="Q1393" i="54"/>
  <c r="Q346" i="54"/>
  <c r="Q1044" i="54"/>
  <c r="Q1742" i="52"/>
  <c r="Q695" i="54"/>
  <c r="Q1393" i="52"/>
  <c r="Q1044" i="52"/>
  <c r="Q346" i="52"/>
  <c r="Q695" i="52"/>
  <c r="Q1389" i="51"/>
  <c r="Q1042" i="59"/>
  <c r="Q1743" i="53"/>
  <c r="Q692" i="51"/>
  <c r="Q1041" i="51"/>
  <c r="Q344" i="51"/>
  <c r="Q693" i="59"/>
  <c r="Q344" i="59"/>
  <c r="Q696" i="53"/>
  <c r="Q346" i="37"/>
  <c r="Q1045" i="53"/>
  <c r="Q1044" i="37"/>
  <c r="Q347" i="53"/>
  <c r="Q695" i="37"/>
  <c r="Q1394" i="53"/>
  <c r="Q348" i="31"/>
  <c r="Q696" i="31"/>
  <c r="Q1039" i="54"/>
  <c r="Q1737" i="52"/>
  <c r="Q690" i="54"/>
  <c r="Q1388" i="52"/>
  <c r="Q1388" i="54"/>
  <c r="Q341" i="54"/>
  <c r="Q1039" i="52"/>
  <c r="Q1384" i="51"/>
  <c r="Q687" i="51"/>
  <c r="Q690" i="52"/>
  <c r="Q1037" i="59"/>
  <c r="Q341" i="52"/>
  <c r="Q688" i="59"/>
  <c r="Q339" i="51"/>
  <c r="Q1036" i="51"/>
  <c r="Q691" i="53"/>
  <c r="Q339" i="59"/>
  <c r="Q1738" i="53"/>
  <c r="Q690" i="37"/>
  <c r="Q342" i="53"/>
  <c r="Q341" i="37"/>
  <c r="Q1389" i="53"/>
  <c r="Q1040" i="53"/>
  <c r="Q1039" i="37"/>
  <c r="Q691" i="31"/>
  <c r="Q343" i="31"/>
  <c r="M1384" i="54"/>
  <c r="M337" i="54"/>
  <c r="M1035" i="54"/>
  <c r="M1733" i="52"/>
  <c r="M686" i="54"/>
  <c r="M1384" i="52"/>
  <c r="M337" i="52"/>
  <c r="M1035" i="52"/>
  <c r="M1032" i="51"/>
  <c r="M1380" i="51"/>
  <c r="M1033" i="59"/>
  <c r="M683" i="51"/>
  <c r="M335" i="51"/>
  <c r="M686" i="52"/>
  <c r="M684" i="59"/>
  <c r="M1036" i="53"/>
  <c r="M335" i="59"/>
  <c r="M1734" i="53"/>
  <c r="M1385" i="53"/>
  <c r="M1035" i="37"/>
  <c r="M686" i="37"/>
  <c r="M338" i="53"/>
  <c r="M687" i="53"/>
  <c r="M337" i="37"/>
  <c r="M339" i="31"/>
  <c r="M687" i="31"/>
  <c r="M680" i="54"/>
  <c r="M1378" i="54"/>
  <c r="M331" i="54"/>
  <c r="M1029" i="54"/>
  <c r="M1727" i="52"/>
  <c r="M1378" i="52"/>
  <c r="M331" i="52"/>
  <c r="M1026" i="51"/>
  <c r="M1029" i="52"/>
  <c r="M1374" i="51"/>
  <c r="M677" i="51"/>
  <c r="M680" i="52"/>
  <c r="M1027" i="59"/>
  <c r="M1379" i="53"/>
  <c r="M329" i="51"/>
  <c r="M1030" i="53"/>
  <c r="M678" i="59"/>
  <c r="M329" i="59"/>
  <c r="M1728" i="53"/>
  <c r="M680" i="37"/>
  <c r="M332" i="53"/>
  <c r="M331" i="37"/>
  <c r="M681" i="53"/>
  <c r="M1029" i="37"/>
  <c r="M681" i="31"/>
  <c r="M333" i="31"/>
  <c r="Q685" i="54"/>
  <c r="Q1383" i="54"/>
  <c r="Q336" i="54"/>
  <c r="Q1034" i="54"/>
  <c r="Q1732" i="52"/>
  <c r="Q1034" i="52"/>
  <c r="Q1383" i="52"/>
  <c r="Q685" i="52"/>
  <c r="Q1031" i="51"/>
  <c r="Q336" i="52"/>
  <c r="Q682" i="51"/>
  <c r="Q1379" i="51"/>
  <c r="Q683" i="59"/>
  <c r="Q334" i="51"/>
  <c r="Q1733" i="53"/>
  <c r="Q1032" i="59"/>
  <c r="Q334" i="59"/>
  <c r="Q1384" i="53"/>
  <c r="Q337" i="53"/>
  <c r="Q336" i="37"/>
  <c r="Q686" i="53"/>
  <c r="Q1034" i="37"/>
  <c r="Q686" i="31"/>
  <c r="Q1035" i="53"/>
  <c r="Q685" i="37"/>
  <c r="Q338" i="31"/>
  <c r="O1388" i="54"/>
  <c r="O341" i="54"/>
  <c r="O1039" i="54"/>
  <c r="O1737" i="52"/>
  <c r="O690" i="54"/>
  <c r="O341" i="52"/>
  <c r="O1388" i="52"/>
  <c r="O1039" i="52"/>
  <c r="O690" i="52"/>
  <c r="O1036" i="51"/>
  <c r="O1037" i="59"/>
  <c r="O687" i="51"/>
  <c r="O1384" i="51"/>
  <c r="O339" i="51"/>
  <c r="O688" i="59"/>
  <c r="O1040" i="53"/>
  <c r="O339" i="59"/>
  <c r="O1738" i="53"/>
  <c r="O1039" i="37"/>
  <c r="O1389" i="53"/>
  <c r="O342" i="53"/>
  <c r="O690" i="37"/>
  <c r="O691" i="53"/>
  <c r="O341" i="37"/>
  <c r="O691" i="31"/>
  <c r="O343" i="31"/>
  <c r="S1378" i="54"/>
  <c r="S331" i="54"/>
  <c r="S1029" i="54"/>
  <c r="S1727" i="52"/>
  <c r="S680" i="54"/>
  <c r="S1378" i="52"/>
  <c r="S680" i="52"/>
  <c r="S1029" i="52"/>
  <c r="S331" i="52"/>
  <c r="S329" i="51"/>
  <c r="S1026" i="51"/>
  <c r="S1374" i="51"/>
  <c r="S677" i="51"/>
  <c r="S329" i="59"/>
  <c r="S678" i="59"/>
  <c r="S1027" i="59"/>
  <c r="S1728" i="53"/>
  <c r="S1030" i="53"/>
  <c r="S681" i="53"/>
  <c r="S1029" i="37"/>
  <c r="S680" i="37"/>
  <c r="S333" i="31"/>
  <c r="S332" i="53"/>
  <c r="S1379" i="53"/>
  <c r="S331" i="37"/>
  <c r="S681" i="31"/>
  <c r="M1372" i="54"/>
  <c r="M325" i="54"/>
  <c r="M1023" i="54"/>
  <c r="M1721" i="52"/>
  <c r="M674" i="54"/>
  <c r="M1372" i="52"/>
  <c r="M325" i="52"/>
  <c r="M1368" i="51"/>
  <c r="M1020" i="51"/>
  <c r="M1023" i="52"/>
  <c r="M674" i="52"/>
  <c r="M1021" i="59"/>
  <c r="M671" i="51"/>
  <c r="M323" i="51"/>
  <c r="M1024" i="53"/>
  <c r="M672" i="59"/>
  <c r="M323" i="59"/>
  <c r="M1722" i="53"/>
  <c r="M675" i="53"/>
  <c r="M1023" i="37"/>
  <c r="M1373" i="53"/>
  <c r="M674" i="37"/>
  <c r="M326" i="53"/>
  <c r="M325" i="37"/>
  <c r="M327" i="31"/>
  <c r="M675" i="31"/>
  <c r="Q1028" i="54"/>
  <c r="Q1726" i="52"/>
  <c r="Q679" i="54"/>
  <c r="Q1377" i="54"/>
  <c r="Q330" i="54"/>
  <c r="Q1028" i="52"/>
  <c r="Q1377" i="52"/>
  <c r="Q330" i="52"/>
  <c r="Q676" i="51"/>
  <c r="Q679" i="52"/>
  <c r="Q1025" i="51"/>
  <c r="Q1373" i="51"/>
  <c r="Q677" i="59"/>
  <c r="Q328" i="51"/>
  <c r="Q1727" i="53"/>
  <c r="Q328" i="59"/>
  <c r="Q1378" i="53"/>
  <c r="Q331" i="53"/>
  <c r="Q1026" i="59"/>
  <c r="Q1028" i="37"/>
  <c r="Q1029" i="53"/>
  <c r="Q679" i="37"/>
  <c r="Q680" i="53"/>
  <c r="Q330" i="37"/>
  <c r="Q332" i="31"/>
  <c r="Q680" i="31"/>
  <c r="O684" i="54"/>
  <c r="O1382" i="54"/>
  <c r="O335" i="54"/>
  <c r="O1033" i="54"/>
  <c r="O1731" i="52"/>
  <c r="O1382" i="52"/>
  <c r="O335" i="52"/>
  <c r="O684" i="52"/>
  <c r="O1033" i="52"/>
  <c r="O1030" i="51"/>
  <c r="O681" i="51"/>
  <c r="O1378" i="51"/>
  <c r="O1031" i="59"/>
  <c r="O333" i="51"/>
  <c r="O1383" i="53"/>
  <c r="O1034" i="53"/>
  <c r="O682" i="59"/>
  <c r="O333" i="59"/>
  <c r="O1732" i="53"/>
  <c r="O684" i="37"/>
  <c r="O336" i="53"/>
  <c r="O335" i="37"/>
  <c r="O685" i="53"/>
  <c r="O1033" i="37"/>
  <c r="O337" i="31"/>
  <c r="O685" i="31"/>
  <c r="S1038" i="54"/>
  <c r="S1736" i="52"/>
  <c r="S689" i="54"/>
  <c r="S1387" i="52"/>
  <c r="S1387" i="54"/>
  <c r="S340" i="54"/>
  <c r="S1038" i="52"/>
  <c r="S1383" i="51"/>
  <c r="S689" i="52"/>
  <c r="S686" i="51"/>
  <c r="S340" i="52"/>
  <c r="S687" i="59"/>
  <c r="S338" i="51"/>
  <c r="S1035" i="51"/>
  <c r="S690" i="53"/>
  <c r="S1737" i="53"/>
  <c r="S1036" i="59"/>
  <c r="S338" i="59"/>
  <c r="S1039" i="53"/>
  <c r="S1388" i="53"/>
  <c r="S689" i="37"/>
  <c r="S341" i="53"/>
  <c r="S340" i="37"/>
  <c r="S1038" i="37"/>
  <c r="S690" i="31"/>
  <c r="S342" i="31"/>
  <c r="M1395" i="54"/>
  <c r="M348" i="54"/>
  <c r="M1046" i="54"/>
  <c r="M697" i="54"/>
  <c r="M1744" i="52"/>
  <c r="M1395" i="52"/>
  <c r="M697" i="52"/>
  <c r="M1046" i="52"/>
  <c r="M1391" i="51"/>
  <c r="M346" i="51"/>
  <c r="M694" i="51"/>
  <c r="M348" i="52"/>
  <c r="M1043" i="51"/>
  <c r="M346" i="59"/>
  <c r="M1745" i="53"/>
  <c r="M1044" i="59"/>
  <c r="M695" i="59"/>
  <c r="M1047" i="53"/>
  <c r="M1046" i="37"/>
  <c r="M698" i="53"/>
  <c r="M349" i="53"/>
  <c r="M697" i="37"/>
  <c r="M350" i="31"/>
  <c r="M1396" i="53"/>
  <c r="M348" i="37"/>
  <c r="M698" i="31"/>
  <c r="Q1050" i="54"/>
  <c r="Q1748" i="52"/>
  <c r="Q701" i="54"/>
  <c r="Q1399" i="54"/>
  <c r="Q352" i="54"/>
  <c r="Q1050" i="52"/>
  <c r="Q1399" i="52"/>
  <c r="Q701" i="52"/>
  <c r="Q1047" i="51"/>
  <c r="Q352" i="52"/>
  <c r="Q350" i="51"/>
  <c r="Q1395" i="51"/>
  <c r="Q698" i="51"/>
  <c r="Q1048" i="59"/>
  <c r="Q1749" i="53"/>
  <c r="Q699" i="59"/>
  <c r="Q350" i="59"/>
  <c r="Q702" i="53"/>
  <c r="Q1400" i="53"/>
  <c r="Q701" i="37"/>
  <c r="Q1051" i="53"/>
  <c r="Q352" i="37"/>
  <c r="Q1050" i="37"/>
  <c r="Q353" i="53"/>
  <c r="Q702" i="31"/>
  <c r="Q354" i="31"/>
  <c r="Q1381" i="54"/>
  <c r="Q334" i="54"/>
  <c r="Q1032" i="54"/>
  <c r="Q1730" i="52"/>
  <c r="Q683" i="54"/>
  <c r="Q1381" i="52"/>
  <c r="Q1032" i="52"/>
  <c r="Q683" i="52"/>
  <c r="Q1377" i="51"/>
  <c r="Q1030" i="59"/>
  <c r="Q332" i="51"/>
  <c r="Q334" i="52"/>
  <c r="Q1029" i="51"/>
  <c r="Q1731" i="53"/>
  <c r="Q680" i="51"/>
  <c r="Q681" i="59"/>
  <c r="Q684" i="53"/>
  <c r="Q332" i="59"/>
  <c r="Q334" i="37"/>
  <c r="Q1032" i="37"/>
  <c r="Q1382" i="53"/>
  <c r="Q1033" i="53"/>
  <c r="Q683" i="37"/>
  <c r="Q335" i="53"/>
  <c r="Q336" i="31"/>
  <c r="Q684" i="31"/>
  <c r="Q1027" i="54"/>
  <c r="Q1725" i="52"/>
  <c r="Q678" i="54"/>
  <c r="Q1376" i="52"/>
  <c r="Q1376" i="54"/>
  <c r="Q329" i="54"/>
  <c r="Q1027" i="52"/>
  <c r="Q1372" i="51"/>
  <c r="Q675" i="51"/>
  <c r="Q678" i="52"/>
  <c r="Q1024" i="51"/>
  <c r="Q329" i="52"/>
  <c r="Q676" i="59"/>
  <c r="Q327" i="51"/>
  <c r="Q679" i="53"/>
  <c r="Q1726" i="53"/>
  <c r="Q327" i="59"/>
  <c r="Q1025" i="59"/>
  <c r="Q1028" i="53"/>
  <c r="Q1377" i="53"/>
  <c r="Q678" i="37"/>
  <c r="Q329" i="37"/>
  <c r="Q330" i="53"/>
  <c r="Q1027" i="37"/>
  <c r="Q679" i="31"/>
  <c r="Q331" i="31"/>
  <c r="Q1040" i="54"/>
  <c r="Q1738" i="52"/>
  <c r="Q691" i="54"/>
  <c r="Q1389" i="54"/>
  <c r="Q342" i="54"/>
  <c r="Q1040" i="52"/>
  <c r="Q1389" i="52"/>
  <c r="Q688" i="51"/>
  <c r="Q691" i="52"/>
  <c r="Q1385" i="51"/>
  <c r="Q342" i="52"/>
  <c r="Q689" i="59"/>
  <c r="Q340" i="51"/>
  <c r="Q1037" i="51"/>
  <c r="Q340" i="59"/>
  <c r="Q1739" i="53"/>
  <c r="Q1390" i="53"/>
  <c r="Q343" i="53"/>
  <c r="Q1038" i="59"/>
  <c r="Q1040" i="37"/>
  <c r="Q691" i="37"/>
  <c r="Q692" i="53"/>
  <c r="Q1041" i="53"/>
  <c r="Q344" i="31"/>
  <c r="Q342" i="37"/>
  <c r="Q692" i="31"/>
  <c r="Q700" i="54"/>
  <c r="Q1398" i="54"/>
  <c r="Q351" i="54"/>
  <c r="Q1049" i="54"/>
  <c r="Q1747" i="52"/>
  <c r="Q1049" i="52"/>
  <c r="Q1398" i="52"/>
  <c r="Q351" i="52"/>
  <c r="Q700" i="52"/>
  <c r="Q1046" i="51"/>
  <c r="Q1394" i="51"/>
  <c r="Q697" i="51"/>
  <c r="Q1047" i="59"/>
  <c r="Q349" i="51"/>
  <c r="Q1399" i="53"/>
  <c r="Q698" i="59"/>
  <c r="Q349" i="59"/>
  <c r="Q1050" i="53"/>
  <c r="Q1748" i="53"/>
  <c r="Q700" i="37"/>
  <c r="Q701" i="53"/>
  <c r="Q351" i="37"/>
  <c r="Q1049" i="37"/>
  <c r="Q352" i="53"/>
  <c r="Q701" i="31"/>
  <c r="Q353" i="31"/>
  <c r="Q1368" i="54"/>
  <c r="Q321" i="54"/>
  <c r="Q1019" i="54"/>
  <c r="Q1717" i="52"/>
  <c r="Q670" i="54"/>
  <c r="Q1368" i="52"/>
  <c r="Q321" i="52"/>
  <c r="Q1019" i="52"/>
  <c r="Q667" i="51"/>
  <c r="Q1016" i="51"/>
  <c r="Q670" i="52"/>
  <c r="Q1364" i="51"/>
  <c r="Q1020" i="53"/>
  <c r="Q1017" i="59"/>
  <c r="Q319" i="51"/>
  <c r="Q1718" i="53"/>
  <c r="Q668" i="59"/>
  <c r="Q1369" i="53"/>
  <c r="Q319" i="59"/>
  <c r="Q322" i="53"/>
  <c r="Q1019" i="37"/>
  <c r="Q671" i="53"/>
  <c r="Q670" i="37"/>
  <c r="Q321" i="37"/>
  <c r="Q323" i="31"/>
  <c r="Q671" i="31"/>
  <c r="O1024" i="54"/>
  <c r="O1722" i="52"/>
  <c r="O675" i="54"/>
  <c r="O1373" i="54"/>
  <c r="O326" i="54"/>
  <c r="O1373" i="52"/>
  <c r="O1024" i="52"/>
  <c r="O675" i="52"/>
  <c r="O1021" i="51"/>
  <c r="O672" i="51"/>
  <c r="O326" i="52"/>
  <c r="O673" i="59"/>
  <c r="O1369" i="51"/>
  <c r="O324" i="51"/>
  <c r="O324" i="59"/>
  <c r="O1374" i="53"/>
  <c r="O327" i="53"/>
  <c r="O1723" i="53"/>
  <c r="O1022" i="59"/>
  <c r="O1024" i="37"/>
  <c r="O1025" i="53"/>
  <c r="O675" i="37"/>
  <c r="O676" i="53"/>
  <c r="O676" i="31"/>
  <c r="O326" i="37"/>
  <c r="O328" i="31"/>
  <c r="M689" i="54"/>
  <c r="M1387" i="54"/>
  <c r="M340" i="54"/>
  <c r="M1038" i="54"/>
  <c r="M1736" i="52"/>
  <c r="M1038" i="52"/>
  <c r="M1387" i="52"/>
  <c r="M1383" i="51"/>
  <c r="M689" i="52"/>
  <c r="M686" i="51"/>
  <c r="M340" i="52"/>
  <c r="M1035" i="51"/>
  <c r="M338" i="51"/>
  <c r="M687" i="59"/>
  <c r="M1036" i="59"/>
  <c r="M338" i="59"/>
  <c r="M1737" i="53"/>
  <c r="M1388" i="53"/>
  <c r="M341" i="53"/>
  <c r="M340" i="37"/>
  <c r="M1039" i="53"/>
  <c r="M1038" i="37"/>
  <c r="M690" i="31"/>
  <c r="M689" i="37"/>
  <c r="M690" i="53"/>
  <c r="M342" i="31"/>
  <c r="Q1392" i="54"/>
  <c r="Q345" i="54"/>
  <c r="Q1043" i="54"/>
  <c r="Q1741" i="52"/>
  <c r="Q694" i="54"/>
  <c r="Q1392" i="52"/>
  <c r="Q345" i="52"/>
  <c r="Q1043" i="52"/>
  <c r="Q694" i="52"/>
  <c r="Q1040" i="51"/>
  <c r="Q1041" i="59"/>
  <c r="Q691" i="51"/>
  <c r="Q343" i="51"/>
  <c r="Q1388" i="51"/>
  <c r="Q692" i="59"/>
  <c r="Q1044" i="53"/>
  <c r="Q343" i="59"/>
  <c r="Q1742" i="53"/>
  <c r="Q1393" i="53"/>
  <c r="Q1043" i="37"/>
  <c r="Q346" i="53"/>
  <c r="Q694" i="37"/>
  <c r="Q695" i="53"/>
  <c r="Q345" i="37"/>
  <c r="Q347" i="31"/>
  <c r="Q695" i="31"/>
  <c r="O1048" i="54"/>
  <c r="O1746" i="52"/>
  <c r="O699" i="54"/>
  <c r="O1397" i="54"/>
  <c r="O350" i="54"/>
  <c r="O1397" i="52"/>
  <c r="O1048" i="52"/>
  <c r="O696" i="51"/>
  <c r="O350" i="52"/>
  <c r="O699" i="52"/>
  <c r="O1393" i="51"/>
  <c r="O697" i="59"/>
  <c r="O1045" i="51"/>
  <c r="O348" i="51"/>
  <c r="O1398" i="53"/>
  <c r="O351" i="53"/>
  <c r="O348" i="59"/>
  <c r="O1046" i="59"/>
  <c r="O1048" i="37"/>
  <c r="O700" i="53"/>
  <c r="O1747" i="53"/>
  <c r="O699" i="37"/>
  <c r="O1049" i="53"/>
  <c r="O352" i="31"/>
  <c r="O350" i="37"/>
  <c r="O700" i="31"/>
  <c r="O669" i="54"/>
  <c r="O1367" i="54"/>
  <c r="O320" i="54"/>
  <c r="O1018" i="54"/>
  <c r="O1716" i="52"/>
  <c r="O1367" i="52"/>
  <c r="O1018" i="52"/>
  <c r="O669" i="52"/>
  <c r="O320" i="52"/>
  <c r="O666" i="51"/>
  <c r="O1015" i="51"/>
  <c r="O318" i="51"/>
  <c r="O1363" i="51"/>
  <c r="O667" i="59"/>
  <c r="O318" i="59"/>
  <c r="O1717" i="53"/>
  <c r="O1016" i="59"/>
  <c r="O1368" i="53"/>
  <c r="O321" i="53"/>
  <c r="O320" i="37"/>
  <c r="O1018" i="37"/>
  <c r="O670" i="31"/>
  <c r="O670" i="53"/>
  <c r="O669" i="37"/>
  <c r="O1019" i="53"/>
  <c r="O322" i="31"/>
  <c r="S674" i="54"/>
  <c r="S1372" i="54"/>
  <c r="S325" i="54"/>
  <c r="S1023" i="54"/>
  <c r="S1721" i="52"/>
  <c r="S1023" i="52"/>
  <c r="S1372" i="52"/>
  <c r="S674" i="52"/>
  <c r="S1368" i="51"/>
  <c r="S323" i="51"/>
  <c r="S1020" i="51"/>
  <c r="S671" i="51"/>
  <c r="S323" i="59"/>
  <c r="S325" i="52"/>
  <c r="S1021" i="59"/>
  <c r="S1722" i="53"/>
  <c r="S1024" i="53"/>
  <c r="S672" i="59"/>
  <c r="S674" i="37"/>
  <c r="S325" i="37"/>
  <c r="S326" i="53"/>
  <c r="S1373" i="53"/>
  <c r="S1023" i="37"/>
  <c r="S675" i="53"/>
  <c r="S327" i="31"/>
  <c r="S675" i="31"/>
  <c r="M1031" i="54"/>
  <c r="M1729" i="52"/>
  <c r="M682" i="54"/>
  <c r="M1380" i="54"/>
  <c r="M333" i="54"/>
  <c r="M1380" i="52"/>
  <c r="M1031" i="52"/>
  <c r="M1376" i="51"/>
  <c r="M682" i="52"/>
  <c r="M679" i="51"/>
  <c r="M1028" i="51"/>
  <c r="M1029" i="59"/>
  <c r="M680" i="59"/>
  <c r="M331" i="51"/>
  <c r="M333" i="52"/>
  <c r="M1730" i="53"/>
  <c r="M683" i="53"/>
  <c r="M331" i="59"/>
  <c r="M1381" i="53"/>
  <c r="M682" i="37"/>
  <c r="M334" i="53"/>
  <c r="M1032" i="53"/>
  <c r="M1031" i="37"/>
  <c r="M683" i="31"/>
  <c r="M335" i="31"/>
  <c r="M333" i="37"/>
  <c r="Q687" i="54"/>
  <c r="Q1385" i="54"/>
  <c r="Q338" i="54"/>
  <c r="Q1036" i="54"/>
  <c r="Q1734" i="52"/>
  <c r="Q1385" i="52"/>
  <c r="Q1033" i="51"/>
  <c r="Q336" i="51"/>
  <c r="Q1036" i="52"/>
  <c r="Q338" i="52"/>
  <c r="Q684" i="51"/>
  <c r="Q336" i="59"/>
  <c r="Q1381" i="51"/>
  <c r="Q687" i="52"/>
  <c r="Q1034" i="59"/>
  <c r="Q1037" i="53"/>
  <c r="Q685" i="59"/>
  <c r="Q1735" i="53"/>
  <c r="Q687" i="37"/>
  <c r="Q339" i="53"/>
  <c r="Q338" i="37"/>
  <c r="Q688" i="53"/>
  <c r="Q1386" i="53"/>
  <c r="Q1036" i="37"/>
  <c r="Q688" i="31"/>
  <c r="Q340" i="31"/>
  <c r="Q1369" i="54"/>
  <c r="Q322" i="54"/>
  <c r="Q1020" i="54"/>
  <c r="Q1718" i="52"/>
  <c r="Q671" i="54"/>
  <c r="Q1369" i="52"/>
  <c r="Q1020" i="52"/>
  <c r="Q671" i="52"/>
  <c r="Q1017" i="51"/>
  <c r="Q1018" i="59"/>
  <c r="Q322" i="52"/>
  <c r="Q668" i="51"/>
  <c r="Q320" i="51"/>
  <c r="Q1719" i="53"/>
  <c r="Q1365" i="51"/>
  <c r="Q672" i="53"/>
  <c r="Q669" i="59"/>
  <c r="Q320" i="59"/>
  <c r="Q322" i="37"/>
  <c r="Q323" i="53"/>
  <c r="Q1020" i="37"/>
  <c r="Q671" i="37"/>
  <c r="Q1021" i="53"/>
  <c r="Q1370" i="53"/>
  <c r="Q672" i="31"/>
  <c r="Q324" i="31"/>
  <c r="O1399" i="54"/>
  <c r="O352" i="54"/>
  <c r="O1050" i="54"/>
  <c r="O1748" i="52"/>
  <c r="O701" i="54"/>
  <c r="O1399" i="52"/>
  <c r="O1050" i="52"/>
  <c r="O1047" i="51"/>
  <c r="O1395" i="51"/>
  <c r="O701" i="52"/>
  <c r="O350" i="51"/>
  <c r="O352" i="52"/>
  <c r="O698" i="51"/>
  <c r="O350" i="59"/>
  <c r="O1048" i="59"/>
  <c r="O1749" i="53"/>
  <c r="O699" i="59"/>
  <c r="O1051" i="53"/>
  <c r="O353" i="53"/>
  <c r="O1050" i="37"/>
  <c r="O702" i="53"/>
  <c r="O701" i="37"/>
  <c r="O354" i="31"/>
  <c r="O1400" i="53"/>
  <c r="O352" i="37"/>
  <c r="O702" i="31"/>
  <c r="Q686" i="54"/>
  <c r="Q1384" i="54"/>
  <c r="Q337" i="54"/>
  <c r="Q1035" i="54"/>
  <c r="Q1733" i="52"/>
  <c r="Q1035" i="52"/>
  <c r="Q1384" i="52"/>
  <c r="Q686" i="52"/>
  <c r="Q1032" i="51"/>
  <c r="Q335" i="51"/>
  <c r="Q337" i="52"/>
  <c r="Q683" i="51"/>
  <c r="Q335" i="59"/>
  <c r="Q1380" i="51"/>
  <c r="Q1385" i="53"/>
  <c r="Q338" i="53"/>
  <c r="Q684" i="59"/>
  <c r="Q1734" i="53"/>
  <c r="Q1033" i="59"/>
  <c r="Q687" i="53"/>
  <c r="Q1035" i="37"/>
  <c r="Q1036" i="53"/>
  <c r="Q686" i="37"/>
  <c r="Q339" i="31"/>
  <c r="Q687" i="31"/>
  <c r="Q337" i="37"/>
  <c r="O1389" i="54"/>
  <c r="O342" i="54"/>
  <c r="O1040" i="54"/>
  <c r="O1738" i="52"/>
  <c r="O691" i="54"/>
  <c r="O1389" i="52"/>
  <c r="O1040" i="52"/>
  <c r="O691" i="52"/>
  <c r="O342" i="52"/>
  <c r="O1037" i="51"/>
  <c r="O1038" i="59"/>
  <c r="O1739" i="53"/>
  <c r="O688" i="51"/>
  <c r="O1385" i="51"/>
  <c r="O340" i="51"/>
  <c r="O689" i="59"/>
  <c r="O340" i="59"/>
  <c r="O692" i="53"/>
  <c r="O342" i="37"/>
  <c r="O1041" i="53"/>
  <c r="O1040" i="37"/>
  <c r="O1390" i="53"/>
  <c r="O343" i="53"/>
  <c r="O691" i="37"/>
  <c r="O692" i="31"/>
  <c r="O344" i="31"/>
  <c r="S696" i="54"/>
  <c r="S1394" i="54"/>
  <c r="S347" i="54"/>
  <c r="S1045" i="54"/>
  <c r="S1743" i="52"/>
  <c r="S1045" i="52"/>
  <c r="S696" i="52"/>
  <c r="S1394" i="52"/>
  <c r="S1390" i="51"/>
  <c r="S693" i="51"/>
  <c r="S1043" i="59"/>
  <c r="S1042" i="51"/>
  <c r="S347" i="52"/>
  <c r="S345" i="51"/>
  <c r="S694" i="59"/>
  <c r="S345" i="59"/>
  <c r="S1744" i="53"/>
  <c r="S1395" i="53"/>
  <c r="S348" i="53"/>
  <c r="S347" i="37"/>
  <c r="S1046" i="53"/>
  <c r="S1045" i="37"/>
  <c r="S697" i="31"/>
  <c r="S696" i="37"/>
  <c r="S697" i="53"/>
  <c r="S349" i="31"/>
  <c r="M1373" i="54"/>
  <c r="M326" i="54"/>
  <c r="M1024" i="54"/>
  <c r="M1722" i="52"/>
  <c r="M675" i="54"/>
  <c r="M1373" i="52"/>
  <c r="M1369" i="51"/>
  <c r="M1021" i="51"/>
  <c r="M1024" i="52"/>
  <c r="M675" i="52"/>
  <c r="M324" i="51"/>
  <c r="M1022" i="59"/>
  <c r="M326" i="52"/>
  <c r="M672" i="51"/>
  <c r="M673" i="59"/>
  <c r="M676" i="53"/>
  <c r="M324" i="59"/>
  <c r="M1723" i="53"/>
  <c r="M327" i="53"/>
  <c r="M1024" i="37"/>
  <c r="M1025" i="53"/>
  <c r="M1374" i="53"/>
  <c r="M675" i="37"/>
  <c r="M326" i="37"/>
  <c r="M328" i="31"/>
  <c r="M676" i="31"/>
  <c r="Q1029" i="54"/>
  <c r="Q1727" i="52"/>
  <c r="Q680" i="54"/>
  <c r="Q1378" i="54"/>
  <c r="Q331" i="54"/>
  <c r="Q1378" i="52"/>
  <c r="Q1029" i="52"/>
  <c r="Q680" i="52"/>
  <c r="Q1026" i="51"/>
  <c r="Q331" i="52"/>
  <c r="Q329" i="51"/>
  <c r="Q1374" i="51"/>
  <c r="Q1027" i="59"/>
  <c r="Q677" i="51"/>
  <c r="Q329" i="59"/>
  <c r="Q678" i="59"/>
  <c r="Q1728" i="53"/>
  <c r="Q1379" i="53"/>
  <c r="Q332" i="53"/>
  <c r="Q681" i="53"/>
  <c r="Q1029" i="37"/>
  <c r="Q1030" i="53"/>
  <c r="Q680" i="37"/>
  <c r="Q331" i="37"/>
  <c r="Q333" i="31"/>
  <c r="Q681" i="31"/>
  <c r="O1034" i="54"/>
  <c r="O1732" i="52"/>
  <c r="O685" i="54"/>
  <c r="O1383" i="54"/>
  <c r="O336" i="54"/>
  <c r="O1383" i="52"/>
  <c r="O1034" i="52"/>
  <c r="O1379" i="51"/>
  <c r="O336" i="52"/>
  <c r="O685" i="52"/>
  <c r="O1031" i="51"/>
  <c r="O682" i="51"/>
  <c r="O334" i="51"/>
  <c r="O1032" i="59"/>
  <c r="O1733" i="53"/>
  <c r="O683" i="59"/>
  <c r="O334" i="59"/>
  <c r="O686" i="53"/>
  <c r="O1384" i="53"/>
  <c r="O685" i="37"/>
  <c r="O337" i="53"/>
  <c r="O336" i="37"/>
  <c r="O1035" i="53"/>
  <c r="O1034" i="37"/>
  <c r="O338" i="31"/>
  <c r="O686" i="31"/>
  <c r="S1039" i="54"/>
  <c r="S1737" i="52"/>
  <c r="S690" i="54"/>
  <c r="S1388" i="54"/>
  <c r="S341" i="54"/>
  <c r="S1388" i="52"/>
  <c r="S1039" i="52"/>
  <c r="S690" i="52"/>
  <c r="S1384" i="51"/>
  <c r="S687" i="51"/>
  <c r="S341" i="52"/>
  <c r="S688" i="59"/>
  <c r="S339" i="51"/>
  <c r="S1036" i="51"/>
  <c r="S339" i="59"/>
  <c r="S1389" i="53"/>
  <c r="S342" i="53"/>
  <c r="S1738" i="53"/>
  <c r="S1037" i="59"/>
  <c r="S1039" i="37"/>
  <c r="S1040" i="53"/>
  <c r="S690" i="37"/>
  <c r="S691" i="53"/>
  <c r="S341" i="37"/>
  <c r="S343" i="31"/>
  <c r="S691" i="31"/>
  <c r="M1396" i="54"/>
  <c r="M349" i="54"/>
  <c r="M1047" i="54"/>
  <c r="M1745" i="52"/>
  <c r="M698" i="54"/>
  <c r="M1396" i="52"/>
  <c r="M349" i="52"/>
  <c r="M1044" i="51"/>
  <c r="M698" i="52"/>
  <c r="M1047" i="52"/>
  <c r="M695" i="51"/>
  <c r="M1045" i="59"/>
  <c r="M1392" i="51"/>
  <c r="M1048" i="53"/>
  <c r="M696" i="59"/>
  <c r="M347" i="51"/>
  <c r="M347" i="59"/>
  <c r="M1047" i="37"/>
  <c r="M1746" i="53"/>
  <c r="M699" i="53"/>
  <c r="M350" i="53"/>
  <c r="M698" i="37"/>
  <c r="M1397" i="53"/>
  <c r="M349" i="37"/>
  <c r="M351" i="31"/>
  <c r="M699" i="31"/>
  <c r="M668" i="54"/>
  <c r="M1366" i="54"/>
  <c r="M319" i="54"/>
  <c r="M1017" i="54"/>
  <c r="M1715" i="52"/>
  <c r="M1366" i="52"/>
  <c r="M319" i="52"/>
  <c r="M668" i="52"/>
  <c r="M1017" i="52"/>
  <c r="M1014" i="51"/>
  <c r="M1362" i="51"/>
  <c r="M665" i="51"/>
  <c r="M317" i="51"/>
  <c r="M1015" i="59"/>
  <c r="M666" i="59"/>
  <c r="M1716" i="53"/>
  <c r="M317" i="59"/>
  <c r="M1367" i="53"/>
  <c r="M1018" i="53"/>
  <c r="M668" i="37"/>
  <c r="M319" i="37"/>
  <c r="M320" i="53"/>
  <c r="M1017" i="37"/>
  <c r="M669" i="53"/>
  <c r="M321" i="31"/>
  <c r="M669" i="31"/>
  <c r="Q673" i="54"/>
  <c r="Q1371" i="54"/>
  <c r="Q324" i="54"/>
  <c r="Q1022" i="54"/>
  <c r="Q1720" i="52"/>
  <c r="Q1022" i="52"/>
  <c r="Q673" i="52"/>
  <c r="Q1371" i="52"/>
  <c r="Q324" i="52"/>
  <c r="Q670" i="51"/>
  <c r="Q322" i="51"/>
  <c r="Q1019" i="51"/>
  <c r="Q1020" i="59"/>
  <c r="Q1367" i="51"/>
  <c r="Q671" i="59"/>
  <c r="Q322" i="59"/>
  <c r="Q1721" i="53"/>
  <c r="Q1372" i="53"/>
  <c r="Q325" i="53"/>
  <c r="Q324" i="37"/>
  <c r="Q1022" i="37"/>
  <c r="Q674" i="31"/>
  <c r="Q674" i="53"/>
  <c r="Q673" i="37"/>
  <c r="Q1023" i="53"/>
  <c r="Q326" i="31"/>
  <c r="O694" i="54"/>
  <c r="O1392" i="54"/>
  <c r="O345" i="54"/>
  <c r="O1043" i="54"/>
  <c r="O1741" i="52"/>
  <c r="O1043" i="52"/>
  <c r="O694" i="52"/>
  <c r="O1040" i="51"/>
  <c r="O1392" i="52"/>
  <c r="O343" i="51"/>
  <c r="O1388" i="51"/>
  <c r="O343" i="59"/>
  <c r="O691" i="51"/>
  <c r="O345" i="52"/>
  <c r="O1742" i="53"/>
  <c r="O1393" i="53"/>
  <c r="O346" i="53"/>
  <c r="O692" i="59"/>
  <c r="O1041" i="59"/>
  <c r="O695" i="53"/>
  <c r="O1044" i="53"/>
  <c r="O1043" i="37"/>
  <c r="O694" i="37"/>
  <c r="O347" i="31"/>
  <c r="O345" i="37"/>
  <c r="O695" i="31"/>
  <c r="O1387" i="54"/>
  <c r="O340" i="54"/>
  <c r="O1038" i="54"/>
  <c r="O1736" i="52"/>
  <c r="O689" i="54"/>
  <c r="O1387" i="52"/>
  <c r="O689" i="52"/>
  <c r="O1035" i="51"/>
  <c r="O340" i="52"/>
  <c r="O1038" i="52"/>
  <c r="O338" i="51"/>
  <c r="O686" i="51"/>
  <c r="O1383" i="51"/>
  <c r="O338" i="59"/>
  <c r="O1036" i="59"/>
  <c r="O1737" i="53"/>
  <c r="O687" i="59"/>
  <c r="O1039" i="53"/>
  <c r="O1038" i="37"/>
  <c r="O1388" i="53"/>
  <c r="O341" i="53"/>
  <c r="O689" i="37"/>
  <c r="O342" i="31"/>
  <c r="O690" i="53"/>
  <c r="O690" i="31"/>
  <c r="O340" i="37"/>
  <c r="M692" i="54"/>
  <c r="M1390" i="54"/>
  <c r="M343" i="54"/>
  <c r="M1041" i="54"/>
  <c r="M1739" i="52"/>
  <c r="M1390" i="52"/>
  <c r="M343" i="52"/>
  <c r="M692" i="52"/>
  <c r="M1041" i="52"/>
  <c r="M1038" i="51"/>
  <c r="M1386" i="51"/>
  <c r="M689" i="51"/>
  <c r="M1039" i="59"/>
  <c r="M341" i="51"/>
  <c r="M1391" i="53"/>
  <c r="M690" i="59"/>
  <c r="M341" i="59"/>
  <c r="M1042" i="53"/>
  <c r="M692" i="37"/>
  <c r="M1740" i="53"/>
  <c r="M693" i="53"/>
  <c r="M344" i="53"/>
  <c r="M343" i="37"/>
  <c r="M1041" i="37"/>
  <c r="M693" i="31"/>
  <c r="M345" i="31"/>
  <c r="Q1370" i="54"/>
  <c r="Q323" i="54"/>
  <c r="Q1021" i="54"/>
  <c r="Q1719" i="52"/>
  <c r="Q672" i="54"/>
  <c r="Q1370" i="52"/>
  <c r="Q1021" i="52"/>
  <c r="Q1366" i="51"/>
  <c r="Q672" i="52"/>
  <c r="Q1018" i="51"/>
  <c r="Q323" i="52"/>
  <c r="Q669" i="51"/>
  <c r="Q321" i="51"/>
  <c r="Q670" i="59"/>
  <c r="Q1022" i="53"/>
  <c r="Q1019" i="59"/>
  <c r="Q673" i="53"/>
  <c r="Q1720" i="53"/>
  <c r="Q321" i="59"/>
  <c r="Q1371" i="53"/>
  <c r="Q324" i="53"/>
  <c r="Q1021" i="37"/>
  <c r="Q672" i="37"/>
  <c r="Q673" i="31"/>
  <c r="Q325" i="31"/>
  <c r="Q323" i="37"/>
  <c r="O1025" i="54"/>
  <c r="O1723" i="52"/>
  <c r="O676" i="54"/>
  <c r="O1374" i="54"/>
  <c r="O327" i="54"/>
  <c r="O1374" i="52"/>
  <c r="O1025" i="52"/>
  <c r="O676" i="52"/>
  <c r="O1022" i="51"/>
  <c r="O325" i="51"/>
  <c r="O327" i="52"/>
  <c r="O673" i="51"/>
  <c r="O325" i="59"/>
  <c r="O1370" i="51"/>
  <c r="O674" i="59"/>
  <c r="O1375" i="53"/>
  <c r="O328" i="53"/>
  <c r="O1724" i="53"/>
  <c r="O1023" i="59"/>
  <c r="O677" i="53"/>
  <c r="O1025" i="37"/>
  <c r="O1026" i="53"/>
  <c r="O676" i="37"/>
  <c r="O327" i="37"/>
  <c r="O677" i="31"/>
  <c r="O329" i="31"/>
  <c r="S1380" i="54"/>
  <c r="S333" i="54"/>
  <c r="S1031" i="54"/>
  <c r="S1729" i="52"/>
  <c r="S682" i="54"/>
  <c r="S1380" i="52"/>
  <c r="S1031" i="52"/>
  <c r="S682" i="52"/>
  <c r="S1029" i="59"/>
  <c r="S1376" i="51"/>
  <c r="S333" i="52"/>
  <c r="S331" i="51"/>
  <c r="S1730" i="53"/>
  <c r="S1028" i="51"/>
  <c r="S679" i="51"/>
  <c r="S680" i="59"/>
  <c r="S683" i="53"/>
  <c r="S331" i="59"/>
  <c r="S333" i="37"/>
  <c r="S1031" i="37"/>
  <c r="S1032" i="53"/>
  <c r="S682" i="37"/>
  <c r="S1381" i="53"/>
  <c r="S334" i="53"/>
  <c r="S335" i="31"/>
  <c r="S683" i="31"/>
  <c r="Q1394" i="54"/>
  <c r="Q347" i="54"/>
  <c r="Q1045" i="54"/>
  <c r="Q1743" i="52"/>
  <c r="Q696" i="54"/>
  <c r="Q1394" i="52"/>
  <c r="Q1045" i="52"/>
  <c r="Q1390" i="51"/>
  <c r="Q347" i="52"/>
  <c r="Q693" i="51"/>
  <c r="Q696" i="52"/>
  <c r="Q1043" i="59"/>
  <c r="Q1042" i="51"/>
  <c r="Q345" i="51"/>
  <c r="Q694" i="59"/>
  <c r="Q345" i="59"/>
  <c r="Q697" i="53"/>
  <c r="Q1395" i="53"/>
  <c r="Q1046" i="53"/>
  <c r="Q1045" i="37"/>
  <c r="Q1744" i="53"/>
  <c r="Q348" i="53"/>
  <c r="Q696" i="37"/>
  <c r="Q347" i="37"/>
  <c r="Q349" i="31"/>
  <c r="Q697" i="31"/>
  <c r="O1049" i="54"/>
  <c r="O1747" i="52"/>
  <c r="O700" i="54"/>
  <c r="O1398" i="54"/>
  <c r="O351" i="54"/>
  <c r="O1398" i="52"/>
  <c r="O1049" i="52"/>
  <c r="O700" i="52"/>
  <c r="O1394" i="51"/>
  <c r="O349" i="51"/>
  <c r="O351" i="52"/>
  <c r="O697" i="51"/>
  <c r="O349" i="59"/>
  <c r="O1046" i="51"/>
  <c r="O1748" i="53"/>
  <c r="O698" i="59"/>
  <c r="O1399" i="53"/>
  <c r="O352" i="53"/>
  <c r="O1047" i="59"/>
  <c r="O1049" i="37"/>
  <c r="O701" i="53"/>
  <c r="O700" i="37"/>
  <c r="O1050" i="53"/>
  <c r="O351" i="37"/>
  <c r="O353" i="31"/>
  <c r="O701" i="31"/>
  <c r="O671" i="54"/>
  <c r="O1369" i="54"/>
  <c r="O322" i="54"/>
  <c r="O1020" i="54"/>
  <c r="O1718" i="52"/>
  <c r="O1369" i="52"/>
  <c r="O1365" i="51"/>
  <c r="O1020" i="52"/>
  <c r="O320" i="51"/>
  <c r="O671" i="52"/>
  <c r="O322" i="52"/>
  <c r="O1017" i="51"/>
  <c r="O668" i="51"/>
  <c r="O320" i="59"/>
  <c r="O1719" i="53"/>
  <c r="O1021" i="53"/>
  <c r="O1018" i="59"/>
  <c r="O669" i="59"/>
  <c r="O671" i="37"/>
  <c r="O322" i="37"/>
  <c r="O323" i="53"/>
  <c r="O1370" i="53"/>
  <c r="O1020" i="37"/>
  <c r="O672" i="53"/>
  <c r="O324" i="31"/>
  <c r="O672" i="31"/>
  <c r="S675" i="54"/>
  <c r="S1373" i="54"/>
  <c r="S326" i="54"/>
  <c r="S1024" i="54"/>
  <c r="S1722" i="52"/>
  <c r="S1024" i="52"/>
  <c r="S1373" i="52"/>
  <c r="S326" i="52"/>
  <c r="S1369" i="51"/>
  <c r="S675" i="52"/>
  <c r="S1022" i="59"/>
  <c r="S1021" i="51"/>
  <c r="S672" i="51"/>
  <c r="S324" i="51"/>
  <c r="S673" i="59"/>
  <c r="S324" i="59"/>
  <c r="S1374" i="53"/>
  <c r="S1723" i="53"/>
  <c r="S1025" i="53"/>
  <c r="S675" i="37"/>
  <c r="S326" i="37"/>
  <c r="S327" i="53"/>
  <c r="S1024" i="37"/>
  <c r="S676" i="53"/>
  <c r="S328" i="31"/>
  <c r="S676" i="31"/>
  <c r="M1032" i="54"/>
  <c r="M1730" i="52"/>
  <c r="M683" i="54"/>
  <c r="M1381" i="54"/>
  <c r="M334" i="54"/>
  <c r="M1381" i="52"/>
  <c r="M1032" i="52"/>
  <c r="M683" i="52"/>
  <c r="M680" i="51"/>
  <c r="M1377" i="51"/>
  <c r="M1029" i="51"/>
  <c r="M681" i="59"/>
  <c r="M332" i="51"/>
  <c r="M334" i="52"/>
  <c r="M332" i="59"/>
  <c r="M1382" i="53"/>
  <c r="M335" i="53"/>
  <c r="M1030" i="59"/>
  <c r="M1032" i="37"/>
  <c r="M683" i="37"/>
  <c r="M684" i="53"/>
  <c r="M1731" i="53"/>
  <c r="M1033" i="53"/>
  <c r="M336" i="31"/>
  <c r="M684" i="31"/>
  <c r="M334" i="37"/>
  <c r="Q688" i="54"/>
  <c r="Q1386" i="54"/>
  <c r="Q339" i="54"/>
  <c r="Q1037" i="54"/>
  <c r="Q1735" i="52"/>
  <c r="Q1037" i="52"/>
  <c r="Q1386" i="52"/>
  <c r="Q339" i="52"/>
  <c r="Q688" i="52"/>
  <c r="Q685" i="51"/>
  <c r="Q1034" i="51"/>
  <c r="Q1382" i="51"/>
  <c r="Q1035" i="59"/>
  <c r="Q1387" i="53"/>
  <c r="Q337" i="51"/>
  <c r="Q1038" i="53"/>
  <c r="Q686" i="59"/>
  <c r="Q337" i="59"/>
  <c r="Q1736" i="53"/>
  <c r="Q688" i="37"/>
  <c r="Q340" i="53"/>
  <c r="Q339" i="37"/>
  <c r="Q689" i="53"/>
  <c r="Q1037" i="37"/>
  <c r="Q689" i="31"/>
  <c r="Q341" i="31"/>
  <c r="O693" i="54"/>
  <c r="O1391" i="54"/>
  <c r="O344" i="54"/>
  <c r="O1042" i="54"/>
  <c r="O1740" i="52"/>
  <c r="O1042" i="52"/>
  <c r="O1391" i="52"/>
  <c r="O693" i="52"/>
  <c r="O1387" i="51"/>
  <c r="O690" i="51"/>
  <c r="O1039" i="51"/>
  <c r="O344" i="52"/>
  <c r="O342" i="51"/>
  <c r="O691" i="59"/>
  <c r="O342" i="59"/>
  <c r="O1040" i="59"/>
  <c r="O1741" i="53"/>
  <c r="O1392" i="53"/>
  <c r="O345" i="53"/>
  <c r="O344" i="37"/>
  <c r="O1043" i="53"/>
  <c r="O1042" i="37"/>
  <c r="O694" i="31"/>
  <c r="O693" i="37"/>
  <c r="O694" i="53"/>
  <c r="O346" i="31"/>
  <c r="O682" i="54"/>
  <c r="O1380" i="54"/>
  <c r="O333" i="54"/>
  <c r="O1031" i="54"/>
  <c r="O1729" i="52"/>
  <c r="O1031" i="52"/>
  <c r="O682" i="52"/>
  <c r="O1028" i="51"/>
  <c r="O1380" i="52"/>
  <c r="O333" i="52"/>
  <c r="O331" i="51"/>
  <c r="O679" i="51"/>
  <c r="O1376" i="51"/>
  <c r="O331" i="59"/>
  <c r="O1381" i="53"/>
  <c r="O334" i="53"/>
  <c r="O1029" i="59"/>
  <c r="O1730" i="53"/>
  <c r="O680" i="59"/>
  <c r="O683" i="53"/>
  <c r="O1031" i="37"/>
  <c r="O1032" i="53"/>
  <c r="O682" i="37"/>
  <c r="O335" i="31"/>
  <c r="O333" i="37"/>
  <c r="O683" i="31"/>
  <c r="O1375" i="54"/>
  <c r="O328" i="54"/>
  <c r="O1026" i="54"/>
  <c r="O1724" i="52"/>
  <c r="O677" i="54"/>
  <c r="O1375" i="52"/>
  <c r="O328" i="52"/>
  <c r="O677" i="52"/>
  <c r="O1026" i="52"/>
  <c r="O326" i="51"/>
  <c r="O1371" i="51"/>
  <c r="O1023" i="51"/>
  <c r="O674" i="51"/>
  <c r="O326" i="59"/>
  <c r="O1024" i="59"/>
  <c r="O675" i="59"/>
  <c r="O1027" i="53"/>
  <c r="O678" i="53"/>
  <c r="O1026" i="37"/>
  <c r="O677" i="37"/>
  <c r="O330" i="31"/>
  <c r="O329" i="53"/>
  <c r="O1725" i="53"/>
  <c r="O1376" i="53"/>
  <c r="O678" i="31"/>
  <c r="O328" i="37"/>
  <c r="Q1380" i="54"/>
  <c r="Q333" i="54"/>
  <c r="Q1031" i="54"/>
  <c r="Q1729" i="52"/>
  <c r="Q682" i="54"/>
  <c r="Q1380" i="52"/>
  <c r="Q333" i="52"/>
  <c r="Q682" i="52"/>
  <c r="Q1376" i="51"/>
  <c r="Q1031" i="52"/>
  <c r="Q1028" i="51"/>
  <c r="Q1029" i="59"/>
  <c r="Q679" i="51"/>
  <c r="Q331" i="51"/>
  <c r="Q1032" i="53"/>
  <c r="Q680" i="59"/>
  <c r="Q331" i="59"/>
  <c r="Q1730" i="53"/>
  <c r="Q1381" i="53"/>
  <c r="Q683" i="53"/>
  <c r="Q1031" i="37"/>
  <c r="Q682" i="37"/>
  <c r="Q334" i="53"/>
  <c r="Q333" i="37"/>
  <c r="Q335" i="31"/>
  <c r="Q683" i="31"/>
  <c r="O1390" i="54"/>
  <c r="O343" i="54"/>
  <c r="O1041" i="54"/>
  <c r="O1739" i="52"/>
  <c r="O692" i="54"/>
  <c r="O1390" i="52"/>
  <c r="O1041" i="52"/>
  <c r="O1386" i="51"/>
  <c r="O343" i="52"/>
  <c r="O689" i="51"/>
  <c r="O692" i="52"/>
  <c r="O1038" i="51"/>
  <c r="O1039" i="59"/>
  <c r="O341" i="51"/>
  <c r="O690" i="59"/>
  <c r="O341" i="59"/>
  <c r="O693" i="53"/>
  <c r="O1740" i="53"/>
  <c r="O1042" i="53"/>
  <c r="O1041" i="37"/>
  <c r="O1391" i="53"/>
  <c r="O344" i="53"/>
  <c r="O692" i="37"/>
  <c r="O343" i="37"/>
  <c r="O693" i="31"/>
  <c r="O345" i="31"/>
  <c r="S697" i="54"/>
  <c r="S1395" i="54"/>
  <c r="S348" i="54"/>
  <c r="S1046" i="54"/>
  <c r="S1744" i="52"/>
  <c r="S1046" i="52"/>
  <c r="S697" i="52"/>
  <c r="S1043" i="51"/>
  <c r="S1395" i="52"/>
  <c r="S346" i="51"/>
  <c r="S1391" i="51"/>
  <c r="S346" i="59"/>
  <c r="S348" i="52"/>
  <c r="S694" i="51"/>
  <c r="S1745" i="53"/>
  <c r="S1396" i="53"/>
  <c r="S349" i="53"/>
  <c r="S695" i="59"/>
  <c r="S1044" i="59"/>
  <c r="S698" i="53"/>
  <c r="S1047" i="53"/>
  <c r="S1046" i="37"/>
  <c r="S697" i="37"/>
  <c r="S350" i="31"/>
  <c r="S698" i="31"/>
  <c r="S348" i="37"/>
  <c r="M690" i="54"/>
  <c r="M1388" i="54"/>
  <c r="M341" i="54"/>
  <c r="M1039" i="54"/>
  <c r="M1737" i="52"/>
  <c r="M1039" i="52"/>
  <c r="M690" i="52"/>
  <c r="M1388" i="52"/>
  <c r="M339" i="51"/>
  <c r="M1384" i="51"/>
  <c r="M341" i="52"/>
  <c r="M339" i="59"/>
  <c r="M1036" i="51"/>
  <c r="M687" i="51"/>
  <c r="M1389" i="53"/>
  <c r="M1037" i="59"/>
  <c r="M688" i="59"/>
  <c r="M1738" i="53"/>
  <c r="M691" i="53"/>
  <c r="M342" i="53"/>
  <c r="M1040" i="53"/>
  <c r="M1039" i="37"/>
  <c r="M690" i="37"/>
  <c r="M343" i="31"/>
  <c r="M341" i="37"/>
  <c r="M691" i="31"/>
  <c r="Q1379" i="54"/>
  <c r="Q332" i="54"/>
  <c r="Q1030" i="54"/>
  <c r="Q1728" i="52"/>
  <c r="Q681" i="54"/>
  <c r="Q1379" i="52"/>
  <c r="Q332" i="52"/>
  <c r="Q1030" i="52"/>
  <c r="Q681" i="52"/>
  <c r="Q330" i="51"/>
  <c r="Q1027" i="51"/>
  <c r="Q1375" i="51"/>
  <c r="Q1028" i="59"/>
  <c r="Q678" i="51"/>
  <c r="Q330" i="59"/>
  <c r="Q679" i="59"/>
  <c r="Q1031" i="53"/>
  <c r="Q682" i="53"/>
  <c r="Q1030" i="37"/>
  <c r="Q1380" i="53"/>
  <c r="Q681" i="37"/>
  <c r="Q334" i="31"/>
  <c r="Q1729" i="53"/>
  <c r="Q333" i="53"/>
  <c r="Q332" i="37"/>
  <c r="Q682" i="31"/>
  <c r="O1035" i="54"/>
  <c r="O1733" i="52"/>
  <c r="O686" i="54"/>
  <c r="O1384" i="52"/>
  <c r="O1384" i="54"/>
  <c r="O337" i="54"/>
  <c r="O1035" i="52"/>
  <c r="O1380" i="51"/>
  <c r="O683" i="51"/>
  <c r="O686" i="52"/>
  <c r="O1033" i="59"/>
  <c r="O1032" i="51"/>
  <c r="O684" i="59"/>
  <c r="O335" i="51"/>
  <c r="O337" i="52"/>
  <c r="O687" i="53"/>
  <c r="O1734" i="53"/>
  <c r="O335" i="59"/>
  <c r="O1385" i="53"/>
  <c r="O686" i="37"/>
  <c r="O338" i="53"/>
  <c r="O337" i="37"/>
  <c r="O1036" i="53"/>
  <c r="O1035" i="37"/>
  <c r="O687" i="31"/>
  <c r="O339" i="31"/>
  <c r="S1040" i="54"/>
  <c r="S1738" i="52"/>
  <c r="S691" i="54"/>
  <c r="S1389" i="54"/>
  <c r="S342" i="54"/>
  <c r="S1389" i="52"/>
  <c r="S1040" i="52"/>
  <c r="S691" i="52"/>
  <c r="S1037" i="51"/>
  <c r="S342" i="52"/>
  <c r="S340" i="51"/>
  <c r="S1385" i="51"/>
  <c r="S688" i="51"/>
  <c r="S340" i="59"/>
  <c r="S1390" i="53"/>
  <c r="S343" i="53"/>
  <c r="S1739" i="53"/>
  <c r="S1038" i="59"/>
  <c r="S689" i="59"/>
  <c r="S1040" i="37"/>
  <c r="S1041" i="53"/>
  <c r="S691" i="37"/>
  <c r="S692" i="53"/>
  <c r="S342" i="37"/>
  <c r="S344" i="31"/>
  <c r="S692" i="31"/>
  <c r="M1397" i="54"/>
  <c r="M350" i="54"/>
  <c r="M1048" i="54"/>
  <c r="M1746" i="52"/>
  <c r="M699" i="54"/>
  <c r="M1397" i="52"/>
  <c r="M1045" i="51"/>
  <c r="M699" i="52"/>
  <c r="M1048" i="52"/>
  <c r="M348" i="51"/>
  <c r="M350" i="52"/>
  <c r="M1046" i="59"/>
  <c r="M1393" i="51"/>
  <c r="M696" i="51"/>
  <c r="M1747" i="53"/>
  <c r="M700" i="53"/>
  <c r="M697" i="59"/>
  <c r="M348" i="59"/>
  <c r="M1048" i="37"/>
  <c r="M351" i="53"/>
  <c r="M699" i="37"/>
  <c r="M1049" i="53"/>
  <c r="M1398" i="53"/>
  <c r="M352" i="31"/>
  <c r="M350" i="37"/>
  <c r="M700" i="31"/>
  <c r="M1018" i="54"/>
  <c r="M1716" i="52"/>
  <c r="M669" i="54"/>
  <c r="M1367" i="54"/>
  <c r="M320" i="54"/>
  <c r="M1367" i="52"/>
  <c r="M1018" i="52"/>
  <c r="M669" i="52"/>
  <c r="M1015" i="51"/>
  <c r="M320" i="52"/>
  <c r="M1363" i="51"/>
  <c r="M666" i="51"/>
  <c r="M318" i="51"/>
  <c r="M1016" i="59"/>
  <c r="M1717" i="53"/>
  <c r="M667" i="59"/>
  <c r="M318" i="59"/>
  <c r="M670" i="53"/>
  <c r="M1019" i="53"/>
  <c r="M669" i="37"/>
  <c r="M1368" i="53"/>
  <c r="M320" i="37"/>
  <c r="M321" i="53"/>
  <c r="M1018" i="37"/>
  <c r="M322" i="31"/>
  <c r="M670" i="31"/>
  <c r="Q674" i="54"/>
  <c r="Q1372" i="54"/>
  <c r="Q325" i="54"/>
  <c r="Q1023" i="54"/>
  <c r="Q1721" i="52"/>
  <c r="Q1023" i="52"/>
  <c r="Q674" i="52"/>
  <c r="Q1020" i="51"/>
  <c r="Q1372" i="52"/>
  <c r="Q325" i="52"/>
  <c r="Q323" i="51"/>
  <c r="Q1368" i="51"/>
  <c r="Q671" i="51"/>
  <c r="Q323" i="59"/>
  <c r="Q1021" i="59"/>
  <c r="Q1373" i="53"/>
  <c r="Q326" i="53"/>
  <c r="Q672" i="59"/>
  <c r="Q1722" i="53"/>
  <c r="Q1024" i="53"/>
  <c r="Q1023" i="37"/>
  <c r="Q675" i="53"/>
  <c r="Q674" i="37"/>
  <c r="Q327" i="31"/>
  <c r="Q675" i="31"/>
  <c r="Q325" i="37"/>
  <c r="O1377" i="54"/>
  <c r="O330" i="54"/>
  <c r="O1028" i="54"/>
  <c r="O1726" i="52"/>
  <c r="O679" i="54"/>
  <c r="O1377" i="52"/>
  <c r="O1028" i="52"/>
  <c r="O679" i="52"/>
  <c r="O1373" i="51"/>
  <c r="O328" i="51"/>
  <c r="O330" i="52"/>
  <c r="O1026" i="59"/>
  <c r="O1727" i="53"/>
  <c r="O1025" i="51"/>
  <c r="O676" i="51"/>
  <c r="O677" i="59"/>
  <c r="O680" i="53"/>
  <c r="O328" i="59"/>
  <c r="O330" i="37"/>
  <c r="O1028" i="37"/>
  <c r="O1029" i="53"/>
  <c r="O679" i="37"/>
  <c r="O1378" i="53"/>
  <c r="O331" i="53"/>
  <c r="O332" i="31"/>
  <c r="O680" i="31"/>
  <c r="O670" i="54"/>
  <c r="O1368" i="54"/>
  <c r="O321" i="54"/>
  <c r="O1019" i="54"/>
  <c r="O1717" i="52"/>
  <c r="O1368" i="52"/>
  <c r="O1019" i="52"/>
  <c r="O670" i="52"/>
  <c r="O1016" i="51"/>
  <c r="O319" i="51"/>
  <c r="O321" i="52"/>
  <c r="O667" i="51"/>
  <c r="O319" i="59"/>
  <c r="O1364" i="51"/>
  <c r="O1369" i="53"/>
  <c r="O322" i="53"/>
  <c r="O1017" i="59"/>
  <c r="O668" i="59"/>
  <c r="O1020" i="53"/>
  <c r="O1019" i="37"/>
  <c r="O671" i="53"/>
  <c r="O1718" i="53"/>
  <c r="O670" i="37"/>
  <c r="O323" i="31"/>
  <c r="O321" i="37"/>
  <c r="O671" i="31"/>
  <c r="S1049" i="54"/>
  <c r="S1747" i="52"/>
  <c r="S700" i="54"/>
  <c r="S1398" i="54"/>
  <c r="S351" i="54"/>
  <c r="S1398" i="52"/>
  <c r="S1049" i="52"/>
  <c r="S351" i="52"/>
  <c r="S700" i="52"/>
  <c r="S1046" i="51"/>
  <c r="S1047" i="59"/>
  <c r="S349" i="51"/>
  <c r="S1394" i="51"/>
  <c r="S697" i="51"/>
  <c r="S1748" i="53"/>
  <c r="S698" i="59"/>
  <c r="S349" i="59"/>
  <c r="S701" i="53"/>
  <c r="S700" i="37"/>
  <c r="S1050" i="53"/>
  <c r="S351" i="37"/>
  <c r="S1399" i="53"/>
  <c r="S1049" i="37"/>
  <c r="S352" i="53"/>
  <c r="S353" i="31"/>
  <c r="S701" i="31"/>
  <c r="S684" i="54"/>
  <c r="S1382" i="54"/>
  <c r="S335" i="54"/>
  <c r="S1033" i="54"/>
  <c r="S1731" i="52"/>
  <c r="S1033" i="52"/>
  <c r="S684" i="52"/>
  <c r="S1382" i="52"/>
  <c r="S1030" i="51"/>
  <c r="S681" i="51"/>
  <c r="S335" i="52"/>
  <c r="S1031" i="59"/>
  <c r="S1378" i="51"/>
  <c r="S682" i="59"/>
  <c r="S1732" i="53"/>
  <c r="S333" i="59"/>
  <c r="S333" i="51"/>
  <c r="S1383" i="53"/>
  <c r="S336" i="53"/>
  <c r="S335" i="37"/>
  <c r="S685" i="53"/>
  <c r="S1033" i="37"/>
  <c r="S685" i="31"/>
  <c r="S1034" i="53"/>
  <c r="S684" i="37"/>
  <c r="S337" i="31"/>
  <c r="O1376" i="54"/>
  <c r="O329" i="54"/>
  <c r="O1027" i="54"/>
  <c r="O1725" i="52"/>
  <c r="O678" i="54"/>
  <c r="O329" i="52"/>
  <c r="O1376" i="52"/>
  <c r="O1027" i="52"/>
  <c r="O1372" i="51"/>
  <c r="O1025" i="59"/>
  <c r="O1024" i="51"/>
  <c r="O675" i="51"/>
  <c r="O678" i="52"/>
  <c r="O327" i="51"/>
  <c r="O1028" i="53"/>
  <c r="O676" i="59"/>
  <c r="O327" i="59"/>
  <c r="O1377" i="53"/>
  <c r="O1726" i="53"/>
  <c r="O679" i="53"/>
  <c r="O1027" i="37"/>
  <c r="O678" i="37"/>
  <c r="O330" i="53"/>
  <c r="O329" i="37"/>
  <c r="O679" i="31"/>
  <c r="O331" i="31"/>
  <c r="S1381" i="54"/>
  <c r="S334" i="54"/>
  <c r="S1032" i="54"/>
  <c r="S1730" i="52"/>
  <c r="S683" i="54"/>
  <c r="S1381" i="52"/>
  <c r="S1032" i="52"/>
  <c r="S1377" i="51"/>
  <c r="S683" i="52"/>
  <c r="S680" i="51"/>
  <c r="S334" i="52"/>
  <c r="S1029" i="51"/>
  <c r="S681" i="59"/>
  <c r="S1731" i="53"/>
  <c r="S1033" i="53"/>
  <c r="S1030" i="59"/>
  <c r="S684" i="53"/>
  <c r="S332" i="59"/>
  <c r="S332" i="51"/>
  <c r="S1382" i="53"/>
  <c r="S335" i="53"/>
  <c r="S1032" i="37"/>
  <c r="S683" i="37"/>
  <c r="S336" i="31"/>
  <c r="S334" i="37"/>
  <c r="S684" i="31"/>
  <c r="M1374" i="54"/>
  <c r="M327" i="54"/>
  <c r="M1025" i="54"/>
  <c r="M1723" i="52"/>
  <c r="M676" i="54"/>
  <c r="M1374" i="52"/>
  <c r="M1025" i="52"/>
  <c r="M1370" i="51"/>
  <c r="M673" i="51"/>
  <c r="M676" i="52"/>
  <c r="M1023" i="59"/>
  <c r="M327" i="52"/>
  <c r="M1022" i="51"/>
  <c r="M674" i="59"/>
  <c r="M325" i="51"/>
  <c r="M677" i="53"/>
  <c r="M325" i="59"/>
  <c r="M1724" i="53"/>
  <c r="M328" i="53"/>
  <c r="M1025" i="37"/>
  <c r="M1026" i="53"/>
  <c r="M1375" i="53"/>
  <c r="M676" i="37"/>
  <c r="M327" i="37"/>
  <c r="M329" i="31"/>
  <c r="M677" i="31"/>
  <c r="O1400" i="54"/>
  <c r="O353" i="54"/>
  <c r="O1051" i="54"/>
  <c r="O1749" i="52"/>
  <c r="O702" i="54"/>
  <c r="O1400" i="52"/>
  <c r="O353" i="52"/>
  <c r="O1051" i="52"/>
  <c r="O1048" i="51"/>
  <c r="O702" i="52"/>
  <c r="O1396" i="51"/>
  <c r="O699" i="51"/>
  <c r="O1049" i="59"/>
  <c r="O1052" i="53"/>
  <c r="O351" i="51"/>
  <c r="O1750" i="53"/>
  <c r="O700" i="59"/>
  <c r="O351" i="59"/>
  <c r="O1401" i="53"/>
  <c r="O354" i="53"/>
  <c r="O1051" i="37"/>
  <c r="O703" i="53"/>
  <c r="O702" i="37"/>
  <c r="O353" i="37"/>
  <c r="O355" i="31"/>
  <c r="O703" i="31"/>
  <c r="O672" i="54"/>
  <c r="O1370" i="54"/>
  <c r="O323" i="54"/>
  <c r="O1021" i="54"/>
  <c r="O1719" i="52"/>
  <c r="O1370" i="52"/>
  <c r="O323" i="52"/>
  <c r="O1366" i="51"/>
  <c r="O1021" i="52"/>
  <c r="O672" i="52"/>
  <c r="O1018" i="51"/>
  <c r="O669" i="51"/>
  <c r="O321" i="51"/>
  <c r="O1019" i="59"/>
  <c r="O670" i="59"/>
  <c r="O321" i="59"/>
  <c r="O1371" i="53"/>
  <c r="O1720" i="53"/>
  <c r="O1022" i="53"/>
  <c r="O672" i="37"/>
  <c r="O323" i="37"/>
  <c r="O324" i="53"/>
  <c r="O1021" i="37"/>
  <c r="O673" i="53"/>
  <c r="O325" i="31"/>
  <c r="O673" i="31"/>
  <c r="S1026" i="54"/>
  <c r="S1724" i="52"/>
  <c r="S677" i="54"/>
  <c r="S1375" i="52"/>
  <c r="S1375" i="54"/>
  <c r="S328" i="54"/>
  <c r="S1026" i="52"/>
  <c r="S1371" i="51"/>
  <c r="S1023" i="51"/>
  <c r="S674" i="51"/>
  <c r="S677" i="52"/>
  <c r="S328" i="52"/>
  <c r="S675" i="59"/>
  <c r="S326" i="51"/>
  <c r="S1024" i="59"/>
  <c r="S678" i="53"/>
  <c r="S326" i="59"/>
  <c r="S1725" i="53"/>
  <c r="S677" i="37"/>
  <c r="S1027" i="53"/>
  <c r="S328" i="37"/>
  <c r="S329" i="53"/>
  <c r="S1376" i="53"/>
  <c r="S1026" i="37"/>
  <c r="S678" i="31"/>
  <c r="S330" i="31"/>
  <c r="M1383" i="54"/>
  <c r="M336" i="54"/>
  <c r="M1034" i="54"/>
  <c r="M1732" i="52"/>
  <c r="M685" i="54"/>
  <c r="M1383" i="52"/>
  <c r="M1034" i="52"/>
  <c r="M336" i="52"/>
  <c r="M685" i="52"/>
  <c r="M334" i="51"/>
  <c r="M1379" i="51"/>
  <c r="M1031" i="51"/>
  <c r="M682" i="51"/>
  <c r="M334" i="59"/>
  <c r="M1032" i="59"/>
  <c r="M1733" i="53"/>
  <c r="M683" i="59"/>
  <c r="M1035" i="53"/>
  <c r="M1384" i="53"/>
  <c r="M1034" i="37"/>
  <c r="M685" i="37"/>
  <c r="M338" i="31"/>
  <c r="M337" i="53"/>
  <c r="M686" i="53"/>
  <c r="M686" i="31"/>
  <c r="M336" i="37"/>
  <c r="Q1038" i="54"/>
  <c r="Q1736" i="52"/>
  <c r="Q689" i="54"/>
  <c r="Q1387" i="54"/>
  <c r="Q340" i="54"/>
  <c r="Q1038" i="52"/>
  <c r="Q1387" i="52"/>
  <c r="Q340" i="52"/>
  <c r="Q689" i="52"/>
  <c r="Q1383" i="51"/>
  <c r="Q1036" i="59"/>
  <c r="Q686" i="51"/>
  <c r="Q338" i="51"/>
  <c r="Q1035" i="51"/>
  <c r="Q1737" i="53"/>
  <c r="Q687" i="59"/>
  <c r="Q338" i="59"/>
  <c r="Q690" i="53"/>
  <c r="Q689" i="37"/>
  <c r="Q341" i="53"/>
  <c r="Q340" i="37"/>
  <c r="Q1388" i="53"/>
  <c r="Q1039" i="53"/>
  <c r="Q1038" i="37"/>
  <c r="Q690" i="31"/>
  <c r="Q342" i="31"/>
  <c r="O695" i="54"/>
  <c r="O1393" i="54"/>
  <c r="O346" i="54"/>
  <c r="O1044" i="54"/>
  <c r="O1742" i="52"/>
  <c r="O1393" i="52"/>
  <c r="O1044" i="52"/>
  <c r="O695" i="52"/>
  <c r="O344" i="51"/>
  <c r="O1041" i="51"/>
  <c r="O344" i="59"/>
  <c r="O1389" i="51"/>
  <c r="O692" i="51"/>
  <c r="O346" i="52"/>
  <c r="O693" i="59"/>
  <c r="O1045" i="53"/>
  <c r="O1042" i="59"/>
  <c r="O695" i="37"/>
  <c r="O696" i="53"/>
  <c r="O1743" i="53"/>
  <c r="O1394" i="53"/>
  <c r="O1044" i="37"/>
  <c r="O347" i="53"/>
  <c r="O348" i="31"/>
  <c r="O346" i="37"/>
  <c r="O696" i="31"/>
  <c r="S699" i="54"/>
  <c r="S1397" i="54"/>
  <c r="S350" i="54"/>
  <c r="S1048" i="54"/>
  <c r="S1746" i="52"/>
  <c r="S1048" i="52"/>
  <c r="S1397" i="52"/>
  <c r="S350" i="52"/>
  <c r="S699" i="52"/>
  <c r="S1045" i="51"/>
  <c r="S1393" i="51"/>
  <c r="S696" i="51"/>
  <c r="S348" i="51"/>
  <c r="S1046" i="59"/>
  <c r="S1747" i="53"/>
  <c r="S1398" i="53"/>
  <c r="S697" i="59"/>
  <c r="S348" i="59"/>
  <c r="S1049" i="53"/>
  <c r="S699" i="37"/>
  <c r="S700" i="53"/>
  <c r="S350" i="37"/>
  <c r="S1048" i="37"/>
  <c r="S351" i="53"/>
  <c r="S352" i="31"/>
  <c r="S700" i="31"/>
  <c r="S1391" i="54"/>
  <c r="S344" i="54"/>
  <c r="S1042" i="54"/>
  <c r="S1740" i="52"/>
  <c r="S693" i="54"/>
  <c r="S344" i="52"/>
  <c r="S1391" i="52"/>
  <c r="S1040" i="59"/>
  <c r="S1042" i="52"/>
  <c r="S1039" i="51"/>
  <c r="S693" i="52"/>
  <c r="S1387" i="51"/>
  <c r="S690" i="51"/>
  <c r="S342" i="51"/>
  <c r="S691" i="59"/>
  <c r="S1043" i="53"/>
  <c r="S342" i="59"/>
  <c r="S1392" i="53"/>
  <c r="S1741" i="53"/>
  <c r="S1042" i="37"/>
  <c r="S345" i="53"/>
  <c r="S693" i="37"/>
  <c r="S694" i="53"/>
  <c r="S344" i="37"/>
  <c r="S694" i="31"/>
  <c r="S346" i="31"/>
  <c r="S1037" i="54"/>
  <c r="S1735" i="52"/>
  <c r="S688" i="54"/>
  <c r="S1386" i="54"/>
  <c r="S339" i="54"/>
  <c r="S1386" i="52"/>
  <c r="S1037" i="52"/>
  <c r="S688" i="52"/>
  <c r="S1382" i="51"/>
  <c r="S339" i="52"/>
  <c r="S1035" i="59"/>
  <c r="S685" i="51"/>
  <c r="S337" i="51"/>
  <c r="S1034" i="51"/>
  <c r="S1736" i="53"/>
  <c r="S686" i="59"/>
  <c r="S337" i="59"/>
  <c r="S689" i="53"/>
  <c r="S1387" i="53"/>
  <c r="S688" i="37"/>
  <c r="S340" i="53"/>
  <c r="S339" i="37"/>
  <c r="S1037" i="37"/>
  <c r="S1038" i="53"/>
  <c r="S341" i="31"/>
  <c r="S689" i="31"/>
  <c r="O1022" i="54"/>
  <c r="O1720" i="52"/>
  <c r="O673" i="54"/>
  <c r="O1371" i="54"/>
  <c r="O324" i="54"/>
  <c r="O1371" i="52"/>
  <c r="O1022" i="52"/>
  <c r="O673" i="52"/>
  <c r="O324" i="52"/>
  <c r="O1019" i="51"/>
  <c r="O670" i="51"/>
  <c r="O322" i="51"/>
  <c r="O1367" i="51"/>
  <c r="O1020" i="59"/>
  <c r="O1721" i="53"/>
  <c r="O671" i="59"/>
  <c r="O322" i="59"/>
  <c r="O674" i="53"/>
  <c r="O1023" i="53"/>
  <c r="O673" i="37"/>
  <c r="O324" i="37"/>
  <c r="O325" i="53"/>
  <c r="O1372" i="53"/>
  <c r="O1022" i="37"/>
  <c r="O326" i="31"/>
  <c r="O674" i="31"/>
  <c r="S698" i="54"/>
  <c r="S1396" i="54"/>
  <c r="S349" i="54"/>
  <c r="S1047" i="54"/>
  <c r="S1745" i="52"/>
  <c r="S1047" i="52"/>
  <c r="S1396" i="52"/>
  <c r="S347" i="51"/>
  <c r="S698" i="52"/>
  <c r="S1044" i="51"/>
  <c r="S1392" i="51"/>
  <c r="S347" i="59"/>
  <c r="S349" i="52"/>
  <c r="S695" i="51"/>
  <c r="S1746" i="53"/>
  <c r="S696" i="59"/>
  <c r="S1048" i="53"/>
  <c r="S1045" i="59"/>
  <c r="S698" i="37"/>
  <c r="S699" i="53"/>
  <c r="S349" i="37"/>
  <c r="S1397" i="53"/>
  <c r="S1047" i="37"/>
  <c r="S350" i="53"/>
  <c r="S351" i="31"/>
  <c r="S699" i="31"/>
  <c r="S1366" i="54"/>
  <c r="S319" i="54"/>
  <c r="S1017" i="54"/>
  <c r="S1715" i="52"/>
  <c r="S668" i="54"/>
  <c r="S1366" i="52"/>
  <c r="S668" i="52"/>
  <c r="S1017" i="52"/>
  <c r="S1362" i="51"/>
  <c r="S317" i="51"/>
  <c r="S665" i="51"/>
  <c r="S1015" i="59"/>
  <c r="S319" i="52"/>
  <c r="S1014" i="51"/>
  <c r="S317" i="59"/>
  <c r="S1716" i="53"/>
  <c r="S666" i="59"/>
  <c r="S1018" i="53"/>
  <c r="S1017" i="37"/>
  <c r="S320" i="53"/>
  <c r="S1367" i="53"/>
  <c r="S669" i="53"/>
  <c r="S668" i="37"/>
  <c r="S321" i="31"/>
  <c r="S319" i="37"/>
  <c r="S669" i="31"/>
  <c r="Q697" i="54"/>
  <c r="Q1395" i="54"/>
  <c r="Q348" i="54"/>
  <c r="Q1046" i="54"/>
  <c r="Q1744" i="52"/>
  <c r="Q1046" i="52"/>
  <c r="Q1395" i="52"/>
  <c r="Q697" i="52"/>
  <c r="Q1391" i="51"/>
  <c r="Q694" i="51"/>
  <c r="Q348" i="52"/>
  <c r="Q1043" i="51"/>
  <c r="Q346" i="51"/>
  <c r="Q695" i="59"/>
  <c r="Q1044" i="59"/>
  <c r="Q346" i="59"/>
  <c r="Q1745" i="53"/>
  <c r="Q1396" i="53"/>
  <c r="Q349" i="53"/>
  <c r="Q348" i="37"/>
  <c r="Q1047" i="53"/>
  <c r="Q1046" i="37"/>
  <c r="Q698" i="31"/>
  <c r="Q697" i="37"/>
  <c r="Q698" i="53"/>
  <c r="Q350" i="31"/>
  <c r="O1036" i="54"/>
  <c r="O1734" i="52"/>
  <c r="O687" i="54"/>
  <c r="O1385" i="54"/>
  <c r="O338" i="54"/>
  <c r="O1385" i="52"/>
  <c r="O1036" i="52"/>
  <c r="O1381" i="51"/>
  <c r="O684" i="51"/>
  <c r="O687" i="52"/>
  <c r="O1033" i="51"/>
  <c r="O685" i="59"/>
  <c r="O336" i="51"/>
  <c r="O338" i="52"/>
  <c r="O336" i="59"/>
  <c r="O1034" i="59"/>
  <c r="O1386" i="53"/>
  <c r="O339" i="53"/>
  <c r="O1735" i="53"/>
  <c r="O1036" i="37"/>
  <c r="O687" i="37"/>
  <c r="O688" i="53"/>
  <c r="O1037" i="53"/>
  <c r="O338" i="37"/>
  <c r="O340" i="31"/>
  <c r="O688" i="31"/>
  <c r="S1390" i="54"/>
  <c r="S343" i="54"/>
  <c r="S1041" i="54"/>
  <c r="S1739" i="52"/>
  <c r="S692" i="54"/>
  <c r="S692" i="52"/>
  <c r="S1390" i="52"/>
  <c r="S1041" i="52"/>
  <c r="S1038" i="51"/>
  <c r="S343" i="52"/>
  <c r="S341" i="51"/>
  <c r="S1386" i="51"/>
  <c r="S689" i="51"/>
  <c r="S1039" i="59"/>
  <c r="S341" i="59"/>
  <c r="S1740" i="53"/>
  <c r="S690" i="59"/>
  <c r="S1042" i="53"/>
  <c r="S1041" i="37"/>
  <c r="S1391" i="53"/>
  <c r="S344" i="53"/>
  <c r="S692" i="37"/>
  <c r="S345" i="31"/>
  <c r="S693" i="53"/>
  <c r="S343" i="37"/>
  <c r="S693" i="31"/>
  <c r="M1398" i="54"/>
  <c r="M351" i="54"/>
  <c r="M1049" i="54"/>
  <c r="M700" i="54"/>
  <c r="M1747" i="52"/>
  <c r="M1398" i="52"/>
  <c r="M1049" i="52"/>
  <c r="M1394" i="51"/>
  <c r="M351" i="52"/>
  <c r="M697" i="51"/>
  <c r="M700" i="52"/>
  <c r="M1046" i="51"/>
  <c r="M349" i="51"/>
  <c r="M1047" i="59"/>
  <c r="M698" i="59"/>
  <c r="M1748" i="53"/>
  <c r="M701" i="53"/>
  <c r="M349" i="59"/>
  <c r="M1049" i="37"/>
  <c r="M352" i="53"/>
  <c r="M700" i="37"/>
  <c r="M1050" i="53"/>
  <c r="M1399" i="53"/>
  <c r="M353" i="31"/>
  <c r="M351" i="37"/>
  <c r="M701" i="31"/>
  <c r="M1019" i="54"/>
  <c r="M1717" i="52"/>
  <c r="M670" i="54"/>
  <c r="M1368" i="54"/>
  <c r="M321" i="54"/>
  <c r="M1368" i="52"/>
  <c r="M1019" i="52"/>
  <c r="M1364" i="51"/>
  <c r="M667" i="51"/>
  <c r="M670" i="52"/>
  <c r="M1017" i="59"/>
  <c r="M1016" i="51"/>
  <c r="M668" i="59"/>
  <c r="M321" i="52"/>
  <c r="M319" i="51"/>
  <c r="M671" i="53"/>
  <c r="M319" i="59"/>
  <c r="M1020" i="53"/>
  <c r="M670" i="37"/>
  <c r="M1369" i="53"/>
  <c r="M1718" i="53"/>
  <c r="M321" i="37"/>
  <c r="M322" i="53"/>
  <c r="M1019" i="37"/>
  <c r="M671" i="31"/>
  <c r="M323" i="31"/>
  <c r="Q675" i="54"/>
  <c r="Q1373" i="54"/>
  <c r="Q326" i="54"/>
  <c r="Q1024" i="54"/>
  <c r="Q1722" i="52"/>
  <c r="Q1373" i="52"/>
  <c r="Q324" i="51"/>
  <c r="Q675" i="52"/>
  <c r="Q1024" i="52"/>
  <c r="Q1369" i="51"/>
  <c r="Q1022" i="59"/>
  <c r="Q672" i="51"/>
  <c r="Q324" i="59"/>
  <c r="Q1021" i="51"/>
  <c r="Q326" i="52"/>
  <c r="Q1025" i="53"/>
  <c r="Q673" i="59"/>
  <c r="Q1723" i="53"/>
  <c r="Q675" i="37"/>
  <c r="Q1374" i="53"/>
  <c r="Q326" i="37"/>
  <c r="Q327" i="53"/>
  <c r="Q1024" i="37"/>
  <c r="Q676" i="53"/>
  <c r="Q676" i="31"/>
  <c r="Q328" i="31"/>
  <c r="O1378" i="54"/>
  <c r="O331" i="54"/>
  <c r="O1029" i="54"/>
  <c r="O1727" i="52"/>
  <c r="O680" i="54"/>
  <c r="O1378" i="52"/>
  <c r="O1029" i="52"/>
  <c r="O1374" i="51"/>
  <c r="O680" i="52"/>
  <c r="O677" i="51"/>
  <c r="O331" i="52"/>
  <c r="O1027" i="59"/>
  <c r="O678" i="59"/>
  <c r="O1026" i="51"/>
  <c r="O1728" i="53"/>
  <c r="O681" i="53"/>
  <c r="O329" i="59"/>
  <c r="O329" i="51"/>
  <c r="O1379" i="53"/>
  <c r="O332" i="53"/>
  <c r="O1029" i="37"/>
  <c r="O1030" i="53"/>
  <c r="O680" i="37"/>
  <c r="O333" i="31"/>
  <c r="O681" i="31"/>
  <c r="O331" i="37"/>
  <c r="S685" i="54"/>
  <c r="S1383" i="54"/>
  <c r="S336" i="54"/>
  <c r="S1034" i="54"/>
  <c r="S1732" i="52"/>
  <c r="S1034" i="52"/>
  <c r="S685" i="52"/>
  <c r="S1031" i="51"/>
  <c r="S1383" i="52"/>
  <c r="S336" i="52"/>
  <c r="S334" i="51"/>
  <c r="S682" i="51"/>
  <c r="S334" i="59"/>
  <c r="S1032" i="59"/>
  <c r="S1379" i="51"/>
  <c r="S1384" i="53"/>
  <c r="S337" i="53"/>
  <c r="S1733" i="53"/>
  <c r="S683" i="59"/>
  <c r="S336" i="37"/>
  <c r="S686" i="53"/>
  <c r="S1034" i="37"/>
  <c r="S1035" i="53"/>
  <c r="S685" i="37"/>
  <c r="S338" i="31"/>
  <c r="S686" i="31"/>
  <c r="S1379" i="54"/>
  <c r="S332" i="54"/>
  <c r="S1030" i="54"/>
  <c r="S1728" i="52"/>
  <c r="S681" i="54"/>
  <c r="S332" i="52"/>
  <c r="S1379" i="52"/>
  <c r="S1030" i="52"/>
  <c r="S1028" i="59"/>
  <c r="S1375" i="51"/>
  <c r="S681" i="52"/>
  <c r="S1027" i="51"/>
  <c r="S678" i="51"/>
  <c r="S330" i="51"/>
  <c r="S1031" i="53"/>
  <c r="S679" i="59"/>
  <c r="S330" i="59"/>
  <c r="S1380" i="53"/>
  <c r="S1729" i="53"/>
  <c r="S682" i="53"/>
  <c r="S1030" i="37"/>
  <c r="S681" i="37"/>
  <c r="S333" i="53"/>
  <c r="S332" i="37"/>
  <c r="S682" i="31"/>
  <c r="S334" i="31"/>
  <c r="S1025" i="54"/>
  <c r="S1723" i="52"/>
  <c r="S676" i="54"/>
  <c r="S1374" i="54"/>
  <c r="S327" i="54"/>
  <c r="S1025" i="52"/>
  <c r="S1374" i="52"/>
  <c r="S676" i="52"/>
  <c r="S1023" i="59"/>
  <c r="S1022" i="51"/>
  <c r="S1370" i="51"/>
  <c r="S673" i="51"/>
  <c r="S325" i="51"/>
  <c r="S327" i="52"/>
  <c r="S1724" i="53"/>
  <c r="S674" i="59"/>
  <c r="S325" i="59"/>
  <c r="S677" i="53"/>
  <c r="S676" i="37"/>
  <c r="S1026" i="53"/>
  <c r="S327" i="37"/>
  <c r="S328" i="53"/>
  <c r="S1375" i="53"/>
  <c r="S1025" i="37"/>
  <c r="S329" i="31"/>
  <c r="S677" i="31"/>
  <c r="S1331" i="54"/>
  <c r="O1151" i="54" s="1"/>
  <c r="S1151" i="54" s="1"/>
  <c r="S633" i="54"/>
  <c r="O453" i="54" s="1"/>
  <c r="S453" i="54" s="1"/>
  <c r="S284" i="54"/>
  <c r="O104" i="54" s="1"/>
  <c r="S104" i="54" s="1"/>
  <c r="S1680" i="52"/>
  <c r="O1500" i="52" s="1"/>
  <c r="S1500" i="52" s="1"/>
  <c r="S1331" i="52"/>
  <c r="O1151" i="52" s="1"/>
  <c r="S1151" i="52" s="1"/>
  <c r="S982" i="52"/>
  <c r="O802" i="52" s="1"/>
  <c r="S802" i="52" s="1"/>
  <c r="S630" i="51"/>
  <c r="O451" i="51" s="1"/>
  <c r="S451" i="51" s="1"/>
  <c r="S982" i="54"/>
  <c r="O802" i="54" s="1"/>
  <c r="S802" i="54" s="1"/>
  <c r="S284" i="52"/>
  <c r="O104" i="52" s="1"/>
  <c r="S104" i="52" s="1"/>
  <c r="S633" i="52"/>
  <c r="O453" i="52" s="1"/>
  <c r="S453" i="52" s="1"/>
  <c r="S979" i="51"/>
  <c r="O799" i="51" s="1"/>
  <c r="S799" i="51" s="1"/>
  <c r="S282" i="51"/>
  <c r="O103" i="51" s="1"/>
  <c r="S103" i="51" s="1"/>
  <c r="S282" i="59"/>
  <c r="O102" i="59" s="1"/>
  <c r="S102" i="59" s="1"/>
  <c r="S1327" i="51"/>
  <c r="O1148" i="51" s="1"/>
  <c r="S1148" i="51" s="1"/>
  <c r="S1681" i="53"/>
  <c r="S631" i="59"/>
  <c r="O451" i="59" s="1"/>
  <c r="S451" i="59" s="1"/>
  <c r="S980" i="59"/>
  <c r="O800" i="59" s="1"/>
  <c r="S800" i="59" s="1"/>
  <c r="S983" i="53"/>
  <c r="O803" i="53" s="1"/>
  <c r="S803" i="53" s="1"/>
  <c r="S982" i="37"/>
  <c r="O802" i="37" s="1"/>
  <c r="S802" i="37" s="1"/>
  <c r="S286" i="31"/>
  <c r="O105" i="31" s="1"/>
  <c r="S105" i="31" s="1"/>
  <c r="S285" i="53"/>
  <c r="O105" i="53" s="1"/>
  <c r="S105" i="53" s="1"/>
  <c r="S634" i="31"/>
  <c r="O454" i="31" s="1"/>
  <c r="S454" i="31" s="1"/>
  <c r="S1332" i="53"/>
  <c r="O1152" i="53" s="1"/>
  <c r="S1152" i="53" s="1"/>
  <c r="S284" i="37"/>
  <c r="O104" i="37" s="1"/>
  <c r="S104" i="37" s="1"/>
  <c r="S634" i="53"/>
  <c r="O454" i="53" s="1"/>
  <c r="S454" i="53" s="1"/>
  <c r="S633" i="37"/>
  <c r="O453" i="37" s="1"/>
  <c r="S453" i="37" s="1"/>
  <c r="M997" i="54"/>
  <c r="M648" i="54"/>
  <c r="M299" i="54"/>
  <c r="M1346" i="54"/>
  <c r="M1695" i="52"/>
  <c r="M997" i="52"/>
  <c r="M299" i="52"/>
  <c r="M648" i="52"/>
  <c r="M1346" i="52"/>
  <c r="M297" i="51"/>
  <c r="M1342" i="51"/>
  <c r="M645" i="51"/>
  <c r="M995" i="59"/>
  <c r="M994" i="51"/>
  <c r="M297" i="59"/>
  <c r="M1696" i="53"/>
  <c r="M1516" i="53" s="1"/>
  <c r="Q1516" i="53" s="1"/>
  <c r="M649" i="31"/>
  <c r="M646" i="59"/>
  <c r="M998" i="53"/>
  <c r="M997" i="37"/>
  <c r="M1347" i="53"/>
  <c r="M648" i="37"/>
  <c r="M301" i="31"/>
  <c r="M649" i="53"/>
  <c r="M300" i="53"/>
  <c r="M299" i="37"/>
  <c r="Q1002" i="54"/>
  <c r="M822" i="54" s="1"/>
  <c r="Q822" i="54" s="1"/>
  <c r="Q1351" i="54"/>
  <c r="M1171" i="54" s="1"/>
  <c r="Q1171" i="54" s="1"/>
  <c r="Q653" i="54"/>
  <c r="M473" i="54" s="1"/>
  <c r="Q473" i="54" s="1"/>
  <c r="Q1002" i="52"/>
  <c r="M822" i="52" s="1"/>
  <c r="Q822" i="52" s="1"/>
  <c r="Q304" i="52"/>
  <c r="M124" i="52" s="1"/>
  <c r="Q124" i="52" s="1"/>
  <c r="Q1351" i="52"/>
  <c r="M1171" i="52" s="1"/>
  <c r="Q1171" i="52" s="1"/>
  <c r="Q999" i="51"/>
  <c r="M819" i="51" s="1"/>
  <c r="Q819" i="51" s="1"/>
  <c r="Q1700" i="52"/>
  <c r="M1520" i="52" s="1"/>
  <c r="Q1520" i="52" s="1"/>
  <c r="Q653" i="52"/>
  <c r="M473" i="52" s="1"/>
  <c r="Q473" i="52" s="1"/>
  <c r="Q1000" i="59"/>
  <c r="M820" i="59" s="1"/>
  <c r="Q820" i="59" s="1"/>
  <c r="Q1347" i="51"/>
  <c r="M1168" i="51" s="1"/>
  <c r="Q1168" i="51" s="1"/>
  <c r="Q304" i="54"/>
  <c r="M124" i="54" s="1"/>
  <c r="Q124" i="54" s="1"/>
  <c r="Q1701" i="53"/>
  <c r="Q302" i="51"/>
  <c r="M123" i="51" s="1"/>
  <c r="Q123" i="51" s="1"/>
  <c r="Q1003" i="53"/>
  <c r="M823" i="53" s="1"/>
  <c r="Q823" i="53" s="1"/>
  <c r="Q650" i="51"/>
  <c r="M471" i="51" s="1"/>
  <c r="Q471" i="51" s="1"/>
  <c r="Q651" i="59"/>
  <c r="M471" i="59" s="1"/>
  <c r="Q471" i="59" s="1"/>
  <c r="Q1002" i="37"/>
  <c r="M822" i="37" s="1"/>
  <c r="Q822" i="37" s="1"/>
  <c r="Q1352" i="53"/>
  <c r="M1172" i="53" s="1"/>
  <c r="Q1172" i="53" s="1"/>
  <c r="Q302" i="59"/>
  <c r="M122" i="59" s="1"/>
  <c r="Q122" i="59" s="1"/>
  <c r="Q654" i="31"/>
  <c r="M474" i="31" s="1"/>
  <c r="Q474" i="31" s="1"/>
  <c r="Q654" i="53"/>
  <c r="M474" i="53" s="1"/>
  <c r="Q474" i="53" s="1"/>
  <c r="Q305" i="53"/>
  <c r="M125" i="53" s="1"/>
  <c r="Q125" i="53" s="1"/>
  <c r="Q653" i="37"/>
  <c r="M473" i="37" s="1"/>
  <c r="Q473" i="37" s="1"/>
  <c r="Q306" i="31"/>
  <c r="M125" i="31" s="1"/>
  <c r="Q125" i="31" s="1"/>
  <c r="Q304" i="37"/>
  <c r="M124" i="37" s="1"/>
  <c r="Q124" i="37" s="1"/>
  <c r="O1005" i="54"/>
  <c r="O1354" i="54"/>
  <c r="O656" i="54"/>
  <c r="O307" i="54"/>
  <c r="O1005" i="52"/>
  <c r="O656" i="52"/>
  <c r="O1703" i="52"/>
  <c r="O305" i="59"/>
  <c r="O307" i="52"/>
  <c r="O1354" i="52"/>
  <c r="O305" i="51"/>
  <c r="O1350" i="51"/>
  <c r="O1003" i="59"/>
  <c r="O308" i="53"/>
  <c r="O1002" i="51"/>
  <c r="O653" i="51"/>
  <c r="O1355" i="53"/>
  <c r="O654" i="59"/>
  <c r="O1704" i="53"/>
  <c r="O307" i="37"/>
  <c r="O1006" i="53"/>
  <c r="O657" i="53"/>
  <c r="O657" i="31"/>
  <c r="O1005" i="37"/>
  <c r="O656" i="37"/>
  <c r="O309" i="31"/>
  <c r="S1340" i="54"/>
  <c r="O1160" i="54" s="1"/>
  <c r="S1160" i="54" s="1"/>
  <c r="S642" i="54"/>
  <c r="O462" i="54" s="1"/>
  <c r="S462" i="54" s="1"/>
  <c r="S293" i="54"/>
  <c r="O113" i="54" s="1"/>
  <c r="S113" i="54" s="1"/>
  <c r="S1689" i="52"/>
  <c r="O1509" i="52" s="1"/>
  <c r="S1509" i="52" s="1"/>
  <c r="S991" i="54"/>
  <c r="O811" i="54" s="1"/>
  <c r="S811" i="54" s="1"/>
  <c r="S642" i="52"/>
  <c r="O462" i="52" s="1"/>
  <c r="S462" i="52" s="1"/>
  <c r="S293" i="52"/>
  <c r="O113" i="52" s="1"/>
  <c r="S113" i="52" s="1"/>
  <c r="S991" i="52"/>
  <c r="O811" i="52" s="1"/>
  <c r="S811" i="52" s="1"/>
  <c r="S640" i="59"/>
  <c r="O460" i="59" s="1"/>
  <c r="S460" i="59" s="1"/>
  <c r="S1340" i="52"/>
  <c r="O1160" i="52" s="1"/>
  <c r="S1160" i="52" s="1"/>
  <c r="S639" i="51"/>
  <c r="O460" i="51" s="1"/>
  <c r="S460" i="51" s="1"/>
  <c r="S1341" i="53"/>
  <c r="O1161" i="53" s="1"/>
  <c r="S1161" i="53" s="1"/>
  <c r="S291" i="51"/>
  <c r="O112" i="51" s="1"/>
  <c r="S112" i="51" s="1"/>
  <c r="S989" i="59"/>
  <c r="O809" i="59" s="1"/>
  <c r="S809" i="59" s="1"/>
  <c r="S643" i="53"/>
  <c r="O463" i="53" s="1"/>
  <c r="S463" i="53" s="1"/>
  <c r="S988" i="51"/>
  <c r="O808" i="51" s="1"/>
  <c r="S808" i="51" s="1"/>
  <c r="S1336" i="51"/>
  <c r="O1157" i="51" s="1"/>
  <c r="S1157" i="51" s="1"/>
  <c r="S642" i="37"/>
  <c r="O462" i="37" s="1"/>
  <c r="S462" i="37" s="1"/>
  <c r="S1690" i="53"/>
  <c r="S291" i="59"/>
  <c r="O111" i="59" s="1"/>
  <c r="S111" i="59" s="1"/>
  <c r="S992" i="53"/>
  <c r="O812" i="53" s="1"/>
  <c r="S812" i="53" s="1"/>
  <c r="S293" i="37"/>
  <c r="O113" i="37" s="1"/>
  <c r="S113" i="37" s="1"/>
  <c r="S294" i="53"/>
  <c r="O114" i="53" s="1"/>
  <c r="S114" i="53" s="1"/>
  <c r="S991" i="37"/>
  <c r="O811" i="37" s="1"/>
  <c r="S811" i="37" s="1"/>
  <c r="S643" i="31"/>
  <c r="O463" i="31" s="1"/>
  <c r="S463" i="31" s="1"/>
  <c r="S295" i="31"/>
  <c r="O114" i="31" s="1"/>
  <c r="S114" i="31" s="1"/>
  <c r="Q1011" i="54"/>
  <c r="Q1360" i="54"/>
  <c r="Q662" i="54"/>
  <c r="Q662" i="52"/>
  <c r="Q1360" i="52"/>
  <c r="Q313" i="54"/>
  <c r="Q1709" i="52"/>
  <c r="Q1011" i="52"/>
  <c r="Q1008" i="51"/>
  <c r="Q1356" i="51"/>
  <c r="Q659" i="51"/>
  <c r="Q313" i="52"/>
  <c r="Q660" i="59"/>
  <c r="Q1361" i="53"/>
  <c r="Q311" i="51"/>
  <c r="Q311" i="59"/>
  <c r="Q663" i="31"/>
  <c r="Q663" i="53"/>
  <c r="Q1710" i="53"/>
  <c r="Q1009" i="59"/>
  <c r="Q315" i="31"/>
  <c r="Q662" i="37"/>
  <c r="Q1012" i="53"/>
  <c r="Q313" i="37"/>
  <c r="Q314" i="53"/>
  <c r="Q1011" i="37"/>
  <c r="O650" i="54"/>
  <c r="O301" i="54"/>
  <c r="O1348" i="54"/>
  <c r="O1348" i="52"/>
  <c r="O1344" i="51"/>
  <c r="O650" i="52"/>
  <c r="O301" i="52"/>
  <c r="O999" i="52"/>
  <c r="O1697" i="52"/>
  <c r="O299" i="51"/>
  <c r="O996" i="51"/>
  <c r="O999" i="54"/>
  <c r="O299" i="59"/>
  <c r="O647" i="51"/>
  <c r="O1349" i="53"/>
  <c r="O997" i="59"/>
  <c r="O1698" i="53"/>
  <c r="O1518" i="53" s="1"/>
  <c r="S1518" i="53" s="1"/>
  <c r="O302" i="53"/>
  <c r="O648" i="59"/>
  <c r="O1000" i="53"/>
  <c r="O999" i="37"/>
  <c r="O301" i="37"/>
  <c r="O651" i="31"/>
  <c r="O651" i="53"/>
  <c r="O650" i="37"/>
  <c r="O303" i="31"/>
  <c r="S1001" i="54"/>
  <c r="O821" i="54" s="1"/>
  <c r="S821" i="54" s="1"/>
  <c r="S1350" i="54"/>
  <c r="O1170" i="54" s="1"/>
  <c r="S1170" i="54" s="1"/>
  <c r="S652" i="54"/>
  <c r="O472" i="54" s="1"/>
  <c r="S472" i="54" s="1"/>
  <c r="S1001" i="52"/>
  <c r="O821" i="52" s="1"/>
  <c r="S821" i="52" s="1"/>
  <c r="S652" i="52"/>
  <c r="O472" i="52" s="1"/>
  <c r="S472" i="52" s="1"/>
  <c r="S303" i="54"/>
  <c r="O123" i="54" s="1"/>
  <c r="S123" i="54" s="1"/>
  <c r="S1699" i="52"/>
  <c r="O1519" i="52" s="1"/>
  <c r="S1519" i="52" s="1"/>
  <c r="S998" i="51"/>
  <c r="O818" i="51" s="1"/>
  <c r="S818" i="51" s="1"/>
  <c r="S1350" i="52"/>
  <c r="O1170" i="52" s="1"/>
  <c r="S1170" i="52" s="1"/>
  <c r="S303" i="52"/>
  <c r="O123" i="52" s="1"/>
  <c r="S123" i="52" s="1"/>
  <c r="S999" i="59"/>
  <c r="O819" i="59" s="1"/>
  <c r="S819" i="59" s="1"/>
  <c r="S1700" i="53"/>
  <c r="S1346" i="51"/>
  <c r="O1167" i="51" s="1"/>
  <c r="S1167" i="51" s="1"/>
  <c r="S650" i="59"/>
  <c r="O470" i="59" s="1"/>
  <c r="S470" i="59" s="1"/>
  <c r="S1002" i="53"/>
  <c r="O822" i="53" s="1"/>
  <c r="S822" i="53" s="1"/>
  <c r="S649" i="51"/>
  <c r="O470" i="51" s="1"/>
  <c r="S470" i="51" s="1"/>
  <c r="S301" i="51"/>
  <c r="O122" i="51" s="1"/>
  <c r="S122" i="51" s="1"/>
  <c r="S1001" i="37"/>
  <c r="O821" i="37" s="1"/>
  <c r="S821" i="37" s="1"/>
  <c r="S301" i="59"/>
  <c r="O121" i="59" s="1"/>
  <c r="S121" i="59" s="1"/>
  <c r="S653" i="53"/>
  <c r="O473" i="53" s="1"/>
  <c r="S473" i="53" s="1"/>
  <c r="S1351" i="53"/>
  <c r="O1171" i="53" s="1"/>
  <c r="S1171" i="53" s="1"/>
  <c r="S653" i="31"/>
  <c r="O473" i="31" s="1"/>
  <c r="S473" i="31" s="1"/>
  <c r="S305" i="31"/>
  <c r="O124" i="31" s="1"/>
  <c r="S124" i="31" s="1"/>
  <c r="S304" i="53"/>
  <c r="O124" i="53" s="1"/>
  <c r="S124" i="53" s="1"/>
  <c r="S652" i="37"/>
  <c r="O472" i="37" s="1"/>
  <c r="S472" i="37" s="1"/>
  <c r="S303" i="37"/>
  <c r="O123" i="37" s="1"/>
  <c r="S123" i="37" s="1"/>
  <c r="M1000" i="54"/>
  <c r="M651" i="54"/>
  <c r="M302" i="54"/>
  <c r="M1349" i="54"/>
  <c r="M1000" i="52"/>
  <c r="M651" i="52"/>
  <c r="M997" i="51"/>
  <c r="M1349" i="52"/>
  <c r="M1698" i="52"/>
  <c r="M998" i="59"/>
  <c r="M302" i="52"/>
  <c r="M1345" i="51"/>
  <c r="M1699" i="53"/>
  <c r="M1519" i="53" s="1"/>
  <c r="Q1519" i="53" s="1"/>
  <c r="M300" i="51"/>
  <c r="M1001" i="53"/>
  <c r="M648" i="51"/>
  <c r="M649" i="59"/>
  <c r="M1000" i="37"/>
  <c r="M300" i="59"/>
  <c r="M652" i="53"/>
  <c r="M652" i="31"/>
  <c r="M303" i="53"/>
  <c r="M302" i="37"/>
  <c r="M1350" i="53"/>
  <c r="M651" i="37"/>
  <c r="M304" i="31"/>
  <c r="S1341" i="54"/>
  <c r="O1161" i="54" s="1"/>
  <c r="S1161" i="54" s="1"/>
  <c r="S992" i="54"/>
  <c r="O812" i="54" s="1"/>
  <c r="S812" i="54" s="1"/>
  <c r="S643" i="54"/>
  <c r="O463" i="54" s="1"/>
  <c r="S463" i="54" s="1"/>
  <c r="S1341" i="52"/>
  <c r="O1161" i="52" s="1"/>
  <c r="S1161" i="52" s="1"/>
  <c r="S643" i="52"/>
  <c r="O463" i="52" s="1"/>
  <c r="S463" i="52" s="1"/>
  <c r="S1337" i="51"/>
  <c r="O1158" i="51" s="1"/>
  <c r="S1158" i="51" s="1"/>
  <c r="S989" i="51"/>
  <c r="O809" i="51" s="1"/>
  <c r="S809" i="51" s="1"/>
  <c r="S992" i="52"/>
  <c r="O812" i="52" s="1"/>
  <c r="S812" i="52" s="1"/>
  <c r="S294" i="54"/>
  <c r="O114" i="54" s="1"/>
  <c r="S114" i="54" s="1"/>
  <c r="S1690" i="52"/>
  <c r="O1510" i="52" s="1"/>
  <c r="S1510" i="52" s="1"/>
  <c r="S294" i="52"/>
  <c r="O114" i="52" s="1"/>
  <c r="S114" i="52" s="1"/>
  <c r="S640" i="51"/>
  <c r="O461" i="51" s="1"/>
  <c r="S461" i="51" s="1"/>
  <c r="S292" i="51"/>
  <c r="O113" i="51" s="1"/>
  <c r="S113" i="51" s="1"/>
  <c r="S990" i="59"/>
  <c r="O810" i="59" s="1"/>
  <c r="S810" i="59" s="1"/>
  <c r="S1691" i="53"/>
  <c r="S641" i="59"/>
  <c r="O461" i="59" s="1"/>
  <c r="S461" i="59" s="1"/>
  <c r="S993" i="53"/>
  <c r="O813" i="53" s="1"/>
  <c r="S813" i="53" s="1"/>
  <c r="S992" i="37"/>
  <c r="O812" i="37" s="1"/>
  <c r="S812" i="37" s="1"/>
  <c r="S292" i="59"/>
  <c r="O112" i="59" s="1"/>
  <c r="S112" i="59" s="1"/>
  <c r="S1342" i="53"/>
  <c r="O1162" i="53" s="1"/>
  <c r="S1162" i="53" s="1"/>
  <c r="S644" i="31"/>
  <c r="O464" i="31" s="1"/>
  <c r="S464" i="31" s="1"/>
  <c r="S644" i="53"/>
  <c r="O464" i="53" s="1"/>
  <c r="S464" i="53" s="1"/>
  <c r="S295" i="53"/>
  <c r="O115" i="53" s="1"/>
  <c r="S115" i="53" s="1"/>
  <c r="S296" i="31"/>
  <c r="O115" i="31" s="1"/>
  <c r="S115" i="31" s="1"/>
  <c r="S294" i="37"/>
  <c r="O114" i="37" s="1"/>
  <c r="S114" i="37" s="1"/>
  <c r="S643" i="37"/>
  <c r="O463" i="37" s="1"/>
  <c r="S463" i="37" s="1"/>
  <c r="S984" i="54"/>
  <c r="O804" i="54" s="1"/>
  <c r="S804" i="54" s="1"/>
  <c r="S1333" i="54"/>
  <c r="O1153" i="54" s="1"/>
  <c r="S1153" i="54" s="1"/>
  <c r="S1333" i="52"/>
  <c r="O1153" i="52" s="1"/>
  <c r="S1153" i="52" s="1"/>
  <c r="S635" i="54"/>
  <c r="O455" i="54" s="1"/>
  <c r="S455" i="54" s="1"/>
  <c r="S984" i="52"/>
  <c r="O804" i="52" s="1"/>
  <c r="S804" i="52" s="1"/>
  <c r="S286" i="54"/>
  <c r="O106" i="54" s="1"/>
  <c r="S106" i="54" s="1"/>
  <c r="S1682" i="52"/>
  <c r="O1502" i="52" s="1"/>
  <c r="S1502" i="52" s="1"/>
  <c r="S635" i="52"/>
  <c r="O455" i="52" s="1"/>
  <c r="S455" i="52" s="1"/>
  <c r="S1329" i="51"/>
  <c r="O1150" i="51" s="1"/>
  <c r="S1150" i="51" s="1"/>
  <c r="S981" i="51"/>
  <c r="O801" i="51" s="1"/>
  <c r="S801" i="51" s="1"/>
  <c r="S284" i="51"/>
  <c r="O105" i="51" s="1"/>
  <c r="S105" i="51" s="1"/>
  <c r="S632" i="51"/>
  <c r="O453" i="51" s="1"/>
  <c r="S453" i="51" s="1"/>
  <c r="S286" i="52"/>
  <c r="O106" i="52" s="1"/>
  <c r="S106" i="52" s="1"/>
  <c r="S982" i="59"/>
  <c r="O802" i="59" s="1"/>
  <c r="S802" i="59" s="1"/>
  <c r="S633" i="59"/>
  <c r="O453" i="59" s="1"/>
  <c r="S453" i="59" s="1"/>
  <c r="S1683" i="53"/>
  <c r="S284" i="59"/>
  <c r="O104" i="59" s="1"/>
  <c r="S104" i="59" s="1"/>
  <c r="S286" i="37"/>
  <c r="O106" i="37" s="1"/>
  <c r="S106" i="37" s="1"/>
  <c r="S287" i="53"/>
  <c r="O107" i="53" s="1"/>
  <c r="S107" i="53" s="1"/>
  <c r="S1334" i="53"/>
  <c r="O1154" i="53" s="1"/>
  <c r="S1154" i="53" s="1"/>
  <c r="S984" i="37"/>
  <c r="O804" i="37" s="1"/>
  <c r="S804" i="37" s="1"/>
  <c r="S636" i="53"/>
  <c r="O456" i="53" s="1"/>
  <c r="S456" i="53" s="1"/>
  <c r="S635" i="37"/>
  <c r="O455" i="37" s="1"/>
  <c r="S455" i="37" s="1"/>
  <c r="S636" i="31"/>
  <c r="O456" i="31" s="1"/>
  <c r="S456" i="31" s="1"/>
  <c r="S288" i="31"/>
  <c r="O107" i="31" s="1"/>
  <c r="S107" i="31" s="1"/>
  <c r="S985" i="53"/>
  <c r="O805" i="53" s="1"/>
  <c r="S805" i="53" s="1"/>
  <c r="M1012" i="54"/>
  <c r="M663" i="54"/>
  <c r="M314" i="54"/>
  <c r="M1361" i="54"/>
  <c r="M1012" i="52"/>
  <c r="M663" i="52"/>
  <c r="M1009" i="51"/>
  <c r="M314" i="52"/>
  <c r="M1010" i="59"/>
  <c r="M1361" i="52"/>
  <c r="M1710" i="52"/>
  <c r="M1711" i="53"/>
  <c r="M1357" i="51"/>
  <c r="M312" i="51"/>
  <c r="M660" i="51"/>
  <c r="M1013" i="53"/>
  <c r="M1012" i="37"/>
  <c r="M661" i="59"/>
  <c r="M312" i="59"/>
  <c r="M664" i="53"/>
  <c r="M1362" i="53"/>
  <c r="M664" i="31"/>
  <c r="M315" i="53"/>
  <c r="M663" i="37"/>
  <c r="M316" i="31"/>
  <c r="M314" i="37"/>
  <c r="M1680" i="52"/>
  <c r="M1331" i="54"/>
  <c r="M982" i="54"/>
  <c r="M284" i="54"/>
  <c r="M982" i="52"/>
  <c r="M1331" i="52"/>
  <c r="M284" i="52"/>
  <c r="M979" i="51"/>
  <c r="M1681" i="53"/>
  <c r="M1501" i="53" s="1"/>
  <c r="Q1501" i="53" s="1"/>
  <c r="M633" i="54"/>
  <c r="M633" i="52"/>
  <c r="M980" i="59"/>
  <c r="M982" i="37"/>
  <c r="M630" i="51"/>
  <c r="M1327" i="51"/>
  <c r="M282" i="51"/>
  <c r="M282" i="59"/>
  <c r="M983" i="53"/>
  <c r="M1332" i="53"/>
  <c r="M285" i="53"/>
  <c r="M631" i="59"/>
  <c r="M633" i="37"/>
  <c r="M634" i="53"/>
  <c r="M284" i="37"/>
  <c r="M634" i="31"/>
  <c r="M286" i="31"/>
  <c r="Q987" i="54"/>
  <c r="M807" i="54" s="1"/>
  <c r="Q807" i="54" s="1"/>
  <c r="Q1336" i="54"/>
  <c r="M1156" i="54" s="1"/>
  <c r="Q1156" i="54" s="1"/>
  <c r="Q638" i="52"/>
  <c r="M458" i="52" s="1"/>
  <c r="Q458" i="52" s="1"/>
  <c r="Q289" i="52"/>
  <c r="M109" i="52" s="1"/>
  <c r="Q109" i="52" s="1"/>
  <c r="Q638" i="54"/>
  <c r="M458" i="54" s="1"/>
  <c r="Q458" i="54" s="1"/>
  <c r="Q289" i="54"/>
  <c r="M109" i="54" s="1"/>
  <c r="Q109" i="54" s="1"/>
  <c r="Q1685" i="52"/>
  <c r="M1505" i="52" s="1"/>
  <c r="Q1505" i="52" s="1"/>
  <c r="Q1336" i="52"/>
  <c r="M1156" i="52" s="1"/>
  <c r="Q1156" i="52" s="1"/>
  <c r="Q987" i="52"/>
  <c r="M807" i="52" s="1"/>
  <c r="Q807" i="52" s="1"/>
  <c r="Q1332" i="51"/>
  <c r="M1153" i="51" s="1"/>
  <c r="Q1153" i="51" s="1"/>
  <c r="Q287" i="51"/>
  <c r="M108" i="51" s="1"/>
  <c r="Q108" i="51" s="1"/>
  <c r="Q635" i="51"/>
  <c r="M456" i="51" s="1"/>
  <c r="Q456" i="51" s="1"/>
  <c r="Q984" i="51"/>
  <c r="M804" i="51" s="1"/>
  <c r="Q804" i="51" s="1"/>
  <c r="Q985" i="59"/>
  <c r="M805" i="59" s="1"/>
  <c r="Q805" i="59" s="1"/>
  <c r="Q287" i="59"/>
  <c r="M107" i="59" s="1"/>
  <c r="Q107" i="59" s="1"/>
  <c r="Q1686" i="53"/>
  <c r="Q639" i="31"/>
  <c r="M459" i="31" s="1"/>
  <c r="Q459" i="31" s="1"/>
  <c r="Q636" i="59"/>
  <c r="M456" i="59" s="1"/>
  <c r="Q456" i="59" s="1"/>
  <c r="Q639" i="53"/>
  <c r="M459" i="53" s="1"/>
  <c r="Q459" i="53" s="1"/>
  <c r="Q638" i="37"/>
  <c r="M458" i="37" s="1"/>
  <c r="Q458" i="37" s="1"/>
  <c r="Q289" i="37"/>
  <c r="M109" i="37" s="1"/>
  <c r="Q109" i="37" s="1"/>
  <c r="Q988" i="53"/>
  <c r="M808" i="53" s="1"/>
  <c r="Q808" i="53" s="1"/>
  <c r="Q1337" i="53"/>
  <c r="M1157" i="53" s="1"/>
  <c r="Q1157" i="53" s="1"/>
  <c r="Q290" i="53"/>
  <c r="M110" i="53" s="1"/>
  <c r="Q110" i="53" s="1"/>
  <c r="Q987" i="37"/>
  <c r="M807" i="37" s="1"/>
  <c r="Q807" i="37" s="1"/>
  <c r="Q291" i="31"/>
  <c r="M110" i="31" s="1"/>
  <c r="Q110" i="31" s="1"/>
  <c r="O989" i="54"/>
  <c r="O1338" i="54"/>
  <c r="O640" i="54"/>
  <c r="O989" i="52"/>
  <c r="O1338" i="52"/>
  <c r="O986" i="51"/>
  <c r="O291" i="54"/>
  <c r="O640" i="52"/>
  <c r="O987" i="59"/>
  <c r="O1687" i="52"/>
  <c r="O1688" i="53"/>
  <c r="O1508" i="53" s="1"/>
  <c r="S1508" i="53" s="1"/>
  <c r="O990" i="53"/>
  <c r="O1334" i="51"/>
  <c r="O291" i="52"/>
  <c r="O637" i="51"/>
  <c r="O289" i="51"/>
  <c r="O289" i="59"/>
  <c r="O989" i="37"/>
  <c r="O638" i="59"/>
  <c r="O293" i="31"/>
  <c r="O640" i="37"/>
  <c r="O292" i="53"/>
  <c r="O1339" i="53"/>
  <c r="O291" i="37"/>
  <c r="O641" i="31"/>
  <c r="O641" i="53"/>
  <c r="M1704" i="52"/>
  <c r="M1355" i="54"/>
  <c r="M657" i="54"/>
  <c r="M1003" i="51"/>
  <c r="M1006" i="54"/>
  <c r="M657" i="52"/>
  <c r="M1006" i="52"/>
  <c r="M1705" i="53"/>
  <c r="M1355" i="52"/>
  <c r="M308" i="54"/>
  <c r="M1004" i="59"/>
  <c r="M308" i="52"/>
  <c r="M1006" i="37"/>
  <c r="M306" i="51"/>
  <c r="M1351" i="51"/>
  <c r="M654" i="51"/>
  <c r="M1007" i="53"/>
  <c r="M655" i="59"/>
  <c r="M658" i="53"/>
  <c r="M306" i="59"/>
  <c r="M1356" i="53"/>
  <c r="M657" i="37"/>
  <c r="M310" i="31"/>
  <c r="M309" i="53"/>
  <c r="M308" i="37"/>
  <c r="M658" i="31"/>
  <c r="Q1346" i="54"/>
  <c r="M1166" i="54" s="1"/>
  <c r="Q1166" i="54" s="1"/>
  <c r="Q1346" i="52"/>
  <c r="M1166" i="52" s="1"/>
  <c r="Q1166" i="52" s="1"/>
  <c r="Q997" i="52"/>
  <c r="M817" i="52" s="1"/>
  <c r="Q817" i="52" s="1"/>
  <c r="Q997" i="54"/>
  <c r="M817" i="54" s="1"/>
  <c r="Q817" i="54" s="1"/>
  <c r="Q1695" i="52"/>
  <c r="M1515" i="52" s="1"/>
  <c r="Q1515" i="52" s="1"/>
  <c r="Q299" i="54"/>
  <c r="M119" i="54" s="1"/>
  <c r="Q119" i="54" s="1"/>
  <c r="Q648" i="54"/>
  <c r="M468" i="54" s="1"/>
  <c r="Q468" i="54" s="1"/>
  <c r="Q1342" i="51"/>
  <c r="M1163" i="51" s="1"/>
  <c r="Q1163" i="51" s="1"/>
  <c r="Q648" i="52"/>
  <c r="M468" i="52" s="1"/>
  <c r="Q468" i="52" s="1"/>
  <c r="Q994" i="51"/>
  <c r="M814" i="51" s="1"/>
  <c r="Q814" i="51" s="1"/>
  <c r="Q645" i="51"/>
  <c r="M466" i="51" s="1"/>
  <c r="Q466" i="51" s="1"/>
  <c r="Q297" i="51"/>
  <c r="M118" i="51" s="1"/>
  <c r="Q118" i="51" s="1"/>
  <c r="Q297" i="59"/>
  <c r="M117" i="59" s="1"/>
  <c r="Q117" i="59" s="1"/>
  <c r="Q299" i="52"/>
  <c r="M119" i="52" s="1"/>
  <c r="Q119" i="52" s="1"/>
  <c r="Q1696" i="53"/>
  <c r="Q646" i="59"/>
  <c r="M466" i="59" s="1"/>
  <c r="Q466" i="59" s="1"/>
  <c r="Q1347" i="53"/>
  <c r="M1167" i="53" s="1"/>
  <c r="Q1167" i="53" s="1"/>
  <c r="Q995" i="59"/>
  <c r="M815" i="59" s="1"/>
  <c r="Q815" i="59" s="1"/>
  <c r="Q299" i="37"/>
  <c r="M119" i="37" s="1"/>
  <c r="Q119" i="37" s="1"/>
  <c r="Q648" i="37"/>
  <c r="M468" i="37" s="1"/>
  <c r="Q468" i="37" s="1"/>
  <c r="Q301" i="31"/>
  <c r="M120" i="31" s="1"/>
  <c r="Q120" i="31" s="1"/>
  <c r="Q300" i="53"/>
  <c r="M120" i="53" s="1"/>
  <c r="Q120" i="53" s="1"/>
  <c r="Q649" i="31"/>
  <c r="M469" i="31" s="1"/>
  <c r="Q469" i="31" s="1"/>
  <c r="Q997" i="37"/>
  <c r="M817" i="37" s="1"/>
  <c r="Q817" i="37" s="1"/>
  <c r="Q998" i="53"/>
  <c r="M818" i="53" s="1"/>
  <c r="Q818" i="53" s="1"/>
  <c r="Q649" i="53"/>
  <c r="M469" i="53" s="1"/>
  <c r="Q469" i="53" s="1"/>
  <c r="O1681" i="52"/>
  <c r="O1332" i="54"/>
  <c r="O634" i="54"/>
  <c r="O983" i="54"/>
  <c r="O980" i="51"/>
  <c r="O634" i="52"/>
  <c r="O285" i="54"/>
  <c r="O983" i="52"/>
  <c r="O1682" i="53"/>
  <c r="O1502" i="53" s="1"/>
  <c r="S1502" i="53" s="1"/>
  <c r="O1332" i="52"/>
  <c r="O981" i="59"/>
  <c r="O1328" i="51"/>
  <c r="O283" i="51"/>
  <c r="O283" i="59"/>
  <c r="O983" i="37"/>
  <c r="O631" i="51"/>
  <c r="O285" i="52"/>
  <c r="O984" i="53"/>
  <c r="O632" i="59"/>
  <c r="O1333" i="53"/>
  <c r="O286" i="53"/>
  <c r="O287" i="31"/>
  <c r="O285" i="37"/>
  <c r="O635" i="31"/>
  <c r="O634" i="37"/>
  <c r="O635" i="53"/>
  <c r="S986" i="54"/>
  <c r="O806" i="54" s="1"/>
  <c r="S806" i="54" s="1"/>
  <c r="S1335" i="54"/>
  <c r="O1155" i="54" s="1"/>
  <c r="S1155" i="54" s="1"/>
  <c r="S637" i="52"/>
  <c r="O457" i="52" s="1"/>
  <c r="S457" i="52" s="1"/>
  <c r="S288" i="52"/>
  <c r="O108" i="52" s="1"/>
  <c r="S108" i="52" s="1"/>
  <c r="S1684" i="52"/>
  <c r="O1504" i="52" s="1"/>
  <c r="S1504" i="52" s="1"/>
  <c r="S1335" i="52"/>
  <c r="O1155" i="52" s="1"/>
  <c r="S1155" i="52" s="1"/>
  <c r="S986" i="52"/>
  <c r="O806" i="52" s="1"/>
  <c r="S806" i="52" s="1"/>
  <c r="S637" i="54"/>
  <c r="O457" i="54" s="1"/>
  <c r="S457" i="54" s="1"/>
  <c r="S288" i="54"/>
  <c r="O108" i="54" s="1"/>
  <c r="S108" i="54" s="1"/>
  <c r="S983" i="51"/>
  <c r="O803" i="51" s="1"/>
  <c r="S803" i="51" s="1"/>
  <c r="S1331" i="51"/>
  <c r="O1152" i="51" s="1"/>
  <c r="S1152" i="51" s="1"/>
  <c r="S634" i="51"/>
  <c r="O455" i="51" s="1"/>
  <c r="S455" i="51" s="1"/>
  <c r="S286" i="51"/>
  <c r="O107" i="51" s="1"/>
  <c r="S107" i="51" s="1"/>
  <c r="S984" i="59"/>
  <c r="O804" i="59" s="1"/>
  <c r="S804" i="59" s="1"/>
  <c r="S635" i="59"/>
  <c r="O455" i="59" s="1"/>
  <c r="S455" i="59" s="1"/>
  <c r="S1685" i="53"/>
  <c r="S638" i="53"/>
  <c r="O458" i="53" s="1"/>
  <c r="S458" i="53" s="1"/>
  <c r="S637" i="37"/>
  <c r="O457" i="37" s="1"/>
  <c r="S457" i="37" s="1"/>
  <c r="S638" i="31"/>
  <c r="O458" i="31" s="1"/>
  <c r="S458" i="31" s="1"/>
  <c r="S286" i="59"/>
  <c r="O106" i="59" s="1"/>
  <c r="S106" i="59" s="1"/>
  <c r="S1336" i="53"/>
  <c r="O1156" i="53" s="1"/>
  <c r="S1156" i="53" s="1"/>
  <c r="S987" i="53"/>
  <c r="O807" i="53" s="1"/>
  <c r="S807" i="53" s="1"/>
  <c r="S289" i="53"/>
  <c r="O109" i="53" s="1"/>
  <c r="S109" i="53" s="1"/>
  <c r="S986" i="37"/>
  <c r="O806" i="37" s="1"/>
  <c r="S806" i="37" s="1"/>
  <c r="S290" i="31"/>
  <c r="O109" i="31" s="1"/>
  <c r="S109" i="31" s="1"/>
  <c r="S288" i="37"/>
  <c r="O108" i="37" s="1"/>
  <c r="S108" i="37" s="1"/>
  <c r="M1335" i="54"/>
  <c r="M288" i="54"/>
  <c r="M1335" i="52"/>
  <c r="M1684" i="52"/>
  <c r="M637" i="52"/>
  <c r="M986" i="52"/>
  <c r="M286" i="51"/>
  <c r="M986" i="54"/>
  <c r="M288" i="52"/>
  <c r="M637" i="54"/>
  <c r="M286" i="59"/>
  <c r="M983" i="51"/>
  <c r="M1336" i="53"/>
  <c r="M634" i="51"/>
  <c r="M635" i="59"/>
  <c r="M1331" i="51"/>
  <c r="M289" i="53"/>
  <c r="M1685" i="53"/>
  <c r="M1505" i="53" s="1"/>
  <c r="Q1505" i="53" s="1"/>
  <c r="M984" i="59"/>
  <c r="M638" i="31"/>
  <c r="M637" i="37"/>
  <c r="M290" i="31"/>
  <c r="M987" i="53"/>
  <c r="M638" i="53"/>
  <c r="M288" i="37"/>
  <c r="M986" i="37"/>
  <c r="M1362" i="54"/>
  <c r="M315" i="54"/>
  <c r="M315" i="52"/>
  <c r="M1010" i="51"/>
  <c r="M1013" i="54"/>
  <c r="M664" i="52"/>
  <c r="M1013" i="52"/>
  <c r="M664" i="54"/>
  <c r="M1362" i="52"/>
  <c r="M1711" i="52"/>
  <c r="M1358" i="51"/>
  <c r="M313" i="51"/>
  <c r="M661" i="51"/>
  <c r="M1011" i="59"/>
  <c r="M1712" i="53"/>
  <c r="M662" i="59"/>
  <c r="M1014" i="53"/>
  <c r="M313" i="59"/>
  <c r="M665" i="53"/>
  <c r="M315" i="37"/>
  <c r="M316" i="53"/>
  <c r="M1363" i="53"/>
  <c r="M665" i="31"/>
  <c r="M664" i="37"/>
  <c r="M317" i="31"/>
  <c r="M1013" i="37"/>
  <c r="M1356" i="54"/>
  <c r="M658" i="54"/>
  <c r="M1007" i="52"/>
  <c r="M658" i="52"/>
  <c r="M1356" i="52"/>
  <c r="M1705" i="52"/>
  <c r="M1007" i="54"/>
  <c r="M1352" i="51"/>
  <c r="M309" i="54"/>
  <c r="M309" i="52"/>
  <c r="M1004" i="51"/>
  <c r="M656" i="59"/>
  <c r="M307" i="51"/>
  <c r="M655" i="51"/>
  <c r="M309" i="37"/>
  <c r="M307" i="59"/>
  <c r="M1005" i="59"/>
  <c r="M1706" i="53"/>
  <c r="M1008" i="53"/>
  <c r="M659" i="53"/>
  <c r="M658" i="37"/>
  <c r="M311" i="31"/>
  <c r="M310" i="53"/>
  <c r="M1007" i="37"/>
  <c r="M1357" i="53"/>
  <c r="M659" i="31"/>
  <c r="M1347" i="54"/>
  <c r="M649" i="54"/>
  <c r="M1347" i="52"/>
  <c r="M1343" i="51"/>
  <c r="M995" i="51"/>
  <c r="M1696" i="52"/>
  <c r="M300" i="52"/>
  <c r="M298" i="51"/>
  <c r="M300" i="54"/>
  <c r="M649" i="52"/>
  <c r="M998" i="54"/>
  <c r="M998" i="52"/>
  <c r="M298" i="59"/>
  <c r="M646" i="51"/>
  <c r="M996" i="59"/>
  <c r="M1697" i="53"/>
  <c r="M1517" i="53" s="1"/>
  <c r="Q1517" i="53" s="1"/>
  <c r="M1348" i="53"/>
  <c r="M301" i="53"/>
  <c r="M999" i="53"/>
  <c r="M647" i="59"/>
  <c r="M998" i="37"/>
  <c r="M300" i="37"/>
  <c r="M650" i="31"/>
  <c r="M649" i="37"/>
  <c r="M302" i="31"/>
  <c r="M650" i="53"/>
  <c r="Q1352" i="52"/>
  <c r="M1172" i="52" s="1"/>
  <c r="Q1172" i="52" s="1"/>
  <c r="Q1352" i="54"/>
  <c r="M1172" i="54" s="1"/>
  <c r="Q1172" i="54" s="1"/>
  <c r="Q305" i="54"/>
  <c r="M125" i="54" s="1"/>
  <c r="Q125" i="54" s="1"/>
  <c r="Q305" i="52"/>
  <c r="M125" i="52" s="1"/>
  <c r="Q125" i="52" s="1"/>
  <c r="Q1701" i="52"/>
  <c r="M1521" i="52" s="1"/>
  <c r="Q1521" i="52" s="1"/>
  <c r="Q654" i="54"/>
  <c r="M474" i="54" s="1"/>
  <c r="Q474" i="54" s="1"/>
  <c r="Q654" i="52"/>
  <c r="M474" i="52" s="1"/>
  <c r="Q474" i="52" s="1"/>
  <c r="Q1003" i="54"/>
  <c r="M823" i="54" s="1"/>
  <c r="Q823" i="54" s="1"/>
  <c r="Q1003" i="52"/>
  <c r="M823" i="52" s="1"/>
  <c r="Q823" i="52" s="1"/>
  <c r="Q651" i="51"/>
  <c r="M472" i="51" s="1"/>
  <c r="Q472" i="51" s="1"/>
  <c r="Q1001" i="59"/>
  <c r="M821" i="59" s="1"/>
  <c r="Q821" i="59" s="1"/>
  <c r="Q1348" i="51"/>
  <c r="M1169" i="51" s="1"/>
  <c r="Q1169" i="51" s="1"/>
  <c r="Q1000" i="51"/>
  <c r="M820" i="51" s="1"/>
  <c r="Q820" i="51" s="1"/>
  <c r="Q652" i="59"/>
  <c r="M472" i="59" s="1"/>
  <c r="Q472" i="59" s="1"/>
  <c r="Q1353" i="53"/>
  <c r="M1173" i="53" s="1"/>
  <c r="Q1173" i="53" s="1"/>
  <c r="Q303" i="59"/>
  <c r="M123" i="59" s="1"/>
  <c r="Q123" i="59" s="1"/>
  <c r="Q303" i="51"/>
  <c r="M124" i="51" s="1"/>
  <c r="Q124" i="51" s="1"/>
  <c r="Q655" i="53"/>
  <c r="M475" i="53" s="1"/>
  <c r="Q475" i="53" s="1"/>
  <c r="Q1702" i="53"/>
  <c r="Q306" i="53"/>
  <c r="M126" i="53" s="1"/>
  <c r="Q126" i="53" s="1"/>
  <c r="Q305" i="37"/>
  <c r="M125" i="37" s="1"/>
  <c r="Q125" i="37" s="1"/>
  <c r="Q1004" i="53"/>
  <c r="M824" i="53" s="1"/>
  <c r="Q824" i="53" s="1"/>
  <c r="Q1003" i="37"/>
  <c r="M823" i="37" s="1"/>
  <c r="Q823" i="37" s="1"/>
  <c r="Q655" i="31"/>
  <c r="M475" i="31" s="1"/>
  <c r="Q475" i="31" s="1"/>
  <c r="Q654" i="37"/>
  <c r="M474" i="37" s="1"/>
  <c r="Q474" i="37" s="1"/>
  <c r="Q307" i="31"/>
  <c r="M126" i="31" s="1"/>
  <c r="Q126" i="31" s="1"/>
  <c r="O657" i="54"/>
  <c r="O308" i="54"/>
  <c r="O1355" i="54"/>
  <c r="O1704" i="52"/>
  <c r="O1355" i="52"/>
  <c r="O1006" i="54"/>
  <c r="O657" i="52"/>
  <c r="O1003" i="51"/>
  <c r="O654" i="51"/>
  <c r="O1006" i="52"/>
  <c r="O306" i="51"/>
  <c r="O308" i="52"/>
  <c r="O1351" i="51"/>
  <c r="O1004" i="59"/>
  <c r="O1705" i="53"/>
  <c r="O655" i="59"/>
  <c r="O657" i="37"/>
  <c r="O1007" i="53"/>
  <c r="O306" i="59"/>
  <c r="O310" i="31"/>
  <c r="O658" i="53"/>
  <c r="O308" i="37"/>
  <c r="O1356" i="53"/>
  <c r="O658" i="31"/>
  <c r="O309" i="53"/>
  <c r="O1006" i="37"/>
  <c r="S1358" i="52"/>
  <c r="S1358" i="54"/>
  <c r="S660" i="54"/>
  <c r="S1707" i="52"/>
  <c r="S311" i="52"/>
  <c r="S311" i="54"/>
  <c r="S1009" i="52"/>
  <c r="S657" i="51"/>
  <c r="S1359" i="53"/>
  <c r="S1009" i="54"/>
  <c r="S660" i="52"/>
  <c r="S658" i="59"/>
  <c r="S1006" i="51"/>
  <c r="S660" i="37"/>
  <c r="S1354" i="51"/>
  <c r="S1007" i="59"/>
  <c r="S661" i="53"/>
  <c r="S312" i="53"/>
  <c r="S309" i="59"/>
  <c r="S1708" i="53"/>
  <c r="S309" i="51"/>
  <c r="S313" i="31"/>
  <c r="S1009" i="37"/>
  <c r="S311" i="37"/>
  <c r="S661" i="31"/>
  <c r="S1010" i="53"/>
  <c r="M992" i="54"/>
  <c r="M643" i="54"/>
  <c r="M294" i="54"/>
  <c r="M1341" i="54"/>
  <c r="M1341" i="52"/>
  <c r="M1337" i="51"/>
  <c r="M1690" i="52"/>
  <c r="M643" i="52"/>
  <c r="M292" i="59"/>
  <c r="M992" i="52"/>
  <c r="M292" i="51"/>
  <c r="M294" i="52"/>
  <c r="M640" i="51"/>
  <c r="M295" i="53"/>
  <c r="M989" i="51"/>
  <c r="M1342" i="53"/>
  <c r="M990" i="59"/>
  <c r="M641" i="59"/>
  <c r="M644" i="53"/>
  <c r="M644" i="31"/>
  <c r="M643" i="37"/>
  <c r="M296" i="31"/>
  <c r="M993" i="53"/>
  <c r="M294" i="37"/>
  <c r="M1691" i="53"/>
  <c r="M1511" i="53" s="1"/>
  <c r="Q1511" i="53" s="1"/>
  <c r="M992" i="37"/>
  <c r="Q1332" i="54"/>
  <c r="M1152" i="54" s="1"/>
  <c r="Q1152" i="54" s="1"/>
  <c r="Q634" i="54"/>
  <c r="M454" i="54" s="1"/>
  <c r="Q454" i="54" s="1"/>
  <c r="Q285" i="54"/>
  <c r="M105" i="54" s="1"/>
  <c r="Q105" i="54" s="1"/>
  <c r="Q1681" i="52"/>
  <c r="M1501" i="52" s="1"/>
  <c r="Q1501" i="52" s="1"/>
  <c r="Q983" i="54"/>
  <c r="M803" i="54" s="1"/>
  <c r="Q803" i="54" s="1"/>
  <c r="Q1332" i="52"/>
  <c r="M1152" i="52" s="1"/>
  <c r="Q1152" i="52" s="1"/>
  <c r="Q285" i="52"/>
  <c r="M105" i="52" s="1"/>
  <c r="Q105" i="52" s="1"/>
  <c r="Q631" i="51"/>
  <c r="M452" i="51" s="1"/>
  <c r="Q452" i="51" s="1"/>
  <c r="Q634" i="52"/>
  <c r="M454" i="52" s="1"/>
  <c r="Q454" i="52" s="1"/>
  <c r="Q983" i="52"/>
  <c r="M803" i="52" s="1"/>
  <c r="Q803" i="52" s="1"/>
  <c r="Q980" i="51"/>
  <c r="M800" i="51" s="1"/>
  <c r="Q800" i="51" s="1"/>
  <c r="Q283" i="51"/>
  <c r="M104" i="51" s="1"/>
  <c r="Q104" i="51" s="1"/>
  <c r="Q283" i="59"/>
  <c r="M103" i="59" s="1"/>
  <c r="Q103" i="59" s="1"/>
  <c r="Q1328" i="51"/>
  <c r="M1149" i="51" s="1"/>
  <c r="Q1149" i="51" s="1"/>
  <c r="Q981" i="59"/>
  <c r="M801" i="59" s="1"/>
  <c r="Q801" i="59" s="1"/>
  <c r="Q1682" i="53"/>
  <c r="Q1333" i="53"/>
  <c r="M1153" i="53" s="1"/>
  <c r="Q1153" i="53" s="1"/>
  <c r="Q984" i="53"/>
  <c r="M804" i="53" s="1"/>
  <c r="Q804" i="53" s="1"/>
  <c r="Q983" i="37"/>
  <c r="M803" i="37" s="1"/>
  <c r="Q803" i="37" s="1"/>
  <c r="Q632" i="59"/>
  <c r="M452" i="59" s="1"/>
  <c r="Q452" i="59" s="1"/>
  <c r="Q287" i="31"/>
  <c r="M106" i="31" s="1"/>
  <c r="Q106" i="31" s="1"/>
  <c r="Q635" i="31"/>
  <c r="M455" i="31" s="1"/>
  <c r="Q455" i="31" s="1"/>
  <c r="Q635" i="53"/>
  <c r="M455" i="53" s="1"/>
  <c r="Q455" i="53" s="1"/>
  <c r="Q286" i="53"/>
  <c r="M106" i="53" s="1"/>
  <c r="Q106" i="53" s="1"/>
  <c r="Q634" i="37"/>
  <c r="M454" i="37" s="1"/>
  <c r="Q454" i="37" s="1"/>
  <c r="Q285" i="37"/>
  <c r="M105" i="37" s="1"/>
  <c r="Q105" i="37" s="1"/>
  <c r="S1352" i="54"/>
  <c r="O1172" i="54" s="1"/>
  <c r="S1172" i="54" s="1"/>
  <c r="S654" i="54"/>
  <c r="O474" i="54" s="1"/>
  <c r="S474" i="54" s="1"/>
  <c r="S305" i="54"/>
  <c r="O125" i="54" s="1"/>
  <c r="S125" i="54" s="1"/>
  <c r="S1701" i="52"/>
  <c r="O1521" i="52" s="1"/>
  <c r="S1521" i="52" s="1"/>
  <c r="S1003" i="54"/>
  <c r="O823" i="54" s="1"/>
  <c r="S823" i="54" s="1"/>
  <c r="S654" i="52"/>
  <c r="O474" i="52" s="1"/>
  <c r="S474" i="52" s="1"/>
  <c r="S305" i="52"/>
  <c r="O125" i="52" s="1"/>
  <c r="S125" i="52" s="1"/>
  <c r="S1352" i="52"/>
  <c r="O1172" i="52" s="1"/>
  <c r="S1172" i="52" s="1"/>
  <c r="S652" i="59"/>
  <c r="O472" i="59" s="1"/>
  <c r="S472" i="59" s="1"/>
  <c r="S1003" i="52"/>
  <c r="O823" i="52" s="1"/>
  <c r="S823" i="52" s="1"/>
  <c r="S1000" i="51"/>
  <c r="O820" i="51" s="1"/>
  <c r="S820" i="51" s="1"/>
  <c r="S651" i="51"/>
  <c r="O472" i="51" s="1"/>
  <c r="S472" i="51" s="1"/>
  <c r="S1353" i="53"/>
  <c r="O1173" i="53" s="1"/>
  <c r="S1173" i="53" s="1"/>
  <c r="S1348" i="51"/>
  <c r="O1169" i="51" s="1"/>
  <c r="S1169" i="51" s="1"/>
  <c r="S655" i="53"/>
  <c r="O475" i="53" s="1"/>
  <c r="S475" i="53" s="1"/>
  <c r="S303" i="51"/>
  <c r="O124" i="51" s="1"/>
  <c r="S124" i="51" s="1"/>
  <c r="S303" i="59"/>
  <c r="O123" i="59" s="1"/>
  <c r="S123" i="59" s="1"/>
  <c r="S654" i="37"/>
  <c r="O474" i="37" s="1"/>
  <c r="S474" i="37" s="1"/>
  <c r="S1702" i="53"/>
  <c r="S1001" i="59"/>
  <c r="O821" i="59" s="1"/>
  <c r="S821" i="59" s="1"/>
  <c r="S307" i="31"/>
  <c r="O126" i="31" s="1"/>
  <c r="S126" i="31" s="1"/>
  <c r="S1003" i="37"/>
  <c r="O823" i="37" s="1"/>
  <c r="S823" i="37" s="1"/>
  <c r="S655" i="31"/>
  <c r="O475" i="31" s="1"/>
  <c r="S475" i="31" s="1"/>
  <c r="S1004" i="53"/>
  <c r="O824" i="53" s="1"/>
  <c r="S824" i="53" s="1"/>
  <c r="S306" i="53"/>
  <c r="O126" i="53" s="1"/>
  <c r="S126" i="53" s="1"/>
  <c r="S305" i="37"/>
  <c r="O125" i="37" s="1"/>
  <c r="S125" i="37" s="1"/>
  <c r="M1351" i="54"/>
  <c r="M1700" i="52"/>
  <c r="M304" i="54"/>
  <c r="M1351" i="52"/>
  <c r="M1002" i="52"/>
  <c r="M1002" i="54"/>
  <c r="M653" i="54"/>
  <c r="M999" i="51"/>
  <c r="M651" i="59"/>
  <c r="M653" i="52"/>
  <c r="M650" i="51"/>
  <c r="M304" i="52"/>
  <c r="M302" i="51"/>
  <c r="M302" i="59"/>
  <c r="M654" i="53"/>
  <c r="M1347" i="51"/>
  <c r="M1000" i="59"/>
  <c r="M1701" i="53"/>
  <c r="M1521" i="53" s="1"/>
  <c r="Q1521" i="53" s="1"/>
  <c r="M305" i="53"/>
  <c r="M304" i="37"/>
  <c r="M1002" i="37"/>
  <c r="M654" i="31"/>
  <c r="M1352" i="53"/>
  <c r="M1003" i="53"/>
  <c r="M653" i="37"/>
  <c r="M306" i="31"/>
  <c r="Q1356" i="54"/>
  <c r="Q658" i="54"/>
  <c r="Q309" i="54"/>
  <c r="Q1705" i="52"/>
  <c r="Q309" i="52"/>
  <c r="Q1007" i="54"/>
  <c r="Q1007" i="52"/>
  <c r="Q655" i="51"/>
  <c r="Q1356" i="52"/>
  <c r="Q658" i="52"/>
  <c r="Q1004" i="51"/>
  <c r="Q307" i="51"/>
  <c r="Q1352" i="51"/>
  <c r="Q1005" i="59"/>
  <c r="Q1706" i="53"/>
  <c r="Q307" i="59"/>
  <c r="Q1008" i="53"/>
  <c r="Q1007" i="37"/>
  <c r="Q658" i="37"/>
  <c r="Q656" i="59"/>
  <c r="Q1357" i="53"/>
  <c r="Q311" i="31"/>
  <c r="Q309" i="37"/>
  <c r="Q659" i="53"/>
  <c r="Q310" i="53"/>
  <c r="Q659" i="31"/>
  <c r="M1350" i="54"/>
  <c r="M1001" i="54"/>
  <c r="M303" i="52"/>
  <c r="M303" i="54"/>
  <c r="M1001" i="52"/>
  <c r="M652" i="54"/>
  <c r="M1350" i="52"/>
  <c r="M1699" i="52"/>
  <c r="M998" i="51"/>
  <c r="M652" i="52"/>
  <c r="M1346" i="51"/>
  <c r="M649" i="51"/>
  <c r="M650" i="59"/>
  <c r="M653" i="53"/>
  <c r="M301" i="59"/>
  <c r="M1351" i="53"/>
  <c r="M304" i="53"/>
  <c r="M301" i="51"/>
  <c r="M999" i="59"/>
  <c r="M1700" i="53"/>
  <c r="M1520" i="53" s="1"/>
  <c r="Q1520" i="53" s="1"/>
  <c r="M303" i="37"/>
  <c r="M1001" i="37"/>
  <c r="M653" i="31"/>
  <c r="M1002" i="53"/>
  <c r="M652" i="37"/>
  <c r="M305" i="31"/>
  <c r="M1344" i="54"/>
  <c r="M297" i="54"/>
  <c r="M995" i="52"/>
  <c r="M646" i="52"/>
  <c r="M1693" i="52"/>
  <c r="M646" i="54"/>
  <c r="M995" i="54"/>
  <c r="M1344" i="52"/>
  <c r="M992" i="51"/>
  <c r="M297" i="52"/>
  <c r="M1340" i="51"/>
  <c r="M643" i="51"/>
  <c r="M295" i="51"/>
  <c r="M295" i="59"/>
  <c r="M993" i="59"/>
  <c r="M297" i="37"/>
  <c r="M644" i="59"/>
  <c r="M1694" i="53"/>
  <c r="M1514" i="53" s="1"/>
  <c r="Q1514" i="53" s="1"/>
  <c r="M299" i="31"/>
  <c r="M995" i="37"/>
  <c r="M647" i="31"/>
  <c r="M1345" i="53"/>
  <c r="M646" i="37"/>
  <c r="M996" i="53"/>
  <c r="M647" i="53"/>
  <c r="M298" i="53"/>
  <c r="M1333" i="54"/>
  <c r="M286" i="54"/>
  <c r="M635" i="54"/>
  <c r="M984" i="54"/>
  <c r="M1329" i="51"/>
  <c r="M984" i="52"/>
  <c r="M981" i="51"/>
  <c r="M1333" i="52"/>
  <c r="M632" i="51"/>
  <c r="M1682" i="52"/>
  <c r="M635" i="52"/>
  <c r="M633" i="59"/>
  <c r="M284" i="51"/>
  <c r="M982" i="59"/>
  <c r="M1683" i="53"/>
  <c r="M1503" i="53" s="1"/>
  <c r="Q1503" i="53" s="1"/>
  <c r="M286" i="52"/>
  <c r="M636" i="53"/>
  <c r="M284" i="59"/>
  <c r="M985" i="53"/>
  <c r="M1334" i="53"/>
  <c r="M286" i="37"/>
  <c r="M287" i="53"/>
  <c r="M984" i="37"/>
  <c r="M636" i="31"/>
  <c r="M635" i="37"/>
  <c r="M288" i="31"/>
  <c r="Q640" i="54"/>
  <c r="M460" i="54" s="1"/>
  <c r="Q460" i="54" s="1"/>
  <c r="Q291" i="54"/>
  <c r="M111" i="54" s="1"/>
  <c r="Q111" i="54" s="1"/>
  <c r="Q1687" i="52"/>
  <c r="M1507" i="52" s="1"/>
  <c r="Q1507" i="52" s="1"/>
  <c r="Q989" i="54"/>
  <c r="M809" i="54" s="1"/>
  <c r="Q809" i="54" s="1"/>
  <c r="Q1338" i="54"/>
  <c r="M1158" i="54" s="1"/>
  <c r="Q1158" i="54" s="1"/>
  <c r="Q1338" i="52"/>
  <c r="M1158" i="52" s="1"/>
  <c r="Q1158" i="52" s="1"/>
  <c r="Q291" i="52"/>
  <c r="M111" i="52" s="1"/>
  <c r="Q111" i="52" s="1"/>
  <c r="Q1334" i="51"/>
  <c r="M1155" i="51" s="1"/>
  <c r="Q1155" i="51" s="1"/>
  <c r="Q989" i="52"/>
  <c r="M809" i="52" s="1"/>
  <c r="Q809" i="52" s="1"/>
  <c r="Q986" i="51"/>
  <c r="M806" i="51" s="1"/>
  <c r="Q806" i="51" s="1"/>
  <c r="Q640" i="52"/>
  <c r="M460" i="52" s="1"/>
  <c r="Q460" i="52" s="1"/>
  <c r="Q637" i="51"/>
  <c r="M458" i="51" s="1"/>
  <c r="Q458" i="51" s="1"/>
  <c r="Q638" i="59"/>
  <c r="M458" i="59" s="1"/>
  <c r="Q458" i="59" s="1"/>
  <c r="Q1339" i="53"/>
  <c r="M1159" i="53" s="1"/>
  <c r="Q1159" i="53" s="1"/>
  <c r="Q289" i="51"/>
  <c r="M110" i="51" s="1"/>
  <c r="Q110" i="51" s="1"/>
  <c r="Q641" i="53"/>
  <c r="M461" i="53" s="1"/>
  <c r="Q461" i="53" s="1"/>
  <c r="Q987" i="59"/>
  <c r="M807" i="59" s="1"/>
  <c r="Q807" i="59" s="1"/>
  <c r="Q289" i="59"/>
  <c r="M109" i="59" s="1"/>
  <c r="Q109" i="59" s="1"/>
  <c r="Q292" i="53"/>
  <c r="M112" i="53" s="1"/>
  <c r="Q112" i="53" s="1"/>
  <c r="Q293" i="31"/>
  <c r="M112" i="31" s="1"/>
  <c r="Q112" i="31" s="1"/>
  <c r="Q1688" i="53"/>
  <c r="Q640" i="37"/>
  <c r="M460" i="37" s="1"/>
  <c r="Q460" i="37" s="1"/>
  <c r="Q291" i="37"/>
  <c r="M111" i="37" s="1"/>
  <c r="Q111" i="37" s="1"/>
  <c r="Q990" i="53"/>
  <c r="M810" i="53" s="1"/>
  <c r="Q810" i="53" s="1"/>
  <c r="Q641" i="31"/>
  <c r="M461" i="31" s="1"/>
  <c r="Q461" i="31" s="1"/>
  <c r="Q989" i="37"/>
  <c r="M809" i="37" s="1"/>
  <c r="Q809" i="37" s="1"/>
  <c r="O641" i="54"/>
  <c r="O292" i="54"/>
  <c r="O1339" i="54"/>
  <c r="O1688" i="52"/>
  <c r="O641" i="52"/>
  <c r="O1339" i="52"/>
  <c r="O1335" i="51"/>
  <c r="O990" i="54"/>
  <c r="O990" i="52"/>
  <c r="O292" i="52"/>
  <c r="O987" i="51"/>
  <c r="O638" i="51"/>
  <c r="O290" i="51"/>
  <c r="O290" i="59"/>
  <c r="O1340" i="53"/>
  <c r="O293" i="53"/>
  <c r="O991" i="53"/>
  <c r="O990" i="37"/>
  <c r="O988" i="59"/>
  <c r="O639" i="59"/>
  <c r="O1689" i="53"/>
  <c r="O1509" i="53" s="1"/>
  <c r="S1509" i="53" s="1"/>
  <c r="O292" i="37"/>
  <c r="O641" i="37"/>
  <c r="O642" i="53"/>
  <c r="O294" i="31"/>
  <c r="O642" i="31"/>
  <c r="S993" i="54"/>
  <c r="O813" i="54" s="1"/>
  <c r="S813" i="54" s="1"/>
  <c r="S1342" i="54"/>
  <c r="O1162" i="54" s="1"/>
  <c r="S1162" i="54" s="1"/>
  <c r="S1342" i="52"/>
  <c r="O1162" i="52" s="1"/>
  <c r="S1162" i="52" s="1"/>
  <c r="S295" i="54"/>
  <c r="O115" i="54" s="1"/>
  <c r="S115" i="54" s="1"/>
  <c r="S1338" i="51"/>
  <c r="O1159" i="51" s="1"/>
  <c r="S1159" i="51" s="1"/>
  <c r="S644" i="52"/>
  <c r="O464" i="52" s="1"/>
  <c r="S464" i="52" s="1"/>
  <c r="S644" i="54"/>
  <c r="O464" i="54" s="1"/>
  <c r="S464" i="54" s="1"/>
  <c r="S993" i="52"/>
  <c r="O813" i="52" s="1"/>
  <c r="S813" i="52" s="1"/>
  <c r="S293" i="59"/>
  <c r="O113" i="59" s="1"/>
  <c r="S113" i="59" s="1"/>
  <c r="S1691" i="52"/>
  <c r="O1511" i="52" s="1"/>
  <c r="S1511" i="52" s="1"/>
  <c r="S293" i="51"/>
  <c r="O114" i="51" s="1"/>
  <c r="S114" i="51" s="1"/>
  <c r="S295" i="52"/>
  <c r="O115" i="52" s="1"/>
  <c r="S115" i="52" s="1"/>
  <c r="S641" i="51"/>
  <c r="O462" i="51" s="1"/>
  <c r="S462" i="51" s="1"/>
  <c r="S296" i="53"/>
  <c r="O116" i="53" s="1"/>
  <c r="S116" i="53" s="1"/>
  <c r="S991" i="59"/>
  <c r="O811" i="59" s="1"/>
  <c r="S811" i="59" s="1"/>
  <c r="S990" i="51"/>
  <c r="O810" i="51" s="1"/>
  <c r="S810" i="51" s="1"/>
  <c r="S642" i="59"/>
  <c r="O462" i="59" s="1"/>
  <c r="S462" i="59" s="1"/>
  <c r="S1692" i="53"/>
  <c r="S645" i="53"/>
  <c r="O465" i="53" s="1"/>
  <c r="S465" i="53" s="1"/>
  <c r="S644" i="37"/>
  <c r="O464" i="37" s="1"/>
  <c r="S464" i="37" s="1"/>
  <c r="S295" i="37"/>
  <c r="O115" i="37" s="1"/>
  <c r="S115" i="37" s="1"/>
  <c r="S297" i="31"/>
  <c r="O116" i="31" s="1"/>
  <c r="S116" i="31" s="1"/>
  <c r="S994" i="53"/>
  <c r="O814" i="53" s="1"/>
  <c r="S814" i="53" s="1"/>
  <c r="S993" i="37"/>
  <c r="O813" i="37" s="1"/>
  <c r="S813" i="37" s="1"/>
  <c r="S645" i="31"/>
  <c r="O465" i="31" s="1"/>
  <c r="S465" i="31" s="1"/>
  <c r="S1343" i="53"/>
  <c r="O1163" i="53" s="1"/>
  <c r="S1163" i="53" s="1"/>
  <c r="Q664" i="54"/>
  <c r="Q315" i="54"/>
  <c r="Q1711" i="52"/>
  <c r="Q1013" i="54"/>
  <c r="Q1362" i="54"/>
  <c r="Q1013" i="52"/>
  <c r="Q1358" i="51"/>
  <c r="Q1362" i="52"/>
  <c r="Q664" i="52"/>
  <c r="Q661" i="51"/>
  <c r="Q1010" i="51"/>
  <c r="Q315" i="52"/>
  <c r="Q1011" i="59"/>
  <c r="Q313" i="51"/>
  <c r="Q313" i="59"/>
  <c r="Q1712" i="53"/>
  <c r="Q316" i="53"/>
  <c r="Q317" i="31"/>
  <c r="Q662" i="59"/>
  <c r="Q664" i="37"/>
  <c r="Q1013" i="37"/>
  <c r="Q1014" i="53"/>
  <c r="Q665" i="53"/>
  <c r="Q315" i="37"/>
  <c r="Q1363" i="53"/>
  <c r="Q665" i="31"/>
  <c r="O1001" i="54"/>
  <c r="O1350" i="54"/>
  <c r="O1001" i="52"/>
  <c r="O303" i="54"/>
  <c r="O1350" i="52"/>
  <c r="O998" i="51"/>
  <c r="O652" i="54"/>
  <c r="O1699" i="52"/>
  <c r="O999" i="59"/>
  <c r="O652" i="52"/>
  <c r="O1700" i="53"/>
  <c r="O1520" i="53" s="1"/>
  <c r="S1520" i="53" s="1"/>
  <c r="O1346" i="51"/>
  <c r="O303" i="52"/>
  <c r="O650" i="59"/>
  <c r="O1002" i="53"/>
  <c r="O649" i="51"/>
  <c r="O301" i="51"/>
  <c r="O1001" i="37"/>
  <c r="O301" i="59"/>
  <c r="O1351" i="53"/>
  <c r="O303" i="37"/>
  <c r="O653" i="53"/>
  <c r="O653" i="31"/>
  <c r="O304" i="53"/>
  <c r="O652" i="37"/>
  <c r="O305" i="31"/>
  <c r="S1336" i="54"/>
  <c r="O1156" i="54" s="1"/>
  <c r="S1156" i="54" s="1"/>
  <c r="S289" i="54"/>
  <c r="O109" i="54" s="1"/>
  <c r="S109" i="54" s="1"/>
  <c r="S638" i="54"/>
  <c r="O458" i="54" s="1"/>
  <c r="S458" i="54" s="1"/>
  <c r="S1685" i="52"/>
  <c r="O1505" i="52" s="1"/>
  <c r="S1505" i="52" s="1"/>
  <c r="S638" i="52"/>
  <c r="O458" i="52" s="1"/>
  <c r="S458" i="52" s="1"/>
  <c r="S289" i="52"/>
  <c r="O109" i="52" s="1"/>
  <c r="S109" i="52" s="1"/>
  <c r="S987" i="52"/>
  <c r="O807" i="52" s="1"/>
  <c r="S807" i="52" s="1"/>
  <c r="S987" i="54"/>
  <c r="O807" i="54" s="1"/>
  <c r="S807" i="54" s="1"/>
  <c r="S287" i="51"/>
  <c r="O108" i="51" s="1"/>
  <c r="S108" i="51" s="1"/>
  <c r="S1336" i="52"/>
  <c r="O1156" i="52" s="1"/>
  <c r="S1156" i="52" s="1"/>
  <c r="S287" i="59"/>
  <c r="O107" i="59" s="1"/>
  <c r="S107" i="59" s="1"/>
  <c r="S985" i="59"/>
  <c r="O805" i="59" s="1"/>
  <c r="S805" i="59" s="1"/>
  <c r="S984" i="51"/>
  <c r="O804" i="51" s="1"/>
  <c r="S804" i="51" s="1"/>
  <c r="S636" i="59"/>
  <c r="O456" i="59" s="1"/>
  <c r="S456" i="59" s="1"/>
  <c r="S1332" i="51"/>
  <c r="O1153" i="51" s="1"/>
  <c r="S1153" i="51" s="1"/>
  <c r="S635" i="51"/>
  <c r="O456" i="51" s="1"/>
  <c r="S456" i="51" s="1"/>
  <c r="S290" i="53"/>
  <c r="O110" i="53" s="1"/>
  <c r="S110" i="53" s="1"/>
  <c r="S1686" i="53"/>
  <c r="S1337" i="53"/>
  <c r="O1157" i="53" s="1"/>
  <c r="S1157" i="53" s="1"/>
  <c r="S988" i="53"/>
  <c r="O808" i="53" s="1"/>
  <c r="S808" i="53" s="1"/>
  <c r="S289" i="37"/>
  <c r="O109" i="37" s="1"/>
  <c r="S109" i="37" s="1"/>
  <c r="S639" i="53"/>
  <c r="O459" i="53" s="1"/>
  <c r="S459" i="53" s="1"/>
  <c r="S638" i="37"/>
  <c r="O458" i="37" s="1"/>
  <c r="S458" i="37" s="1"/>
  <c r="S987" i="37"/>
  <c r="O807" i="37" s="1"/>
  <c r="S807" i="37" s="1"/>
  <c r="S639" i="31"/>
  <c r="O459" i="31" s="1"/>
  <c r="S459" i="31" s="1"/>
  <c r="S291" i="31"/>
  <c r="O110" i="31" s="1"/>
  <c r="S110" i="31" s="1"/>
  <c r="M1685" i="52"/>
  <c r="M1336" i="54"/>
  <c r="M638" i="54"/>
  <c r="M987" i="54"/>
  <c r="M1332" i="51"/>
  <c r="M987" i="52"/>
  <c r="M289" i="54"/>
  <c r="M638" i="52"/>
  <c r="M984" i="51"/>
  <c r="M1336" i="52"/>
  <c r="M635" i="51"/>
  <c r="M289" i="52"/>
  <c r="M636" i="59"/>
  <c r="M639" i="53"/>
  <c r="M287" i="51"/>
  <c r="M1337" i="53"/>
  <c r="M290" i="53"/>
  <c r="M291" i="31"/>
  <c r="M287" i="59"/>
  <c r="M1686" i="53"/>
  <c r="M1506" i="53" s="1"/>
  <c r="Q1506" i="53" s="1"/>
  <c r="M985" i="59"/>
  <c r="M638" i="37"/>
  <c r="M988" i="53"/>
  <c r="M289" i="37"/>
  <c r="M639" i="31"/>
  <c r="M987" i="37"/>
  <c r="Q1341" i="54"/>
  <c r="M1161" i="54" s="1"/>
  <c r="Q1161" i="54" s="1"/>
  <c r="Q643" i="54"/>
  <c r="M463" i="54" s="1"/>
  <c r="Q463" i="54" s="1"/>
  <c r="Q294" i="54"/>
  <c r="M114" i="54" s="1"/>
  <c r="Q114" i="54" s="1"/>
  <c r="Q1690" i="52"/>
  <c r="M1510" i="52" s="1"/>
  <c r="Q1510" i="52" s="1"/>
  <c r="Q643" i="52"/>
  <c r="M463" i="52" s="1"/>
  <c r="Q463" i="52" s="1"/>
  <c r="Q294" i="52"/>
  <c r="M114" i="52" s="1"/>
  <c r="Q114" i="52" s="1"/>
  <c r="Q1337" i="51"/>
  <c r="M1158" i="51" s="1"/>
  <c r="Q1158" i="51" s="1"/>
  <c r="Q641" i="59"/>
  <c r="M461" i="59" s="1"/>
  <c r="Q461" i="59" s="1"/>
  <c r="Q992" i="54"/>
  <c r="M812" i="54" s="1"/>
  <c r="Q812" i="54" s="1"/>
  <c r="Q1341" i="52"/>
  <c r="M1161" i="52" s="1"/>
  <c r="Q1161" i="52" s="1"/>
  <c r="Q992" i="52"/>
  <c r="M812" i="52" s="1"/>
  <c r="Q812" i="52" s="1"/>
  <c r="Q640" i="51"/>
  <c r="M461" i="51" s="1"/>
  <c r="Q461" i="51" s="1"/>
  <c r="Q1342" i="53"/>
  <c r="M1162" i="53" s="1"/>
  <c r="Q1162" i="53" s="1"/>
  <c r="Q989" i="51"/>
  <c r="M809" i="51" s="1"/>
  <c r="Q809" i="51" s="1"/>
  <c r="Q644" i="53"/>
  <c r="M464" i="53" s="1"/>
  <c r="Q464" i="53" s="1"/>
  <c r="Q292" i="51"/>
  <c r="M113" i="51" s="1"/>
  <c r="Q113" i="51" s="1"/>
  <c r="Q990" i="59"/>
  <c r="M810" i="59" s="1"/>
  <c r="Q810" i="59" s="1"/>
  <c r="Q643" i="37"/>
  <c r="M463" i="37" s="1"/>
  <c r="Q463" i="37" s="1"/>
  <c r="Q292" i="59"/>
  <c r="M112" i="59" s="1"/>
  <c r="Q112" i="59" s="1"/>
  <c r="Q1691" i="53"/>
  <c r="Q295" i="53"/>
  <c r="M115" i="53" s="1"/>
  <c r="Q115" i="53" s="1"/>
  <c r="Q992" i="37"/>
  <c r="M812" i="37" s="1"/>
  <c r="Q812" i="37" s="1"/>
  <c r="Q296" i="31"/>
  <c r="M115" i="31" s="1"/>
  <c r="Q115" i="31" s="1"/>
  <c r="Q294" i="37"/>
  <c r="M114" i="37" s="1"/>
  <c r="Q114" i="37" s="1"/>
  <c r="Q993" i="53"/>
  <c r="M813" i="53" s="1"/>
  <c r="Q813" i="53" s="1"/>
  <c r="Q644" i="31"/>
  <c r="M464" i="31" s="1"/>
  <c r="Q464" i="31" s="1"/>
  <c r="M1338" i="54"/>
  <c r="M640" i="54"/>
  <c r="M1687" i="52"/>
  <c r="M291" i="52"/>
  <c r="M640" i="52"/>
  <c r="M291" i="54"/>
  <c r="M989" i="52"/>
  <c r="M989" i="54"/>
  <c r="M1338" i="52"/>
  <c r="M1334" i="51"/>
  <c r="M986" i="51"/>
  <c r="M289" i="51"/>
  <c r="M289" i="59"/>
  <c r="M637" i="51"/>
  <c r="M987" i="59"/>
  <c r="M638" i="59"/>
  <c r="M1339" i="53"/>
  <c r="M292" i="53"/>
  <c r="M1688" i="53"/>
  <c r="M1508" i="53" s="1"/>
  <c r="Q1508" i="53" s="1"/>
  <c r="M990" i="53"/>
  <c r="M989" i="37"/>
  <c r="M291" i="37"/>
  <c r="M293" i="31"/>
  <c r="M640" i="37"/>
  <c r="M641" i="53"/>
  <c r="M641" i="31"/>
  <c r="M1332" i="54"/>
  <c r="M983" i="54"/>
  <c r="M983" i="52"/>
  <c r="M634" i="52"/>
  <c r="M1681" i="52"/>
  <c r="M285" i="54"/>
  <c r="M1332" i="52"/>
  <c r="M285" i="52"/>
  <c r="M634" i="54"/>
  <c r="M1328" i="51"/>
  <c r="M283" i="51"/>
  <c r="M980" i="51"/>
  <c r="M981" i="59"/>
  <c r="M631" i="51"/>
  <c r="M632" i="59"/>
  <c r="M283" i="59"/>
  <c r="M285" i="37"/>
  <c r="M1682" i="53"/>
  <c r="M1502" i="53" s="1"/>
  <c r="Q1502" i="53" s="1"/>
  <c r="M286" i="53"/>
  <c r="M1333" i="53"/>
  <c r="M984" i="53"/>
  <c r="M635" i="53"/>
  <c r="M983" i="37"/>
  <c r="M635" i="31"/>
  <c r="M634" i="37"/>
  <c r="M287" i="31"/>
  <c r="M1697" i="52"/>
  <c r="M1348" i="54"/>
  <c r="M999" i="54"/>
  <c r="M1348" i="52"/>
  <c r="M650" i="54"/>
  <c r="M301" i="52"/>
  <c r="M301" i="54"/>
  <c r="M650" i="52"/>
  <c r="M647" i="51"/>
  <c r="M999" i="52"/>
  <c r="M299" i="51"/>
  <c r="M1344" i="51"/>
  <c r="M996" i="51"/>
  <c r="M299" i="59"/>
  <c r="M997" i="59"/>
  <c r="M1698" i="53"/>
  <c r="M1518" i="53" s="1"/>
  <c r="Q1518" i="53" s="1"/>
  <c r="M303" i="31"/>
  <c r="M648" i="59"/>
  <c r="M651" i="53"/>
  <c r="M650" i="37"/>
  <c r="M301" i="37"/>
  <c r="M999" i="37"/>
  <c r="M651" i="31"/>
  <c r="M1349" i="53"/>
  <c r="M1000" i="53"/>
  <c r="M302" i="53"/>
  <c r="Q1353" i="54"/>
  <c r="Q655" i="54"/>
  <c r="Q306" i="54"/>
  <c r="Q1702" i="52"/>
  <c r="Q655" i="52"/>
  <c r="Q1004" i="54"/>
  <c r="Q1004" i="52"/>
  <c r="Q306" i="52"/>
  <c r="Q1353" i="52"/>
  <c r="Q1001" i="51"/>
  <c r="Q653" i="59"/>
  <c r="Q652" i="51"/>
  <c r="Q1354" i="53"/>
  <c r="Q304" i="51"/>
  <c r="Q304" i="59"/>
  <c r="Q656" i="53"/>
  <c r="Q1349" i="51"/>
  <c r="Q1703" i="53"/>
  <c r="Q1002" i="59"/>
  <c r="Q1004" i="37"/>
  <c r="Q306" i="37"/>
  <c r="Q1005" i="53"/>
  <c r="Q307" i="53"/>
  <c r="Q656" i="31"/>
  <c r="Q655" i="37"/>
  <c r="Q308" i="31"/>
  <c r="O1705" i="52"/>
  <c r="O1356" i="54"/>
  <c r="O309" i="54"/>
  <c r="O1007" i="54"/>
  <c r="O309" i="52"/>
  <c r="O1004" i="51"/>
  <c r="O1352" i="51"/>
  <c r="O658" i="52"/>
  <c r="O658" i="54"/>
  <c r="O1706" i="53"/>
  <c r="O1007" i="52"/>
  <c r="O1356" i="52"/>
  <c r="O1005" i="59"/>
  <c r="O307" i="51"/>
  <c r="O1007" i="37"/>
  <c r="O655" i="51"/>
  <c r="O1008" i="53"/>
  <c r="O656" i="59"/>
  <c r="O307" i="59"/>
  <c r="O659" i="53"/>
  <c r="O309" i="37"/>
  <c r="O310" i="53"/>
  <c r="O658" i="37"/>
  <c r="O311" i="31"/>
  <c r="O1357" i="53"/>
  <c r="O659" i="31"/>
  <c r="S1010" i="54"/>
  <c r="S1359" i="54"/>
  <c r="S661" i="54"/>
  <c r="S661" i="52"/>
  <c r="S312" i="52"/>
  <c r="S1708" i="52"/>
  <c r="S1359" i="52"/>
  <c r="S1010" i="52"/>
  <c r="S312" i="54"/>
  <c r="S1355" i="51"/>
  <c r="S1007" i="51"/>
  <c r="S658" i="51"/>
  <c r="S310" i="51"/>
  <c r="S310" i="59"/>
  <c r="S659" i="59"/>
  <c r="S1360" i="53"/>
  <c r="S662" i="53"/>
  <c r="S662" i="31"/>
  <c r="S1008" i="59"/>
  <c r="S1709" i="53"/>
  <c r="S314" i="31"/>
  <c r="S313" i="53"/>
  <c r="S1010" i="37"/>
  <c r="S661" i="37"/>
  <c r="S312" i="37"/>
  <c r="S1011" i="53"/>
  <c r="M1357" i="54"/>
  <c r="M1008" i="54"/>
  <c r="M1706" i="52"/>
  <c r="M310" i="54"/>
  <c r="M659" i="54"/>
  <c r="M1357" i="52"/>
  <c r="M659" i="52"/>
  <c r="M1008" i="52"/>
  <c r="M656" i="51"/>
  <c r="M657" i="59"/>
  <c r="M1005" i="51"/>
  <c r="M310" i="52"/>
  <c r="M308" i="51"/>
  <c r="M1353" i="51"/>
  <c r="M660" i="53"/>
  <c r="M308" i="59"/>
  <c r="M1006" i="59"/>
  <c r="M1707" i="53"/>
  <c r="M1358" i="53"/>
  <c r="M311" i="53"/>
  <c r="M1008" i="37"/>
  <c r="M660" i="31"/>
  <c r="M1009" i="53"/>
  <c r="M659" i="37"/>
  <c r="M312" i="31"/>
  <c r="M310" i="37"/>
  <c r="Q1347" i="52"/>
  <c r="M1167" i="52" s="1"/>
  <c r="Q1167" i="52" s="1"/>
  <c r="Q1347" i="54"/>
  <c r="M1167" i="54" s="1"/>
  <c r="Q1167" i="54" s="1"/>
  <c r="Q998" i="54"/>
  <c r="M818" i="54" s="1"/>
  <c r="Q818" i="54" s="1"/>
  <c r="Q300" i="54"/>
  <c r="M120" i="54" s="1"/>
  <c r="Q120" i="54" s="1"/>
  <c r="Q998" i="52"/>
  <c r="M818" i="52" s="1"/>
  <c r="Q818" i="52" s="1"/>
  <c r="Q1696" i="52"/>
  <c r="M1516" i="52" s="1"/>
  <c r="Q1516" i="52" s="1"/>
  <c r="Q649" i="52"/>
  <c r="M469" i="52" s="1"/>
  <c r="Q469" i="52" s="1"/>
  <c r="Q649" i="54"/>
  <c r="M469" i="54" s="1"/>
  <c r="Q469" i="54" s="1"/>
  <c r="Q646" i="51"/>
  <c r="M467" i="51" s="1"/>
  <c r="Q467" i="51" s="1"/>
  <c r="Q1348" i="53"/>
  <c r="M1168" i="53" s="1"/>
  <c r="Q1168" i="53" s="1"/>
  <c r="Q300" i="52"/>
  <c r="M120" i="52" s="1"/>
  <c r="Q120" i="52" s="1"/>
  <c r="Q647" i="59"/>
  <c r="M467" i="59" s="1"/>
  <c r="Q467" i="59" s="1"/>
  <c r="Q995" i="51"/>
  <c r="M815" i="51" s="1"/>
  <c r="Q815" i="51" s="1"/>
  <c r="Q649" i="37"/>
  <c r="M469" i="37" s="1"/>
  <c r="Q469" i="37" s="1"/>
  <c r="Q1343" i="51"/>
  <c r="M1164" i="51" s="1"/>
  <c r="Q1164" i="51" s="1"/>
  <c r="Q298" i="51"/>
  <c r="M119" i="51" s="1"/>
  <c r="Q119" i="51" s="1"/>
  <c r="Q298" i="59"/>
  <c r="M118" i="59" s="1"/>
  <c r="Q118" i="59" s="1"/>
  <c r="Q650" i="53"/>
  <c r="M470" i="53" s="1"/>
  <c r="Q470" i="53" s="1"/>
  <c r="Q1697" i="53"/>
  <c r="Q301" i="53"/>
  <c r="M121" i="53" s="1"/>
  <c r="Q121" i="53" s="1"/>
  <c r="Q999" i="53"/>
  <c r="M819" i="53" s="1"/>
  <c r="Q819" i="53" s="1"/>
  <c r="Q998" i="37"/>
  <c r="M818" i="37" s="1"/>
  <c r="Q818" i="37" s="1"/>
  <c r="Q996" i="59"/>
  <c r="M816" i="59" s="1"/>
  <c r="Q816" i="59" s="1"/>
  <c r="Q650" i="31"/>
  <c r="M470" i="31" s="1"/>
  <c r="Q470" i="31" s="1"/>
  <c r="Q302" i="31"/>
  <c r="M121" i="31" s="1"/>
  <c r="Q121" i="31" s="1"/>
  <c r="Q300" i="37"/>
  <c r="M120" i="37" s="1"/>
  <c r="Q120" i="37" s="1"/>
  <c r="O1333" i="54"/>
  <c r="O1333" i="52"/>
  <c r="O984" i="54"/>
  <c r="O984" i="52"/>
  <c r="O635" i="54"/>
  <c r="O635" i="52"/>
  <c r="O286" i="54"/>
  <c r="O286" i="52"/>
  <c r="O1682" i="52"/>
  <c r="O1329" i="51"/>
  <c r="O981" i="51"/>
  <c r="O284" i="51"/>
  <c r="O632" i="51"/>
  <c r="O982" i="59"/>
  <c r="O633" i="59"/>
  <c r="O1683" i="53"/>
  <c r="O1503" i="53" s="1"/>
  <c r="S1503" i="53" s="1"/>
  <c r="O286" i="37"/>
  <c r="O284" i="59"/>
  <c r="O1334" i="53"/>
  <c r="O636" i="53"/>
  <c r="O635" i="37"/>
  <c r="O984" i="37"/>
  <c r="O636" i="31"/>
  <c r="O985" i="53"/>
  <c r="O288" i="31"/>
  <c r="O287" i="53"/>
  <c r="M1352" i="54"/>
  <c r="M1003" i="54"/>
  <c r="M654" i="54"/>
  <c r="M305" i="54"/>
  <c r="M1003" i="52"/>
  <c r="M1348" i="51"/>
  <c r="M1352" i="52"/>
  <c r="M1701" i="52"/>
  <c r="M305" i="52"/>
  <c r="M654" i="52"/>
  <c r="M1000" i="51"/>
  <c r="M303" i="51"/>
  <c r="M303" i="59"/>
  <c r="M651" i="51"/>
  <c r="M1353" i="53"/>
  <c r="M306" i="53"/>
  <c r="M1001" i="59"/>
  <c r="M1702" i="53"/>
  <c r="M1522" i="53" s="1"/>
  <c r="Q1522" i="53" s="1"/>
  <c r="M652" i="59"/>
  <c r="M1004" i="53"/>
  <c r="M1003" i="37"/>
  <c r="M655" i="31"/>
  <c r="M307" i="31"/>
  <c r="M654" i="37"/>
  <c r="M305" i="37"/>
  <c r="M655" i="53"/>
  <c r="Q659" i="54"/>
  <c r="Q310" i="54"/>
  <c r="Q1706" i="52"/>
  <c r="Q1008" i="54"/>
  <c r="Q1357" i="54"/>
  <c r="Q1353" i="51"/>
  <c r="Q1005" i="51"/>
  <c r="Q310" i="52"/>
  <c r="Q1707" i="53"/>
  <c r="Q1357" i="52"/>
  <c r="Q659" i="52"/>
  <c r="Q1008" i="52"/>
  <c r="Q1006" i="59"/>
  <c r="Q1008" i="37"/>
  <c r="Q308" i="51"/>
  <c r="Q656" i="51"/>
  <c r="Q1009" i="53"/>
  <c r="Q308" i="59"/>
  <c r="Q660" i="53"/>
  <c r="Q657" i="59"/>
  <c r="Q1358" i="53"/>
  <c r="Q310" i="37"/>
  <c r="Q311" i="53"/>
  <c r="Q660" i="31"/>
  <c r="Q659" i="37"/>
  <c r="Q312" i="31"/>
  <c r="O662" i="54"/>
  <c r="O313" i="54"/>
  <c r="O1360" i="54"/>
  <c r="O1011" i="54"/>
  <c r="O1360" i="52"/>
  <c r="O662" i="52"/>
  <c r="O1356" i="51"/>
  <c r="O311" i="51"/>
  <c r="O1709" i="52"/>
  <c r="O1011" i="52"/>
  <c r="O313" i="52"/>
  <c r="O311" i="59"/>
  <c r="O659" i="51"/>
  <c r="O1361" i="53"/>
  <c r="O1008" i="51"/>
  <c r="O314" i="53"/>
  <c r="O1009" i="59"/>
  <c r="O660" i="59"/>
  <c r="O1012" i="53"/>
  <c r="O1011" i="37"/>
  <c r="O315" i="31"/>
  <c r="O662" i="37"/>
  <c r="O313" i="37"/>
  <c r="O1710" i="53"/>
  <c r="O663" i="53"/>
  <c r="O663" i="31"/>
  <c r="Q1361" i="54"/>
  <c r="Q1361" i="52"/>
  <c r="Q314" i="54"/>
  <c r="Q663" i="52"/>
  <c r="Q1012" i="52"/>
  <c r="Q1012" i="54"/>
  <c r="Q312" i="51"/>
  <c r="Q1710" i="52"/>
  <c r="Q663" i="54"/>
  <c r="Q314" i="52"/>
  <c r="Q312" i="59"/>
  <c r="Q1357" i="51"/>
  <c r="Q1009" i="51"/>
  <c r="Q660" i="51"/>
  <c r="Q315" i="53"/>
  <c r="Q1010" i="59"/>
  <c r="Q1362" i="53"/>
  <c r="Q1013" i="53"/>
  <c r="Q1012" i="37"/>
  <c r="Q661" i="59"/>
  <c r="Q1711" i="53"/>
  <c r="Q663" i="37"/>
  <c r="Q316" i="31"/>
  <c r="Q664" i="53"/>
  <c r="Q314" i="37"/>
  <c r="Q664" i="31"/>
  <c r="Q1006" i="54"/>
  <c r="Q1355" i="54"/>
  <c r="Q1355" i="52"/>
  <c r="Q308" i="54"/>
  <c r="Q657" i="54"/>
  <c r="Q1704" i="52"/>
  <c r="Q657" i="52"/>
  <c r="Q308" i="52"/>
  <c r="Q306" i="59"/>
  <c r="Q1006" i="52"/>
  <c r="Q1351" i="51"/>
  <c r="Q306" i="51"/>
  <c r="Q309" i="53"/>
  <c r="Q654" i="51"/>
  <c r="Q1003" i="51"/>
  <c r="Q1004" i="59"/>
  <c r="Q655" i="59"/>
  <c r="Q1705" i="53"/>
  <c r="Q1356" i="53"/>
  <c r="Q1007" i="53"/>
  <c r="Q657" i="37"/>
  <c r="Q658" i="53"/>
  <c r="Q308" i="37"/>
  <c r="Q1006" i="37"/>
  <c r="Q658" i="31"/>
  <c r="Q310" i="31"/>
  <c r="M985" i="54"/>
  <c r="M636" i="54"/>
  <c r="M287" i="54"/>
  <c r="M1334" i="54"/>
  <c r="M287" i="52"/>
  <c r="M985" i="52"/>
  <c r="M1683" i="52"/>
  <c r="M636" i="52"/>
  <c r="M1334" i="52"/>
  <c r="M285" i="51"/>
  <c r="M982" i="51"/>
  <c r="M633" i="51"/>
  <c r="M1330" i="51"/>
  <c r="M634" i="59"/>
  <c r="M637" i="31"/>
  <c r="M285" i="59"/>
  <c r="M1684" i="53"/>
  <c r="M1504" i="53" s="1"/>
  <c r="Q1504" i="53" s="1"/>
  <c r="M983" i="59"/>
  <c r="M637" i="53"/>
  <c r="M287" i="37"/>
  <c r="M986" i="53"/>
  <c r="M1335" i="53"/>
  <c r="M288" i="53"/>
  <c r="M985" i="37"/>
  <c r="M636" i="37"/>
  <c r="M289" i="31"/>
  <c r="Q990" i="54"/>
  <c r="M810" i="54" s="1"/>
  <c r="Q810" i="54" s="1"/>
  <c r="Q1339" i="54"/>
  <c r="M1159" i="54" s="1"/>
  <c r="Q1159" i="54" s="1"/>
  <c r="Q292" i="54"/>
  <c r="M112" i="54" s="1"/>
  <c r="Q112" i="54" s="1"/>
  <c r="Q990" i="52"/>
  <c r="M810" i="52" s="1"/>
  <c r="Q810" i="52" s="1"/>
  <c r="Q1688" i="52"/>
  <c r="M1508" i="52" s="1"/>
  <c r="Q1508" i="52" s="1"/>
  <c r="Q987" i="51"/>
  <c r="M807" i="51" s="1"/>
  <c r="Q807" i="51" s="1"/>
  <c r="Q641" i="54"/>
  <c r="M461" i="54" s="1"/>
  <c r="Q461" i="54" s="1"/>
  <c r="Q988" i="59"/>
  <c r="M808" i="59" s="1"/>
  <c r="Q808" i="59" s="1"/>
  <c r="Q292" i="52"/>
  <c r="M112" i="52" s="1"/>
  <c r="Q112" i="52" s="1"/>
  <c r="Q641" i="52"/>
  <c r="M461" i="52" s="1"/>
  <c r="Q461" i="52" s="1"/>
  <c r="Q1339" i="52"/>
  <c r="M1159" i="52" s="1"/>
  <c r="Q1159" i="52" s="1"/>
  <c r="Q1689" i="53"/>
  <c r="Q1335" i="51"/>
  <c r="M1156" i="51" s="1"/>
  <c r="Q1156" i="51" s="1"/>
  <c r="Q290" i="51"/>
  <c r="M111" i="51" s="1"/>
  <c r="Q111" i="51" s="1"/>
  <c r="Q290" i="59"/>
  <c r="M110" i="59" s="1"/>
  <c r="Q110" i="59" s="1"/>
  <c r="Q991" i="53"/>
  <c r="M811" i="53" s="1"/>
  <c r="Q811" i="53" s="1"/>
  <c r="Q638" i="51"/>
  <c r="M459" i="51" s="1"/>
  <c r="Q459" i="51" s="1"/>
  <c r="Q990" i="37"/>
  <c r="M810" i="37" s="1"/>
  <c r="Q810" i="37" s="1"/>
  <c r="Q639" i="59"/>
  <c r="M459" i="59" s="1"/>
  <c r="Q459" i="59" s="1"/>
  <c r="Q1340" i="53"/>
  <c r="M1160" i="53" s="1"/>
  <c r="Q1160" i="53" s="1"/>
  <c r="Q641" i="37"/>
  <c r="M461" i="37" s="1"/>
  <c r="Q461" i="37" s="1"/>
  <c r="Q292" i="37"/>
  <c r="M112" i="37" s="1"/>
  <c r="Q112" i="37" s="1"/>
  <c r="Q642" i="53"/>
  <c r="M462" i="53" s="1"/>
  <c r="Q462" i="53" s="1"/>
  <c r="Q642" i="31"/>
  <c r="M462" i="31" s="1"/>
  <c r="Q462" i="31" s="1"/>
  <c r="Q293" i="53"/>
  <c r="M113" i="53" s="1"/>
  <c r="Q113" i="53" s="1"/>
  <c r="Q294" i="31"/>
  <c r="M113" i="31" s="1"/>
  <c r="Q113" i="31" s="1"/>
  <c r="O1341" i="54"/>
  <c r="O992" i="54"/>
  <c r="O294" i="54"/>
  <c r="O294" i="52"/>
  <c r="O1337" i="51"/>
  <c r="O643" i="52"/>
  <c r="O1690" i="52"/>
  <c r="O643" i="54"/>
  <c r="O1341" i="52"/>
  <c r="O989" i="51"/>
  <c r="O992" i="52"/>
  <c r="O640" i="51"/>
  <c r="O292" i="51"/>
  <c r="O990" i="59"/>
  <c r="O1691" i="53"/>
  <c r="O1511" i="53" s="1"/>
  <c r="S1511" i="53" s="1"/>
  <c r="O292" i="59"/>
  <c r="O1342" i="53"/>
  <c r="O993" i="53"/>
  <c r="O992" i="37"/>
  <c r="O641" i="59"/>
  <c r="O644" i="31"/>
  <c r="O644" i="53"/>
  <c r="O643" i="37"/>
  <c r="O296" i="31"/>
  <c r="O295" i="53"/>
  <c r="O294" i="37"/>
  <c r="S1343" i="54"/>
  <c r="O1163" i="54" s="1"/>
  <c r="S1163" i="54" s="1"/>
  <c r="S645" i="54"/>
  <c r="O465" i="54" s="1"/>
  <c r="S465" i="54" s="1"/>
  <c r="S296" i="54"/>
  <c r="O116" i="54" s="1"/>
  <c r="S116" i="54" s="1"/>
  <c r="S1692" i="52"/>
  <c r="O1512" i="52" s="1"/>
  <c r="S1512" i="52" s="1"/>
  <c r="S994" i="54"/>
  <c r="O814" i="54" s="1"/>
  <c r="S814" i="54" s="1"/>
  <c r="S296" i="52"/>
  <c r="O116" i="52" s="1"/>
  <c r="S116" i="52" s="1"/>
  <c r="S645" i="52"/>
  <c r="O465" i="52" s="1"/>
  <c r="S465" i="52" s="1"/>
  <c r="S1339" i="51"/>
  <c r="O1160" i="51" s="1"/>
  <c r="S1160" i="51" s="1"/>
  <c r="S642" i="51"/>
  <c r="O463" i="51" s="1"/>
  <c r="S463" i="51" s="1"/>
  <c r="S994" i="52"/>
  <c r="O814" i="52" s="1"/>
  <c r="S814" i="52" s="1"/>
  <c r="S1343" i="52"/>
  <c r="O1163" i="52" s="1"/>
  <c r="S1163" i="52" s="1"/>
  <c r="S294" i="51"/>
  <c r="O115" i="51" s="1"/>
  <c r="S115" i="51" s="1"/>
  <c r="S992" i="59"/>
  <c r="O812" i="59" s="1"/>
  <c r="S812" i="59" s="1"/>
  <c r="S991" i="51"/>
  <c r="O811" i="51" s="1"/>
  <c r="S811" i="51" s="1"/>
  <c r="S643" i="59"/>
  <c r="O463" i="59" s="1"/>
  <c r="S463" i="59" s="1"/>
  <c r="S1344" i="53"/>
  <c r="O1164" i="53" s="1"/>
  <c r="S1164" i="53" s="1"/>
  <c r="S1693" i="53"/>
  <c r="S294" i="59"/>
  <c r="O114" i="59" s="1"/>
  <c r="S114" i="59" s="1"/>
  <c r="S298" i="31"/>
  <c r="O117" i="31" s="1"/>
  <c r="S117" i="31" s="1"/>
  <c r="S646" i="31"/>
  <c r="O466" i="31" s="1"/>
  <c r="S466" i="31" s="1"/>
  <c r="S995" i="53"/>
  <c r="O815" i="53" s="1"/>
  <c r="S815" i="53" s="1"/>
  <c r="S646" i="53"/>
  <c r="O466" i="53" s="1"/>
  <c r="S466" i="53" s="1"/>
  <c r="S296" i="37"/>
  <c r="O116" i="37" s="1"/>
  <c r="S116" i="37" s="1"/>
  <c r="S297" i="53"/>
  <c r="O117" i="53" s="1"/>
  <c r="S117" i="53" s="1"/>
  <c r="S645" i="37"/>
  <c r="O465" i="37" s="1"/>
  <c r="S465" i="37" s="1"/>
  <c r="S994" i="37"/>
  <c r="O814" i="37" s="1"/>
  <c r="S814" i="37" s="1"/>
  <c r="M1342" i="54"/>
  <c r="M1691" i="52"/>
  <c r="M993" i="54"/>
  <c r="M1342" i="52"/>
  <c r="M644" i="54"/>
  <c r="M993" i="52"/>
  <c r="M641" i="51"/>
  <c r="M295" i="54"/>
  <c r="M644" i="52"/>
  <c r="M1338" i="51"/>
  <c r="M295" i="52"/>
  <c r="M642" i="59"/>
  <c r="M990" i="51"/>
  <c r="M293" i="51"/>
  <c r="M1692" i="53"/>
  <c r="M1512" i="53" s="1"/>
  <c r="Q1512" i="53" s="1"/>
  <c r="M991" i="59"/>
  <c r="M644" i="37"/>
  <c r="M1343" i="53"/>
  <c r="M293" i="59"/>
  <c r="M297" i="31"/>
  <c r="M993" i="37"/>
  <c r="M645" i="31"/>
  <c r="M994" i="53"/>
  <c r="M645" i="53"/>
  <c r="M296" i="53"/>
  <c r="M295" i="37"/>
  <c r="Q635" i="54"/>
  <c r="M455" i="54" s="1"/>
  <c r="Q455" i="54" s="1"/>
  <c r="Q286" i="54"/>
  <c r="M106" i="54" s="1"/>
  <c r="Q106" i="54" s="1"/>
  <c r="Q1682" i="52"/>
  <c r="M1502" i="52" s="1"/>
  <c r="Q1502" i="52" s="1"/>
  <c r="Q984" i="54"/>
  <c r="M804" i="54" s="1"/>
  <c r="Q804" i="54" s="1"/>
  <c r="Q1333" i="54"/>
  <c r="M1153" i="54" s="1"/>
  <c r="Q1153" i="54" s="1"/>
  <c r="Q984" i="52"/>
  <c r="M804" i="52" s="1"/>
  <c r="Q804" i="52" s="1"/>
  <c r="Q981" i="51"/>
  <c r="M801" i="51" s="1"/>
  <c r="Q801" i="51" s="1"/>
  <c r="Q635" i="52"/>
  <c r="M455" i="52" s="1"/>
  <c r="Q455" i="52" s="1"/>
  <c r="Q1683" i="53"/>
  <c r="Q1333" i="52"/>
  <c r="M1153" i="52" s="1"/>
  <c r="Q1153" i="52" s="1"/>
  <c r="Q1329" i="51"/>
  <c r="M1150" i="51" s="1"/>
  <c r="Q1150" i="51" s="1"/>
  <c r="Q982" i="59"/>
  <c r="M802" i="59" s="1"/>
  <c r="Q802" i="59" s="1"/>
  <c r="Q984" i="37"/>
  <c r="M804" i="37" s="1"/>
  <c r="Q804" i="37" s="1"/>
  <c r="Q632" i="51"/>
  <c r="M453" i="51" s="1"/>
  <c r="Q453" i="51" s="1"/>
  <c r="Q286" i="52"/>
  <c r="M106" i="52" s="1"/>
  <c r="Q106" i="52" s="1"/>
  <c r="Q284" i="51"/>
  <c r="M105" i="51" s="1"/>
  <c r="Q105" i="51" s="1"/>
  <c r="Q284" i="59"/>
  <c r="M104" i="59" s="1"/>
  <c r="Q104" i="59" s="1"/>
  <c r="Q985" i="53"/>
  <c r="M805" i="53" s="1"/>
  <c r="Q805" i="53" s="1"/>
  <c r="Q287" i="53"/>
  <c r="M107" i="53" s="1"/>
  <c r="Q107" i="53" s="1"/>
  <c r="Q633" i="59"/>
  <c r="M453" i="59" s="1"/>
  <c r="Q453" i="59" s="1"/>
  <c r="Q636" i="31"/>
  <c r="M456" i="31" s="1"/>
  <c r="Q456" i="31" s="1"/>
  <c r="Q1334" i="53"/>
  <c r="M1154" i="53" s="1"/>
  <c r="Q1154" i="53" s="1"/>
  <c r="Q636" i="53"/>
  <c r="M456" i="53" s="1"/>
  <c r="Q456" i="53" s="1"/>
  <c r="Q288" i="31"/>
  <c r="M107" i="31" s="1"/>
  <c r="Q107" i="31" s="1"/>
  <c r="Q635" i="37"/>
  <c r="M455" i="37" s="1"/>
  <c r="Q455" i="37" s="1"/>
  <c r="Q286" i="37"/>
  <c r="M106" i="37" s="1"/>
  <c r="Q106" i="37" s="1"/>
  <c r="S1353" i="54"/>
  <c r="S1004" i="54"/>
  <c r="S1349" i="51"/>
  <c r="S306" i="52"/>
  <c r="S655" i="52"/>
  <c r="S1702" i="52"/>
  <c r="S1353" i="52"/>
  <c r="S655" i="54"/>
  <c r="S306" i="54"/>
  <c r="S1004" i="52"/>
  <c r="S1001" i="51"/>
  <c r="S652" i="51"/>
  <c r="S304" i="51"/>
  <c r="S304" i="59"/>
  <c r="S307" i="53"/>
  <c r="S1703" i="53"/>
  <c r="S1005" i="53"/>
  <c r="S1004" i="37"/>
  <c r="S1002" i="59"/>
  <c r="S1354" i="53"/>
  <c r="S653" i="59"/>
  <c r="S656" i="31"/>
  <c r="S655" i="37"/>
  <c r="S306" i="37"/>
  <c r="S656" i="53"/>
  <c r="S308" i="31"/>
  <c r="M988" i="54"/>
  <c r="M639" i="54"/>
  <c r="M290" i="54"/>
  <c r="M1337" i="54"/>
  <c r="M988" i="52"/>
  <c r="M639" i="52"/>
  <c r="M1337" i="52"/>
  <c r="M985" i="51"/>
  <c r="M1686" i="52"/>
  <c r="M1333" i="51"/>
  <c r="M986" i="59"/>
  <c r="M1687" i="53"/>
  <c r="M1507" i="53" s="1"/>
  <c r="Q1507" i="53" s="1"/>
  <c r="M288" i="51"/>
  <c r="M288" i="59"/>
  <c r="M989" i="53"/>
  <c r="M636" i="51"/>
  <c r="M290" i="52"/>
  <c r="M988" i="37"/>
  <c r="M637" i="59"/>
  <c r="M639" i="37"/>
  <c r="M292" i="31"/>
  <c r="M1338" i="53"/>
  <c r="M640" i="53"/>
  <c r="M290" i="37"/>
  <c r="M291" i="53"/>
  <c r="M640" i="31"/>
  <c r="Q1342" i="54"/>
  <c r="M1162" i="54" s="1"/>
  <c r="Q1162" i="54" s="1"/>
  <c r="Q993" i="54"/>
  <c r="M813" i="54" s="1"/>
  <c r="Q813" i="54" s="1"/>
  <c r="Q644" i="54"/>
  <c r="M464" i="54" s="1"/>
  <c r="Q464" i="54" s="1"/>
  <c r="Q1342" i="52"/>
  <c r="M1162" i="52" s="1"/>
  <c r="Q1162" i="52" s="1"/>
  <c r="Q1338" i="51"/>
  <c r="M1159" i="51" s="1"/>
  <c r="Q1159" i="51" s="1"/>
  <c r="Q993" i="52"/>
  <c r="M813" i="52" s="1"/>
  <c r="Q813" i="52" s="1"/>
  <c r="Q295" i="54"/>
  <c r="M115" i="54" s="1"/>
  <c r="Q115" i="54" s="1"/>
  <c r="Q295" i="52"/>
  <c r="M115" i="52" s="1"/>
  <c r="Q115" i="52" s="1"/>
  <c r="Q990" i="51"/>
  <c r="M810" i="51" s="1"/>
  <c r="Q810" i="51" s="1"/>
  <c r="Q644" i="52"/>
  <c r="M464" i="52" s="1"/>
  <c r="Q464" i="52" s="1"/>
  <c r="Q1691" i="52"/>
  <c r="M1511" i="52" s="1"/>
  <c r="Q1511" i="52" s="1"/>
  <c r="Q641" i="51"/>
  <c r="M462" i="51" s="1"/>
  <c r="Q462" i="51" s="1"/>
  <c r="Q293" i="51"/>
  <c r="M114" i="51" s="1"/>
  <c r="Q114" i="51" s="1"/>
  <c r="Q991" i="59"/>
  <c r="M811" i="59" s="1"/>
  <c r="Q811" i="59" s="1"/>
  <c r="Q1692" i="53"/>
  <c r="Q642" i="59"/>
  <c r="M462" i="59" s="1"/>
  <c r="Q462" i="59" s="1"/>
  <c r="Q994" i="53"/>
  <c r="M814" i="53" s="1"/>
  <c r="Q814" i="53" s="1"/>
  <c r="Q993" i="37"/>
  <c r="M813" i="37" s="1"/>
  <c r="Q813" i="37" s="1"/>
  <c r="Q293" i="59"/>
  <c r="M113" i="59" s="1"/>
  <c r="Q113" i="59" s="1"/>
  <c r="Q645" i="31"/>
  <c r="M465" i="31" s="1"/>
  <c r="Q465" i="31" s="1"/>
  <c r="Q295" i="37"/>
  <c r="M115" i="37" s="1"/>
  <c r="Q115" i="37" s="1"/>
  <c r="Q297" i="31"/>
  <c r="M116" i="31" s="1"/>
  <c r="Q116" i="31" s="1"/>
  <c r="Q644" i="37"/>
  <c r="M464" i="37" s="1"/>
  <c r="Q464" i="37" s="1"/>
  <c r="Q1343" i="53"/>
  <c r="M1163" i="53" s="1"/>
  <c r="Q1163" i="53" s="1"/>
  <c r="Q645" i="53"/>
  <c r="M465" i="53" s="1"/>
  <c r="Q465" i="53" s="1"/>
  <c r="Q296" i="53"/>
  <c r="M116" i="53" s="1"/>
  <c r="Q116" i="53" s="1"/>
  <c r="O1693" i="52"/>
  <c r="O1344" i="54"/>
  <c r="O995" i="52"/>
  <c r="O992" i="51"/>
  <c r="O646" i="54"/>
  <c r="O1344" i="52"/>
  <c r="O1340" i="51"/>
  <c r="O1694" i="53"/>
  <c r="O1514" i="53" s="1"/>
  <c r="S1514" i="53" s="1"/>
  <c r="O297" i="54"/>
  <c r="O646" i="52"/>
  <c r="O995" i="54"/>
  <c r="O297" i="52"/>
  <c r="O993" i="59"/>
  <c r="O643" i="51"/>
  <c r="O995" i="37"/>
  <c r="O644" i="59"/>
  <c r="O996" i="53"/>
  <c r="O647" i="53"/>
  <c r="O295" i="51"/>
  <c r="O295" i="59"/>
  <c r="O1345" i="53"/>
  <c r="O298" i="53"/>
  <c r="O647" i="31"/>
  <c r="O646" i="37"/>
  <c r="O299" i="31"/>
  <c r="O297" i="37"/>
  <c r="Q1349" i="54"/>
  <c r="M1169" i="54" s="1"/>
  <c r="Q1169" i="54" s="1"/>
  <c r="Q651" i="54"/>
  <c r="M471" i="54" s="1"/>
  <c r="Q471" i="54" s="1"/>
  <c r="Q651" i="52"/>
  <c r="M471" i="52" s="1"/>
  <c r="Q471" i="52" s="1"/>
  <c r="Q1345" i="51"/>
  <c r="M1166" i="51" s="1"/>
  <c r="Q1166" i="51" s="1"/>
  <c r="Q1000" i="54"/>
  <c r="M820" i="54" s="1"/>
  <c r="Q820" i="54" s="1"/>
  <c r="Q1698" i="52"/>
  <c r="M1518" i="52" s="1"/>
  <c r="Q1518" i="52" s="1"/>
  <c r="Q1349" i="52"/>
  <c r="M1169" i="52" s="1"/>
  <c r="Q1169" i="52" s="1"/>
  <c r="Q997" i="51"/>
  <c r="M817" i="51" s="1"/>
  <c r="Q817" i="51" s="1"/>
  <c r="Q1000" i="52"/>
  <c r="M820" i="52" s="1"/>
  <c r="Q820" i="52" s="1"/>
  <c r="Q300" i="51"/>
  <c r="M121" i="51" s="1"/>
  <c r="Q121" i="51" s="1"/>
  <c r="Q302" i="54"/>
  <c r="M122" i="54" s="1"/>
  <c r="Q122" i="54" s="1"/>
  <c r="Q300" i="59"/>
  <c r="M120" i="59" s="1"/>
  <c r="Q120" i="59" s="1"/>
  <c r="Q302" i="52"/>
  <c r="M122" i="52" s="1"/>
  <c r="Q122" i="52" s="1"/>
  <c r="Q648" i="51"/>
  <c r="M469" i="51" s="1"/>
  <c r="Q469" i="51" s="1"/>
  <c r="Q998" i="59"/>
  <c r="M818" i="59" s="1"/>
  <c r="Q818" i="59" s="1"/>
  <c r="Q1699" i="53"/>
  <c r="Q303" i="53"/>
  <c r="M123" i="53" s="1"/>
  <c r="Q123" i="53" s="1"/>
  <c r="Q649" i="59"/>
  <c r="M469" i="59" s="1"/>
  <c r="Q469" i="59" s="1"/>
  <c r="Q1350" i="53"/>
  <c r="M1170" i="53" s="1"/>
  <c r="Q1170" i="53" s="1"/>
  <c r="Q1001" i="53"/>
  <c r="M821" i="53" s="1"/>
  <c r="Q821" i="53" s="1"/>
  <c r="Q1000" i="37"/>
  <c r="M820" i="37" s="1"/>
  <c r="Q820" i="37" s="1"/>
  <c r="Q652" i="53"/>
  <c r="M472" i="53" s="1"/>
  <c r="Q472" i="53" s="1"/>
  <c r="Q652" i="31"/>
  <c r="M472" i="31" s="1"/>
  <c r="Q472" i="31" s="1"/>
  <c r="Q651" i="37"/>
  <c r="M471" i="37" s="1"/>
  <c r="Q471" i="37" s="1"/>
  <c r="Q304" i="31"/>
  <c r="M123" i="31" s="1"/>
  <c r="Q123" i="31" s="1"/>
  <c r="Q302" i="37"/>
  <c r="M122" i="37" s="1"/>
  <c r="Q122" i="37" s="1"/>
  <c r="Q994" i="54"/>
  <c r="M814" i="54" s="1"/>
  <c r="Q814" i="54" s="1"/>
  <c r="Q1343" i="54"/>
  <c r="M1163" i="54" s="1"/>
  <c r="Q1163" i="54" s="1"/>
  <c r="Q1343" i="52"/>
  <c r="M1163" i="52" s="1"/>
  <c r="Q1163" i="52" s="1"/>
  <c r="Q296" i="52"/>
  <c r="M116" i="52" s="1"/>
  <c r="Q116" i="52" s="1"/>
  <c r="Q645" i="52"/>
  <c r="M465" i="52" s="1"/>
  <c r="Q465" i="52" s="1"/>
  <c r="Q1339" i="51"/>
  <c r="M1160" i="51" s="1"/>
  <c r="Q1160" i="51" s="1"/>
  <c r="Q645" i="54"/>
  <c r="M465" i="54" s="1"/>
  <c r="Q465" i="54" s="1"/>
  <c r="Q994" i="52"/>
  <c r="M814" i="52" s="1"/>
  <c r="Q814" i="52" s="1"/>
  <c r="Q294" i="59"/>
  <c r="M114" i="59" s="1"/>
  <c r="Q114" i="59" s="1"/>
  <c r="Q296" i="54"/>
  <c r="M116" i="54" s="1"/>
  <c r="Q116" i="54" s="1"/>
  <c r="Q1692" i="52"/>
  <c r="M1512" i="52" s="1"/>
  <c r="Q1512" i="52" s="1"/>
  <c r="Q294" i="51"/>
  <c r="M115" i="51" s="1"/>
  <c r="Q115" i="51" s="1"/>
  <c r="Q642" i="51"/>
  <c r="M463" i="51" s="1"/>
  <c r="Q463" i="51" s="1"/>
  <c r="Q991" i="51"/>
  <c r="M811" i="51" s="1"/>
  <c r="Q811" i="51" s="1"/>
  <c r="Q297" i="53"/>
  <c r="M117" i="53" s="1"/>
  <c r="Q117" i="53" s="1"/>
  <c r="Q643" i="59"/>
  <c r="M463" i="59" s="1"/>
  <c r="Q463" i="59" s="1"/>
  <c r="Q1344" i="53"/>
  <c r="M1164" i="53" s="1"/>
  <c r="Q1164" i="53" s="1"/>
  <c r="Q992" i="59"/>
  <c r="M812" i="59" s="1"/>
  <c r="Q812" i="59" s="1"/>
  <c r="Q646" i="53"/>
  <c r="M466" i="53" s="1"/>
  <c r="Q466" i="53" s="1"/>
  <c r="Q645" i="37"/>
  <c r="M465" i="37" s="1"/>
  <c r="Q465" i="37" s="1"/>
  <c r="Q1693" i="53"/>
  <c r="Q995" i="53"/>
  <c r="M815" i="53" s="1"/>
  <c r="Q815" i="53" s="1"/>
  <c r="Q298" i="31"/>
  <c r="M117" i="31" s="1"/>
  <c r="Q117" i="31" s="1"/>
  <c r="Q296" i="37"/>
  <c r="M116" i="37" s="1"/>
  <c r="Q116" i="37" s="1"/>
  <c r="Q646" i="31"/>
  <c r="M466" i="31" s="1"/>
  <c r="Q466" i="31" s="1"/>
  <c r="Q994" i="37"/>
  <c r="M814" i="37" s="1"/>
  <c r="Q814" i="37" s="1"/>
  <c r="Q1354" i="54"/>
  <c r="Q1005" i="54"/>
  <c r="Q1350" i="51"/>
  <c r="Q1703" i="52"/>
  <c r="Q656" i="52"/>
  <c r="Q1354" i="52"/>
  <c r="Q656" i="54"/>
  <c r="Q1005" i="52"/>
  <c r="Q307" i="54"/>
  <c r="Q307" i="52"/>
  <c r="Q305" i="51"/>
  <c r="Q305" i="59"/>
  <c r="Q653" i="51"/>
  <c r="Q1002" i="51"/>
  <c r="Q654" i="59"/>
  <c r="Q1704" i="53"/>
  <c r="Q308" i="53"/>
  <c r="Q1003" i="59"/>
  <c r="Q1006" i="53"/>
  <c r="Q1005" i="37"/>
  <c r="Q657" i="31"/>
  <c r="Q309" i="31"/>
  <c r="Q657" i="53"/>
  <c r="Q307" i="37"/>
  <c r="Q1355" i="53"/>
  <c r="Q656" i="37"/>
  <c r="O1357" i="54"/>
  <c r="O659" i="54"/>
  <c r="O1008" i="52"/>
  <c r="O659" i="52"/>
  <c r="O1008" i="54"/>
  <c r="O1353" i="51"/>
  <c r="O1706" i="52"/>
  <c r="O310" i="52"/>
  <c r="O310" i="54"/>
  <c r="O1357" i="52"/>
  <c r="O308" i="51"/>
  <c r="O1005" i="51"/>
  <c r="O657" i="59"/>
  <c r="O656" i="51"/>
  <c r="O1006" i="59"/>
  <c r="O310" i="37"/>
  <c r="O1707" i="53"/>
  <c r="O308" i="59"/>
  <c r="O660" i="31"/>
  <c r="O1008" i="37"/>
  <c r="O659" i="37"/>
  <c r="O312" i="31"/>
  <c r="O1009" i="53"/>
  <c r="O660" i="53"/>
  <c r="O1358" i="53"/>
  <c r="O311" i="53"/>
  <c r="S1360" i="54"/>
  <c r="S1360" i="52"/>
  <c r="S313" i="54"/>
  <c r="S1011" i="52"/>
  <c r="S1709" i="52"/>
  <c r="S311" i="51"/>
  <c r="S1011" i="54"/>
  <c r="S662" i="54"/>
  <c r="S662" i="52"/>
  <c r="S311" i="59"/>
  <c r="S659" i="51"/>
  <c r="S313" i="52"/>
  <c r="S1008" i="51"/>
  <c r="S1356" i="51"/>
  <c r="S314" i="53"/>
  <c r="S660" i="59"/>
  <c r="S1009" i="59"/>
  <c r="S1710" i="53"/>
  <c r="S1012" i="53"/>
  <c r="S1011" i="37"/>
  <c r="S315" i="31"/>
  <c r="S663" i="53"/>
  <c r="S1361" i="53"/>
  <c r="S662" i="37"/>
  <c r="S313" i="37"/>
  <c r="S663" i="31"/>
  <c r="S1328" i="54"/>
  <c r="O1148" i="54" s="1"/>
  <c r="S1148" i="54" s="1"/>
  <c r="S630" i="54"/>
  <c r="O450" i="54" s="1"/>
  <c r="S450" i="54" s="1"/>
  <c r="S281" i="54"/>
  <c r="O101" i="54" s="1"/>
  <c r="S101" i="54" s="1"/>
  <c r="S1677" i="52"/>
  <c r="O1497" i="52" s="1"/>
  <c r="S1497" i="52" s="1"/>
  <c r="S630" i="52"/>
  <c r="O450" i="52" s="1"/>
  <c r="S450" i="52" s="1"/>
  <c r="S281" i="52"/>
  <c r="O101" i="52" s="1"/>
  <c r="S101" i="52" s="1"/>
  <c r="S979" i="54"/>
  <c r="O799" i="54" s="1"/>
  <c r="S799" i="54" s="1"/>
  <c r="S1328" i="52"/>
  <c r="O1148" i="52" s="1"/>
  <c r="S1148" i="52" s="1"/>
  <c r="S628" i="59"/>
  <c r="O448" i="59" s="1"/>
  <c r="S448" i="59" s="1"/>
  <c r="S979" i="52"/>
  <c r="O799" i="52" s="1"/>
  <c r="S799" i="52" s="1"/>
  <c r="S627" i="51"/>
  <c r="O448" i="51" s="1"/>
  <c r="S448" i="51" s="1"/>
  <c r="S1329" i="53"/>
  <c r="O1149" i="53" s="1"/>
  <c r="S1149" i="53" s="1"/>
  <c r="S279" i="51"/>
  <c r="O100" i="51" s="1"/>
  <c r="S100" i="51" s="1"/>
  <c r="S1324" i="51"/>
  <c r="O1145" i="51" s="1"/>
  <c r="S1145" i="51" s="1"/>
  <c r="S631" i="53"/>
  <c r="O451" i="53" s="1"/>
  <c r="S451" i="53" s="1"/>
  <c r="S977" i="59"/>
  <c r="O797" i="59" s="1"/>
  <c r="S797" i="59" s="1"/>
  <c r="S976" i="51"/>
  <c r="O796" i="51" s="1"/>
  <c r="S796" i="51" s="1"/>
  <c r="S630" i="37"/>
  <c r="O450" i="37" s="1"/>
  <c r="S450" i="37" s="1"/>
  <c r="S279" i="59"/>
  <c r="O99" i="59" s="1"/>
  <c r="S99" i="59" s="1"/>
  <c r="S1678" i="53"/>
  <c r="S281" i="37"/>
  <c r="O101" i="37" s="1"/>
  <c r="S101" i="37" s="1"/>
  <c r="S631" i="31"/>
  <c r="O451" i="31" s="1"/>
  <c r="S451" i="31" s="1"/>
  <c r="S282" i="53"/>
  <c r="O102" i="53" s="1"/>
  <c r="S102" i="53" s="1"/>
  <c r="S979" i="37"/>
  <c r="O799" i="37" s="1"/>
  <c r="S799" i="37" s="1"/>
  <c r="S283" i="31"/>
  <c r="O102" i="31" s="1"/>
  <c r="S102" i="31" s="1"/>
  <c r="S980" i="53"/>
  <c r="O800" i="53" s="1"/>
  <c r="S800" i="53" s="1"/>
  <c r="M1328" i="54"/>
  <c r="M979" i="54"/>
  <c r="M630" i="54"/>
  <c r="M281" i="54"/>
  <c r="M1677" i="52"/>
  <c r="M1324" i="51"/>
  <c r="M630" i="52"/>
  <c r="M1328" i="52"/>
  <c r="M979" i="52"/>
  <c r="M976" i="51"/>
  <c r="M627" i="51"/>
  <c r="M628" i="59"/>
  <c r="M281" i="52"/>
  <c r="M279" i="51"/>
  <c r="M1678" i="53"/>
  <c r="M1498" i="53" s="1"/>
  <c r="Q1498" i="53" s="1"/>
  <c r="M279" i="59"/>
  <c r="M977" i="59"/>
  <c r="M1329" i="53"/>
  <c r="M282" i="53"/>
  <c r="M631" i="31"/>
  <c r="M631" i="53"/>
  <c r="M979" i="37"/>
  <c r="M630" i="37"/>
  <c r="M283" i="31"/>
  <c r="M281" i="37"/>
  <c r="M980" i="53"/>
  <c r="O653" i="54"/>
  <c r="O304" i="54"/>
  <c r="O1351" i="54"/>
  <c r="O1002" i="54"/>
  <c r="O653" i="52"/>
  <c r="O1700" i="52"/>
  <c r="O1351" i="52"/>
  <c r="O1002" i="52"/>
  <c r="O304" i="52"/>
  <c r="O1347" i="51"/>
  <c r="O1000" i="59"/>
  <c r="O999" i="51"/>
  <c r="O651" i="59"/>
  <c r="O650" i="51"/>
  <c r="O302" i="51"/>
  <c r="O1701" i="53"/>
  <c r="O1521" i="53" s="1"/>
  <c r="S1521" i="53" s="1"/>
  <c r="O654" i="53"/>
  <c r="O302" i="59"/>
  <c r="O1352" i="53"/>
  <c r="O305" i="53"/>
  <c r="O304" i="37"/>
  <c r="O654" i="31"/>
  <c r="O1003" i="53"/>
  <c r="O1002" i="37"/>
  <c r="O653" i="37"/>
  <c r="O306" i="31"/>
  <c r="S639" i="54"/>
  <c r="O459" i="54" s="1"/>
  <c r="S459" i="54" s="1"/>
  <c r="S290" i="54"/>
  <c r="O110" i="54" s="1"/>
  <c r="S110" i="54" s="1"/>
  <c r="S1686" i="52"/>
  <c r="O1506" i="52" s="1"/>
  <c r="S1506" i="52" s="1"/>
  <c r="S988" i="54"/>
  <c r="O808" i="54" s="1"/>
  <c r="S808" i="54" s="1"/>
  <c r="S1337" i="54"/>
  <c r="O1157" i="54" s="1"/>
  <c r="S1157" i="54" s="1"/>
  <c r="S1333" i="51"/>
  <c r="O1154" i="51" s="1"/>
  <c r="S1154" i="51" s="1"/>
  <c r="S1337" i="52"/>
  <c r="O1157" i="52" s="1"/>
  <c r="S1157" i="52" s="1"/>
  <c r="S988" i="52"/>
  <c r="O808" i="52" s="1"/>
  <c r="S808" i="52" s="1"/>
  <c r="S290" i="52"/>
  <c r="O110" i="52" s="1"/>
  <c r="S110" i="52" s="1"/>
  <c r="S636" i="51"/>
  <c r="O457" i="51" s="1"/>
  <c r="S457" i="51" s="1"/>
  <c r="S639" i="52"/>
  <c r="O459" i="52" s="1"/>
  <c r="S459" i="52" s="1"/>
  <c r="S985" i="51"/>
  <c r="O805" i="51" s="1"/>
  <c r="S805" i="51" s="1"/>
  <c r="S637" i="59"/>
  <c r="O457" i="59" s="1"/>
  <c r="S457" i="59" s="1"/>
  <c r="S1338" i="53"/>
  <c r="O1158" i="53" s="1"/>
  <c r="S1158" i="53" s="1"/>
  <c r="S288" i="51"/>
  <c r="O109" i="51" s="1"/>
  <c r="S109" i="51" s="1"/>
  <c r="S986" i="59"/>
  <c r="O806" i="59" s="1"/>
  <c r="S806" i="59" s="1"/>
  <c r="S292" i="31"/>
  <c r="O111" i="31" s="1"/>
  <c r="S111" i="31" s="1"/>
  <c r="S1687" i="53"/>
  <c r="S640" i="53"/>
  <c r="O460" i="53" s="1"/>
  <c r="S460" i="53" s="1"/>
  <c r="S288" i="59"/>
  <c r="O108" i="59" s="1"/>
  <c r="S108" i="59" s="1"/>
  <c r="S291" i="53"/>
  <c r="O111" i="53" s="1"/>
  <c r="S111" i="53" s="1"/>
  <c r="S640" i="31"/>
  <c r="O460" i="31" s="1"/>
  <c r="S460" i="31" s="1"/>
  <c r="S989" i="53"/>
  <c r="O809" i="53" s="1"/>
  <c r="S809" i="53" s="1"/>
  <c r="S290" i="37"/>
  <c r="O110" i="37" s="1"/>
  <c r="S110" i="37" s="1"/>
  <c r="S639" i="37"/>
  <c r="O459" i="37" s="1"/>
  <c r="S459" i="37" s="1"/>
  <c r="S988" i="37"/>
  <c r="O808" i="37" s="1"/>
  <c r="S808" i="37" s="1"/>
  <c r="Q1358" i="54"/>
  <c r="Q1358" i="52"/>
  <c r="Q1009" i="54"/>
  <c r="Q311" i="54"/>
  <c r="Q1009" i="52"/>
  <c r="Q660" i="52"/>
  <c r="Q1707" i="52"/>
  <c r="Q660" i="54"/>
  <c r="Q311" i="52"/>
  <c r="Q658" i="59"/>
  <c r="Q309" i="51"/>
  <c r="Q1354" i="51"/>
  <c r="Q1006" i="51"/>
  <c r="Q657" i="51"/>
  <c r="Q309" i="59"/>
  <c r="Q311" i="37"/>
  <c r="Q1708" i="53"/>
  <c r="Q1007" i="59"/>
  <c r="Q661" i="53"/>
  <c r="Q660" i="37"/>
  <c r="Q313" i="31"/>
  <c r="Q1010" i="53"/>
  <c r="Q312" i="53"/>
  <c r="Q1009" i="37"/>
  <c r="Q661" i="31"/>
  <c r="Q1359" i="53"/>
  <c r="Q1328" i="52"/>
  <c r="M1148" i="52" s="1"/>
  <c r="Q1148" i="52" s="1"/>
  <c r="Q1328" i="54"/>
  <c r="M1148" i="54" s="1"/>
  <c r="Q1148" i="54" s="1"/>
  <c r="Q281" i="54"/>
  <c r="M101" i="54" s="1"/>
  <c r="Q101" i="54" s="1"/>
  <c r="Q630" i="54"/>
  <c r="M450" i="54" s="1"/>
  <c r="Q450" i="54" s="1"/>
  <c r="Q979" i="54"/>
  <c r="M799" i="54" s="1"/>
  <c r="Q799" i="54" s="1"/>
  <c r="Q281" i="52"/>
  <c r="M101" i="52" s="1"/>
  <c r="Q101" i="52" s="1"/>
  <c r="Q1324" i="51"/>
  <c r="M1145" i="51" s="1"/>
  <c r="Q1145" i="51" s="1"/>
  <c r="Q630" i="52"/>
  <c r="M450" i="52" s="1"/>
  <c r="Q450" i="52" s="1"/>
  <c r="Q979" i="52"/>
  <c r="M799" i="52" s="1"/>
  <c r="Q799" i="52" s="1"/>
  <c r="Q1677" i="52"/>
  <c r="M1497" i="52" s="1"/>
  <c r="Q1497" i="52" s="1"/>
  <c r="Q976" i="51"/>
  <c r="M796" i="51" s="1"/>
  <c r="Q796" i="51" s="1"/>
  <c r="Q627" i="51"/>
  <c r="M448" i="51" s="1"/>
  <c r="Q448" i="51" s="1"/>
  <c r="Q279" i="51"/>
  <c r="M100" i="51" s="1"/>
  <c r="Q100" i="51" s="1"/>
  <c r="Q977" i="59"/>
  <c r="M797" i="59" s="1"/>
  <c r="Q797" i="59" s="1"/>
  <c r="Q1678" i="53"/>
  <c r="Q980" i="53"/>
  <c r="M800" i="53" s="1"/>
  <c r="Q800" i="53" s="1"/>
  <c r="Q979" i="37"/>
  <c r="M799" i="37" s="1"/>
  <c r="Q799" i="37" s="1"/>
  <c r="Q1329" i="53"/>
  <c r="M1149" i="53" s="1"/>
  <c r="Q1149" i="53" s="1"/>
  <c r="Q628" i="59"/>
  <c r="M448" i="59" s="1"/>
  <c r="Q448" i="59" s="1"/>
  <c r="Q631" i="53"/>
  <c r="M451" i="53" s="1"/>
  <c r="Q451" i="53" s="1"/>
  <c r="Q630" i="37"/>
  <c r="M450" i="37" s="1"/>
  <c r="Q450" i="37" s="1"/>
  <c r="Q279" i="59"/>
  <c r="M99" i="59" s="1"/>
  <c r="Q99" i="59" s="1"/>
  <c r="Q281" i="37"/>
  <c r="M101" i="37" s="1"/>
  <c r="Q101" i="37" s="1"/>
  <c r="Q282" i="53"/>
  <c r="M102" i="53" s="1"/>
  <c r="Q102" i="53" s="1"/>
  <c r="Q631" i="31"/>
  <c r="M451" i="31" s="1"/>
  <c r="Q451" i="31" s="1"/>
  <c r="Q283" i="31"/>
  <c r="M102" i="31" s="1"/>
  <c r="Q102" i="31" s="1"/>
  <c r="O1329" i="54"/>
  <c r="O980" i="54"/>
  <c r="O631" i="54"/>
  <c r="O1678" i="52"/>
  <c r="O1329" i="52"/>
  <c r="O282" i="52"/>
  <c r="O1325" i="51"/>
  <c r="O282" i="54"/>
  <c r="O980" i="52"/>
  <c r="O631" i="52"/>
  <c r="O977" i="51"/>
  <c r="O628" i="51"/>
  <c r="O978" i="59"/>
  <c r="O629" i="59"/>
  <c r="O280" i="51"/>
  <c r="O1679" i="53"/>
  <c r="O1499" i="53" s="1"/>
  <c r="S1499" i="53" s="1"/>
  <c r="O1330" i="53"/>
  <c r="O283" i="53"/>
  <c r="O280" i="59"/>
  <c r="O632" i="31"/>
  <c r="O981" i="53"/>
  <c r="O631" i="37"/>
  <c r="O284" i="31"/>
  <c r="O632" i="53"/>
  <c r="O282" i="37"/>
  <c r="O980" i="37"/>
  <c r="Q1337" i="54"/>
  <c r="M1157" i="54" s="1"/>
  <c r="Q1157" i="54" s="1"/>
  <c r="Q290" i="54"/>
  <c r="M110" i="54" s="1"/>
  <c r="Q110" i="54" s="1"/>
  <c r="Q639" i="54"/>
  <c r="M459" i="54" s="1"/>
  <c r="Q459" i="54" s="1"/>
  <c r="Q1337" i="52"/>
  <c r="M1157" i="52" s="1"/>
  <c r="Q1157" i="52" s="1"/>
  <c r="Q988" i="54"/>
  <c r="M808" i="54" s="1"/>
  <c r="Q808" i="54" s="1"/>
  <c r="Q639" i="52"/>
  <c r="M459" i="52" s="1"/>
  <c r="Q459" i="52" s="1"/>
  <c r="Q290" i="52"/>
  <c r="M110" i="52" s="1"/>
  <c r="Q110" i="52" s="1"/>
  <c r="Q288" i="51"/>
  <c r="M109" i="51" s="1"/>
  <c r="Q109" i="51" s="1"/>
  <c r="Q1686" i="52"/>
  <c r="M1506" i="52" s="1"/>
  <c r="Q1506" i="52" s="1"/>
  <c r="Q988" i="52"/>
  <c r="M808" i="52" s="1"/>
  <c r="Q808" i="52" s="1"/>
  <c r="Q1333" i="51"/>
  <c r="M1154" i="51" s="1"/>
  <c r="Q1154" i="51" s="1"/>
  <c r="Q288" i="59"/>
  <c r="M108" i="59" s="1"/>
  <c r="Q108" i="59" s="1"/>
  <c r="Q985" i="51"/>
  <c r="M805" i="51" s="1"/>
  <c r="Q805" i="51" s="1"/>
  <c r="Q986" i="59"/>
  <c r="M806" i="59" s="1"/>
  <c r="Q806" i="59" s="1"/>
  <c r="Q636" i="51"/>
  <c r="M457" i="51" s="1"/>
  <c r="Q457" i="51" s="1"/>
  <c r="Q637" i="59"/>
  <c r="M457" i="59" s="1"/>
  <c r="Q457" i="59" s="1"/>
  <c r="Q291" i="53"/>
  <c r="M111" i="53" s="1"/>
  <c r="Q111" i="53" s="1"/>
  <c r="Q1687" i="53"/>
  <c r="Q1338" i="53"/>
  <c r="M1158" i="53" s="1"/>
  <c r="Q1158" i="53" s="1"/>
  <c r="Q640" i="53"/>
  <c r="M460" i="53" s="1"/>
  <c r="Q460" i="53" s="1"/>
  <c r="Q640" i="31"/>
  <c r="M460" i="31" s="1"/>
  <c r="Q460" i="31" s="1"/>
  <c r="Q290" i="37"/>
  <c r="M110" i="37" s="1"/>
  <c r="Q110" i="37" s="1"/>
  <c r="Q989" i="53"/>
  <c r="M809" i="53" s="1"/>
  <c r="Q809" i="53" s="1"/>
  <c r="Q988" i="37"/>
  <c r="M808" i="37" s="1"/>
  <c r="Q808" i="37" s="1"/>
  <c r="Q292" i="31"/>
  <c r="M111" i="31" s="1"/>
  <c r="Q111" i="31" s="1"/>
  <c r="Q639" i="37"/>
  <c r="M459" i="37" s="1"/>
  <c r="Q459" i="37" s="1"/>
  <c r="Q982" i="54"/>
  <c r="M802" i="54" s="1"/>
  <c r="Q802" i="54" s="1"/>
  <c r="Q1331" i="54"/>
  <c r="M1151" i="54" s="1"/>
  <c r="Q1151" i="54" s="1"/>
  <c r="Q1331" i="52"/>
  <c r="M1151" i="52" s="1"/>
  <c r="Q1151" i="52" s="1"/>
  <c r="Q633" i="54"/>
  <c r="M453" i="54" s="1"/>
  <c r="Q453" i="54" s="1"/>
  <c r="Q1680" i="52"/>
  <c r="M1500" i="52" s="1"/>
  <c r="Q1500" i="52" s="1"/>
  <c r="Q284" i="54"/>
  <c r="M104" i="54" s="1"/>
  <c r="Q104" i="54" s="1"/>
  <c r="Q633" i="52"/>
  <c r="M453" i="52" s="1"/>
  <c r="Q453" i="52" s="1"/>
  <c r="Q282" i="59"/>
  <c r="M102" i="59" s="1"/>
  <c r="Q102" i="59" s="1"/>
  <c r="Q982" i="52"/>
  <c r="M802" i="52" s="1"/>
  <c r="Q802" i="52" s="1"/>
  <c r="Q979" i="51"/>
  <c r="M799" i="51" s="1"/>
  <c r="Q799" i="51" s="1"/>
  <c r="Q282" i="51"/>
  <c r="M103" i="51" s="1"/>
  <c r="Q103" i="51" s="1"/>
  <c r="Q630" i="51"/>
  <c r="M451" i="51" s="1"/>
  <c r="Q451" i="51" s="1"/>
  <c r="Q631" i="59"/>
  <c r="M451" i="59" s="1"/>
  <c r="Q451" i="59" s="1"/>
  <c r="Q1332" i="53"/>
  <c r="M1152" i="53" s="1"/>
  <c r="Q1152" i="53" s="1"/>
  <c r="Q285" i="53"/>
  <c r="M105" i="53" s="1"/>
  <c r="Q105" i="53" s="1"/>
  <c r="Q284" i="52"/>
  <c r="M104" i="52" s="1"/>
  <c r="Q104" i="52" s="1"/>
  <c r="Q1327" i="51"/>
  <c r="M1148" i="51" s="1"/>
  <c r="Q1148" i="51" s="1"/>
  <c r="Q1681" i="53"/>
  <c r="Q634" i="53"/>
  <c r="M454" i="53" s="1"/>
  <c r="Q454" i="53" s="1"/>
  <c r="Q980" i="59"/>
  <c r="M800" i="59" s="1"/>
  <c r="Q800" i="59" s="1"/>
  <c r="Q982" i="37"/>
  <c r="M802" i="37" s="1"/>
  <c r="Q802" i="37" s="1"/>
  <c r="Q634" i="31"/>
  <c r="M454" i="31" s="1"/>
  <c r="Q454" i="31" s="1"/>
  <c r="Q286" i="31"/>
  <c r="M105" i="31" s="1"/>
  <c r="Q105" i="31" s="1"/>
  <c r="Q983" i="53"/>
  <c r="M803" i="53" s="1"/>
  <c r="Q803" i="53" s="1"/>
  <c r="Q633" i="37"/>
  <c r="M453" i="37" s="1"/>
  <c r="Q453" i="37" s="1"/>
  <c r="Q284" i="37"/>
  <c r="M104" i="37" s="1"/>
  <c r="Q104" i="37" s="1"/>
  <c r="Q1340" i="52"/>
  <c r="M1160" i="52" s="1"/>
  <c r="Q1160" i="52" s="1"/>
  <c r="Q1340" i="54"/>
  <c r="M1160" i="54" s="1"/>
  <c r="Q1160" i="54" s="1"/>
  <c r="Q642" i="54"/>
  <c r="M462" i="54" s="1"/>
  <c r="Q462" i="54" s="1"/>
  <c r="Q1689" i="52"/>
  <c r="M1509" i="52" s="1"/>
  <c r="Q1509" i="52" s="1"/>
  <c r="Q991" i="52"/>
  <c r="M811" i="52" s="1"/>
  <c r="Q811" i="52" s="1"/>
  <c r="Q293" i="54"/>
  <c r="M113" i="54" s="1"/>
  <c r="Q113" i="54" s="1"/>
  <c r="Q642" i="52"/>
  <c r="M462" i="52" s="1"/>
  <c r="Q462" i="52" s="1"/>
  <c r="Q991" i="54"/>
  <c r="M811" i="54" s="1"/>
  <c r="Q811" i="54" s="1"/>
  <c r="Q988" i="51"/>
  <c r="M808" i="51" s="1"/>
  <c r="Q808" i="51" s="1"/>
  <c r="Q1336" i="51"/>
  <c r="M1157" i="51" s="1"/>
  <c r="Q1157" i="51" s="1"/>
  <c r="Q291" i="51"/>
  <c r="M112" i="51" s="1"/>
  <c r="Q112" i="51" s="1"/>
  <c r="Q291" i="59"/>
  <c r="M111" i="59" s="1"/>
  <c r="Q111" i="59" s="1"/>
  <c r="Q293" i="52"/>
  <c r="M113" i="52" s="1"/>
  <c r="Q113" i="52" s="1"/>
  <c r="Q639" i="51"/>
  <c r="M460" i="51" s="1"/>
  <c r="Q460" i="51" s="1"/>
  <c r="Q989" i="59"/>
  <c r="M809" i="59" s="1"/>
  <c r="Q809" i="59" s="1"/>
  <c r="Q294" i="53"/>
  <c r="M114" i="53" s="1"/>
  <c r="Q114" i="53" s="1"/>
  <c r="Q1690" i="53"/>
  <c r="Q640" i="59"/>
  <c r="M460" i="59" s="1"/>
  <c r="Q460" i="59" s="1"/>
  <c r="Q1341" i="53"/>
  <c r="M1161" i="53" s="1"/>
  <c r="Q1161" i="53" s="1"/>
  <c r="Q992" i="53"/>
  <c r="M812" i="53" s="1"/>
  <c r="Q812" i="53" s="1"/>
  <c r="Q991" i="37"/>
  <c r="M811" i="37" s="1"/>
  <c r="Q811" i="37" s="1"/>
  <c r="Q293" i="37"/>
  <c r="M113" i="37" s="1"/>
  <c r="Q113" i="37" s="1"/>
  <c r="Q295" i="31"/>
  <c r="M114" i="31" s="1"/>
  <c r="Q114" i="31" s="1"/>
  <c r="Q642" i="37"/>
  <c r="M462" i="37" s="1"/>
  <c r="Q462" i="37" s="1"/>
  <c r="Q643" i="53"/>
  <c r="M463" i="53" s="1"/>
  <c r="Q463" i="53" s="1"/>
  <c r="Q643" i="31"/>
  <c r="M463" i="31" s="1"/>
  <c r="Q463" i="31" s="1"/>
  <c r="O993" i="54"/>
  <c r="O1342" i="54"/>
  <c r="O1342" i="52"/>
  <c r="O644" i="54"/>
  <c r="O295" i="54"/>
  <c r="O295" i="52"/>
  <c r="O1691" i="52"/>
  <c r="O1338" i="51"/>
  <c r="O293" i="59"/>
  <c r="O644" i="52"/>
  <c r="O993" i="52"/>
  <c r="O293" i="51"/>
  <c r="O641" i="51"/>
  <c r="O296" i="53"/>
  <c r="O990" i="51"/>
  <c r="O1343" i="53"/>
  <c r="O991" i="59"/>
  <c r="O642" i="59"/>
  <c r="O1692" i="53"/>
  <c r="O1512" i="53" s="1"/>
  <c r="S1512" i="53" s="1"/>
  <c r="O645" i="53"/>
  <c r="O295" i="37"/>
  <c r="O994" i="53"/>
  <c r="O644" i="37"/>
  <c r="O297" i="31"/>
  <c r="O993" i="37"/>
  <c r="O645" i="31"/>
  <c r="S646" i="54"/>
  <c r="O466" i="54" s="1"/>
  <c r="S466" i="54" s="1"/>
  <c r="S297" i="54"/>
  <c r="O117" i="54" s="1"/>
  <c r="S117" i="54" s="1"/>
  <c r="S1693" i="52"/>
  <c r="O1513" i="52" s="1"/>
  <c r="S1513" i="52" s="1"/>
  <c r="S995" i="54"/>
  <c r="O815" i="54" s="1"/>
  <c r="S815" i="54" s="1"/>
  <c r="S1344" i="54"/>
  <c r="O1164" i="54" s="1"/>
  <c r="S1164" i="54" s="1"/>
  <c r="S297" i="52"/>
  <c r="O117" i="52" s="1"/>
  <c r="S117" i="52" s="1"/>
  <c r="S995" i="52"/>
  <c r="O815" i="52" s="1"/>
  <c r="S815" i="52" s="1"/>
  <c r="S646" i="52"/>
  <c r="O466" i="52" s="1"/>
  <c r="S466" i="52" s="1"/>
  <c r="S992" i="51"/>
  <c r="O812" i="51" s="1"/>
  <c r="S812" i="51" s="1"/>
  <c r="S1694" i="53"/>
  <c r="S1344" i="52"/>
  <c r="O1164" i="52" s="1"/>
  <c r="S1164" i="52" s="1"/>
  <c r="S993" i="59"/>
  <c r="O813" i="59" s="1"/>
  <c r="S813" i="59" s="1"/>
  <c r="S1340" i="51"/>
  <c r="O1161" i="51" s="1"/>
  <c r="S1161" i="51" s="1"/>
  <c r="S643" i="51"/>
  <c r="O464" i="51" s="1"/>
  <c r="S464" i="51" s="1"/>
  <c r="S295" i="51"/>
  <c r="O116" i="51" s="1"/>
  <c r="S116" i="51" s="1"/>
  <c r="S995" i="37"/>
  <c r="O815" i="37" s="1"/>
  <c r="S815" i="37" s="1"/>
  <c r="S644" i="59"/>
  <c r="O464" i="59" s="1"/>
  <c r="S464" i="59" s="1"/>
  <c r="S1345" i="53"/>
  <c r="O1165" i="53" s="1"/>
  <c r="S1165" i="53" s="1"/>
  <c r="S996" i="53"/>
  <c r="O816" i="53" s="1"/>
  <c r="S816" i="53" s="1"/>
  <c r="S295" i="59"/>
  <c r="O115" i="59" s="1"/>
  <c r="S115" i="59" s="1"/>
  <c r="S647" i="53"/>
  <c r="O467" i="53" s="1"/>
  <c r="S467" i="53" s="1"/>
  <c r="S298" i="53"/>
  <c r="O118" i="53" s="1"/>
  <c r="S118" i="53" s="1"/>
  <c r="S299" i="31"/>
  <c r="O118" i="31" s="1"/>
  <c r="S118" i="31" s="1"/>
  <c r="S297" i="37"/>
  <c r="O117" i="37" s="1"/>
  <c r="S117" i="37" s="1"/>
  <c r="S646" i="37"/>
  <c r="O466" i="37" s="1"/>
  <c r="S466" i="37" s="1"/>
  <c r="S647" i="31"/>
  <c r="O467" i="31" s="1"/>
  <c r="S467" i="31" s="1"/>
  <c r="M1009" i="54"/>
  <c r="M660" i="54"/>
  <c r="M311" i="54"/>
  <c r="M1358" i="54"/>
  <c r="M1707" i="52"/>
  <c r="M311" i="52"/>
  <c r="M660" i="52"/>
  <c r="M1009" i="52"/>
  <c r="M1358" i="52"/>
  <c r="M1006" i="51"/>
  <c r="M657" i="51"/>
  <c r="M658" i="59"/>
  <c r="M309" i="51"/>
  <c r="M309" i="59"/>
  <c r="M1354" i="51"/>
  <c r="M661" i="31"/>
  <c r="M661" i="53"/>
  <c r="M1007" i="59"/>
  <c r="M313" i="31"/>
  <c r="M1010" i="53"/>
  <c r="M312" i="53"/>
  <c r="M660" i="37"/>
  <c r="M311" i="37"/>
  <c r="M1009" i="37"/>
  <c r="M1708" i="53"/>
  <c r="M1359" i="53"/>
  <c r="Q999" i="54"/>
  <c r="M819" i="54" s="1"/>
  <c r="Q819" i="54" s="1"/>
  <c r="Q1348" i="54"/>
  <c r="M1168" i="54" s="1"/>
  <c r="Q1168" i="54" s="1"/>
  <c r="Q301" i="54"/>
  <c r="M121" i="54" s="1"/>
  <c r="Q121" i="54" s="1"/>
  <c r="Q650" i="52"/>
  <c r="M470" i="52" s="1"/>
  <c r="Q470" i="52" s="1"/>
  <c r="Q301" i="52"/>
  <c r="M121" i="52" s="1"/>
  <c r="Q121" i="52" s="1"/>
  <c r="Q1697" i="52"/>
  <c r="M1517" i="52" s="1"/>
  <c r="Q1517" i="52" s="1"/>
  <c r="Q999" i="52"/>
  <c r="M819" i="52" s="1"/>
  <c r="Q819" i="52" s="1"/>
  <c r="Q1348" i="52"/>
  <c r="M1168" i="52" s="1"/>
  <c r="Q1168" i="52" s="1"/>
  <c r="Q650" i="54"/>
  <c r="M470" i="54" s="1"/>
  <c r="Q470" i="54" s="1"/>
  <c r="Q299" i="51"/>
  <c r="M120" i="51" s="1"/>
  <c r="Q120" i="51" s="1"/>
  <c r="Q647" i="51"/>
  <c r="M468" i="51" s="1"/>
  <c r="Q468" i="51" s="1"/>
  <c r="Q997" i="59"/>
  <c r="M817" i="59" s="1"/>
  <c r="Q817" i="59" s="1"/>
  <c r="Q996" i="51"/>
  <c r="M816" i="51" s="1"/>
  <c r="Q816" i="51" s="1"/>
  <c r="Q1344" i="51"/>
  <c r="M1165" i="51" s="1"/>
  <c r="Q1165" i="51" s="1"/>
  <c r="Q1698" i="53"/>
  <c r="Q648" i="59"/>
  <c r="M468" i="59" s="1"/>
  <c r="Q468" i="59" s="1"/>
  <c r="Q651" i="31"/>
  <c r="M471" i="31" s="1"/>
  <c r="Q471" i="31" s="1"/>
  <c r="Q299" i="59"/>
  <c r="M119" i="59" s="1"/>
  <c r="Q119" i="59" s="1"/>
  <c r="Q1349" i="53"/>
  <c r="M1169" i="53" s="1"/>
  <c r="Q1169" i="53" s="1"/>
  <c r="Q302" i="53"/>
  <c r="M122" i="53" s="1"/>
  <c r="Q122" i="53" s="1"/>
  <c r="Q999" i="37"/>
  <c r="M819" i="37" s="1"/>
  <c r="Q819" i="37" s="1"/>
  <c r="Q650" i="37"/>
  <c r="M470" i="37" s="1"/>
  <c r="Q470" i="37" s="1"/>
  <c r="Q303" i="31"/>
  <c r="M122" i="31" s="1"/>
  <c r="Q122" i="31" s="1"/>
  <c r="Q301" i="37"/>
  <c r="M121" i="37" s="1"/>
  <c r="Q121" i="37" s="1"/>
  <c r="Q1000" i="53"/>
  <c r="M820" i="53" s="1"/>
  <c r="Q820" i="53" s="1"/>
  <c r="Q651" i="53"/>
  <c r="M471" i="53" s="1"/>
  <c r="Q471" i="53" s="1"/>
  <c r="O638" i="54"/>
  <c r="O289" i="54"/>
  <c r="O1336" i="54"/>
  <c r="O1685" i="52"/>
  <c r="O987" i="52"/>
  <c r="O638" i="52"/>
  <c r="O287" i="51"/>
  <c r="O289" i="52"/>
  <c r="O987" i="54"/>
  <c r="O1336" i="52"/>
  <c r="O287" i="59"/>
  <c r="O985" i="59"/>
  <c r="O636" i="59"/>
  <c r="O1337" i="53"/>
  <c r="O1332" i="51"/>
  <c r="O984" i="51"/>
  <c r="O635" i="51"/>
  <c r="O290" i="53"/>
  <c r="O1686" i="53"/>
  <c r="O1506" i="53" s="1"/>
  <c r="S1506" i="53" s="1"/>
  <c r="O987" i="37"/>
  <c r="O289" i="37"/>
  <c r="O639" i="31"/>
  <c r="O988" i="53"/>
  <c r="O639" i="53"/>
  <c r="O638" i="37"/>
  <c r="O291" i="31"/>
  <c r="M1004" i="54"/>
  <c r="M655" i="54"/>
  <c r="M306" i="54"/>
  <c r="M1353" i="54"/>
  <c r="M655" i="52"/>
  <c r="M1349" i="51"/>
  <c r="M306" i="52"/>
  <c r="M1004" i="52"/>
  <c r="M1353" i="52"/>
  <c r="M304" i="59"/>
  <c r="M1702" i="52"/>
  <c r="M304" i="51"/>
  <c r="M1001" i="51"/>
  <c r="M307" i="53"/>
  <c r="M652" i="51"/>
  <c r="M1002" i="59"/>
  <c r="M1354" i="53"/>
  <c r="M1703" i="53"/>
  <c r="M653" i="59"/>
  <c r="M655" i="37"/>
  <c r="M308" i="31"/>
  <c r="M306" i="37"/>
  <c r="M1004" i="37"/>
  <c r="M656" i="31"/>
  <c r="M1005" i="53"/>
  <c r="M656" i="53"/>
  <c r="Q1344" i="54"/>
  <c r="M1164" i="54" s="1"/>
  <c r="Q1164" i="54" s="1"/>
  <c r="Q646" i="54"/>
  <c r="M466" i="54" s="1"/>
  <c r="Q466" i="54" s="1"/>
  <c r="Q297" i="54"/>
  <c r="M117" i="54" s="1"/>
  <c r="Q117" i="54" s="1"/>
  <c r="Q1693" i="52"/>
  <c r="M1513" i="52" s="1"/>
  <c r="Q1513" i="52" s="1"/>
  <c r="Q646" i="52"/>
  <c r="M466" i="52" s="1"/>
  <c r="Q466" i="52" s="1"/>
  <c r="Q297" i="52"/>
  <c r="M117" i="52" s="1"/>
  <c r="Q117" i="52" s="1"/>
  <c r="Q995" i="54"/>
  <c r="M815" i="54" s="1"/>
  <c r="Q815" i="54" s="1"/>
  <c r="Q1344" i="52"/>
  <c r="M1164" i="52" s="1"/>
  <c r="Q1164" i="52" s="1"/>
  <c r="Q995" i="52"/>
  <c r="M815" i="52" s="1"/>
  <c r="Q815" i="52" s="1"/>
  <c r="Q643" i="51"/>
  <c r="M464" i="51" s="1"/>
  <c r="Q464" i="51" s="1"/>
  <c r="Q993" i="59"/>
  <c r="M813" i="59" s="1"/>
  <c r="Q813" i="59" s="1"/>
  <c r="Q1340" i="51"/>
  <c r="M1161" i="51" s="1"/>
  <c r="Q1161" i="51" s="1"/>
  <c r="Q992" i="51"/>
  <c r="M812" i="51" s="1"/>
  <c r="Q812" i="51" s="1"/>
  <c r="Q644" i="59"/>
  <c r="M464" i="59" s="1"/>
  <c r="Q464" i="59" s="1"/>
  <c r="Q295" i="51"/>
  <c r="M116" i="51" s="1"/>
  <c r="Q116" i="51" s="1"/>
  <c r="Q295" i="59"/>
  <c r="M115" i="59" s="1"/>
  <c r="Q115" i="59" s="1"/>
  <c r="Q1694" i="53"/>
  <c r="Q299" i="31"/>
  <c r="M118" i="31" s="1"/>
  <c r="Q118" i="31" s="1"/>
  <c r="Q995" i="37"/>
  <c r="M815" i="37" s="1"/>
  <c r="Q815" i="37" s="1"/>
  <c r="Q646" i="37"/>
  <c r="M466" i="37" s="1"/>
  <c r="Q466" i="37" s="1"/>
  <c r="Q297" i="37"/>
  <c r="M117" i="37" s="1"/>
  <c r="Q117" i="37" s="1"/>
  <c r="Q1345" i="53"/>
  <c r="M1165" i="53" s="1"/>
  <c r="Q1165" i="53" s="1"/>
  <c r="Q996" i="53"/>
  <c r="M816" i="53" s="1"/>
  <c r="Q816" i="53" s="1"/>
  <c r="Q647" i="53"/>
  <c r="M467" i="53" s="1"/>
  <c r="Q467" i="53" s="1"/>
  <c r="Q298" i="53"/>
  <c r="M118" i="53" s="1"/>
  <c r="Q118" i="53" s="1"/>
  <c r="Q647" i="31"/>
  <c r="M467" i="31" s="1"/>
  <c r="Q467" i="31" s="1"/>
  <c r="O1710" i="52"/>
  <c r="O1361" i="54"/>
  <c r="O314" i="52"/>
  <c r="O1357" i="51"/>
  <c r="O314" i="54"/>
  <c r="O1012" i="54"/>
  <c r="O663" i="52"/>
  <c r="O663" i="54"/>
  <c r="O660" i="51"/>
  <c r="O1012" i="52"/>
  <c r="O1361" i="52"/>
  <c r="O312" i="51"/>
  <c r="O312" i="59"/>
  <c r="O1009" i="51"/>
  <c r="O1010" i="59"/>
  <c r="O1711" i="53"/>
  <c r="O316" i="31"/>
  <c r="O661" i="59"/>
  <c r="O1362" i="53"/>
  <c r="O315" i="53"/>
  <c r="O663" i="37"/>
  <c r="O1013" i="53"/>
  <c r="O664" i="31"/>
  <c r="O1012" i="37"/>
  <c r="O314" i="37"/>
  <c r="O664" i="53"/>
  <c r="S1348" i="54"/>
  <c r="O1168" i="54" s="1"/>
  <c r="S1168" i="54" s="1"/>
  <c r="S650" i="54"/>
  <c r="O470" i="54" s="1"/>
  <c r="S470" i="54" s="1"/>
  <c r="S999" i="54"/>
  <c r="O819" i="54" s="1"/>
  <c r="S819" i="54" s="1"/>
  <c r="S999" i="52"/>
  <c r="O819" i="52" s="1"/>
  <c r="S819" i="52" s="1"/>
  <c r="S1344" i="51"/>
  <c r="O1165" i="51" s="1"/>
  <c r="S1165" i="51" s="1"/>
  <c r="S1348" i="52"/>
  <c r="O1168" i="52" s="1"/>
  <c r="S1168" i="52" s="1"/>
  <c r="S650" i="52"/>
  <c r="O470" i="52" s="1"/>
  <c r="S470" i="52" s="1"/>
  <c r="S299" i="51"/>
  <c r="O120" i="51" s="1"/>
  <c r="S120" i="51" s="1"/>
  <c r="S996" i="51"/>
  <c r="O816" i="51" s="1"/>
  <c r="S816" i="51" s="1"/>
  <c r="S301" i="54"/>
  <c r="O121" i="54" s="1"/>
  <c r="S121" i="54" s="1"/>
  <c r="S1697" i="52"/>
  <c r="O1517" i="52" s="1"/>
  <c r="S1517" i="52" s="1"/>
  <c r="S299" i="59"/>
  <c r="O119" i="59" s="1"/>
  <c r="S119" i="59" s="1"/>
  <c r="S301" i="52"/>
  <c r="O121" i="52" s="1"/>
  <c r="S121" i="52" s="1"/>
  <c r="S647" i="51"/>
  <c r="O468" i="51" s="1"/>
  <c r="S468" i="51" s="1"/>
  <c r="S997" i="59"/>
  <c r="O817" i="59" s="1"/>
  <c r="S817" i="59" s="1"/>
  <c r="S1698" i="53"/>
  <c r="S302" i="53"/>
  <c r="O122" i="53" s="1"/>
  <c r="S122" i="53" s="1"/>
  <c r="S1000" i="53"/>
  <c r="O820" i="53" s="1"/>
  <c r="S820" i="53" s="1"/>
  <c r="S999" i="37"/>
  <c r="O819" i="37" s="1"/>
  <c r="S819" i="37" s="1"/>
  <c r="S648" i="59"/>
  <c r="O468" i="59" s="1"/>
  <c r="S468" i="59" s="1"/>
  <c r="S301" i="37"/>
  <c r="O121" i="37" s="1"/>
  <c r="S121" i="37" s="1"/>
  <c r="S1349" i="53"/>
  <c r="O1169" i="53" s="1"/>
  <c r="S1169" i="53" s="1"/>
  <c r="S651" i="31"/>
  <c r="O471" i="31" s="1"/>
  <c r="S471" i="31" s="1"/>
  <c r="S303" i="31"/>
  <c r="O122" i="31" s="1"/>
  <c r="S122" i="31" s="1"/>
  <c r="S651" i="53"/>
  <c r="O471" i="53" s="1"/>
  <c r="S471" i="53" s="1"/>
  <c r="S650" i="37"/>
  <c r="O470" i="37" s="1"/>
  <c r="S470" i="37" s="1"/>
  <c r="O1358" i="54"/>
  <c r="O1009" i="54"/>
  <c r="O660" i="54"/>
  <c r="O1707" i="52"/>
  <c r="O660" i="52"/>
  <c r="O311" i="54"/>
  <c r="O1358" i="52"/>
  <c r="O657" i="51"/>
  <c r="O1009" i="52"/>
  <c r="O658" i="59"/>
  <c r="O311" i="52"/>
  <c r="O1354" i="51"/>
  <c r="O1006" i="51"/>
  <c r="O661" i="53"/>
  <c r="O309" i="59"/>
  <c r="O1007" i="59"/>
  <c r="O309" i="51"/>
  <c r="O1359" i="53"/>
  <c r="O312" i="53"/>
  <c r="O1708" i="53"/>
  <c r="O1009" i="37"/>
  <c r="O660" i="37"/>
  <c r="O313" i="31"/>
  <c r="O311" i="37"/>
  <c r="O1010" i="53"/>
  <c r="O661" i="31"/>
  <c r="O1352" i="54"/>
  <c r="O1701" i="52"/>
  <c r="O1003" i="54"/>
  <c r="O654" i="52"/>
  <c r="O654" i="54"/>
  <c r="O1003" i="52"/>
  <c r="O305" i="52"/>
  <c r="O652" i="59"/>
  <c r="O1352" i="52"/>
  <c r="O305" i="54"/>
  <c r="O1348" i="51"/>
  <c r="O1000" i="51"/>
  <c r="O651" i="51"/>
  <c r="O655" i="53"/>
  <c r="O303" i="51"/>
  <c r="O303" i="59"/>
  <c r="O1702" i="53"/>
  <c r="O1522" i="53" s="1"/>
  <c r="S1522" i="53" s="1"/>
  <c r="O1001" i="59"/>
  <c r="O307" i="31"/>
  <c r="O305" i="37"/>
  <c r="O1004" i="53"/>
  <c r="O1353" i="53"/>
  <c r="O655" i="31"/>
  <c r="O306" i="53"/>
  <c r="O1003" i="37"/>
  <c r="O654" i="37"/>
  <c r="O1010" i="54"/>
  <c r="O1359" i="54"/>
  <c r="O1359" i="52"/>
  <c r="O1708" i="52"/>
  <c r="O1010" i="52"/>
  <c r="O661" i="52"/>
  <c r="O1007" i="51"/>
  <c r="O661" i="54"/>
  <c r="O312" i="54"/>
  <c r="O658" i="51"/>
  <c r="O310" i="51"/>
  <c r="O310" i="59"/>
  <c r="O312" i="52"/>
  <c r="O1355" i="51"/>
  <c r="O659" i="59"/>
  <c r="O662" i="53"/>
  <c r="O1008" i="59"/>
  <c r="O662" i="31"/>
  <c r="O1709" i="53"/>
  <c r="O1010" i="37"/>
  <c r="O661" i="37"/>
  <c r="O314" i="31"/>
  <c r="O312" i="37"/>
  <c r="O1011" i="53"/>
  <c r="O1360" i="53"/>
  <c r="O313" i="53"/>
  <c r="S663" i="54"/>
  <c r="S314" i="54"/>
  <c r="S1710" i="52"/>
  <c r="S1012" i="54"/>
  <c r="S1361" i="54"/>
  <c r="S1357" i="51"/>
  <c r="S663" i="52"/>
  <c r="S1361" i="52"/>
  <c r="S314" i="52"/>
  <c r="S1012" i="52"/>
  <c r="S660" i="51"/>
  <c r="S312" i="51"/>
  <c r="S312" i="59"/>
  <c r="S1009" i="51"/>
  <c r="S1010" i="59"/>
  <c r="S1362" i="53"/>
  <c r="S661" i="59"/>
  <c r="S316" i="31"/>
  <c r="S315" i="53"/>
  <c r="S1711" i="53"/>
  <c r="S1013" i="53"/>
  <c r="S664" i="53"/>
  <c r="S1012" i="37"/>
  <c r="S663" i="37"/>
  <c r="S314" i="37"/>
  <c r="S664" i="31"/>
  <c r="S1329" i="54"/>
  <c r="O1149" i="54" s="1"/>
  <c r="S1149" i="54" s="1"/>
  <c r="S980" i="54"/>
  <c r="O800" i="54" s="1"/>
  <c r="S800" i="54" s="1"/>
  <c r="S282" i="54"/>
  <c r="O102" i="54" s="1"/>
  <c r="S102" i="54" s="1"/>
  <c r="S1678" i="52"/>
  <c r="O1498" i="52" s="1"/>
  <c r="S1498" i="52" s="1"/>
  <c r="S1329" i="52"/>
  <c r="O1149" i="52" s="1"/>
  <c r="S1149" i="52" s="1"/>
  <c r="S1325" i="51"/>
  <c r="O1146" i="51" s="1"/>
  <c r="S1146" i="51" s="1"/>
  <c r="S631" i="52"/>
  <c r="O451" i="52" s="1"/>
  <c r="S451" i="52" s="1"/>
  <c r="S282" i="52"/>
  <c r="O102" i="52" s="1"/>
  <c r="S102" i="52" s="1"/>
  <c r="S980" i="52"/>
  <c r="O800" i="52" s="1"/>
  <c r="S800" i="52" s="1"/>
  <c r="S631" i="54"/>
  <c r="O451" i="54" s="1"/>
  <c r="S451" i="54" s="1"/>
  <c r="S977" i="51"/>
  <c r="O797" i="51" s="1"/>
  <c r="S797" i="51" s="1"/>
  <c r="S280" i="51"/>
  <c r="S628" i="51"/>
  <c r="O449" i="51" s="1"/>
  <c r="S449" i="51" s="1"/>
  <c r="S978" i="59"/>
  <c r="O798" i="59" s="1"/>
  <c r="S798" i="59" s="1"/>
  <c r="S629" i="59"/>
  <c r="O449" i="59" s="1"/>
  <c r="S449" i="59" s="1"/>
  <c r="S1679" i="53"/>
  <c r="S1330" i="53"/>
  <c r="O1150" i="53" s="1"/>
  <c r="S1150" i="53" s="1"/>
  <c r="S280" i="59"/>
  <c r="O100" i="59" s="1"/>
  <c r="S100" i="59" s="1"/>
  <c r="S283" i="53"/>
  <c r="O103" i="53" s="1"/>
  <c r="S103" i="53" s="1"/>
  <c r="S632" i="31"/>
  <c r="O452" i="31" s="1"/>
  <c r="S452" i="31" s="1"/>
  <c r="S632" i="53"/>
  <c r="O452" i="53" s="1"/>
  <c r="S452" i="53" s="1"/>
  <c r="S980" i="37"/>
  <c r="O800" i="37" s="1"/>
  <c r="S800" i="37" s="1"/>
  <c r="S284" i="31"/>
  <c r="O103" i="31" s="1"/>
  <c r="S103" i="31" s="1"/>
  <c r="S282" i="37"/>
  <c r="O102" i="37" s="1"/>
  <c r="S102" i="37" s="1"/>
  <c r="S981" i="53"/>
  <c r="O801" i="53" s="1"/>
  <c r="S801" i="53" s="1"/>
  <c r="S631" i="37"/>
  <c r="O451" i="37" s="1"/>
  <c r="S451" i="37" s="1"/>
  <c r="M1692" i="52"/>
  <c r="M1343" i="54"/>
  <c r="M296" i="54"/>
  <c r="M645" i="54"/>
  <c r="M991" i="51"/>
  <c r="M296" i="52"/>
  <c r="M1693" i="53"/>
  <c r="M1513" i="53" s="1"/>
  <c r="Q1513" i="53" s="1"/>
  <c r="M645" i="52"/>
  <c r="M994" i="54"/>
  <c r="M994" i="52"/>
  <c r="M1343" i="52"/>
  <c r="M992" i="59"/>
  <c r="M1339" i="51"/>
  <c r="M642" i="51"/>
  <c r="M643" i="59"/>
  <c r="M994" i="37"/>
  <c r="M294" i="51"/>
  <c r="M995" i="53"/>
  <c r="M294" i="59"/>
  <c r="M646" i="53"/>
  <c r="M1344" i="53"/>
  <c r="M297" i="53"/>
  <c r="M646" i="31"/>
  <c r="M645" i="37"/>
  <c r="M298" i="31"/>
  <c r="M296" i="37"/>
  <c r="Q985" i="54"/>
  <c r="M805" i="54" s="1"/>
  <c r="Q805" i="54" s="1"/>
  <c r="Q1334" i="54"/>
  <c r="M1154" i="54" s="1"/>
  <c r="Q1154" i="54" s="1"/>
  <c r="Q1334" i="52"/>
  <c r="M1154" i="52" s="1"/>
  <c r="Q1154" i="52" s="1"/>
  <c r="Q636" i="54"/>
  <c r="M456" i="54" s="1"/>
  <c r="Q456" i="54" s="1"/>
  <c r="Q985" i="52"/>
  <c r="M805" i="52" s="1"/>
  <c r="Q805" i="52" s="1"/>
  <c r="Q636" i="52"/>
  <c r="M456" i="52" s="1"/>
  <c r="Q456" i="52" s="1"/>
  <c r="Q287" i="52"/>
  <c r="M107" i="52" s="1"/>
  <c r="Q107" i="52" s="1"/>
  <c r="Q287" i="54"/>
  <c r="M107" i="54" s="1"/>
  <c r="Q107" i="54" s="1"/>
  <c r="Q1683" i="52"/>
  <c r="M1503" i="52" s="1"/>
  <c r="Q1503" i="52" s="1"/>
  <c r="Q1330" i="51"/>
  <c r="M1151" i="51" s="1"/>
  <c r="Q1151" i="51" s="1"/>
  <c r="Q285" i="51"/>
  <c r="M106" i="51" s="1"/>
  <c r="Q106" i="51" s="1"/>
  <c r="Q983" i="59"/>
  <c r="M803" i="59" s="1"/>
  <c r="Q803" i="59" s="1"/>
  <c r="Q633" i="51"/>
  <c r="M454" i="51" s="1"/>
  <c r="Q454" i="51" s="1"/>
  <c r="Q982" i="51"/>
  <c r="M802" i="51" s="1"/>
  <c r="Q802" i="51" s="1"/>
  <c r="Q285" i="59"/>
  <c r="M105" i="59" s="1"/>
  <c r="Q105" i="59" s="1"/>
  <c r="Q1684" i="53"/>
  <c r="Q287" i="37"/>
  <c r="M107" i="37" s="1"/>
  <c r="Q107" i="37" s="1"/>
  <c r="Q1335" i="53"/>
  <c r="M1155" i="53" s="1"/>
  <c r="Q1155" i="53" s="1"/>
  <c r="Q634" i="59"/>
  <c r="M454" i="59" s="1"/>
  <c r="Q454" i="59" s="1"/>
  <c r="Q986" i="53"/>
  <c r="M806" i="53" s="1"/>
  <c r="Q806" i="53" s="1"/>
  <c r="Q637" i="31"/>
  <c r="M457" i="31" s="1"/>
  <c r="Q457" i="31" s="1"/>
  <c r="Q637" i="53"/>
  <c r="M457" i="53" s="1"/>
  <c r="Q457" i="53" s="1"/>
  <c r="Q288" i="53"/>
  <c r="M108" i="53" s="1"/>
  <c r="Q108" i="53" s="1"/>
  <c r="Q985" i="37"/>
  <c r="M805" i="37" s="1"/>
  <c r="Q805" i="37" s="1"/>
  <c r="Q289" i="31"/>
  <c r="M108" i="31" s="1"/>
  <c r="Q108" i="31" s="1"/>
  <c r="Q636" i="37"/>
  <c r="M456" i="37" s="1"/>
  <c r="Q456" i="37" s="1"/>
  <c r="S1005" i="54"/>
  <c r="S1354" i="54"/>
  <c r="S1354" i="52"/>
  <c r="S307" i="54"/>
  <c r="S1005" i="52"/>
  <c r="S656" i="54"/>
  <c r="S1703" i="52"/>
  <c r="S305" i="59"/>
  <c r="S307" i="52"/>
  <c r="S656" i="52"/>
  <c r="S305" i="51"/>
  <c r="S1002" i="51"/>
  <c r="S1003" i="59"/>
  <c r="S1350" i="51"/>
  <c r="S308" i="53"/>
  <c r="S653" i="51"/>
  <c r="S1704" i="53"/>
  <c r="S1355" i="53"/>
  <c r="S654" i="59"/>
  <c r="S1005" i="37"/>
  <c r="S656" i="37"/>
  <c r="S307" i="37"/>
  <c r="S657" i="31"/>
  <c r="S1006" i="53"/>
  <c r="S657" i="53"/>
  <c r="S309" i="31"/>
  <c r="M1339" i="54"/>
  <c r="M1688" i="52"/>
  <c r="M990" i="54"/>
  <c r="M292" i="54"/>
  <c r="M1339" i="52"/>
  <c r="M292" i="52"/>
  <c r="M641" i="54"/>
  <c r="M641" i="52"/>
  <c r="M990" i="52"/>
  <c r="M639" i="59"/>
  <c r="M638" i="51"/>
  <c r="M1335" i="51"/>
  <c r="M642" i="53"/>
  <c r="M987" i="51"/>
  <c r="M290" i="51"/>
  <c r="M988" i="59"/>
  <c r="M290" i="59"/>
  <c r="M1689" i="53"/>
  <c r="M1509" i="53" s="1"/>
  <c r="Q1509" i="53" s="1"/>
  <c r="M641" i="37"/>
  <c r="M1340" i="53"/>
  <c r="M294" i="31"/>
  <c r="M991" i="53"/>
  <c r="M292" i="37"/>
  <c r="M293" i="53"/>
  <c r="M990" i="37"/>
  <c r="M642" i="31"/>
  <c r="Q1329" i="54"/>
  <c r="M1149" i="54" s="1"/>
  <c r="Q1149" i="54" s="1"/>
  <c r="Q631" i="54"/>
  <c r="M451" i="54" s="1"/>
  <c r="Q451" i="54" s="1"/>
  <c r="Q282" i="54"/>
  <c r="M102" i="54" s="1"/>
  <c r="Q102" i="54" s="1"/>
  <c r="Q1678" i="52"/>
  <c r="M1498" i="52" s="1"/>
  <c r="Q1498" i="52" s="1"/>
  <c r="Q631" i="52"/>
  <c r="M451" i="52" s="1"/>
  <c r="Q451" i="52" s="1"/>
  <c r="Q282" i="52"/>
  <c r="M102" i="52" s="1"/>
  <c r="Q102" i="52" s="1"/>
  <c r="Q980" i="52"/>
  <c r="M800" i="52" s="1"/>
  <c r="Q800" i="52" s="1"/>
  <c r="Q1325" i="51"/>
  <c r="M1146" i="51" s="1"/>
  <c r="Q1146" i="51" s="1"/>
  <c r="Q629" i="59"/>
  <c r="M449" i="59" s="1"/>
  <c r="Q449" i="59" s="1"/>
  <c r="Q1329" i="52"/>
  <c r="M1149" i="52" s="1"/>
  <c r="Q1149" i="52" s="1"/>
  <c r="Q980" i="54"/>
  <c r="M800" i="54" s="1"/>
  <c r="Q800" i="54" s="1"/>
  <c r="Q628" i="51"/>
  <c r="M449" i="51" s="1"/>
  <c r="Q449" i="51" s="1"/>
  <c r="Q1330" i="53"/>
  <c r="M1150" i="53" s="1"/>
  <c r="Q1150" i="53" s="1"/>
  <c r="Q632" i="53"/>
  <c r="M452" i="53" s="1"/>
  <c r="Q452" i="53" s="1"/>
  <c r="Q977" i="51"/>
  <c r="M797" i="51" s="1"/>
  <c r="Q797" i="51" s="1"/>
  <c r="Q280" i="51"/>
  <c r="M101" i="51" s="1"/>
  <c r="Q101" i="51" s="1"/>
  <c r="Q631" i="37"/>
  <c r="M451" i="37" s="1"/>
  <c r="Q451" i="37" s="1"/>
  <c r="Q1679" i="53"/>
  <c r="Q978" i="59"/>
  <c r="M798" i="59" s="1"/>
  <c r="Q798" i="59" s="1"/>
  <c r="Q280" i="59"/>
  <c r="M100" i="59" s="1"/>
  <c r="Q100" i="59" s="1"/>
  <c r="Q981" i="53"/>
  <c r="M801" i="53" s="1"/>
  <c r="Q801" i="53" s="1"/>
  <c r="Q632" i="31"/>
  <c r="M452" i="31" s="1"/>
  <c r="Q452" i="31" s="1"/>
  <c r="Q283" i="53"/>
  <c r="M103" i="53" s="1"/>
  <c r="Q103" i="53" s="1"/>
  <c r="Q284" i="31"/>
  <c r="M103" i="31" s="1"/>
  <c r="Q103" i="31" s="1"/>
  <c r="Q980" i="37"/>
  <c r="M800" i="37" s="1"/>
  <c r="Q800" i="37" s="1"/>
  <c r="Q282" i="37"/>
  <c r="M102" i="37" s="1"/>
  <c r="Q102" i="37" s="1"/>
  <c r="O1345" i="54"/>
  <c r="O1345" i="52"/>
  <c r="O996" i="52"/>
  <c r="O298" i="54"/>
  <c r="O647" i="54"/>
  <c r="O1694" i="52"/>
  <c r="O993" i="51"/>
  <c r="O996" i="54"/>
  <c r="O647" i="52"/>
  <c r="O298" i="52"/>
  <c r="O644" i="51"/>
  <c r="O296" i="51"/>
  <c r="O296" i="59"/>
  <c r="O1341" i="51"/>
  <c r="O1695" i="53"/>
  <c r="O1515" i="53" s="1"/>
  <c r="S1515" i="53" s="1"/>
  <c r="O298" i="37"/>
  <c r="O994" i="59"/>
  <c r="O645" i="59"/>
  <c r="O648" i="31"/>
  <c r="O997" i="53"/>
  <c r="O648" i="53"/>
  <c r="O1346" i="53"/>
  <c r="O299" i="53"/>
  <c r="O647" i="37"/>
  <c r="O300" i="31"/>
  <c r="O996" i="37"/>
  <c r="S634" i="54"/>
  <c r="O454" i="54" s="1"/>
  <c r="S454" i="54" s="1"/>
  <c r="S285" i="54"/>
  <c r="O105" i="54" s="1"/>
  <c r="S105" i="54" s="1"/>
  <c r="S1681" i="52"/>
  <c r="O1501" i="52" s="1"/>
  <c r="S1501" i="52" s="1"/>
  <c r="S983" i="54"/>
  <c r="O803" i="54" s="1"/>
  <c r="S803" i="54" s="1"/>
  <c r="S1332" i="54"/>
  <c r="O1152" i="54" s="1"/>
  <c r="S1152" i="54" s="1"/>
  <c r="S980" i="51"/>
  <c r="O800" i="51" s="1"/>
  <c r="S800" i="51" s="1"/>
  <c r="S1682" i="53"/>
  <c r="S1332" i="52"/>
  <c r="O1152" i="52" s="1"/>
  <c r="S1152" i="52" s="1"/>
  <c r="S285" i="52"/>
  <c r="O105" i="52" s="1"/>
  <c r="S105" i="52" s="1"/>
  <c r="S634" i="52"/>
  <c r="O454" i="52" s="1"/>
  <c r="S454" i="52" s="1"/>
  <c r="S983" i="52"/>
  <c r="O803" i="52" s="1"/>
  <c r="S803" i="52" s="1"/>
  <c r="S981" i="59"/>
  <c r="O801" i="59" s="1"/>
  <c r="S801" i="59" s="1"/>
  <c r="S283" i="51"/>
  <c r="O104" i="51" s="1"/>
  <c r="S104" i="51" s="1"/>
  <c r="S283" i="59"/>
  <c r="O103" i="59" s="1"/>
  <c r="S103" i="59" s="1"/>
  <c r="S983" i="37"/>
  <c r="O803" i="37" s="1"/>
  <c r="S803" i="37" s="1"/>
  <c r="S631" i="51"/>
  <c r="O452" i="51" s="1"/>
  <c r="S452" i="51" s="1"/>
  <c r="S1328" i="51"/>
  <c r="O1149" i="51" s="1"/>
  <c r="S1149" i="51" s="1"/>
  <c r="S984" i="53"/>
  <c r="O804" i="53" s="1"/>
  <c r="S804" i="53" s="1"/>
  <c r="S1333" i="53"/>
  <c r="O1153" i="53" s="1"/>
  <c r="S1153" i="53" s="1"/>
  <c r="S286" i="53"/>
  <c r="O106" i="53" s="1"/>
  <c r="S106" i="53" s="1"/>
  <c r="S632" i="59"/>
  <c r="O452" i="59" s="1"/>
  <c r="S452" i="59" s="1"/>
  <c r="S287" i="31"/>
  <c r="O106" i="31" s="1"/>
  <c r="S106" i="31" s="1"/>
  <c r="S634" i="37"/>
  <c r="O454" i="37" s="1"/>
  <c r="S454" i="37" s="1"/>
  <c r="S635" i="31"/>
  <c r="O455" i="31" s="1"/>
  <c r="S455" i="31" s="1"/>
  <c r="S285" i="37"/>
  <c r="O105" i="37" s="1"/>
  <c r="S105" i="37" s="1"/>
  <c r="S635" i="53"/>
  <c r="O455" i="53" s="1"/>
  <c r="S455" i="53" s="1"/>
  <c r="O1346" i="52"/>
  <c r="O1346" i="54"/>
  <c r="O299" i="54"/>
  <c r="O648" i="52"/>
  <c r="O997" i="54"/>
  <c r="O648" i="54"/>
  <c r="O997" i="52"/>
  <c r="O1695" i="52"/>
  <c r="O645" i="51"/>
  <c r="O646" i="59"/>
  <c r="O299" i="52"/>
  <c r="O994" i="51"/>
  <c r="O297" i="51"/>
  <c r="O297" i="59"/>
  <c r="O1342" i="51"/>
  <c r="O649" i="53"/>
  <c r="O1696" i="53"/>
  <c r="O1516" i="53" s="1"/>
  <c r="S1516" i="53" s="1"/>
  <c r="O1347" i="53"/>
  <c r="O300" i="53"/>
  <c r="O995" i="59"/>
  <c r="O998" i="53"/>
  <c r="O997" i="37"/>
  <c r="O301" i="31"/>
  <c r="O649" i="31"/>
  <c r="O648" i="37"/>
  <c r="O299" i="37"/>
  <c r="O1340" i="54"/>
  <c r="O1689" i="52"/>
  <c r="O991" i="54"/>
  <c r="O642" i="54"/>
  <c r="O1340" i="52"/>
  <c r="O991" i="52"/>
  <c r="O642" i="52"/>
  <c r="O293" i="54"/>
  <c r="O640" i="59"/>
  <c r="O639" i="51"/>
  <c r="O291" i="51"/>
  <c r="O989" i="59"/>
  <c r="O643" i="53"/>
  <c r="O1336" i="51"/>
  <c r="O293" i="52"/>
  <c r="O988" i="51"/>
  <c r="O291" i="59"/>
  <c r="O1690" i="53"/>
  <c r="O1510" i="53" s="1"/>
  <c r="S1510" i="53" s="1"/>
  <c r="O992" i="53"/>
  <c r="O642" i="37"/>
  <c r="O295" i="31"/>
  <c r="O294" i="53"/>
  <c r="O1341" i="53"/>
  <c r="O991" i="37"/>
  <c r="O293" i="37"/>
  <c r="O643" i="31"/>
  <c r="O645" i="54"/>
  <c r="O296" i="54"/>
  <c r="O1343" i="54"/>
  <c r="O1692" i="52"/>
  <c r="O994" i="54"/>
  <c r="O1343" i="52"/>
  <c r="O642" i="51"/>
  <c r="O645" i="52"/>
  <c r="O994" i="52"/>
  <c r="O991" i="51"/>
  <c r="O294" i="51"/>
  <c r="O992" i="59"/>
  <c r="O1339" i="51"/>
  <c r="O643" i="59"/>
  <c r="O296" i="52"/>
  <c r="O1693" i="53"/>
  <c r="O1513" i="53" s="1"/>
  <c r="S1513" i="53" s="1"/>
  <c r="O294" i="59"/>
  <c r="O645" i="37"/>
  <c r="O298" i="31"/>
  <c r="O646" i="53"/>
  <c r="O646" i="31"/>
  <c r="O995" i="53"/>
  <c r="O1344" i="53"/>
  <c r="O297" i="53"/>
  <c r="O994" i="37"/>
  <c r="O296" i="37"/>
  <c r="S1346" i="52"/>
  <c r="O1166" i="52" s="1"/>
  <c r="S1166" i="52" s="1"/>
  <c r="S1346" i="54"/>
  <c r="O1166" i="54" s="1"/>
  <c r="S1166" i="54" s="1"/>
  <c r="S299" i="54"/>
  <c r="O119" i="54" s="1"/>
  <c r="S119" i="54" s="1"/>
  <c r="S648" i="54"/>
  <c r="O468" i="54" s="1"/>
  <c r="S468" i="54" s="1"/>
  <c r="S299" i="52"/>
  <c r="O119" i="52" s="1"/>
  <c r="S119" i="52" s="1"/>
  <c r="S648" i="52"/>
  <c r="O468" i="52" s="1"/>
  <c r="S468" i="52" s="1"/>
  <c r="S997" i="54"/>
  <c r="O817" i="54" s="1"/>
  <c r="S817" i="54" s="1"/>
  <c r="S1342" i="51"/>
  <c r="O1163" i="51" s="1"/>
  <c r="S1163" i="51" s="1"/>
  <c r="S645" i="51"/>
  <c r="O466" i="51" s="1"/>
  <c r="S466" i="51" s="1"/>
  <c r="S1347" i="53"/>
  <c r="O1167" i="53" s="1"/>
  <c r="S1167" i="53" s="1"/>
  <c r="S997" i="52"/>
  <c r="O817" i="52" s="1"/>
  <c r="S817" i="52" s="1"/>
  <c r="S1695" i="52"/>
  <c r="O1515" i="52" s="1"/>
  <c r="S1515" i="52" s="1"/>
  <c r="S646" i="59"/>
  <c r="O466" i="59" s="1"/>
  <c r="S466" i="59" s="1"/>
  <c r="S297" i="51"/>
  <c r="O118" i="51" s="1"/>
  <c r="S118" i="51" s="1"/>
  <c r="S297" i="59"/>
  <c r="O117" i="59" s="1"/>
  <c r="S117" i="59" s="1"/>
  <c r="S648" i="37"/>
  <c r="O468" i="37" s="1"/>
  <c r="S468" i="37" s="1"/>
  <c r="S994" i="51"/>
  <c r="O814" i="51" s="1"/>
  <c r="S814" i="51" s="1"/>
  <c r="S649" i="53"/>
  <c r="O469" i="53" s="1"/>
  <c r="S469" i="53" s="1"/>
  <c r="S1696" i="53"/>
  <c r="S995" i="59"/>
  <c r="O815" i="59" s="1"/>
  <c r="S815" i="59" s="1"/>
  <c r="S300" i="53"/>
  <c r="O120" i="53" s="1"/>
  <c r="S120" i="53" s="1"/>
  <c r="S998" i="53"/>
  <c r="O818" i="53" s="1"/>
  <c r="S818" i="53" s="1"/>
  <c r="S997" i="37"/>
  <c r="O817" i="37" s="1"/>
  <c r="S817" i="37" s="1"/>
  <c r="S301" i="31"/>
  <c r="O120" i="31" s="1"/>
  <c r="S120" i="31" s="1"/>
  <c r="S649" i="31"/>
  <c r="O469" i="31" s="1"/>
  <c r="S469" i="31" s="1"/>
  <c r="S299" i="37"/>
  <c r="O119" i="37" s="1"/>
  <c r="S119" i="37" s="1"/>
  <c r="M1359" i="54"/>
  <c r="M1010" i="54"/>
  <c r="M1359" i="52"/>
  <c r="M661" i="52"/>
  <c r="M1010" i="52"/>
  <c r="M1355" i="51"/>
  <c r="M310" i="51"/>
  <c r="M661" i="54"/>
  <c r="M1708" i="52"/>
  <c r="M312" i="54"/>
  <c r="M310" i="59"/>
  <c r="M658" i="51"/>
  <c r="M1007" i="51"/>
  <c r="M1360" i="53"/>
  <c r="M312" i="52"/>
  <c r="M313" i="53"/>
  <c r="M1008" i="59"/>
  <c r="M1709" i="53"/>
  <c r="M659" i="59"/>
  <c r="M1011" i="53"/>
  <c r="M1010" i="37"/>
  <c r="M661" i="37"/>
  <c r="M662" i="31"/>
  <c r="M662" i="53"/>
  <c r="M314" i="31"/>
  <c r="M312" i="37"/>
  <c r="M980" i="54"/>
  <c r="M631" i="54"/>
  <c r="M282" i="54"/>
  <c r="M1329" i="54"/>
  <c r="M980" i="52"/>
  <c r="M1329" i="52"/>
  <c r="M282" i="52"/>
  <c r="M280" i="59"/>
  <c r="M1325" i="51"/>
  <c r="M1678" i="52"/>
  <c r="M977" i="51"/>
  <c r="M280" i="51"/>
  <c r="M631" i="52"/>
  <c r="M628" i="51"/>
  <c r="M629" i="59"/>
  <c r="M283" i="53"/>
  <c r="M1330" i="53"/>
  <c r="M1679" i="53"/>
  <c r="M1499" i="53" s="1"/>
  <c r="Q1499" i="53" s="1"/>
  <c r="M978" i="59"/>
  <c r="M632" i="53"/>
  <c r="M632" i="31"/>
  <c r="M980" i="37"/>
  <c r="M284" i="31"/>
  <c r="M981" i="53"/>
  <c r="M631" i="37"/>
  <c r="M282" i="37"/>
  <c r="O1353" i="54"/>
  <c r="O1004" i="54"/>
  <c r="O306" i="54"/>
  <c r="O655" i="54"/>
  <c r="O306" i="52"/>
  <c r="O1349" i="51"/>
  <c r="O1004" i="52"/>
  <c r="O655" i="52"/>
  <c r="O1702" i="52"/>
  <c r="O1353" i="52"/>
  <c r="O1001" i="51"/>
  <c r="O652" i="51"/>
  <c r="O304" i="51"/>
  <c r="O304" i="59"/>
  <c r="O1002" i="59"/>
  <c r="O1354" i="53"/>
  <c r="O307" i="53"/>
  <c r="O653" i="59"/>
  <c r="O1005" i="53"/>
  <c r="O1004" i="37"/>
  <c r="O1703" i="53"/>
  <c r="O656" i="31"/>
  <c r="O655" i="37"/>
  <c r="O306" i="37"/>
  <c r="O656" i="53"/>
  <c r="O308" i="31"/>
  <c r="S989" i="54"/>
  <c r="O809" i="54" s="1"/>
  <c r="S809" i="54" s="1"/>
  <c r="S1338" i="54"/>
  <c r="O1158" i="54" s="1"/>
  <c r="S1158" i="54" s="1"/>
  <c r="S291" i="54"/>
  <c r="O111" i="54" s="1"/>
  <c r="S111" i="54" s="1"/>
  <c r="S989" i="52"/>
  <c r="O809" i="52" s="1"/>
  <c r="S809" i="52" s="1"/>
  <c r="S640" i="54"/>
  <c r="O460" i="54" s="1"/>
  <c r="S460" i="54" s="1"/>
  <c r="S986" i="51"/>
  <c r="O806" i="51" s="1"/>
  <c r="S806" i="51" s="1"/>
  <c r="S987" i="59"/>
  <c r="O807" i="59" s="1"/>
  <c r="S807" i="59" s="1"/>
  <c r="S1687" i="52"/>
  <c r="O1507" i="52" s="1"/>
  <c r="S1507" i="52" s="1"/>
  <c r="S1338" i="52"/>
  <c r="O1158" i="52" s="1"/>
  <c r="S1158" i="52" s="1"/>
  <c r="S640" i="52"/>
  <c r="O460" i="52" s="1"/>
  <c r="S460" i="52" s="1"/>
  <c r="S1334" i="51"/>
  <c r="O1155" i="51" s="1"/>
  <c r="S1155" i="51" s="1"/>
  <c r="S1688" i="53"/>
  <c r="S990" i="53"/>
  <c r="O810" i="53" s="1"/>
  <c r="S810" i="53" s="1"/>
  <c r="S291" i="52"/>
  <c r="O111" i="52" s="1"/>
  <c r="S111" i="52" s="1"/>
  <c r="S637" i="51"/>
  <c r="O458" i="51" s="1"/>
  <c r="S458" i="51" s="1"/>
  <c r="S289" i="51"/>
  <c r="O110" i="51" s="1"/>
  <c r="S110" i="51" s="1"/>
  <c r="S289" i="59"/>
  <c r="O109" i="59" s="1"/>
  <c r="S109" i="59" s="1"/>
  <c r="S989" i="37"/>
  <c r="O809" i="37" s="1"/>
  <c r="S809" i="37" s="1"/>
  <c r="S638" i="59"/>
  <c r="O458" i="59" s="1"/>
  <c r="S458" i="59" s="1"/>
  <c r="S1339" i="53"/>
  <c r="O1159" i="53" s="1"/>
  <c r="S1159" i="53" s="1"/>
  <c r="S293" i="31"/>
  <c r="O112" i="31" s="1"/>
  <c r="S112" i="31" s="1"/>
  <c r="S641" i="53"/>
  <c r="O461" i="53" s="1"/>
  <c r="S461" i="53" s="1"/>
  <c r="S291" i="37"/>
  <c r="O111" i="37" s="1"/>
  <c r="S111" i="37" s="1"/>
  <c r="S292" i="53"/>
  <c r="O112" i="53" s="1"/>
  <c r="S112" i="53" s="1"/>
  <c r="S640" i="37"/>
  <c r="O460" i="37" s="1"/>
  <c r="S460" i="37" s="1"/>
  <c r="S641" i="31"/>
  <c r="O461" i="31" s="1"/>
  <c r="S461" i="31" s="1"/>
  <c r="Q1359" i="52"/>
  <c r="Q1359" i="54"/>
  <c r="Q661" i="54"/>
  <c r="Q1010" i="54"/>
  <c r="Q1708" i="52"/>
  <c r="Q312" i="52"/>
  <c r="Q1355" i="51"/>
  <c r="Q658" i="51"/>
  <c r="Q1360" i="53"/>
  <c r="Q661" i="52"/>
  <c r="Q1010" i="52"/>
  <c r="Q312" i="54"/>
  <c r="Q659" i="59"/>
  <c r="Q1007" i="51"/>
  <c r="Q1008" i="59"/>
  <c r="Q310" i="51"/>
  <c r="Q662" i="53"/>
  <c r="Q310" i="59"/>
  <c r="Q1709" i="53"/>
  <c r="Q313" i="53"/>
  <c r="Q662" i="31"/>
  <c r="Q661" i="37"/>
  <c r="Q314" i="31"/>
  <c r="Q1011" i="53"/>
  <c r="Q312" i="37"/>
  <c r="Q1010" i="37"/>
  <c r="O1013" i="54"/>
  <c r="O1362" i="54"/>
  <c r="O315" i="54"/>
  <c r="O1013" i="52"/>
  <c r="O664" i="54"/>
  <c r="O1010" i="51"/>
  <c r="O1362" i="52"/>
  <c r="O1011" i="59"/>
  <c r="O664" i="52"/>
  <c r="O1711" i="52"/>
  <c r="O1712" i="53"/>
  <c r="O661" i="51"/>
  <c r="O1014" i="53"/>
  <c r="O315" i="52"/>
  <c r="O1358" i="51"/>
  <c r="O313" i="51"/>
  <c r="O1013" i="37"/>
  <c r="O313" i="59"/>
  <c r="O662" i="59"/>
  <c r="O664" i="37"/>
  <c r="O315" i="37"/>
  <c r="O316" i="53"/>
  <c r="O665" i="31"/>
  <c r="O317" i="31"/>
  <c r="O1363" i="53"/>
  <c r="O665" i="53"/>
  <c r="O981" i="54"/>
  <c r="O1330" i="54"/>
  <c r="O1330" i="52"/>
  <c r="O632" i="54"/>
  <c r="O283" i="54"/>
  <c r="O1679" i="52"/>
  <c r="O981" i="52"/>
  <c r="O632" i="52"/>
  <c r="O978" i="51"/>
  <c r="O281" i="59"/>
  <c r="O281" i="51"/>
  <c r="O1326" i="51"/>
  <c r="O629" i="51"/>
  <c r="O284" i="53"/>
  <c r="O283" i="52"/>
  <c r="O630" i="59"/>
  <c r="O1331" i="53"/>
  <c r="O633" i="53"/>
  <c r="O979" i="59"/>
  <c r="O1680" i="53"/>
  <c r="O1500" i="53" s="1"/>
  <c r="S1500" i="53" s="1"/>
  <c r="O633" i="31"/>
  <c r="O982" i="53"/>
  <c r="O632" i="37"/>
  <c r="O285" i="31"/>
  <c r="O283" i="37"/>
  <c r="O981" i="37"/>
  <c r="O1698" i="52"/>
  <c r="O1349" i="54"/>
  <c r="O651" i="54"/>
  <c r="O1000" i="54"/>
  <c r="O651" i="52"/>
  <c r="O302" i="52"/>
  <c r="O1345" i="51"/>
  <c r="O1000" i="52"/>
  <c r="O1349" i="52"/>
  <c r="O302" i="54"/>
  <c r="O648" i="51"/>
  <c r="O997" i="51"/>
  <c r="O300" i="51"/>
  <c r="O649" i="59"/>
  <c r="O1699" i="53"/>
  <c r="O1519" i="53" s="1"/>
  <c r="S1519" i="53" s="1"/>
  <c r="O652" i="53"/>
  <c r="O304" i="31"/>
  <c r="O300" i="59"/>
  <c r="O1350" i="53"/>
  <c r="O998" i="59"/>
  <c r="O651" i="37"/>
  <c r="O1001" i="53"/>
  <c r="O652" i="31"/>
  <c r="O303" i="53"/>
  <c r="O1000" i="37"/>
  <c r="O302" i="37"/>
  <c r="O1334" i="52"/>
  <c r="O1334" i="54"/>
  <c r="O636" i="52"/>
  <c r="O1330" i="51"/>
  <c r="O287" i="52"/>
  <c r="O287" i="54"/>
  <c r="O985" i="52"/>
  <c r="O633" i="51"/>
  <c r="O985" i="54"/>
  <c r="O982" i="51"/>
  <c r="O1683" i="52"/>
  <c r="O636" i="54"/>
  <c r="O634" i="59"/>
  <c r="O285" i="51"/>
  <c r="O983" i="59"/>
  <c r="O1684" i="53"/>
  <c r="O1504" i="53" s="1"/>
  <c r="S1504" i="53" s="1"/>
  <c r="O637" i="53"/>
  <c r="O986" i="53"/>
  <c r="O985" i="37"/>
  <c r="O1335" i="53"/>
  <c r="O285" i="59"/>
  <c r="O288" i="53"/>
  <c r="O287" i="37"/>
  <c r="O637" i="31"/>
  <c r="O636" i="37"/>
  <c r="O289" i="31"/>
  <c r="O1328" i="54"/>
  <c r="O1677" i="52"/>
  <c r="O281" i="54"/>
  <c r="O979" i="54"/>
  <c r="O979" i="52"/>
  <c r="O628" i="59"/>
  <c r="O1328" i="52"/>
  <c r="O630" i="54"/>
  <c r="O630" i="52"/>
  <c r="O627" i="51"/>
  <c r="O1329" i="53"/>
  <c r="O1324" i="51"/>
  <c r="O279" i="51"/>
  <c r="O976" i="51"/>
  <c r="O631" i="53"/>
  <c r="O281" i="52"/>
  <c r="O977" i="59"/>
  <c r="O1678" i="53"/>
  <c r="O1498" i="53" s="1"/>
  <c r="S1498" i="53" s="1"/>
  <c r="O279" i="59"/>
  <c r="O281" i="37"/>
  <c r="O980" i="53"/>
  <c r="O631" i="31"/>
  <c r="O630" i="37"/>
  <c r="O283" i="31"/>
  <c r="O282" i="53"/>
  <c r="O979" i="37"/>
  <c r="S1013" i="54"/>
  <c r="S1362" i="54"/>
  <c r="S1013" i="52"/>
  <c r="S1711" i="52"/>
  <c r="S1010" i="51"/>
  <c r="S664" i="52"/>
  <c r="S315" i="54"/>
  <c r="S1362" i="52"/>
  <c r="S1011" i="59"/>
  <c r="S664" i="54"/>
  <c r="S315" i="52"/>
  <c r="S1712" i="53"/>
  <c r="S661" i="51"/>
  <c r="S1014" i="53"/>
  <c r="S313" i="51"/>
  <c r="S1358" i="51"/>
  <c r="S1013" i="37"/>
  <c r="S662" i="59"/>
  <c r="S313" i="59"/>
  <c r="S665" i="53"/>
  <c r="S315" i="37"/>
  <c r="S317" i="31"/>
  <c r="S1363" i="53"/>
  <c r="S316" i="53"/>
  <c r="S664" i="37"/>
  <c r="S665" i="31"/>
  <c r="S981" i="54"/>
  <c r="O801" i="54" s="1"/>
  <c r="S801" i="54" s="1"/>
  <c r="S1330" i="54"/>
  <c r="O1150" i="54" s="1"/>
  <c r="S1150" i="54" s="1"/>
  <c r="S1330" i="52"/>
  <c r="O1150" i="52" s="1"/>
  <c r="S1150" i="52" s="1"/>
  <c r="S632" i="54"/>
  <c r="O452" i="54" s="1"/>
  <c r="S452" i="54" s="1"/>
  <c r="S283" i="52"/>
  <c r="O103" i="52" s="1"/>
  <c r="S103" i="52" s="1"/>
  <c r="S981" i="52"/>
  <c r="O801" i="52" s="1"/>
  <c r="S801" i="52" s="1"/>
  <c r="S283" i="54"/>
  <c r="O103" i="54" s="1"/>
  <c r="S103" i="54" s="1"/>
  <c r="S1679" i="52"/>
  <c r="O1499" i="52" s="1"/>
  <c r="S1499" i="52" s="1"/>
  <c r="S632" i="52"/>
  <c r="O452" i="52" s="1"/>
  <c r="S452" i="52" s="1"/>
  <c r="S1326" i="51"/>
  <c r="O1147" i="51" s="1"/>
  <c r="S1147" i="51" s="1"/>
  <c r="S978" i="51"/>
  <c r="O798" i="51" s="1"/>
  <c r="S798" i="51" s="1"/>
  <c r="S281" i="59"/>
  <c r="O101" i="59" s="1"/>
  <c r="S101" i="59" s="1"/>
  <c r="S281" i="51"/>
  <c r="O102" i="51" s="1"/>
  <c r="S102" i="51" s="1"/>
  <c r="S629" i="51"/>
  <c r="O450" i="51" s="1"/>
  <c r="S450" i="51" s="1"/>
  <c r="S284" i="53"/>
  <c r="O104" i="53" s="1"/>
  <c r="S104" i="53" s="1"/>
  <c r="S630" i="59"/>
  <c r="O450" i="59" s="1"/>
  <c r="S450" i="59" s="1"/>
  <c r="S1331" i="53"/>
  <c r="O1151" i="53" s="1"/>
  <c r="S1151" i="53" s="1"/>
  <c r="S1680" i="53"/>
  <c r="S633" i="53"/>
  <c r="O453" i="53" s="1"/>
  <c r="S453" i="53" s="1"/>
  <c r="S979" i="59"/>
  <c r="O799" i="59" s="1"/>
  <c r="S799" i="59" s="1"/>
  <c r="S632" i="37"/>
  <c r="O452" i="37" s="1"/>
  <c r="S452" i="37" s="1"/>
  <c r="S633" i="31"/>
  <c r="O453" i="31" s="1"/>
  <c r="S453" i="31" s="1"/>
  <c r="S981" i="37"/>
  <c r="O801" i="37" s="1"/>
  <c r="S801" i="37" s="1"/>
  <c r="S285" i="31"/>
  <c r="O104" i="31" s="1"/>
  <c r="S104" i="31" s="1"/>
  <c r="S283" i="37"/>
  <c r="O103" i="37" s="1"/>
  <c r="S103" i="37" s="1"/>
  <c r="S982" i="53"/>
  <c r="O802" i="53" s="1"/>
  <c r="S802" i="53" s="1"/>
  <c r="M1345" i="54"/>
  <c r="M647" i="54"/>
  <c r="M996" i="54"/>
  <c r="M647" i="52"/>
  <c r="M1694" i="52"/>
  <c r="M298" i="52"/>
  <c r="M1345" i="52"/>
  <c r="M644" i="51"/>
  <c r="M298" i="54"/>
  <c r="M1341" i="51"/>
  <c r="M996" i="52"/>
  <c r="M645" i="59"/>
  <c r="M993" i="51"/>
  <c r="M296" i="51"/>
  <c r="M296" i="59"/>
  <c r="M648" i="53"/>
  <c r="M1346" i="53"/>
  <c r="M299" i="53"/>
  <c r="M1695" i="53"/>
  <c r="M1515" i="53" s="1"/>
  <c r="Q1515" i="53" s="1"/>
  <c r="M994" i="59"/>
  <c r="M997" i="53"/>
  <c r="M996" i="37"/>
  <c r="M647" i="37"/>
  <c r="M648" i="31"/>
  <c r="M300" i="31"/>
  <c r="M298" i="37"/>
  <c r="Q652" i="54"/>
  <c r="M472" i="54" s="1"/>
  <c r="Q472" i="54" s="1"/>
  <c r="Q303" i="54"/>
  <c r="M123" i="54" s="1"/>
  <c r="Q123" i="54" s="1"/>
  <c r="Q1699" i="52"/>
  <c r="M1519" i="52" s="1"/>
  <c r="Q1519" i="52" s="1"/>
  <c r="Q1001" i="54"/>
  <c r="M821" i="54" s="1"/>
  <c r="Q821" i="54" s="1"/>
  <c r="Q1350" i="54"/>
  <c r="M1170" i="54" s="1"/>
  <c r="Q1170" i="54" s="1"/>
  <c r="Q1350" i="52"/>
  <c r="M1170" i="52" s="1"/>
  <c r="Q1170" i="52" s="1"/>
  <c r="Q1346" i="51"/>
  <c r="M1167" i="51" s="1"/>
  <c r="Q1167" i="51" s="1"/>
  <c r="Q652" i="52"/>
  <c r="M472" i="52" s="1"/>
  <c r="Q472" i="52" s="1"/>
  <c r="Q1001" i="52"/>
  <c r="M821" i="52" s="1"/>
  <c r="Q821" i="52" s="1"/>
  <c r="Q649" i="51"/>
  <c r="M470" i="51" s="1"/>
  <c r="Q470" i="51" s="1"/>
  <c r="Q303" i="52"/>
  <c r="M123" i="52" s="1"/>
  <c r="Q123" i="52" s="1"/>
  <c r="Q301" i="51"/>
  <c r="M122" i="51" s="1"/>
  <c r="Q122" i="51" s="1"/>
  <c r="Q998" i="51"/>
  <c r="M818" i="51" s="1"/>
  <c r="Q818" i="51" s="1"/>
  <c r="Q1700" i="53"/>
  <c r="Q650" i="59"/>
  <c r="M470" i="59" s="1"/>
  <c r="Q470" i="59" s="1"/>
  <c r="Q305" i="31"/>
  <c r="M124" i="31" s="1"/>
  <c r="Q124" i="31" s="1"/>
  <c r="Q999" i="59"/>
  <c r="M819" i="59" s="1"/>
  <c r="Q819" i="59" s="1"/>
  <c r="Q301" i="59"/>
  <c r="M121" i="59" s="1"/>
  <c r="Q121" i="59" s="1"/>
  <c r="Q653" i="53"/>
  <c r="M473" i="53" s="1"/>
  <c r="Q473" i="53" s="1"/>
  <c r="Q652" i="37"/>
  <c r="M472" i="37" s="1"/>
  <c r="Q472" i="37" s="1"/>
  <c r="Q303" i="37"/>
  <c r="M123" i="37" s="1"/>
  <c r="Q123" i="37" s="1"/>
  <c r="Q304" i="53"/>
  <c r="M124" i="53" s="1"/>
  <c r="Q124" i="53" s="1"/>
  <c r="Q1001" i="37"/>
  <c r="M821" i="37" s="1"/>
  <c r="Q821" i="37" s="1"/>
  <c r="Q653" i="31"/>
  <c r="M473" i="31" s="1"/>
  <c r="Q473" i="31" s="1"/>
  <c r="Q1351" i="53"/>
  <c r="M1171" i="53" s="1"/>
  <c r="Q1171" i="53" s="1"/>
  <c r="Q1002" i="53"/>
  <c r="M822" i="53" s="1"/>
  <c r="Q822" i="53" s="1"/>
  <c r="O1686" i="52"/>
  <c r="O1337" i="54"/>
  <c r="O290" i="54"/>
  <c r="O290" i="52"/>
  <c r="O1333" i="51"/>
  <c r="O988" i="54"/>
  <c r="O639" i="54"/>
  <c r="O1337" i="52"/>
  <c r="O639" i="52"/>
  <c r="O988" i="52"/>
  <c r="O636" i="51"/>
  <c r="O985" i="51"/>
  <c r="O637" i="59"/>
  <c r="O288" i="51"/>
  <c r="O288" i="59"/>
  <c r="O986" i="59"/>
  <c r="O292" i="31"/>
  <c r="O640" i="53"/>
  <c r="O1687" i="53"/>
  <c r="O1507" i="53" s="1"/>
  <c r="S1507" i="53" s="1"/>
  <c r="O1338" i="53"/>
  <c r="O291" i="53"/>
  <c r="O639" i="37"/>
  <c r="O988" i="37"/>
  <c r="O640" i="31"/>
  <c r="O290" i="37"/>
  <c r="O989" i="53"/>
  <c r="M1354" i="54"/>
  <c r="M1703" i="52"/>
  <c r="M307" i="54"/>
  <c r="M1354" i="52"/>
  <c r="M656" i="52"/>
  <c r="M1005" i="52"/>
  <c r="M653" i="51"/>
  <c r="M656" i="54"/>
  <c r="M1002" i="51"/>
  <c r="M1005" i="54"/>
  <c r="M307" i="52"/>
  <c r="M305" i="51"/>
  <c r="M1350" i="51"/>
  <c r="M1003" i="59"/>
  <c r="M1704" i="53"/>
  <c r="M654" i="59"/>
  <c r="M1006" i="53"/>
  <c r="M305" i="59"/>
  <c r="M656" i="37"/>
  <c r="M309" i="31"/>
  <c r="M308" i="53"/>
  <c r="M307" i="37"/>
  <c r="M657" i="53"/>
  <c r="M1005" i="37"/>
  <c r="M1355" i="53"/>
  <c r="M657" i="31"/>
  <c r="Q647" i="54"/>
  <c r="M467" i="54" s="1"/>
  <c r="Q467" i="54" s="1"/>
  <c r="Q298" i="54"/>
  <c r="M118" i="54" s="1"/>
  <c r="Q118" i="54" s="1"/>
  <c r="Q1694" i="52"/>
  <c r="M1514" i="52" s="1"/>
  <c r="Q1514" i="52" s="1"/>
  <c r="Q996" i="54"/>
  <c r="M816" i="54" s="1"/>
  <c r="Q816" i="54" s="1"/>
  <c r="Q1345" i="54"/>
  <c r="M1165" i="54" s="1"/>
  <c r="Q1165" i="54" s="1"/>
  <c r="Q1345" i="52"/>
  <c r="M1165" i="52" s="1"/>
  <c r="Q1165" i="52" s="1"/>
  <c r="Q993" i="51"/>
  <c r="M813" i="51" s="1"/>
  <c r="Q813" i="51" s="1"/>
  <c r="Q996" i="52"/>
  <c r="M816" i="52" s="1"/>
  <c r="Q816" i="52" s="1"/>
  <c r="Q1695" i="53"/>
  <c r="Q647" i="52"/>
  <c r="M467" i="52" s="1"/>
  <c r="Q467" i="52" s="1"/>
  <c r="Q994" i="59"/>
  <c r="M814" i="59" s="1"/>
  <c r="Q814" i="59" s="1"/>
  <c r="Q644" i="51"/>
  <c r="M465" i="51" s="1"/>
  <c r="Q465" i="51" s="1"/>
  <c r="Q1341" i="51"/>
  <c r="M1162" i="51" s="1"/>
  <c r="Q1162" i="51" s="1"/>
  <c r="Q645" i="59"/>
  <c r="M465" i="59" s="1"/>
  <c r="Q465" i="59" s="1"/>
  <c r="Q1346" i="53"/>
  <c r="M1166" i="53" s="1"/>
  <c r="Q1166" i="53" s="1"/>
  <c r="Q996" i="37"/>
  <c r="M816" i="37" s="1"/>
  <c r="Q816" i="37" s="1"/>
  <c r="Q296" i="51"/>
  <c r="M117" i="51" s="1"/>
  <c r="Q117" i="51" s="1"/>
  <c r="Q298" i="52"/>
  <c r="M118" i="52" s="1"/>
  <c r="Q118" i="52" s="1"/>
  <c r="Q997" i="53"/>
  <c r="M817" i="53" s="1"/>
  <c r="Q817" i="53" s="1"/>
  <c r="Q648" i="53"/>
  <c r="M468" i="53" s="1"/>
  <c r="Q468" i="53" s="1"/>
  <c r="Q296" i="59"/>
  <c r="M116" i="59" s="1"/>
  <c r="Q116" i="59" s="1"/>
  <c r="Q299" i="53"/>
  <c r="M119" i="53" s="1"/>
  <c r="Q119" i="53" s="1"/>
  <c r="Q648" i="31"/>
  <c r="M468" i="31" s="1"/>
  <c r="Q468" i="31" s="1"/>
  <c r="Q300" i="31"/>
  <c r="M119" i="31" s="1"/>
  <c r="Q119" i="31" s="1"/>
  <c r="Q647" i="37"/>
  <c r="M467" i="37" s="1"/>
  <c r="Q467" i="37" s="1"/>
  <c r="Q298" i="37"/>
  <c r="M118" i="37" s="1"/>
  <c r="Q118" i="37" s="1"/>
  <c r="O998" i="54"/>
  <c r="O1347" i="54"/>
  <c r="O649" i="54"/>
  <c r="O1696" i="52"/>
  <c r="O998" i="52"/>
  <c r="O300" i="52"/>
  <c r="O1347" i="52"/>
  <c r="O300" i="54"/>
  <c r="O1343" i="51"/>
  <c r="O649" i="52"/>
  <c r="O995" i="51"/>
  <c r="O646" i="51"/>
  <c r="O298" i="51"/>
  <c r="O996" i="59"/>
  <c r="O1697" i="53"/>
  <c r="O1517" i="53" s="1"/>
  <c r="S1517" i="53" s="1"/>
  <c r="O298" i="59"/>
  <c r="O650" i="31"/>
  <c r="O647" i="59"/>
  <c r="O301" i="53"/>
  <c r="O649" i="37"/>
  <c r="O1348" i="53"/>
  <c r="O998" i="37"/>
  <c r="O999" i="53"/>
  <c r="O650" i="53"/>
  <c r="O302" i="31"/>
  <c r="O300" i="37"/>
  <c r="S651" i="54"/>
  <c r="O471" i="54" s="1"/>
  <c r="S471" i="54" s="1"/>
  <c r="S302" i="54"/>
  <c r="O122" i="54" s="1"/>
  <c r="S122" i="54" s="1"/>
  <c r="S1698" i="52"/>
  <c r="O1518" i="52" s="1"/>
  <c r="S1518" i="52" s="1"/>
  <c r="S1000" i="54"/>
  <c r="O820" i="54" s="1"/>
  <c r="S820" i="54" s="1"/>
  <c r="S1349" i="54"/>
  <c r="O1169" i="54" s="1"/>
  <c r="S1169" i="54" s="1"/>
  <c r="S1349" i="52"/>
  <c r="O1169" i="52" s="1"/>
  <c r="S1169" i="52" s="1"/>
  <c r="S1345" i="51"/>
  <c r="O1166" i="51" s="1"/>
  <c r="S1166" i="51" s="1"/>
  <c r="S302" i="52"/>
  <c r="O122" i="52" s="1"/>
  <c r="S122" i="52" s="1"/>
  <c r="S651" i="52"/>
  <c r="O471" i="52" s="1"/>
  <c r="S471" i="52" s="1"/>
  <c r="S1000" i="52"/>
  <c r="O820" i="52" s="1"/>
  <c r="S820" i="52" s="1"/>
  <c r="S648" i="51"/>
  <c r="O469" i="51" s="1"/>
  <c r="S469" i="51" s="1"/>
  <c r="S300" i="51"/>
  <c r="O121" i="51" s="1"/>
  <c r="S121" i="51" s="1"/>
  <c r="S997" i="51"/>
  <c r="O817" i="51" s="1"/>
  <c r="S817" i="51" s="1"/>
  <c r="S300" i="59"/>
  <c r="O120" i="59" s="1"/>
  <c r="S120" i="59" s="1"/>
  <c r="S1699" i="53"/>
  <c r="S998" i="59"/>
  <c r="O818" i="59" s="1"/>
  <c r="S818" i="59" s="1"/>
  <c r="S1350" i="53"/>
  <c r="O1170" i="53" s="1"/>
  <c r="S1170" i="53" s="1"/>
  <c r="S652" i="53"/>
  <c r="O472" i="53" s="1"/>
  <c r="S472" i="53" s="1"/>
  <c r="S651" i="37"/>
  <c r="O471" i="37" s="1"/>
  <c r="S471" i="37" s="1"/>
  <c r="S304" i="31"/>
  <c r="O123" i="31" s="1"/>
  <c r="S123" i="31" s="1"/>
  <c r="S649" i="59"/>
  <c r="O469" i="59" s="1"/>
  <c r="S469" i="59" s="1"/>
  <c r="S652" i="31"/>
  <c r="O472" i="31" s="1"/>
  <c r="S472" i="31" s="1"/>
  <c r="S1001" i="53"/>
  <c r="O821" i="53" s="1"/>
  <c r="S821" i="53" s="1"/>
  <c r="S303" i="53"/>
  <c r="O123" i="53" s="1"/>
  <c r="S123" i="53" s="1"/>
  <c r="S302" i="37"/>
  <c r="O122" i="37" s="1"/>
  <c r="S122" i="37" s="1"/>
  <c r="S1000" i="37"/>
  <c r="O820" i="37" s="1"/>
  <c r="S820" i="37" s="1"/>
  <c r="O986" i="54"/>
  <c r="O1335" i="54"/>
  <c r="O288" i="54"/>
  <c r="O637" i="52"/>
  <c r="O288" i="52"/>
  <c r="O986" i="52"/>
  <c r="O1684" i="52"/>
  <c r="O1335" i="52"/>
  <c r="O637" i="54"/>
  <c r="O1331" i="51"/>
  <c r="O983" i="51"/>
  <c r="O634" i="51"/>
  <c r="O286" i="51"/>
  <c r="O984" i="59"/>
  <c r="O635" i="59"/>
  <c r="O638" i="53"/>
  <c r="O638" i="31"/>
  <c r="O1685" i="53"/>
  <c r="O1505" i="53" s="1"/>
  <c r="S1505" i="53" s="1"/>
  <c r="O1336" i="53"/>
  <c r="O286" i="59"/>
  <c r="O289" i="53"/>
  <c r="O986" i="37"/>
  <c r="O288" i="37"/>
  <c r="O987" i="53"/>
  <c r="O637" i="37"/>
  <c r="O290" i="31"/>
  <c r="S1008" i="54"/>
  <c r="S1357" i="54"/>
  <c r="S1357" i="52"/>
  <c r="S310" i="54"/>
  <c r="S1008" i="52"/>
  <c r="S1706" i="52"/>
  <c r="S659" i="54"/>
  <c r="S659" i="52"/>
  <c r="S308" i="51"/>
  <c r="S1005" i="51"/>
  <c r="S310" i="52"/>
  <c r="S1353" i="51"/>
  <c r="S1006" i="59"/>
  <c r="S657" i="59"/>
  <c r="S656" i="51"/>
  <c r="S310" i="37"/>
  <c r="S308" i="59"/>
  <c r="S1707" i="53"/>
  <c r="S1358" i="53"/>
  <c r="S659" i="37"/>
  <c r="S1009" i="53"/>
  <c r="S660" i="31"/>
  <c r="S311" i="53"/>
  <c r="S1008" i="37"/>
  <c r="S660" i="53"/>
  <c r="S312" i="31"/>
  <c r="S1351" i="52"/>
  <c r="O1171" i="52" s="1"/>
  <c r="S1171" i="52" s="1"/>
  <c r="S1351" i="54"/>
  <c r="O1171" i="54" s="1"/>
  <c r="S1171" i="54" s="1"/>
  <c r="S1700" i="52"/>
  <c r="O1520" i="52" s="1"/>
  <c r="S1520" i="52" s="1"/>
  <c r="S653" i="54"/>
  <c r="O473" i="54" s="1"/>
  <c r="S473" i="54" s="1"/>
  <c r="S304" i="52"/>
  <c r="O124" i="52" s="1"/>
  <c r="S124" i="52" s="1"/>
  <c r="S1002" i="54"/>
  <c r="O822" i="54" s="1"/>
  <c r="S822" i="54" s="1"/>
  <c r="S653" i="52"/>
  <c r="O473" i="52" s="1"/>
  <c r="S473" i="52" s="1"/>
  <c r="S1347" i="51"/>
  <c r="O1168" i="51" s="1"/>
  <c r="S1168" i="51" s="1"/>
  <c r="S1002" i="52"/>
  <c r="O822" i="52" s="1"/>
  <c r="S822" i="52" s="1"/>
  <c r="S304" i="54"/>
  <c r="O124" i="54" s="1"/>
  <c r="S124" i="54" s="1"/>
  <c r="S999" i="51"/>
  <c r="O819" i="51" s="1"/>
  <c r="S819" i="51" s="1"/>
  <c r="S1000" i="59"/>
  <c r="O820" i="59" s="1"/>
  <c r="S820" i="59" s="1"/>
  <c r="S651" i="59"/>
  <c r="O471" i="59" s="1"/>
  <c r="S471" i="59" s="1"/>
  <c r="S1352" i="53"/>
  <c r="O1172" i="53" s="1"/>
  <c r="S1172" i="53" s="1"/>
  <c r="S650" i="51"/>
  <c r="O471" i="51" s="1"/>
  <c r="S471" i="51" s="1"/>
  <c r="S302" i="51"/>
  <c r="O123" i="51" s="1"/>
  <c r="S123" i="51" s="1"/>
  <c r="S1701" i="53"/>
  <c r="S302" i="59"/>
  <c r="O122" i="59" s="1"/>
  <c r="S122" i="59" s="1"/>
  <c r="S654" i="53"/>
  <c r="O474" i="53" s="1"/>
  <c r="S474" i="53" s="1"/>
  <c r="S305" i="53"/>
  <c r="O125" i="53" s="1"/>
  <c r="S125" i="53" s="1"/>
  <c r="S304" i="37"/>
  <c r="O124" i="37" s="1"/>
  <c r="S124" i="37" s="1"/>
  <c r="S654" i="31"/>
  <c r="O474" i="31" s="1"/>
  <c r="S474" i="31" s="1"/>
  <c r="S1003" i="53"/>
  <c r="O823" i="53" s="1"/>
  <c r="S823" i="53" s="1"/>
  <c r="S306" i="31"/>
  <c r="O125" i="31" s="1"/>
  <c r="S125" i="31" s="1"/>
  <c r="S1002" i="37"/>
  <c r="O822" i="37" s="1"/>
  <c r="S822" i="37" s="1"/>
  <c r="S653" i="37"/>
  <c r="O473" i="37" s="1"/>
  <c r="S473" i="37" s="1"/>
  <c r="S998" i="54"/>
  <c r="O818" i="54" s="1"/>
  <c r="S818" i="54" s="1"/>
  <c r="S1347" i="54"/>
  <c r="O1167" i="54" s="1"/>
  <c r="S1167" i="54" s="1"/>
  <c r="S300" i="54"/>
  <c r="O120" i="54" s="1"/>
  <c r="S120" i="54" s="1"/>
  <c r="S649" i="52"/>
  <c r="O469" i="52" s="1"/>
  <c r="S469" i="52" s="1"/>
  <c r="S300" i="52"/>
  <c r="O120" i="52" s="1"/>
  <c r="S120" i="52" s="1"/>
  <c r="S1696" i="52"/>
  <c r="O1516" i="52" s="1"/>
  <c r="S1516" i="52" s="1"/>
  <c r="S1347" i="52"/>
  <c r="O1167" i="52" s="1"/>
  <c r="S1167" i="52" s="1"/>
  <c r="S649" i="54"/>
  <c r="O469" i="54" s="1"/>
  <c r="S469" i="54" s="1"/>
  <c r="S998" i="52"/>
  <c r="O818" i="52" s="1"/>
  <c r="S818" i="52" s="1"/>
  <c r="S1343" i="51"/>
  <c r="O1164" i="51" s="1"/>
  <c r="S1164" i="51" s="1"/>
  <c r="S646" i="51"/>
  <c r="O467" i="51" s="1"/>
  <c r="S467" i="51" s="1"/>
  <c r="S298" i="51"/>
  <c r="O119" i="51" s="1"/>
  <c r="S119" i="51" s="1"/>
  <c r="S995" i="51"/>
  <c r="O815" i="51" s="1"/>
  <c r="S815" i="51" s="1"/>
  <c r="S996" i="59"/>
  <c r="O816" i="59" s="1"/>
  <c r="S816" i="59" s="1"/>
  <c r="S298" i="59"/>
  <c r="O118" i="59" s="1"/>
  <c r="S118" i="59" s="1"/>
  <c r="S1697" i="53"/>
  <c r="S1348" i="53"/>
  <c r="O1168" i="53" s="1"/>
  <c r="S1168" i="53" s="1"/>
  <c r="S650" i="31"/>
  <c r="O470" i="31" s="1"/>
  <c r="S470" i="31" s="1"/>
  <c r="S647" i="59"/>
  <c r="O467" i="59" s="1"/>
  <c r="S467" i="59" s="1"/>
  <c r="S999" i="53"/>
  <c r="O819" i="53" s="1"/>
  <c r="S819" i="53" s="1"/>
  <c r="S649" i="37"/>
  <c r="O469" i="37" s="1"/>
  <c r="S469" i="37" s="1"/>
  <c r="S302" i="31"/>
  <c r="O121" i="31" s="1"/>
  <c r="S121" i="31" s="1"/>
  <c r="S650" i="53"/>
  <c r="O470" i="53" s="1"/>
  <c r="S470" i="53" s="1"/>
  <c r="S301" i="53"/>
  <c r="O121" i="53" s="1"/>
  <c r="S121" i="53" s="1"/>
  <c r="S300" i="37"/>
  <c r="O120" i="37" s="1"/>
  <c r="S120" i="37" s="1"/>
  <c r="S998" i="37"/>
  <c r="O818" i="37" s="1"/>
  <c r="S818" i="37" s="1"/>
  <c r="M1709" i="52"/>
  <c r="M1360" i="54"/>
  <c r="M313" i="54"/>
  <c r="M662" i="54"/>
  <c r="M1011" i="52"/>
  <c r="M313" i="52"/>
  <c r="M1011" i="54"/>
  <c r="M662" i="52"/>
  <c r="M1360" i="52"/>
  <c r="M1356" i="51"/>
  <c r="M659" i="51"/>
  <c r="M1009" i="59"/>
  <c r="M1008" i="51"/>
  <c r="M311" i="51"/>
  <c r="M311" i="59"/>
  <c r="M1361" i="53"/>
  <c r="M314" i="53"/>
  <c r="M660" i="59"/>
  <c r="M315" i="31"/>
  <c r="M662" i="37"/>
  <c r="M1710" i="53"/>
  <c r="M663" i="31"/>
  <c r="M1012" i="53"/>
  <c r="M663" i="53"/>
  <c r="M313" i="37"/>
  <c r="M1011" i="37"/>
  <c r="M1330" i="54"/>
  <c r="M1679" i="52"/>
  <c r="M632" i="54"/>
  <c r="M1330" i="52"/>
  <c r="M632" i="52"/>
  <c r="M981" i="52"/>
  <c r="M283" i="54"/>
  <c r="M629" i="51"/>
  <c r="M981" i="54"/>
  <c r="M283" i="52"/>
  <c r="M978" i="51"/>
  <c r="M1326" i="51"/>
  <c r="M281" i="51"/>
  <c r="M281" i="59"/>
  <c r="M1680" i="53"/>
  <c r="M1500" i="53" s="1"/>
  <c r="Q1500" i="53" s="1"/>
  <c r="M982" i="53"/>
  <c r="M981" i="37"/>
  <c r="M632" i="37"/>
  <c r="M979" i="59"/>
  <c r="M630" i="59"/>
  <c r="M285" i="31"/>
  <c r="M1331" i="53"/>
  <c r="M633" i="53"/>
  <c r="M283" i="37"/>
  <c r="M284" i="53"/>
  <c r="M633" i="31"/>
  <c r="Q1335" i="52"/>
  <c r="M1155" i="52" s="1"/>
  <c r="Q1155" i="52" s="1"/>
  <c r="Q1335" i="54"/>
  <c r="M1155" i="54" s="1"/>
  <c r="Q1155" i="54" s="1"/>
  <c r="Q986" i="54"/>
  <c r="M806" i="54" s="1"/>
  <c r="Q806" i="54" s="1"/>
  <c r="Q288" i="54"/>
  <c r="M108" i="54" s="1"/>
  <c r="Q108" i="54" s="1"/>
  <c r="Q637" i="52"/>
  <c r="M457" i="52" s="1"/>
  <c r="Q457" i="52" s="1"/>
  <c r="Q1331" i="51"/>
  <c r="M1152" i="51" s="1"/>
  <c r="Q1152" i="51" s="1"/>
  <c r="Q983" i="51"/>
  <c r="M803" i="51" s="1"/>
  <c r="Q803" i="51" s="1"/>
  <c r="Q288" i="52"/>
  <c r="M108" i="52" s="1"/>
  <c r="Q108" i="52" s="1"/>
  <c r="Q634" i="51"/>
  <c r="M455" i="51" s="1"/>
  <c r="Q455" i="51" s="1"/>
  <c r="Q1336" i="53"/>
  <c r="M1156" i="53" s="1"/>
  <c r="Q1156" i="53" s="1"/>
  <c r="Q1684" i="52"/>
  <c r="M1504" i="52" s="1"/>
  <c r="Q1504" i="52" s="1"/>
  <c r="Q986" i="52"/>
  <c r="M806" i="52" s="1"/>
  <c r="Q806" i="52" s="1"/>
  <c r="Q637" i="54"/>
  <c r="M457" i="54" s="1"/>
  <c r="Q457" i="54" s="1"/>
  <c r="Q635" i="59"/>
  <c r="M455" i="59" s="1"/>
  <c r="Q455" i="59" s="1"/>
  <c r="Q286" i="51"/>
  <c r="M107" i="51" s="1"/>
  <c r="Q107" i="51" s="1"/>
  <c r="Q984" i="59"/>
  <c r="M804" i="59" s="1"/>
  <c r="Q804" i="59" s="1"/>
  <c r="Q1685" i="53"/>
  <c r="Q637" i="37"/>
  <c r="M457" i="37" s="1"/>
  <c r="Q457" i="37" s="1"/>
  <c r="Q638" i="53"/>
  <c r="M458" i="53" s="1"/>
  <c r="Q458" i="53" s="1"/>
  <c r="Q286" i="59"/>
  <c r="M106" i="59" s="1"/>
  <c r="Q106" i="59" s="1"/>
  <c r="Q987" i="53"/>
  <c r="M807" i="53" s="1"/>
  <c r="Q807" i="53" s="1"/>
  <c r="Q986" i="37"/>
  <c r="M806" i="37" s="1"/>
  <c r="Q806" i="37" s="1"/>
  <c r="Q288" i="37"/>
  <c r="M108" i="37" s="1"/>
  <c r="Q108" i="37" s="1"/>
  <c r="Q638" i="31"/>
  <c r="M458" i="31" s="1"/>
  <c r="Q458" i="31" s="1"/>
  <c r="Q289" i="53"/>
  <c r="M109" i="53" s="1"/>
  <c r="Q109" i="53" s="1"/>
  <c r="Q290" i="31"/>
  <c r="M109" i="31" s="1"/>
  <c r="Q109" i="31" s="1"/>
  <c r="S658" i="54"/>
  <c r="S309" i="54"/>
  <c r="S1705" i="52"/>
  <c r="S1007" i="54"/>
  <c r="S1356" i="54"/>
  <c r="S1004" i="51"/>
  <c r="S1007" i="52"/>
  <c r="S1352" i="51"/>
  <c r="S1356" i="52"/>
  <c r="S1706" i="53"/>
  <c r="S658" i="52"/>
  <c r="S309" i="52"/>
  <c r="S1005" i="59"/>
  <c r="S307" i="51"/>
  <c r="S1007" i="37"/>
  <c r="S655" i="51"/>
  <c r="S1008" i="53"/>
  <c r="S656" i="59"/>
  <c r="S307" i="59"/>
  <c r="S1357" i="53"/>
  <c r="S659" i="53"/>
  <c r="S658" i="37"/>
  <c r="S309" i="37"/>
  <c r="S310" i="53"/>
  <c r="S659" i="31"/>
  <c r="S311" i="31"/>
  <c r="M1340" i="54"/>
  <c r="M991" i="54"/>
  <c r="M642" i="54"/>
  <c r="M293" i="54"/>
  <c r="M642" i="52"/>
  <c r="M1336" i="51"/>
  <c r="M1689" i="52"/>
  <c r="M991" i="52"/>
  <c r="M988" i="51"/>
  <c r="M1340" i="52"/>
  <c r="M293" i="52"/>
  <c r="M639" i="51"/>
  <c r="M291" i="51"/>
  <c r="M989" i="59"/>
  <c r="M1690" i="53"/>
  <c r="M1510" i="53" s="1"/>
  <c r="Q1510" i="53" s="1"/>
  <c r="M992" i="53"/>
  <c r="M640" i="59"/>
  <c r="M1341" i="53"/>
  <c r="M291" i="59"/>
  <c r="M643" i="31"/>
  <c r="M643" i="53"/>
  <c r="M991" i="37"/>
  <c r="M294" i="53"/>
  <c r="M293" i="37"/>
  <c r="M642" i="37"/>
  <c r="M295" i="31"/>
  <c r="Q1330" i="54"/>
  <c r="M1150" i="54" s="1"/>
  <c r="Q1150" i="54" s="1"/>
  <c r="Q981" i="54"/>
  <c r="M801" i="54" s="1"/>
  <c r="Q801" i="54" s="1"/>
  <c r="Q283" i="54"/>
  <c r="M103" i="54" s="1"/>
  <c r="Q103" i="54" s="1"/>
  <c r="Q1679" i="52"/>
  <c r="M1499" i="52" s="1"/>
  <c r="Q1499" i="52" s="1"/>
  <c r="Q632" i="52"/>
  <c r="M452" i="52" s="1"/>
  <c r="Q452" i="52" s="1"/>
  <c r="Q1326" i="51"/>
  <c r="M1147" i="51" s="1"/>
  <c r="Q1147" i="51" s="1"/>
  <c r="Q981" i="52"/>
  <c r="M801" i="52" s="1"/>
  <c r="Q801" i="52" s="1"/>
  <c r="Q1330" i="52"/>
  <c r="M1150" i="52" s="1"/>
  <c r="Q1150" i="52" s="1"/>
  <c r="Q632" i="54"/>
  <c r="M452" i="54" s="1"/>
  <c r="Q452" i="54" s="1"/>
  <c r="Q979" i="59"/>
  <c r="M799" i="59" s="1"/>
  <c r="Q799" i="59" s="1"/>
  <c r="Q629" i="51"/>
  <c r="M450" i="51" s="1"/>
  <c r="Q450" i="51" s="1"/>
  <c r="Q630" i="59"/>
  <c r="M450" i="59" s="1"/>
  <c r="Q450" i="59" s="1"/>
  <c r="Q283" i="52"/>
  <c r="M103" i="52" s="1"/>
  <c r="Q103" i="52" s="1"/>
  <c r="Q978" i="51"/>
  <c r="M798" i="51" s="1"/>
  <c r="Q798" i="51" s="1"/>
  <c r="Q281" i="51"/>
  <c r="M102" i="51" s="1"/>
  <c r="Q102" i="51" s="1"/>
  <c r="Q281" i="59"/>
  <c r="M101" i="59" s="1"/>
  <c r="Q101" i="59" s="1"/>
  <c r="Q1680" i="53"/>
  <c r="Q284" i="53"/>
  <c r="M104" i="53" s="1"/>
  <c r="Q104" i="53" s="1"/>
  <c r="Q633" i="31"/>
  <c r="M453" i="31" s="1"/>
  <c r="Q453" i="31" s="1"/>
  <c r="Q1331" i="53"/>
  <c r="M1151" i="53" s="1"/>
  <c r="Q1151" i="53" s="1"/>
  <c r="Q632" i="37"/>
  <c r="M452" i="37" s="1"/>
  <c r="Q452" i="37" s="1"/>
  <c r="Q982" i="53"/>
  <c r="M802" i="53" s="1"/>
  <c r="Q802" i="53" s="1"/>
  <c r="Q633" i="53"/>
  <c r="M453" i="53" s="1"/>
  <c r="Q453" i="53" s="1"/>
  <c r="Q285" i="31"/>
  <c r="M104" i="31" s="1"/>
  <c r="Q104" i="31" s="1"/>
  <c r="Q981" i="37"/>
  <c r="M801" i="37" s="1"/>
  <c r="Q801" i="37" s="1"/>
  <c r="Q283" i="37"/>
  <c r="M103" i="37" s="1"/>
  <c r="Q103" i="37" s="1"/>
  <c r="O633" i="54"/>
  <c r="O284" i="54"/>
  <c r="O1331" i="54"/>
  <c r="O1680" i="52"/>
  <c r="O1331" i="52"/>
  <c r="O633" i="52"/>
  <c r="O284" i="52"/>
  <c r="O630" i="51"/>
  <c r="O982" i="52"/>
  <c r="O982" i="54"/>
  <c r="O1327" i="51"/>
  <c r="O282" i="51"/>
  <c r="O282" i="59"/>
  <c r="O979" i="51"/>
  <c r="O631" i="59"/>
  <c r="O980" i="59"/>
  <c r="O1681" i="53"/>
  <c r="O1501" i="53" s="1"/>
  <c r="S1501" i="53" s="1"/>
  <c r="O633" i="37"/>
  <c r="O983" i="53"/>
  <c r="O982" i="37"/>
  <c r="O286" i="31"/>
  <c r="O1332" i="53"/>
  <c r="O634" i="31"/>
  <c r="O634" i="53"/>
  <c r="O285" i="53"/>
  <c r="O284" i="37"/>
  <c r="S1334" i="52"/>
  <c r="O1154" i="52" s="1"/>
  <c r="S1154" i="52" s="1"/>
  <c r="S985" i="54"/>
  <c r="O805" i="54" s="1"/>
  <c r="S805" i="54" s="1"/>
  <c r="S1334" i="54"/>
  <c r="O1154" i="54" s="1"/>
  <c r="S1154" i="54" s="1"/>
  <c r="S287" i="54"/>
  <c r="O107" i="54" s="1"/>
  <c r="S107" i="54" s="1"/>
  <c r="S287" i="52"/>
  <c r="O107" i="52" s="1"/>
  <c r="S107" i="52" s="1"/>
  <c r="S1330" i="51"/>
  <c r="O1151" i="51" s="1"/>
  <c r="S1151" i="51" s="1"/>
  <c r="S636" i="52"/>
  <c r="O456" i="52" s="1"/>
  <c r="S456" i="52" s="1"/>
  <c r="S636" i="54"/>
  <c r="O456" i="54" s="1"/>
  <c r="S456" i="54" s="1"/>
  <c r="S633" i="51"/>
  <c r="O454" i="51" s="1"/>
  <c r="S454" i="51" s="1"/>
  <c r="S1335" i="53"/>
  <c r="O1155" i="53" s="1"/>
  <c r="S1155" i="53" s="1"/>
  <c r="S1683" i="52"/>
  <c r="O1503" i="52" s="1"/>
  <c r="S1503" i="52" s="1"/>
  <c r="S982" i="51"/>
  <c r="O802" i="51" s="1"/>
  <c r="S802" i="51" s="1"/>
  <c r="S985" i="52"/>
  <c r="O805" i="52" s="1"/>
  <c r="S805" i="52" s="1"/>
  <c r="S634" i="59"/>
  <c r="O454" i="59" s="1"/>
  <c r="S454" i="59" s="1"/>
  <c r="S636" i="37"/>
  <c r="O456" i="37" s="1"/>
  <c r="S456" i="37" s="1"/>
  <c r="S285" i="51"/>
  <c r="O106" i="51" s="1"/>
  <c r="S106" i="51" s="1"/>
  <c r="S983" i="59"/>
  <c r="O803" i="59" s="1"/>
  <c r="S803" i="59" s="1"/>
  <c r="S1684" i="53"/>
  <c r="S637" i="53"/>
  <c r="O457" i="53" s="1"/>
  <c r="S457" i="53" s="1"/>
  <c r="S986" i="53"/>
  <c r="O806" i="53" s="1"/>
  <c r="S806" i="53" s="1"/>
  <c r="S985" i="37"/>
  <c r="O805" i="37" s="1"/>
  <c r="S805" i="37" s="1"/>
  <c r="S285" i="59"/>
  <c r="O105" i="59" s="1"/>
  <c r="S105" i="59" s="1"/>
  <c r="S287" i="37"/>
  <c r="O107" i="37" s="1"/>
  <c r="S107" i="37" s="1"/>
  <c r="S288" i="53"/>
  <c r="O108" i="53" s="1"/>
  <c r="S108" i="53" s="1"/>
  <c r="S637" i="31"/>
  <c r="O457" i="31" s="1"/>
  <c r="S457" i="31" s="1"/>
  <c r="S289" i="31"/>
  <c r="O108" i="31" s="1"/>
  <c r="S108" i="31" s="1"/>
  <c r="S1355" i="54"/>
  <c r="S657" i="54"/>
  <c r="S308" i="54"/>
  <c r="S1704" i="52"/>
  <c r="S1006" i="54"/>
  <c r="S657" i="52"/>
  <c r="S1006" i="52"/>
  <c r="S1003" i="51"/>
  <c r="S654" i="51"/>
  <c r="S1355" i="52"/>
  <c r="S1351" i="51"/>
  <c r="S306" i="51"/>
  <c r="S308" i="52"/>
  <c r="S1004" i="59"/>
  <c r="S1705" i="53"/>
  <c r="S655" i="59"/>
  <c r="S306" i="59"/>
  <c r="S1007" i="53"/>
  <c r="S1006" i="37"/>
  <c r="S1356" i="53"/>
  <c r="S310" i="31"/>
  <c r="S309" i="53"/>
  <c r="S657" i="37"/>
  <c r="S308" i="37"/>
  <c r="S658" i="31"/>
  <c r="S658" i="53"/>
  <c r="S996" i="54"/>
  <c r="O816" i="54" s="1"/>
  <c r="S816" i="54" s="1"/>
  <c r="S1345" i="54"/>
  <c r="O1165" i="54" s="1"/>
  <c r="S1165" i="54" s="1"/>
  <c r="S1345" i="52"/>
  <c r="O1165" i="52" s="1"/>
  <c r="S1165" i="52" s="1"/>
  <c r="S996" i="52"/>
  <c r="O816" i="52" s="1"/>
  <c r="S816" i="52" s="1"/>
  <c r="S1694" i="52"/>
  <c r="O1514" i="52" s="1"/>
  <c r="S1514" i="52" s="1"/>
  <c r="S647" i="52"/>
  <c r="O467" i="52" s="1"/>
  <c r="S467" i="52" s="1"/>
  <c r="S647" i="54"/>
  <c r="O467" i="54" s="1"/>
  <c r="S467" i="54" s="1"/>
  <c r="S993" i="51"/>
  <c r="O813" i="51" s="1"/>
  <c r="S813" i="51" s="1"/>
  <c r="S298" i="54"/>
  <c r="O118" i="54" s="1"/>
  <c r="S118" i="54" s="1"/>
  <c r="S298" i="52"/>
  <c r="O118" i="52" s="1"/>
  <c r="S118" i="52" s="1"/>
  <c r="S1341" i="51"/>
  <c r="O1162" i="51" s="1"/>
  <c r="S1162" i="51" s="1"/>
  <c r="S644" i="51"/>
  <c r="O465" i="51" s="1"/>
  <c r="S465" i="51" s="1"/>
  <c r="S296" i="51"/>
  <c r="O117" i="51" s="1"/>
  <c r="S117" i="51" s="1"/>
  <c r="S296" i="59"/>
  <c r="O116" i="59" s="1"/>
  <c r="S116" i="59" s="1"/>
  <c r="S994" i="59"/>
  <c r="O814" i="59" s="1"/>
  <c r="S814" i="59" s="1"/>
  <c r="S298" i="37"/>
  <c r="O118" i="37" s="1"/>
  <c r="S118" i="37" s="1"/>
  <c r="S645" i="59"/>
  <c r="O465" i="59" s="1"/>
  <c r="S465" i="59" s="1"/>
  <c r="S1695" i="53"/>
  <c r="S996" i="37"/>
  <c r="O816" i="37" s="1"/>
  <c r="S816" i="37" s="1"/>
  <c r="S300" i="31"/>
  <c r="O119" i="31" s="1"/>
  <c r="S119" i="31" s="1"/>
  <c r="S997" i="53"/>
  <c r="O817" i="53" s="1"/>
  <c r="S817" i="53" s="1"/>
  <c r="S648" i="53"/>
  <c r="O468" i="53" s="1"/>
  <c r="S468" i="53" s="1"/>
  <c r="S299" i="53"/>
  <c r="O119" i="53" s="1"/>
  <c r="S119" i="53" s="1"/>
  <c r="S647" i="37"/>
  <c r="O467" i="37" s="1"/>
  <c r="S467" i="37" s="1"/>
  <c r="S1346" i="53"/>
  <c r="O1166" i="53" s="1"/>
  <c r="S1166" i="53" s="1"/>
  <c r="S648" i="31"/>
  <c r="O468" i="31" s="1"/>
  <c r="S468" i="31" s="1"/>
  <c r="S1339" i="52"/>
  <c r="O1159" i="52" s="1"/>
  <c r="S1159" i="52" s="1"/>
  <c r="S1339" i="54"/>
  <c r="O1159" i="54" s="1"/>
  <c r="S1159" i="54" s="1"/>
  <c r="S990" i="54"/>
  <c r="O810" i="54" s="1"/>
  <c r="S810" i="54" s="1"/>
  <c r="S641" i="54"/>
  <c r="O461" i="54" s="1"/>
  <c r="S461" i="54" s="1"/>
  <c r="S1688" i="52"/>
  <c r="O1508" i="52" s="1"/>
  <c r="S1508" i="52" s="1"/>
  <c r="S990" i="52"/>
  <c r="O810" i="52" s="1"/>
  <c r="S810" i="52" s="1"/>
  <c r="S292" i="54"/>
  <c r="O112" i="54" s="1"/>
  <c r="S112" i="54" s="1"/>
  <c r="S641" i="52"/>
  <c r="O461" i="52" s="1"/>
  <c r="S461" i="52" s="1"/>
  <c r="S987" i="51"/>
  <c r="O807" i="51" s="1"/>
  <c r="S807" i="51" s="1"/>
  <c r="S1335" i="51"/>
  <c r="O1156" i="51" s="1"/>
  <c r="S1156" i="51" s="1"/>
  <c r="S292" i="52"/>
  <c r="O112" i="52" s="1"/>
  <c r="S112" i="52" s="1"/>
  <c r="S638" i="51"/>
  <c r="O459" i="51" s="1"/>
  <c r="S459" i="51" s="1"/>
  <c r="S290" i="51"/>
  <c r="O111" i="51" s="1"/>
  <c r="S111" i="51" s="1"/>
  <c r="S290" i="59"/>
  <c r="O110" i="59" s="1"/>
  <c r="S110" i="59" s="1"/>
  <c r="S293" i="53"/>
  <c r="O113" i="53" s="1"/>
  <c r="S113" i="53" s="1"/>
  <c r="S988" i="59"/>
  <c r="O808" i="59" s="1"/>
  <c r="S808" i="59" s="1"/>
  <c r="S639" i="59"/>
  <c r="O459" i="59" s="1"/>
  <c r="S459" i="59" s="1"/>
  <c r="S991" i="53"/>
  <c r="O811" i="53" s="1"/>
  <c r="S811" i="53" s="1"/>
  <c r="S990" i="37"/>
  <c r="O810" i="37" s="1"/>
  <c r="S810" i="37" s="1"/>
  <c r="S1689" i="53"/>
  <c r="S1340" i="53"/>
  <c r="O1160" i="53" s="1"/>
  <c r="S1160" i="53" s="1"/>
  <c r="S292" i="37"/>
  <c r="O112" i="37" s="1"/>
  <c r="S112" i="37" s="1"/>
  <c r="S641" i="37"/>
  <c r="O461" i="37" s="1"/>
  <c r="S461" i="37" s="1"/>
  <c r="S642" i="53"/>
  <c r="O462" i="53" s="1"/>
  <c r="S462" i="53" s="1"/>
  <c r="S642" i="31"/>
  <c r="O462" i="31" s="1"/>
  <c r="S462" i="31" s="1"/>
  <c r="S294" i="31"/>
  <c r="O113" i="31" s="1"/>
  <c r="S113" i="31" s="1"/>
  <c r="S254" i="54"/>
  <c r="S603" i="54"/>
  <c r="S1650" i="52"/>
  <c r="S1301" i="54"/>
  <c r="S952" i="54"/>
  <c r="S254" i="52"/>
  <c r="S1301" i="52"/>
  <c r="S952" i="52"/>
  <c r="S603" i="52"/>
  <c r="S1297" i="51"/>
  <c r="S252" i="51"/>
  <c r="S600" i="51"/>
  <c r="S601" i="59"/>
  <c r="S252" i="59"/>
  <c r="S949" i="51"/>
  <c r="S1651" i="53"/>
  <c r="S950" i="59"/>
  <c r="S604" i="53"/>
  <c r="S1302" i="53"/>
  <c r="S255" i="53"/>
  <c r="S953" i="53"/>
  <c r="S952" i="37"/>
  <c r="S254" i="37"/>
  <c r="S603" i="37"/>
  <c r="S256" i="31"/>
  <c r="S604" i="31"/>
  <c r="S264" i="54"/>
  <c r="S1311" i="52"/>
  <c r="S613" i="54"/>
  <c r="S1660" i="52"/>
  <c r="S1311" i="54"/>
  <c r="S962" i="54"/>
  <c r="S962" i="52"/>
  <c r="S613" i="52"/>
  <c r="S264" i="52"/>
  <c r="S959" i="51"/>
  <c r="S1307" i="51"/>
  <c r="S610" i="51"/>
  <c r="S960" i="59"/>
  <c r="S1661" i="53"/>
  <c r="S262" i="51"/>
  <c r="S611" i="59"/>
  <c r="S262" i="59"/>
  <c r="S265" i="53"/>
  <c r="S963" i="53"/>
  <c r="S1312" i="53"/>
  <c r="S266" i="31"/>
  <c r="S614" i="53"/>
  <c r="S962" i="37"/>
  <c r="S614" i="31"/>
  <c r="S264" i="37"/>
  <c r="S613" i="37"/>
  <c r="S612" i="54"/>
  <c r="S1659" i="52"/>
  <c r="S1310" i="54"/>
  <c r="S961" i="54"/>
  <c r="S263" i="54"/>
  <c r="S961" i="52"/>
  <c r="S612" i="52"/>
  <c r="S1310" i="52"/>
  <c r="S263" i="52"/>
  <c r="S1306" i="51"/>
  <c r="S609" i="51"/>
  <c r="S959" i="59"/>
  <c r="S261" i="51"/>
  <c r="S958" i="51"/>
  <c r="S261" i="59"/>
  <c r="S610" i="59"/>
  <c r="S613" i="53"/>
  <c r="S962" i="53"/>
  <c r="S612" i="37"/>
  <c r="S961" i="37"/>
  <c r="S1660" i="53"/>
  <c r="S1311" i="53"/>
  <c r="S265" i="31"/>
  <c r="S264" i="53"/>
  <c r="S613" i="31"/>
  <c r="S263" i="37"/>
  <c r="S611" i="54"/>
  <c r="S1658" i="52"/>
  <c r="S1309" i="54"/>
  <c r="S960" i="54"/>
  <c r="S262" i="54"/>
  <c r="S960" i="52"/>
  <c r="S611" i="52"/>
  <c r="S1305" i="51"/>
  <c r="S1309" i="52"/>
  <c r="S262" i="52"/>
  <c r="S260" i="51"/>
  <c r="S957" i="51"/>
  <c r="S609" i="59"/>
  <c r="S958" i="59"/>
  <c r="S608" i="51"/>
  <c r="S1659" i="53"/>
  <c r="S260" i="59"/>
  <c r="S612" i="53"/>
  <c r="S1310" i="53"/>
  <c r="S263" i="53"/>
  <c r="S262" i="37"/>
  <c r="S612" i="31"/>
  <c r="S960" i="37"/>
  <c r="S611" i="37"/>
  <c r="S961" i="53"/>
  <c r="S264" i="31"/>
  <c r="S1308" i="52"/>
  <c r="S610" i="54"/>
  <c r="S1308" i="54"/>
  <c r="S959" i="54"/>
  <c r="S261" i="54"/>
  <c r="S1657" i="52"/>
  <c r="S259" i="51"/>
  <c r="S956" i="51"/>
  <c r="S959" i="52"/>
  <c r="S957" i="59"/>
  <c r="S610" i="52"/>
  <c r="S607" i="51"/>
  <c r="S608" i="59"/>
  <c r="S259" i="59"/>
  <c r="S261" i="52"/>
  <c r="S1304" i="51"/>
  <c r="S1658" i="53"/>
  <c r="S959" i="37"/>
  <c r="S262" i="53"/>
  <c r="S611" i="53"/>
  <c r="S960" i="53"/>
  <c r="S1309" i="53"/>
  <c r="S261" i="37"/>
  <c r="S611" i="31"/>
  <c r="S610" i="37"/>
  <c r="S263" i="31"/>
  <c r="S1307" i="52"/>
  <c r="S609" i="54"/>
  <c r="S1656" i="52"/>
  <c r="S1307" i="54"/>
  <c r="S958" i="54"/>
  <c r="S260" i="54"/>
  <c r="S958" i="52"/>
  <c r="S609" i="52"/>
  <c r="S1303" i="51"/>
  <c r="S260" i="52"/>
  <c r="S606" i="51"/>
  <c r="S956" i="59"/>
  <c r="S258" i="51"/>
  <c r="S955" i="51"/>
  <c r="S607" i="59"/>
  <c r="S258" i="59"/>
  <c r="S959" i="53"/>
  <c r="S958" i="37"/>
  <c r="S1657" i="53"/>
  <c r="S610" i="31"/>
  <c r="S610" i="53"/>
  <c r="S609" i="37"/>
  <c r="S261" i="53"/>
  <c r="S260" i="37"/>
  <c r="S1308" i="53"/>
  <c r="S262" i="31"/>
  <c r="S608" i="54"/>
  <c r="S1655" i="52"/>
  <c r="S1306" i="54"/>
  <c r="S957" i="54"/>
  <c r="S259" i="54"/>
  <c r="S957" i="52"/>
  <c r="S608" i="52"/>
  <c r="S1302" i="51"/>
  <c r="S259" i="52"/>
  <c r="S1306" i="52"/>
  <c r="S257" i="51"/>
  <c r="S605" i="51"/>
  <c r="S954" i="51"/>
  <c r="S606" i="59"/>
  <c r="S257" i="59"/>
  <c r="S260" i="53"/>
  <c r="S609" i="53"/>
  <c r="S955" i="59"/>
  <c r="S958" i="53"/>
  <c r="S1307" i="53"/>
  <c r="S1656" i="53"/>
  <c r="S259" i="37"/>
  <c r="S608" i="37"/>
  <c r="S609" i="31"/>
  <c r="S957" i="37"/>
  <c r="S261" i="31"/>
  <c r="S607" i="54"/>
  <c r="S1654" i="52"/>
  <c r="S1305" i="54"/>
  <c r="S956" i="54"/>
  <c r="S258" i="54"/>
  <c r="S1305" i="52"/>
  <c r="S953" i="51"/>
  <c r="S956" i="52"/>
  <c r="S258" i="52"/>
  <c r="S607" i="52"/>
  <c r="S604" i="51"/>
  <c r="S605" i="59"/>
  <c r="S256" i="59"/>
  <c r="S1655" i="53"/>
  <c r="S1301" i="51"/>
  <c r="S256" i="51"/>
  <c r="S954" i="59"/>
  <c r="S1306" i="53"/>
  <c r="S957" i="53"/>
  <c r="S608" i="53"/>
  <c r="S258" i="37"/>
  <c r="S259" i="53"/>
  <c r="S956" i="37"/>
  <c r="S607" i="37"/>
  <c r="S260" i="31"/>
  <c r="S608" i="31"/>
  <c r="S1304" i="54"/>
  <c r="S955" i="54"/>
  <c r="S257" i="54"/>
  <c r="S1304" i="52"/>
  <c r="S1653" i="52"/>
  <c r="S606" i="54"/>
  <c r="S955" i="52"/>
  <c r="S606" i="52"/>
  <c r="S603" i="51"/>
  <c r="S953" i="59"/>
  <c r="S952" i="51"/>
  <c r="S1300" i="51"/>
  <c r="S257" i="52"/>
  <c r="S1654" i="53"/>
  <c r="S607" i="53"/>
  <c r="S255" i="51"/>
  <c r="S956" i="53"/>
  <c r="S255" i="59"/>
  <c r="S1305" i="53"/>
  <c r="S604" i="59"/>
  <c r="S606" i="37"/>
  <c r="S258" i="53"/>
  <c r="S955" i="37"/>
  <c r="S257" i="37"/>
  <c r="S259" i="31"/>
  <c r="S607" i="31"/>
  <c r="S1303" i="54"/>
  <c r="S954" i="54"/>
  <c r="S256" i="54"/>
  <c r="S1303" i="52"/>
  <c r="S1652" i="52"/>
  <c r="S256" i="52"/>
  <c r="S605" i="54"/>
  <c r="S954" i="52"/>
  <c r="S605" i="52"/>
  <c r="S1299" i="51"/>
  <c r="S951" i="51"/>
  <c r="S602" i="51"/>
  <c r="S603" i="59"/>
  <c r="S254" i="59"/>
  <c r="S1653" i="53"/>
  <c r="S254" i="51"/>
  <c r="S952" i="59"/>
  <c r="S257" i="53"/>
  <c r="S955" i="53"/>
  <c r="S606" i="53"/>
  <c r="S605" i="37"/>
  <c r="S1304" i="53"/>
  <c r="S954" i="37"/>
  <c r="S256" i="37"/>
  <c r="S258" i="31"/>
  <c r="S606" i="31"/>
  <c r="S604" i="54"/>
  <c r="S1651" i="52"/>
  <c r="S1302" i="54"/>
  <c r="S1302" i="52"/>
  <c r="S604" i="52"/>
  <c r="S950" i="51"/>
  <c r="S1298" i="51"/>
  <c r="S255" i="54"/>
  <c r="S953" i="52"/>
  <c r="S601" i="51"/>
  <c r="S602" i="59"/>
  <c r="S253" i="59"/>
  <c r="S255" i="52"/>
  <c r="S954" i="53"/>
  <c r="S253" i="51"/>
  <c r="S951" i="59"/>
  <c r="S1303" i="53"/>
  <c r="S953" i="37"/>
  <c r="S256" i="53"/>
  <c r="S1652" i="53"/>
  <c r="S605" i="31"/>
  <c r="S255" i="37"/>
  <c r="S605" i="53"/>
  <c r="S604" i="37"/>
  <c r="S953" i="54"/>
  <c r="S257" i="31"/>
  <c r="M966" i="54"/>
  <c r="M268" i="54"/>
  <c r="M1315" i="54"/>
  <c r="M617" i="54"/>
  <c r="M1315" i="52"/>
  <c r="M966" i="52"/>
  <c r="M268" i="52"/>
  <c r="M1664" i="52"/>
  <c r="M617" i="52"/>
  <c r="M614" i="51"/>
  <c r="M963" i="51"/>
  <c r="M266" i="51"/>
  <c r="M1311" i="51"/>
  <c r="M964" i="59"/>
  <c r="M615" i="59"/>
  <c r="M1665" i="53"/>
  <c r="M618" i="53"/>
  <c r="M967" i="53"/>
  <c r="M1316" i="53"/>
  <c r="M266" i="59"/>
  <c r="M617" i="37"/>
  <c r="M966" i="37"/>
  <c r="M269" i="53"/>
  <c r="M270" i="31"/>
  <c r="M268" i="37"/>
  <c r="M618" i="31"/>
  <c r="S1315" i="54"/>
  <c r="S966" i="54"/>
  <c r="S268" i="54"/>
  <c r="S1315" i="52"/>
  <c r="S268" i="52"/>
  <c r="S617" i="54"/>
  <c r="S1664" i="52"/>
  <c r="S966" i="52"/>
  <c r="S617" i="52"/>
  <c r="S1311" i="51"/>
  <c r="S963" i="51"/>
  <c r="S615" i="59"/>
  <c r="S266" i="59"/>
  <c r="S266" i="51"/>
  <c r="S1665" i="53"/>
  <c r="S964" i="59"/>
  <c r="S614" i="51"/>
  <c r="S269" i="53"/>
  <c r="S1316" i="53"/>
  <c r="S967" i="53"/>
  <c r="S617" i="37"/>
  <c r="S618" i="53"/>
  <c r="S966" i="37"/>
  <c r="S270" i="31"/>
  <c r="S618" i="31"/>
  <c r="S268" i="37"/>
  <c r="S252" i="54"/>
  <c r="S1299" i="52"/>
  <c r="S601" i="54"/>
  <c r="S1648" i="52"/>
  <c r="S1299" i="54"/>
  <c r="S950" i="54"/>
  <c r="S950" i="52"/>
  <c r="S601" i="52"/>
  <c r="S947" i="51"/>
  <c r="S1295" i="51"/>
  <c r="S598" i="51"/>
  <c r="S948" i="59"/>
  <c r="S1649" i="53"/>
  <c r="S252" i="52"/>
  <c r="S250" i="51"/>
  <c r="S250" i="59"/>
  <c r="S253" i="53"/>
  <c r="S599" i="59"/>
  <c r="S951" i="53"/>
  <c r="S602" i="53"/>
  <c r="S1300" i="53"/>
  <c r="S950" i="37"/>
  <c r="S252" i="37"/>
  <c r="S254" i="31"/>
  <c r="S601" i="37"/>
  <c r="S602" i="31"/>
  <c r="S600" i="54"/>
  <c r="S1647" i="52"/>
  <c r="S1298" i="54"/>
  <c r="S949" i="54"/>
  <c r="S1298" i="52"/>
  <c r="S949" i="52"/>
  <c r="S600" i="52"/>
  <c r="S251" i="54"/>
  <c r="S251" i="52"/>
  <c r="S597" i="51"/>
  <c r="S947" i="59"/>
  <c r="S946" i="51"/>
  <c r="S249" i="51"/>
  <c r="S1294" i="51"/>
  <c r="S598" i="59"/>
  <c r="S249" i="59"/>
  <c r="S949" i="37"/>
  <c r="S601" i="53"/>
  <c r="S1648" i="53"/>
  <c r="S950" i="53"/>
  <c r="S600" i="37"/>
  <c r="S1299" i="53"/>
  <c r="S601" i="31"/>
  <c r="S252" i="53"/>
  <c r="S253" i="31"/>
  <c r="S251" i="37"/>
  <c r="S599" i="54"/>
  <c r="S1646" i="52"/>
  <c r="S1297" i="54"/>
  <c r="S948" i="54"/>
  <c r="S1297" i="52"/>
  <c r="S948" i="52"/>
  <c r="S599" i="52"/>
  <c r="S1293" i="51"/>
  <c r="S250" i="54"/>
  <c r="S250" i="52"/>
  <c r="S248" i="51"/>
  <c r="S945" i="51"/>
  <c r="S597" i="59"/>
  <c r="S946" i="59"/>
  <c r="S596" i="51"/>
  <c r="S248" i="59"/>
  <c r="S600" i="53"/>
  <c r="S1647" i="53"/>
  <c r="S1298" i="53"/>
  <c r="S948" i="37"/>
  <c r="S251" i="53"/>
  <c r="S949" i="53"/>
  <c r="S250" i="37"/>
  <c r="S599" i="37"/>
  <c r="S600" i="31"/>
  <c r="S252" i="31"/>
  <c r="S1296" i="52"/>
  <c r="S598" i="54"/>
  <c r="S1296" i="54"/>
  <c r="S947" i="54"/>
  <c r="S249" i="54"/>
  <c r="S1645" i="52"/>
  <c r="S247" i="51"/>
  <c r="S249" i="52"/>
  <c r="S947" i="52"/>
  <c r="S944" i="51"/>
  <c r="S598" i="52"/>
  <c r="S945" i="59"/>
  <c r="S1292" i="51"/>
  <c r="S247" i="59"/>
  <c r="S595" i="51"/>
  <c r="S1646" i="53"/>
  <c r="S947" i="37"/>
  <c r="S250" i="53"/>
  <c r="S599" i="53"/>
  <c r="S948" i="53"/>
  <c r="S596" i="59"/>
  <c r="S1297" i="53"/>
  <c r="S249" i="37"/>
  <c r="S598" i="37"/>
  <c r="S599" i="31"/>
  <c r="S251" i="31"/>
  <c r="S1295" i="52"/>
  <c r="S597" i="54"/>
  <c r="S1644" i="52"/>
  <c r="S1295" i="54"/>
  <c r="S946" i="54"/>
  <c r="S248" i="54"/>
  <c r="S946" i="52"/>
  <c r="S597" i="52"/>
  <c r="S1291" i="51"/>
  <c r="S248" i="52"/>
  <c r="S594" i="51"/>
  <c r="S944" i="59"/>
  <c r="S246" i="51"/>
  <c r="S246" i="59"/>
  <c r="S595" i="59"/>
  <c r="S947" i="53"/>
  <c r="S1645" i="53"/>
  <c r="S943" i="51"/>
  <c r="S1296" i="53"/>
  <c r="S249" i="53"/>
  <c r="S598" i="31"/>
  <c r="S597" i="37"/>
  <c r="S598" i="53"/>
  <c r="S250" i="31"/>
  <c r="S248" i="37"/>
  <c r="S946" i="37"/>
  <c r="S596" i="54"/>
  <c r="S1643" i="52"/>
  <c r="S1294" i="54"/>
  <c r="S945" i="54"/>
  <c r="S247" i="54"/>
  <c r="S945" i="52"/>
  <c r="S596" i="52"/>
  <c r="S1290" i="51"/>
  <c r="S1294" i="52"/>
  <c r="S247" i="52"/>
  <c r="S245" i="51"/>
  <c r="S593" i="51"/>
  <c r="S245" i="59"/>
  <c r="S594" i="59"/>
  <c r="S942" i="51"/>
  <c r="S248" i="53"/>
  <c r="S943" i="59"/>
  <c r="S597" i="53"/>
  <c r="S946" i="53"/>
  <c r="S1644" i="53"/>
  <c r="S1295" i="53"/>
  <c r="S945" i="37"/>
  <c r="S247" i="37"/>
  <c r="S596" i="37"/>
  <c r="S597" i="31"/>
  <c r="S249" i="31"/>
  <c r="S595" i="54"/>
  <c r="S1642" i="52"/>
  <c r="S1293" i="54"/>
  <c r="S944" i="54"/>
  <c r="S246" i="54"/>
  <c r="S1293" i="52"/>
  <c r="S1289" i="51"/>
  <c r="S246" i="52"/>
  <c r="S944" i="52"/>
  <c r="S941" i="51"/>
  <c r="S595" i="52"/>
  <c r="S942" i="59"/>
  <c r="S244" i="51"/>
  <c r="S244" i="59"/>
  <c r="S593" i="59"/>
  <c r="S1643" i="53"/>
  <c r="S592" i="51"/>
  <c r="S1294" i="53"/>
  <c r="S596" i="53"/>
  <c r="S247" i="53"/>
  <c r="S246" i="37"/>
  <c r="S596" i="31"/>
  <c r="S248" i="31"/>
  <c r="S945" i="53"/>
  <c r="S944" i="37"/>
  <c r="S595" i="37"/>
  <c r="S1292" i="54"/>
  <c r="S943" i="54"/>
  <c r="S245" i="54"/>
  <c r="S1292" i="52"/>
  <c r="S594" i="54"/>
  <c r="S943" i="52"/>
  <c r="S594" i="52"/>
  <c r="S591" i="51"/>
  <c r="S941" i="59"/>
  <c r="S245" i="52"/>
  <c r="S940" i="51"/>
  <c r="S243" i="51"/>
  <c r="S592" i="59"/>
  <c r="S1288" i="51"/>
  <c r="S1642" i="53"/>
  <c r="S1641" i="52"/>
  <c r="S243" i="59"/>
  <c r="S595" i="53"/>
  <c r="S944" i="53"/>
  <c r="S1293" i="53"/>
  <c r="S943" i="37"/>
  <c r="S594" i="37"/>
  <c r="S595" i="31"/>
  <c r="S247" i="31"/>
  <c r="S245" i="37"/>
  <c r="S246" i="53"/>
  <c r="S1291" i="54"/>
  <c r="S942" i="54"/>
  <c r="S244" i="54"/>
  <c r="S1291" i="52"/>
  <c r="S593" i="54"/>
  <c r="S244" i="52"/>
  <c r="S942" i="52"/>
  <c r="S593" i="52"/>
  <c r="S1287" i="51"/>
  <c r="S1640" i="52"/>
  <c r="S939" i="51"/>
  <c r="S940" i="59"/>
  <c r="S242" i="51"/>
  <c r="S242" i="59"/>
  <c r="S1641" i="53"/>
  <c r="S590" i="51"/>
  <c r="S591" i="59"/>
  <c r="S245" i="53"/>
  <c r="S593" i="37"/>
  <c r="S943" i="53"/>
  <c r="S594" i="53"/>
  <c r="S594" i="31"/>
  <c r="S246" i="31"/>
  <c r="S1292" i="53"/>
  <c r="S244" i="37"/>
  <c r="S942" i="37"/>
  <c r="M1665" i="52"/>
  <c r="M967" i="54"/>
  <c r="M269" i="54"/>
  <c r="M1316" i="54"/>
  <c r="M618" i="54"/>
  <c r="M1316" i="52"/>
  <c r="M967" i="52"/>
  <c r="M269" i="52"/>
  <c r="M618" i="52"/>
  <c r="M964" i="51"/>
  <c r="M267" i="51"/>
  <c r="M615" i="51"/>
  <c r="M1312" i="51"/>
  <c r="M965" i="59"/>
  <c r="M616" i="59"/>
  <c r="M1666" i="53"/>
  <c r="M1317" i="53"/>
  <c r="M968" i="53"/>
  <c r="M267" i="59"/>
  <c r="M269" i="37"/>
  <c r="M967" i="37"/>
  <c r="M270" i="53"/>
  <c r="M619" i="53"/>
  <c r="M618" i="37"/>
  <c r="M271" i="31"/>
  <c r="M619" i="31"/>
  <c r="M954" i="54"/>
  <c r="M256" i="54"/>
  <c r="M1303" i="54"/>
  <c r="M605" i="54"/>
  <c r="M1303" i="52"/>
  <c r="M954" i="52"/>
  <c r="M256" i="52"/>
  <c r="M605" i="52"/>
  <c r="M602" i="51"/>
  <c r="M951" i="51"/>
  <c r="M254" i="51"/>
  <c r="M1652" i="52"/>
  <c r="M1299" i="51"/>
  <c r="M952" i="59"/>
  <c r="M603" i="59"/>
  <c r="M1653" i="53"/>
  <c r="M606" i="53"/>
  <c r="M955" i="53"/>
  <c r="M1304" i="53"/>
  <c r="M254" i="59"/>
  <c r="M605" i="37"/>
  <c r="M954" i="37"/>
  <c r="M257" i="53"/>
  <c r="M256" i="37"/>
  <c r="M258" i="31"/>
  <c r="M606" i="31"/>
  <c r="S1316" i="54"/>
  <c r="S967" i="54"/>
  <c r="S269" i="54"/>
  <c r="S1316" i="52"/>
  <c r="S618" i="54"/>
  <c r="S1665" i="52"/>
  <c r="S967" i="52"/>
  <c r="S618" i="52"/>
  <c r="S615" i="51"/>
  <c r="S965" i="59"/>
  <c r="S964" i="51"/>
  <c r="S616" i="59"/>
  <c r="S267" i="51"/>
  <c r="S1666" i="53"/>
  <c r="S619" i="53"/>
  <c r="S968" i="53"/>
  <c r="S1312" i="51"/>
  <c r="S1317" i="53"/>
  <c r="S267" i="59"/>
  <c r="S269" i="52"/>
  <c r="S618" i="37"/>
  <c r="S967" i="37"/>
  <c r="S270" i="53"/>
  <c r="S271" i="31"/>
  <c r="S619" i="31"/>
  <c r="S269" i="37"/>
  <c r="M1325" i="54"/>
  <c r="M627" i="54"/>
  <c r="M1674" i="52"/>
  <c r="M976" i="54"/>
  <c r="M627" i="52"/>
  <c r="M278" i="54"/>
  <c r="M1325" i="52"/>
  <c r="M976" i="52"/>
  <c r="M278" i="52"/>
  <c r="M1321" i="51"/>
  <c r="M973" i="51"/>
  <c r="M276" i="51"/>
  <c r="M276" i="59"/>
  <c r="M624" i="51"/>
  <c r="M974" i="59"/>
  <c r="M977" i="53"/>
  <c r="M1326" i="53"/>
  <c r="M625" i="59"/>
  <c r="M279" i="53"/>
  <c r="M1675" i="53"/>
  <c r="M278" i="37"/>
  <c r="M627" i="37"/>
  <c r="M976" i="37"/>
  <c r="M280" i="31"/>
  <c r="M628" i="31"/>
  <c r="M628" i="53"/>
  <c r="M1324" i="54"/>
  <c r="M626" i="54"/>
  <c r="M1673" i="52"/>
  <c r="M626" i="52"/>
  <c r="M277" i="54"/>
  <c r="M1324" i="52"/>
  <c r="M975" i="52"/>
  <c r="M277" i="52"/>
  <c r="M975" i="54"/>
  <c r="M624" i="59"/>
  <c r="M1320" i="51"/>
  <c r="M275" i="51"/>
  <c r="M275" i="59"/>
  <c r="M623" i="51"/>
  <c r="M973" i="59"/>
  <c r="M972" i="51"/>
  <c r="M1674" i="53"/>
  <c r="M627" i="53"/>
  <c r="M1325" i="53"/>
  <c r="M278" i="53"/>
  <c r="M976" i="53"/>
  <c r="M975" i="37"/>
  <c r="M277" i="37"/>
  <c r="M279" i="31"/>
  <c r="M627" i="31"/>
  <c r="M626" i="37"/>
  <c r="M625" i="54"/>
  <c r="M974" i="54"/>
  <c r="M276" i="54"/>
  <c r="M1323" i="54"/>
  <c r="M1319" i="51"/>
  <c r="M1672" i="52"/>
  <c r="M1323" i="52"/>
  <c r="M276" i="52"/>
  <c r="M974" i="52"/>
  <c r="M623" i="59"/>
  <c r="M1673" i="53"/>
  <c r="M625" i="52"/>
  <c r="M274" i="51"/>
  <c r="M622" i="51"/>
  <c r="M971" i="51"/>
  <c r="M1324" i="53"/>
  <c r="M274" i="59"/>
  <c r="M277" i="53"/>
  <c r="M626" i="53"/>
  <c r="M972" i="59"/>
  <c r="M276" i="37"/>
  <c r="M625" i="37"/>
  <c r="M975" i="53"/>
  <c r="M974" i="37"/>
  <c r="M278" i="31"/>
  <c r="M626" i="31"/>
  <c r="M624" i="54"/>
  <c r="M1671" i="52"/>
  <c r="M973" i="54"/>
  <c r="M275" i="54"/>
  <c r="M1322" i="54"/>
  <c r="M624" i="52"/>
  <c r="M1322" i="52"/>
  <c r="M973" i="52"/>
  <c r="M970" i="51"/>
  <c r="M1318" i="51"/>
  <c r="M621" i="51"/>
  <c r="M275" i="52"/>
  <c r="M622" i="59"/>
  <c r="M1672" i="53"/>
  <c r="M273" i="51"/>
  <c r="M273" i="59"/>
  <c r="M971" i="59"/>
  <c r="M276" i="53"/>
  <c r="M974" i="53"/>
  <c r="M1323" i="53"/>
  <c r="M625" i="53"/>
  <c r="M277" i="31"/>
  <c r="M625" i="31"/>
  <c r="M973" i="37"/>
  <c r="M624" i="37"/>
  <c r="M275" i="37"/>
  <c r="M623" i="54"/>
  <c r="M1670" i="52"/>
  <c r="M972" i="54"/>
  <c r="M1321" i="54"/>
  <c r="M623" i="52"/>
  <c r="M274" i="54"/>
  <c r="M1321" i="52"/>
  <c r="M972" i="52"/>
  <c r="M274" i="52"/>
  <c r="M1317" i="51"/>
  <c r="M620" i="51"/>
  <c r="M272" i="51"/>
  <c r="M272" i="59"/>
  <c r="M970" i="59"/>
  <c r="M969" i="51"/>
  <c r="M621" i="59"/>
  <c r="M1671" i="53"/>
  <c r="M624" i="53"/>
  <c r="M973" i="53"/>
  <c r="M623" i="37"/>
  <c r="M972" i="37"/>
  <c r="M1322" i="53"/>
  <c r="M276" i="31"/>
  <c r="M624" i="31"/>
  <c r="M275" i="53"/>
  <c r="M274" i="37"/>
  <c r="M622" i="54"/>
  <c r="M1669" i="52"/>
  <c r="M971" i="54"/>
  <c r="M273" i="54"/>
  <c r="M1320" i="54"/>
  <c r="M1316" i="51"/>
  <c r="M1320" i="52"/>
  <c r="M971" i="52"/>
  <c r="M622" i="52"/>
  <c r="M968" i="51"/>
  <c r="M271" i="51"/>
  <c r="M271" i="59"/>
  <c r="M619" i="51"/>
  <c r="M969" i="59"/>
  <c r="M620" i="59"/>
  <c r="M1670" i="53"/>
  <c r="M623" i="53"/>
  <c r="M1321" i="53"/>
  <c r="M274" i="53"/>
  <c r="M972" i="53"/>
  <c r="M273" i="52"/>
  <c r="M273" i="37"/>
  <c r="M623" i="31"/>
  <c r="M971" i="37"/>
  <c r="M622" i="37"/>
  <c r="M275" i="31"/>
  <c r="M970" i="54"/>
  <c r="M272" i="54"/>
  <c r="M1319" i="54"/>
  <c r="M621" i="54"/>
  <c r="M1319" i="52"/>
  <c r="M970" i="52"/>
  <c r="M1668" i="52"/>
  <c r="M621" i="52"/>
  <c r="M272" i="52"/>
  <c r="M967" i="51"/>
  <c r="M270" i="51"/>
  <c r="M618" i="51"/>
  <c r="M1315" i="51"/>
  <c r="M968" i="59"/>
  <c r="M619" i="59"/>
  <c r="M1669" i="53"/>
  <c r="M270" i="59"/>
  <c r="M273" i="53"/>
  <c r="M622" i="53"/>
  <c r="M971" i="53"/>
  <c r="M1320" i="53"/>
  <c r="M970" i="37"/>
  <c r="M272" i="37"/>
  <c r="M622" i="31"/>
  <c r="M621" i="37"/>
  <c r="M274" i="31"/>
  <c r="M969" i="54"/>
  <c r="M271" i="54"/>
  <c r="M1318" i="54"/>
  <c r="M1314" i="51"/>
  <c r="M620" i="54"/>
  <c r="M1318" i="52"/>
  <c r="M969" i="52"/>
  <c r="M271" i="52"/>
  <c r="M1667" i="52"/>
  <c r="M620" i="52"/>
  <c r="M617" i="51"/>
  <c r="M967" i="59"/>
  <c r="M269" i="51"/>
  <c r="M966" i="51"/>
  <c r="M269" i="59"/>
  <c r="M618" i="59"/>
  <c r="M970" i="53"/>
  <c r="M1668" i="53"/>
  <c r="M621" i="53"/>
  <c r="M1319" i="53"/>
  <c r="M620" i="37"/>
  <c r="M272" i="53"/>
  <c r="M969" i="37"/>
  <c r="M271" i="37"/>
  <c r="M273" i="31"/>
  <c r="M621" i="31"/>
  <c r="M1666" i="52"/>
  <c r="M968" i="54"/>
  <c r="M1317" i="54"/>
  <c r="M619" i="54"/>
  <c r="M1313" i="51"/>
  <c r="M270" i="54"/>
  <c r="M1317" i="52"/>
  <c r="M968" i="52"/>
  <c r="M616" i="51"/>
  <c r="M619" i="52"/>
  <c r="M965" i="51"/>
  <c r="M617" i="59"/>
  <c r="M268" i="59"/>
  <c r="M270" i="52"/>
  <c r="M271" i="53"/>
  <c r="M1667" i="53"/>
  <c r="M620" i="53"/>
  <c r="M969" i="53"/>
  <c r="M1318" i="53"/>
  <c r="M268" i="51"/>
  <c r="M966" i="59"/>
  <c r="M619" i="37"/>
  <c r="M968" i="37"/>
  <c r="M270" i="37"/>
  <c r="M272" i="31"/>
  <c r="M620" i="31"/>
  <c r="M1653" i="52"/>
  <c r="M955" i="54"/>
  <c r="M257" i="54"/>
  <c r="M1304" i="54"/>
  <c r="M606" i="54"/>
  <c r="M1304" i="52"/>
  <c r="M955" i="52"/>
  <c r="M257" i="52"/>
  <c r="M606" i="52"/>
  <c r="M952" i="51"/>
  <c r="M255" i="51"/>
  <c r="M953" i="59"/>
  <c r="M603" i="51"/>
  <c r="M604" i="59"/>
  <c r="M1654" i="53"/>
  <c r="M1300" i="51"/>
  <c r="M1305" i="53"/>
  <c r="M255" i="59"/>
  <c r="M607" i="53"/>
  <c r="M258" i="53"/>
  <c r="M257" i="37"/>
  <c r="M956" i="53"/>
  <c r="M955" i="37"/>
  <c r="M606" i="37"/>
  <c r="M259" i="31"/>
  <c r="M607" i="31"/>
  <c r="M942" i="54"/>
  <c r="M244" i="54"/>
  <c r="M1291" i="54"/>
  <c r="M593" i="54"/>
  <c r="M1291" i="52"/>
  <c r="M942" i="52"/>
  <c r="M244" i="52"/>
  <c r="M1640" i="52"/>
  <c r="M593" i="52"/>
  <c r="M590" i="51"/>
  <c r="M939" i="51"/>
  <c r="M242" i="51"/>
  <c r="M591" i="59"/>
  <c r="M1641" i="53"/>
  <c r="M940" i="59"/>
  <c r="M1287" i="51"/>
  <c r="M242" i="59"/>
  <c r="M594" i="53"/>
  <c r="M943" i="53"/>
  <c r="M1292" i="53"/>
  <c r="M593" i="37"/>
  <c r="M942" i="37"/>
  <c r="M245" i="53"/>
  <c r="M244" i="37"/>
  <c r="M246" i="31"/>
  <c r="M594" i="31"/>
  <c r="S616" i="54"/>
  <c r="S1663" i="52"/>
  <c r="S1314" i="54"/>
  <c r="S965" i="54"/>
  <c r="S1314" i="52"/>
  <c r="S267" i="54"/>
  <c r="S1310" i="51"/>
  <c r="S616" i="52"/>
  <c r="S962" i="51"/>
  <c r="S614" i="59"/>
  <c r="S265" i="59"/>
  <c r="S965" i="52"/>
  <c r="S265" i="51"/>
  <c r="S963" i="59"/>
  <c r="S613" i="51"/>
  <c r="S267" i="52"/>
  <c r="S966" i="53"/>
  <c r="S1664" i="53"/>
  <c r="S1315" i="53"/>
  <c r="S268" i="53"/>
  <c r="S617" i="31"/>
  <c r="S267" i="37"/>
  <c r="S616" i="37"/>
  <c r="S965" i="37"/>
  <c r="S617" i="53"/>
  <c r="S269" i="31"/>
  <c r="M965" i="54"/>
  <c r="M267" i="54"/>
  <c r="M1314" i="54"/>
  <c r="M616" i="54"/>
  <c r="M1663" i="52"/>
  <c r="M616" i="52"/>
  <c r="M1314" i="52"/>
  <c r="M965" i="52"/>
  <c r="M1310" i="51"/>
  <c r="M963" i="59"/>
  <c r="M267" i="52"/>
  <c r="M613" i="51"/>
  <c r="M614" i="59"/>
  <c r="M962" i="51"/>
  <c r="M265" i="59"/>
  <c r="M265" i="51"/>
  <c r="M268" i="53"/>
  <c r="M1664" i="53"/>
  <c r="M616" i="37"/>
  <c r="M617" i="53"/>
  <c r="M1315" i="53"/>
  <c r="M965" i="37"/>
  <c r="M269" i="31"/>
  <c r="M267" i="37"/>
  <c r="M617" i="31"/>
  <c r="M966" i="53"/>
  <c r="M1313" i="54"/>
  <c r="M615" i="54"/>
  <c r="M1662" i="52"/>
  <c r="M266" i="54"/>
  <c r="M615" i="52"/>
  <c r="M964" i="54"/>
  <c r="M1313" i="52"/>
  <c r="M964" i="52"/>
  <c r="M266" i="52"/>
  <c r="M961" i="51"/>
  <c r="M264" i="51"/>
  <c r="M1309" i="51"/>
  <c r="M962" i="59"/>
  <c r="M264" i="59"/>
  <c r="M1663" i="53"/>
  <c r="M965" i="53"/>
  <c r="M612" i="51"/>
  <c r="M613" i="59"/>
  <c r="M1314" i="53"/>
  <c r="M267" i="53"/>
  <c r="M266" i="37"/>
  <c r="M615" i="37"/>
  <c r="M616" i="53"/>
  <c r="M964" i="37"/>
  <c r="M268" i="31"/>
  <c r="M616" i="31"/>
  <c r="M1312" i="54"/>
  <c r="M614" i="54"/>
  <c r="M1661" i="52"/>
  <c r="M265" i="54"/>
  <c r="M614" i="52"/>
  <c r="M963" i="54"/>
  <c r="M1312" i="52"/>
  <c r="M963" i="52"/>
  <c r="M265" i="52"/>
  <c r="M1308" i="51"/>
  <c r="M612" i="59"/>
  <c r="M1662" i="53"/>
  <c r="M263" i="59"/>
  <c r="M960" i="51"/>
  <c r="M263" i="51"/>
  <c r="M611" i="51"/>
  <c r="M961" i="59"/>
  <c r="M615" i="53"/>
  <c r="M964" i="53"/>
  <c r="M963" i="37"/>
  <c r="M266" i="53"/>
  <c r="M267" i="31"/>
  <c r="M1313" i="53"/>
  <c r="M614" i="37"/>
  <c r="M265" i="37"/>
  <c r="M615" i="31"/>
  <c r="M613" i="54"/>
  <c r="M962" i="54"/>
  <c r="M264" i="54"/>
  <c r="M1311" i="54"/>
  <c r="M1660" i="52"/>
  <c r="M1307" i="51"/>
  <c r="M1311" i="52"/>
  <c r="M264" i="52"/>
  <c r="M613" i="52"/>
  <c r="M611" i="59"/>
  <c r="M1661" i="53"/>
  <c r="M959" i="51"/>
  <c r="M962" i="52"/>
  <c r="M610" i="51"/>
  <c r="M1312" i="53"/>
  <c r="M265" i="53"/>
  <c r="M262" i="51"/>
  <c r="M960" i="59"/>
  <c r="M614" i="53"/>
  <c r="M262" i="59"/>
  <c r="M963" i="53"/>
  <c r="M264" i="37"/>
  <c r="M613" i="37"/>
  <c r="M962" i="37"/>
  <c r="M266" i="31"/>
  <c r="M614" i="31"/>
  <c r="M612" i="54"/>
  <c r="M1659" i="52"/>
  <c r="M961" i="54"/>
  <c r="M263" i="54"/>
  <c r="M1310" i="54"/>
  <c r="M612" i="52"/>
  <c r="M1310" i="52"/>
  <c r="M961" i="52"/>
  <c r="M958" i="51"/>
  <c r="M609" i="51"/>
  <c r="M610" i="59"/>
  <c r="M1660" i="53"/>
  <c r="M1306" i="51"/>
  <c r="M261" i="59"/>
  <c r="M261" i="51"/>
  <c r="M263" i="52"/>
  <c r="M959" i="59"/>
  <c r="M264" i="53"/>
  <c r="M962" i="53"/>
  <c r="M613" i="53"/>
  <c r="M1311" i="53"/>
  <c r="M961" i="37"/>
  <c r="M265" i="31"/>
  <c r="M613" i="31"/>
  <c r="M612" i="37"/>
  <c r="M263" i="37"/>
  <c r="M611" i="54"/>
  <c r="M1658" i="52"/>
  <c r="M960" i="54"/>
  <c r="M1309" i="54"/>
  <c r="M611" i="52"/>
  <c r="M1309" i="52"/>
  <c r="M960" i="52"/>
  <c r="M262" i="52"/>
  <c r="M262" i="54"/>
  <c r="M608" i="51"/>
  <c r="M1305" i="51"/>
  <c r="M260" i="59"/>
  <c r="M957" i="51"/>
  <c r="M260" i="51"/>
  <c r="M609" i="59"/>
  <c r="M958" i="59"/>
  <c r="M612" i="53"/>
  <c r="M961" i="53"/>
  <c r="M1659" i="53"/>
  <c r="M611" i="37"/>
  <c r="M960" i="37"/>
  <c r="M1310" i="53"/>
  <c r="M264" i="31"/>
  <c r="M263" i="53"/>
  <c r="M612" i="31"/>
  <c r="M262" i="37"/>
  <c r="M610" i="54"/>
  <c r="M1657" i="52"/>
  <c r="M959" i="54"/>
  <c r="M261" i="54"/>
  <c r="M1308" i="54"/>
  <c r="M1304" i="51"/>
  <c r="M1308" i="52"/>
  <c r="M959" i="52"/>
  <c r="M610" i="52"/>
  <c r="M956" i="51"/>
  <c r="M259" i="51"/>
  <c r="M259" i="59"/>
  <c r="M957" i="59"/>
  <c r="M261" i="52"/>
  <c r="M607" i="51"/>
  <c r="M608" i="59"/>
  <c r="M611" i="53"/>
  <c r="M1309" i="53"/>
  <c r="M262" i="53"/>
  <c r="M261" i="37"/>
  <c r="M1658" i="53"/>
  <c r="M959" i="37"/>
  <c r="M611" i="31"/>
  <c r="M610" i="37"/>
  <c r="M960" i="53"/>
  <c r="M263" i="31"/>
  <c r="M958" i="54"/>
  <c r="M260" i="54"/>
  <c r="M1307" i="54"/>
  <c r="M609" i="54"/>
  <c r="M1656" i="52"/>
  <c r="M1307" i="52"/>
  <c r="M958" i="52"/>
  <c r="M609" i="52"/>
  <c r="M1303" i="51"/>
  <c r="M260" i="52"/>
  <c r="M955" i="51"/>
  <c r="M258" i="51"/>
  <c r="M956" i="59"/>
  <c r="M606" i="51"/>
  <c r="M607" i="59"/>
  <c r="M1657" i="53"/>
  <c r="M261" i="53"/>
  <c r="M610" i="53"/>
  <c r="M959" i="53"/>
  <c r="M258" i="59"/>
  <c r="M1308" i="53"/>
  <c r="M958" i="37"/>
  <c r="M260" i="37"/>
  <c r="M610" i="31"/>
  <c r="M609" i="37"/>
  <c r="M262" i="31"/>
  <c r="M957" i="54"/>
  <c r="M259" i="54"/>
  <c r="M1306" i="54"/>
  <c r="M608" i="54"/>
  <c r="M1655" i="52"/>
  <c r="M1302" i="51"/>
  <c r="M1306" i="52"/>
  <c r="M957" i="52"/>
  <c r="M259" i="52"/>
  <c r="M608" i="52"/>
  <c r="M605" i="51"/>
  <c r="M955" i="59"/>
  <c r="M954" i="51"/>
  <c r="M257" i="51"/>
  <c r="M606" i="59"/>
  <c r="M958" i="53"/>
  <c r="M257" i="59"/>
  <c r="M1656" i="53"/>
  <c r="M609" i="53"/>
  <c r="M1307" i="53"/>
  <c r="M260" i="53"/>
  <c r="M608" i="37"/>
  <c r="M259" i="37"/>
  <c r="M261" i="31"/>
  <c r="M957" i="37"/>
  <c r="M609" i="31"/>
  <c r="M1654" i="52"/>
  <c r="M956" i="54"/>
  <c r="M1305" i="54"/>
  <c r="M607" i="54"/>
  <c r="M1301" i="51"/>
  <c r="M1305" i="52"/>
  <c r="M258" i="54"/>
  <c r="M956" i="52"/>
  <c r="M258" i="52"/>
  <c r="M604" i="51"/>
  <c r="M607" i="52"/>
  <c r="M954" i="59"/>
  <c r="M953" i="51"/>
  <c r="M256" i="51"/>
  <c r="M605" i="59"/>
  <c r="M256" i="59"/>
  <c r="M259" i="53"/>
  <c r="M608" i="53"/>
  <c r="M957" i="53"/>
  <c r="M1306" i="53"/>
  <c r="M1655" i="53"/>
  <c r="M607" i="37"/>
  <c r="M258" i="37"/>
  <c r="M260" i="31"/>
  <c r="M956" i="37"/>
  <c r="M608" i="31"/>
  <c r="M1641" i="52"/>
  <c r="M943" i="54"/>
  <c r="M245" i="54"/>
  <c r="M1292" i="54"/>
  <c r="M594" i="54"/>
  <c r="M1292" i="52"/>
  <c r="M943" i="52"/>
  <c r="M245" i="52"/>
  <c r="M594" i="52"/>
  <c r="M1288" i="51"/>
  <c r="M940" i="51"/>
  <c r="M243" i="51"/>
  <c r="M592" i="59"/>
  <c r="M1642" i="53"/>
  <c r="M591" i="51"/>
  <c r="M243" i="59"/>
  <c r="M941" i="59"/>
  <c r="M1293" i="53"/>
  <c r="M944" i="53"/>
  <c r="M245" i="37"/>
  <c r="M595" i="53"/>
  <c r="M943" i="37"/>
  <c r="M247" i="31"/>
  <c r="M594" i="37"/>
  <c r="M246" i="53"/>
  <c r="M595" i="31"/>
  <c r="Q267" i="54"/>
  <c r="Q616" i="54"/>
  <c r="Q1663" i="52"/>
  <c r="Q1314" i="54"/>
  <c r="Q965" i="54"/>
  <c r="Q267" i="52"/>
  <c r="Q1314" i="52"/>
  <c r="Q965" i="52"/>
  <c r="Q616" i="52"/>
  <c r="Q265" i="51"/>
  <c r="Q265" i="59"/>
  <c r="Q1664" i="53"/>
  <c r="Q613" i="51"/>
  <c r="Q1310" i="51"/>
  <c r="Q962" i="51"/>
  <c r="Q614" i="59"/>
  <c r="Q963" i="59"/>
  <c r="Q617" i="53"/>
  <c r="Q965" i="37"/>
  <c r="Q966" i="53"/>
  <c r="Q268" i="53"/>
  <c r="Q617" i="31"/>
  <c r="Q267" i="37"/>
  <c r="Q269" i="31"/>
  <c r="Q1315" i="53"/>
  <c r="Q616" i="37"/>
  <c r="S276" i="54"/>
  <c r="S1323" i="52"/>
  <c r="S625" i="54"/>
  <c r="S1672" i="52"/>
  <c r="S1323" i="54"/>
  <c r="S974" i="54"/>
  <c r="S974" i="52"/>
  <c r="S625" i="52"/>
  <c r="S971" i="51"/>
  <c r="S276" i="52"/>
  <c r="S1319" i="51"/>
  <c r="S622" i="51"/>
  <c r="S972" i="59"/>
  <c r="S1673" i="53"/>
  <c r="S274" i="51"/>
  <c r="S623" i="59"/>
  <c r="S277" i="53"/>
  <c r="S274" i="59"/>
  <c r="S975" i="53"/>
  <c r="S626" i="53"/>
  <c r="S1324" i="53"/>
  <c r="S625" i="37"/>
  <c r="S276" i="37"/>
  <c r="S278" i="31"/>
  <c r="S626" i="31"/>
  <c r="S974" i="37"/>
  <c r="M953" i="54"/>
  <c r="M255" i="54"/>
  <c r="M1302" i="54"/>
  <c r="M604" i="54"/>
  <c r="M604" i="52"/>
  <c r="M1651" i="52"/>
  <c r="M1302" i="52"/>
  <c r="M953" i="52"/>
  <c r="M255" i="52"/>
  <c r="M951" i="59"/>
  <c r="M1298" i="51"/>
  <c r="M950" i="51"/>
  <c r="M253" i="51"/>
  <c r="M602" i="59"/>
  <c r="M601" i="51"/>
  <c r="M253" i="59"/>
  <c r="M256" i="53"/>
  <c r="M1303" i="53"/>
  <c r="M604" i="37"/>
  <c r="M954" i="53"/>
  <c r="M1652" i="53"/>
  <c r="M605" i="53"/>
  <c r="M257" i="31"/>
  <c r="M605" i="31"/>
  <c r="M953" i="37"/>
  <c r="M255" i="37"/>
  <c r="M1301" i="54"/>
  <c r="M603" i="54"/>
  <c r="M1650" i="52"/>
  <c r="M603" i="52"/>
  <c r="M952" i="54"/>
  <c r="M254" i="54"/>
  <c r="M1301" i="52"/>
  <c r="M952" i="52"/>
  <c r="M254" i="52"/>
  <c r="M949" i="51"/>
  <c r="M252" i="51"/>
  <c r="M600" i="51"/>
  <c r="M252" i="59"/>
  <c r="M1297" i="51"/>
  <c r="M953" i="53"/>
  <c r="M1302" i="53"/>
  <c r="M950" i="59"/>
  <c r="M1651" i="53"/>
  <c r="M255" i="53"/>
  <c r="M604" i="53"/>
  <c r="M254" i="37"/>
  <c r="M603" i="37"/>
  <c r="M952" i="37"/>
  <c r="M601" i="59"/>
  <c r="M256" i="31"/>
  <c r="M604" i="31"/>
  <c r="M1300" i="54"/>
  <c r="M602" i="54"/>
  <c r="M1649" i="52"/>
  <c r="M951" i="54"/>
  <c r="M602" i="52"/>
  <c r="M253" i="54"/>
  <c r="M1300" i="52"/>
  <c r="M951" i="52"/>
  <c r="M253" i="52"/>
  <c r="M251" i="51"/>
  <c r="M949" i="59"/>
  <c r="M600" i="59"/>
  <c r="M1650" i="53"/>
  <c r="M599" i="51"/>
  <c r="M251" i="59"/>
  <c r="M1296" i="51"/>
  <c r="M948" i="51"/>
  <c r="M603" i="53"/>
  <c r="M1301" i="53"/>
  <c r="M254" i="53"/>
  <c r="M951" i="37"/>
  <c r="M602" i="37"/>
  <c r="M255" i="31"/>
  <c r="M603" i="31"/>
  <c r="M952" i="53"/>
  <c r="M253" i="37"/>
  <c r="M601" i="54"/>
  <c r="M950" i="54"/>
  <c r="M252" i="54"/>
  <c r="M1299" i="54"/>
  <c r="M1295" i="51"/>
  <c r="M1299" i="52"/>
  <c r="M1648" i="52"/>
  <c r="M252" i="52"/>
  <c r="M601" i="52"/>
  <c r="M250" i="51"/>
  <c r="M948" i="59"/>
  <c r="M599" i="59"/>
  <c r="M1649" i="53"/>
  <c r="M598" i="51"/>
  <c r="M950" i="52"/>
  <c r="M947" i="51"/>
  <c r="M1300" i="53"/>
  <c r="M250" i="59"/>
  <c r="M253" i="53"/>
  <c r="M602" i="53"/>
  <c r="M252" i="37"/>
  <c r="M601" i="37"/>
  <c r="M950" i="37"/>
  <c r="M951" i="53"/>
  <c r="M254" i="31"/>
  <c r="M602" i="31"/>
  <c r="M600" i="54"/>
  <c r="M1647" i="52"/>
  <c r="M949" i="54"/>
  <c r="M251" i="54"/>
  <c r="M1298" i="54"/>
  <c r="M600" i="52"/>
  <c r="M1298" i="52"/>
  <c r="M949" i="52"/>
  <c r="M946" i="51"/>
  <c r="M1294" i="51"/>
  <c r="M597" i="51"/>
  <c r="M249" i="51"/>
  <c r="M947" i="59"/>
  <c r="M598" i="59"/>
  <c r="M1648" i="53"/>
  <c r="M249" i="59"/>
  <c r="M251" i="52"/>
  <c r="M252" i="53"/>
  <c r="M950" i="53"/>
  <c r="M253" i="31"/>
  <c r="M1299" i="53"/>
  <c r="M601" i="31"/>
  <c r="M601" i="53"/>
  <c r="M949" i="37"/>
  <c r="M251" i="37"/>
  <c r="M600" i="37"/>
  <c r="M599" i="54"/>
  <c r="M1646" i="52"/>
  <c r="M948" i="54"/>
  <c r="M1297" i="54"/>
  <c r="M599" i="52"/>
  <c r="M1297" i="52"/>
  <c r="M948" i="52"/>
  <c r="M250" i="52"/>
  <c r="M250" i="54"/>
  <c r="M1293" i="51"/>
  <c r="M596" i="51"/>
  <c r="M248" i="59"/>
  <c r="M945" i="51"/>
  <c r="M946" i="59"/>
  <c r="M1647" i="53"/>
  <c r="M248" i="51"/>
  <c r="M600" i="53"/>
  <c r="M949" i="53"/>
  <c r="M597" i="59"/>
  <c r="M1298" i="53"/>
  <c r="M599" i="37"/>
  <c r="M948" i="37"/>
  <c r="M252" i="31"/>
  <c r="M600" i="31"/>
  <c r="M250" i="37"/>
  <c r="M251" i="53"/>
  <c r="M598" i="54"/>
  <c r="M1645" i="52"/>
  <c r="M947" i="54"/>
  <c r="M249" i="54"/>
  <c r="M1296" i="54"/>
  <c r="M1292" i="51"/>
  <c r="M1296" i="52"/>
  <c r="M947" i="52"/>
  <c r="M598" i="52"/>
  <c r="M944" i="51"/>
  <c r="M247" i="51"/>
  <c r="M247" i="59"/>
  <c r="M595" i="51"/>
  <c r="M249" i="52"/>
  <c r="M945" i="59"/>
  <c r="M1646" i="53"/>
  <c r="M599" i="53"/>
  <c r="M596" i="59"/>
  <c r="M1297" i="53"/>
  <c r="M250" i="53"/>
  <c r="M948" i="53"/>
  <c r="M249" i="37"/>
  <c r="M599" i="31"/>
  <c r="M947" i="37"/>
  <c r="M598" i="37"/>
  <c r="M251" i="31"/>
  <c r="M946" i="54"/>
  <c r="M248" i="54"/>
  <c r="M1295" i="54"/>
  <c r="M1295" i="52"/>
  <c r="M946" i="52"/>
  <c r="M1644" i="52"/>
  <c r="M597" i="52"/>
  <c r="M248" i="52"/>
  <c r="M597" i="54"/>
  <c r="M1291" i="51"/>
  <c r="M943" i="51"/>
  <c r="M246" i="51"/>
  <c r="M594" i="51"/>
  <c r="M944" i="59"/>
  <c r="M595" i="59"/>
  <c r="M1645" i="53"/>
  <c r="M249" i="53"/>
  <c r="M246" i="59"/>
  <c r="M598" i="53"/>
  <c r="M947" i="53"/>
  <c r="M1296" i="53"/>
  <c r="M946" i="37"/>
  <c r="M248" i="37"/>
  <c r="M598" i="31"/>
  <c r="M597" i="37"/>
  <c r="M250" i="31"/>
  <c r="M945" i="54"/>
  <c r="M247" i="54"/>
  <c r="M1294" i="54"/>
  <c r="M1290" i="51"/>
  <c r="M1294" i="52"/>
  <c r="M945" i="52"/>
  <c r="M247" i="52"/>
  <c r="M1643" i="52"/>
  <c r="M596" i="52"/>
  <c r="M596" i="54"/>
  <c r="M593" i="51"/>
  <c r="M943" i="59"/>
  <c r="M942" i="51"/>
  <c r="M245" i="59"/>
  <c r="M245" i="51"/>
  <c r="M946" i="53"/>
  <c r="M594" i="59"/>
  <c r="M1295" i="53"/>
  <c r="M597" i="31"/>
  <c r="M1644" i="53"/>
  <c r="M596" i="37"/>
  <c r="M597" i="53"/>
  <c r="M945" i="37"/>
  <c r="M247" i="37"/>
  <c r="M249" i="31"/>
  <c r="M248" i="53"/>
  <c r="M1642" i="52"/>
  <c r="M944" i="54"/>
  <c r="M1293" i="54"/>
  <c r="M595" i="54"/>
  <c r="M1289" i="51"/>
  <c r="M1293" i="52"/>
  <c r="M246" i="54"/>
  <c r="M595" i="52"/>
  <c r="M592" i="51"/>
  <c r="M942" i="59"/>
  <c r="M944" i="52"/>
  <c r="M246" i="52"/>
  <c r="M941" i="51"/>
  <c r="M593" i="59"/>
  <c r="M244" i="51"/>
  <c r="M244" i="59"/>
  <c r="M247" i="53"/>
  <c r="M1643" i="53"/>
  <c r="M596" i="53"/>
  <c r="M945" i="53"/>
  <c r="M1294" i="53"/>
  <c r="M595" i="37"/>
  <c r="M944" i="37"/>
  <c r="M246" i="37"/>
  <c r="M248" i="31"/>
  <c r="M596" i="31"/>
  <c r="Q617" i="54"/>
  <c r="Q1664" i="52"/>
  <c r="Q1315" i="54"/>
  <c r="Q966" i="54"/>
  <c r="Q1315" i="52"/>
  <c r="Q617" i="52"/>
  <c r="Q963" i="51"/>
  <c r="Q268" i="52"/>
  <c r="Q268" i="54"/>
  <c r="Q1311" i="51"/>
  <c r="Q266" i="51"/>
  <c r="Q266" i="59"/>
  <c r="Q966" i="52"/>
  <c r="Q964" i="59"/>
  <c r="Q614" i="51"/>
  <c r="Q967" i="53"/>
  <c r="Q615" i="59"/>
  <c r="Q1316" i="53"/>
  <c r="Q1665" i="53"/>
  <c r="Q269" i="53"/>
  <c r="Q618" i="31"/>
  <c r="Q268" i="37"/>
  <c r="Q617" i="37"/>
  <c r="Q966" i="37"/>
  <c r="Q270" i="31"/>
  <c r="Q618" i="53"/>
  <c r="Q255" i="54"/>
  <c r="Q604" i="54"/>
  <c r="Q1651" i="52"/>
  <c r="Q1302" i="54"/>
  <c r="Q953" i="54"/>
  <c r="Q255" i="52"/>
  <c r="Q953" i="52"/>
  <c r="Q604" i="52"/>
  <c r="Q1302" i="52"/>
  <c r="Q253" i="51"/>
  <c r="Q253" i="59"/>
  <c r="Q1652" i="53"/>
  <c r="Q1298" i="51"/>
  <c r="Q950" i="51"/>
  <c r="Q951" i="59"/>
  <c r="Q601" i="51"/>
  <c r="Q602" i="59"/>
  <c r="Q605" i="53"/>
  <c r="Q256" i="53"/>
  <c r="Q953" i="37"/>
  <c r="Q1303" i="53"/>
  <c r="Q954" i="53"/>
  <c r="Q605" i="31"/>
  <c r="Q257" i="31"/>
  <c r="Q604" i="37"/>
  <c r="Q255" i="37"/>
  <c r="S619" i="54"/>
  <c r="S1666" i="52"/>
  <c r="S1317" i="54"/>
  <c r="S968" i="54"/>
  <c r="S270" i="54"/>
  <c r="S1317" i="52"/>
  <c r="S968" i="52"/>
  <c r="S270" i="52"/>
  <c r="S619" i="52"/>
  <c r="S965" i="51"/>
  <c r="S1313" i="51"/>
  <c r="S268" i="59"/>
  <c r="S268" i="51"/>
  <c r="S966" i="59"/>
  <c r="S1667" i="53"/>
  <c r="S616" i="51"/>
  <c r="S617" i="59"/>
  <c r="S1318" i="53"/>
  <c r="S271" i="53"/>
  <c r="S969" i="53"/>
  <c r="S270" i="37"/>
  <c r="S968" i="37"/>
  <c r="S620" i="53"/>
  <c r="S272" i="31"/>
  <c r="S619" i="37"/>
  <c r="S620" i="31"/>
  <c r="Q278" i="54"/>
  <c r="Q1325" i="52"/>
  <c r="Q627" i="54"/>
  <c r="Q1325" i="54"/>
  <c r="Q976" i="54"/>
  <c r="Q278" i="52"/>
  <c r="Q1674" i="52"/>
  <c r="Q976" i="52"/>
  <c r="Q627" i="52"/>
  <c r="Q1321" i="51"/>
  <c r="Q276" i="51"/>
  <c r="Q1675" i="53"/>
  <c r="Q973" i="51"/>
  <c r="Q625" i="59"/>
  <c r="Q624" i="51"/>
  <c r="Q1326" i="53"/>
  <c r="Q974" i="59"/>
  <c r="Q279" i="53"/>
  <c r="Q628" i="53"/>
  <c r="Q276" i="59"/>
  <c r="Q278" i="37"/>
  <c r="Q627" i="37"/>
  <c r="Q976" i="37"/>
  <c r="Q977" i="53"/>
  <c r="Q280" i="31"/>
  <c r="Q628" i="31"/>
  <c r="Q277" i="54"/>
  <c r="Q1324" i="52"/>
  <c r="Q626" i="54"/>
  <c r="Q1673" i="52"/>
  <c r="Q1324" i="54"/>
  <c r="Q975" i="54"/>
  <c r="Q975" i="52"/>
  <c r="Q626" i="52"/>
  <c r="Q972" i="51"/>
  <c r="Q277" i="52"/>
  <c r="Q623" i="51"/>
  <c r="Q973" i="59"/>
  <c r="Q1674" i="53"/>
  <c r="Q275" i="51"/>
  <c r="Q1320" i="51"/>
  <c r="Q624" i="59"/>
  <c r="Q278" i="53"/>
  <c r="Q275" i="59"/>
  <c r="Q976" i="53"/>
  <c r="Q627" i="53"/>
  <c r="Q1325" i="53"/>
  <c r="Q975" i="37"/>
  <c r="Q279" i="31"/>
  <c r="Q626" i="37"/>
  <c r="Q277" i="37"/>
  <c r="Q627" i="31"/>
  <c r="Q625" i="54"/>
  <c r="Q1672" i="52"/>
  <c r="Q1323" i="54"/>
  <c r="Q974" i="54"/>
  <c r="Q276" i="54"/>
  <c r="Q974" i="52"/>
  <c r="Q625" i="52"/>
  <c r="Q1323" i="52"/>
  <c r="Q276" i="52"/>
  <c r="Q622" i="51"/>
  <c r="Q972" i="59"/>
  <c r="Q971" i="51"/>
  <c r="Q274" i="51"/>
  <c r="Q623" i="59"/>
  <c r="Q1319" i="51"/>
  <c r="Q274" i="59"/>
  <c r="Q626" i="53"/>
  <c r="Q975" i="53"/>
  <c r="Q1673" i="53"/>
  <c r="Q625" i="37"/>
  <c r="Q974" i="37"/>
  <c r="Q1324" i="53"/>
  <c r="Q278" i="31"/>
  <c r="Q277" i="53"/>
  <c r="Q276" i="37"/>
  <c r="Q626" i="31"/>
  <c r="Q624" i="54"/>
  <c r="Q1671" i="52"/>
  <c r="Q1322" i="54"/>
  <c r="Q973" i="54"/>
  <c r="Q275" i="54"/>
  <c r="Q973" i="52"/>
  <c r="Q624" i="52"/>
  <c r="Q1318" i="51"/>
  <c r="Q1322" i="52"/>
  <c r="Q275" i="52"/>
  <c r="Q273" i="51"/>
  <c r="Q970" i="51"/>
  <c r="Q622" i="59"/>
  <c r="Q621" i="51"/>
  <c r="Q971" i="59"/>
  <c r="Q625" i="53"/>
  <c r="Q273" i="59"/>
  <c r="Q1672" i="53"/>
  <c r="Q1323" i="53"/>
  <c r="Q276" i="53"/>
  <c r="Q974" i="53"/>
  <c r="Q275" i="37"/>
  <c r="Q624" i="37"/>
  <c r="Q625" i="31"/>
  <c r="Q973" i="37"/>
  <c r="Q277" i="31"/>
  <c r="Q1321" i="52"/>
  <c r="Q623" i="54"/>
  <c r="Q1321" i="54"/>
  <c r="Q972" i="54"/>
  <c r="Q274" i="54"/>
  <c r="Q1670" i="52"/>
  <c r="Q1317" i="51"/>
  <c r="Q272" i="51"/>
  <c r="Q274" i="52"/>
  <c r="Q969" i="51"/>
  <c r="Q972" i="52"/>
  <c r="Q621" i="59"/>
  <c r="Q272" i="59"/>
  <c r="Q623" i="52"/>
  <c r="Q620" i="51"/>
  <c r="Q1671" i="53"/>
  <c r="Q970" i="59"/>
  <c r="Q275" i="53"/>
  <c r="Q624" i="53"/>
  <c r="Q973" i="53"/>
  <c r="Q1322" i="53"/>
  <c r="Q972" i="37"/>
  <c r="Q274" i="37"/>
  <c r="Q623" i="37"/>
  <c r="Q624" i="31"/>
  <c r="Q276" i="31"/>
  <c r="Q1320" i="52"/>
  <c r="Q622" i="54"/>
  <c r="Q1320" i="54"/>
  <c r="Q971" i="54"/>
  <c r="Q273" i="54"/>
  <c r="Q971" i="52"/>
  <c r="Q622" i="52"/>
  <c r="Q1316" i="51"/>
  <c r="Q1669" i="52"/>
  <c r="Q619" i="51"/>
  <c r="Q969" i="59"/>
  <c r="Q968" i="51"/>
  <c r="Q271" i="51"/>
  <c r="Q620" i="59"/>
  <c r="Q273" i="52"/>
  <c r="Q271" i="59"/>
  <c r="Q972" i="53"/>
  <c r="Q1670" i="53"/>
  <c r="Q623" i="53"/>
  <c r="Q1321" i="53"/>
  <c r="Q623" i="31"/>
  <c r="Q622" i="37"/>
  <c r="Q274" i="53"/>
  <c r="Q273" i="37"/>
  <c r="Q275" i="31"/>
  <c r="Q971" i="37"/>
  <c r="Q621" i="54"/>
  <c r="Q1668" i="52"/>
  <c r="Q1319" i="54"/>
  <c r="Q970" i="54"/>
  <c r="Q272" i="54"/>
  <c r="Q970" i="52"/>
  <c r="Q621" i="52"/>
  <c r="Q1315" i="51"/>
  <c r="Q272" i="52"/>
  <c r="Q1319" i="52"/>
  <c r="Q270" i="51"/>
  <c r="Q618" i="51"/>
  <c r="Q270" i="59"/>
  <c r="Q968" i="59"/>
  <c r="Q273" i="53"/>
  <c r="Q619" i="59"/>
  <c r="Q622" i="53"/>
  <c r="Q971" i="53"/>
  <c r="Q1669" i="53"/>
  <c r="Q1320" i="53"/>
  <c r="Q967" i="51"/>
  <c r="Q272" i="37"/>
  <c r="Q621" i="37"/>
  <c r="Q622" i="31"/>
  <c r="Q274" i="31"/>
  <c r="Q970" i="37"/>
  <c r="Q620" i="54"/>
  <c r="Q1667" i="52"/>
  <c r="Q1318" i="54"/>
  <c r="Q969" i="54"/>
  <c r="Q271" i="54"/>
  <c r="Q1318" i="52"/>
  <c r="Q966" i="51"/>
  <c r="Q969" i="52"/>
  <c r="Q618" i="59"/>
  <c r="Q269" i="51"/>
  <c r="Q269" i="59"/>
  <c r="Q271" i="52"/>
  <c r="Q967" i="59"/>
  <c r="Q1668" i="53"/>
  <c r="Q620" i="52"/>
  <c r="Q617" i="51"/>
  <c r="Q1314" i="51"/>
  <c r="Q1319" i="53"/>
  <c r="Q271" i="37"/>
  <c r="Q970" i="53"/>
  <c r="Q969" i="37"/>
  <c r="Q620" i="37"/>
  <c r="Q621" i="31"/>
  <c r="Q273" i="31"/>
  <c r="Q621" i="53"/>
  <c r="Q272" i="53"/>
  <c r="Q1317" i="54"/>
  <c r="Q968" i="54"/>
  <c r="Q270" i="54"/>
  <c r="Q1317" i="52"/>
  <c r="Q619" i="54"/>
  <c r="Q1666" i="52"/>
  <c r="Q968" i="52"/>
  <c r="Q619" i="52"/>
  <c r="Q616" i="51"/>
  <c r="Q966" i="59"/>
  <c r="Q965" i="51"/>
  <c r="Q270" i="52"/>
  <c r="Q1313" i="51"/>
  <c r="Q617" i="59"/>
  <c r="Q268" i="51"/>
  <c r="Q1667" i="53"/>
  <c r="Q620" i="53"/>
  <c r="Q969" i="53"/>
  <c r="Q1318" i="53"/>
  <c r="Q268" i="59"/>
  <c r="Q619" i="37"/>
  <c r="Q968" i="37"/>
  <c r="Q271" i="53"/>
  <c r="Q620" i="31"/>
  <c r="Q270" i="37"/>
  <c r="Q272" i="31"/>
  <c r="Q1316" i="54"/>
  <c r="Q967" i="54"/>
  <c r="Q269" i="54"/>
  <c r="Q1316" i="52"/>
  <c r="Q618" i="54"/>
  <c r="Q269" i="52"/>
  <c r="Q1665" i="52"/>
  <c r="Q967" i="52"/>
  <c r="Q618" i="52"/>
  <c r="Q1312" i="51"/>
  <c r="Q964" i="51"/>
  <c r="Q616" i="59"/>
  <c r="Q267" i="51"/>
  <c r="Q267" i="59"/>
  <c r="Q1666" i="53"/>
  <c r="Q965" i="59"/>
  <c r="Q615" i="51"/>
  <c r="Q270" i="53"/>
  <c r="Q619" i="53"/>
  <c r="Q1317" i="53"/>
  <c r="Q618" i="37"/>
  <c r="Q968" i="53"/>
  <c r="Q619" i="31"/>
  <c r="Q269" i="37"/>
  <c r="Q271" i="31"/>
  <c r="Q967" i="37"/>
  <c r="Q605" i="54"/>
  <c r="Q1652" i="52"/>
  <c r="Q1303" i="54"/>
  <c r="Q1303" i="52"/>
  <c r="Q954" i="54"/>
  <c r="Q256" i="54"/>
  <c r="Q951" i="51"/>
  <c r="Q954" i="52"/>
  <c r="Q605" i="52"/>
  <c r="Q254" i="59"/>
  <c r="Q256" i="52"/>
  <c r="Q1299" i="51"/>
  <c r="Q254" i="51"/>
  <c r="Q602" i="51"/>
  <c r="Q1653" i="53"/>
  <c r="Q955" i="53"/>
  <c r="Q1304" i="53"/>
  <c r="Q257" i="53"/>
  <c r="Q603" i="59"/>
  <c r="Q606" i="31"/>
  <c r="Q256" i="37"/>
  <c r="Q605" i="37"/>
  <c r="Q606" i="53"/>
  <c r="Q954" i="37"/>
  <c r="Q952" i="59"/>
  <c r="Q258" i="31"/>
  <c r="O627" i="54"/>
  <c r="O278" i="54"/>
  <c r="O1674" i="52"/>
  <c r="O976" i="54"/>
  <c r="O1325" i="54"/>
  <c r="O1325" i="52"/>
  <c r="O1321" i="51"/>
  <c r="O625" i="59"/>
  <c r="O276" i="59"/>
  <c r="O1675" i="53"/>
  <c r="O278" i="52"/>
  <c r="O276" i="51"/>
  <c r="O973" i="51"/>
  <c r="O976" i="52"/>
  <c r="O624" i="51"/>
  <c r="O974" i="59"/>
  <c r="O627" i="52"/>
  <c r="O628" i="53"/>
  <c r="O977" i="53"/>
  <c r="O976" i="37"/>
  <c r="O279" i="53"/>
  <c r="O1326" i="53"/>
  <c r="O278" i="37"/>
  <c r="O280" i="31"/>
  <c r="O628" i="31"/>
  <c r="O627" i="37"/>
  <c r="S1319" i="52"/>
  <c r="S621" i="54"/>
  <c r="S1319" i="54"/>
  <c r="S970" i="54"/>
  <c r="S272" i="54"/>
  <c r="S970" i="52"/>
  <c r="S621" i="52"/>
  <c r="S1315" i="51"/>
  <c r="S272" i="52"/>
  <c r="S1668" i="52"/>
  <c r="S618" i="51"/>
  <c r="S968" i="59"/>
  <c r="S619" i="59"/>
  <c r="S270" i="59"/>
  <c r="S270" i="51"/>
  <c r="S967" i="51"/>
  <c r="S1669" i="53"/>
  <c r="S971" i="53"/>
  <c r="S1320" i="53"/>
  <c r="S273" i="53"/>
  <c r="S622" i="31"/>
  <c r="S621" i="37"/>
  <c r="S622" i="53"/>
  <c r="S970" i="37"/>
  <c r="S274" i="31"/>
  <c r="S272" i="37"/>
  <c r="Q266" i="54"/>
  <c r="Q1313" i="52"/>
  <c r="Q615" i="54"/>
  <c r="Q1313" i="54"/>
  <c r="Q964" i="54"/>
  <c r="Q266" i="52"/>
  <c r="Q964" i="52"/>
  <c r="Q615" i="52"/>
  <c r="Q1309" i="51"/>
  <c r="Q1662" i="52"/>
  <c r="Q264" i="51"/>
  <c r="Q1663" i="53"/>
  <c r="Q962" i="59"/>
  <c r="Q612" i="51"/>
  <c r="Q961" i="51"/>
  <c r="Q613" i="59"/>
  <c r="Q1314" i="53"/>
  <c r="Q264" i="59"/>
  <c r="Q267" i="53"/>
  <c r="Q616" i="53"/>
  <c r="Q266" i="37"/>
  <c r="Q615" i="37"/>
  <c r="Q964" i="37"/>
  <c r="Q965" i="53"/>
  <c r="Q268" i="31"/>
  <c r="Q616" i="31"/>
  <c r="Q265" i="54"/>
  <c r="Q1312" i="52"/>
  <c r="Q614" i="54"/>
  <c r="Q1661" i="52"/>
  <c r="Q1312" i="54"/>
  <c r="Q963" i="54"/>
  <c r="Q963" i="52"/>
  <c r="Q614" i="52"/>
  <c r="Q960" i="51"/>
  <c r="Q265" i="52"/>
  <c r="Q611" i="51"/>
  <c r="Q961" i="59"/>
  <c r="Q1662" i="53"/>
  <c r="Q1308" i="51"/>
  <c r="Q612" i="59"/>
  <c r="Q263" i="59"/>
  <c r="Q266" i="53"/>
  <c r="Q263" i="51"/>
  <c r="Q964" i="53"/>
  <c r="Q1313" i="53"/>
  <c r="Q265" i="37"/>
  <c r="Q267" i="31"/>
  <c r="Q615" i="53"/>
  <c r="Q963" i="37"/>
  <c r="Q614" i="37"/>
  <c r="Q615" i="31"/>
  <c r="Q613" i="54"/>
  <c r="Q1660" i="52"/>
  <c r="Q1311" i="54"/>
  <c r="Q962" i="54"/>
  <c r="Q1311" i="52"/>
  <c r="Q962" i="52"/>
  <c r="Q613" i="52"/>
  <c r="Q264" i="54"/>
  <c r="Q264" i="52"/>
  <c r="Q1307" i="51"/>
  <c r="Q610" i="51"/>
  <c r="Q960" i="59"/>
  <c r="Q611" i="59"/>
  <c r="Q959" i="51"/>
  <c r="Q262" i="59"/>
  <c r="Q1661" i="53"/>
  <c r="Q614" i="53"/>
  <c r="Q262" i="51"/>
  <c r="Q963" i="53"/>
  <c r="Q1312" i="53"/>
  <c r="Q613" i="37"/>
  <c r="Q962" i="37"/>
  <c r="Q266" i="31"/>
  <c r="Q614" i="31"/>
  <c r="Q265" i="53"/>
  <c r="Q264" i="37"/>
  <c r="Q612" i="54"/>
  <c r="Q1659" i="52"/>
  <c r="Q1310" i="54"/>
  <c r="Q961" i="54"/>
  <c r="Q1310" i="52"/>
  <c r="Q961" i="52"/>
  <c r="Q612" i="52"/>
  <c r="Q1306" i="51"/>
  <c r="Q263" i="54"/>
  <c r="Q263" i="52"/>
  <c r="Q261" i="51"/>
  <c r="Q958" i="51"/>
  <c r="Q959" i="59"/>
  <c r="Q609" i="51"/>
  <c r="Q610" i="59"/>
  <c r="Q261" i="59"/>
  <c r="Q613" i="53"/>
  <c r="Q1311" i="53"/>
  <c r="Q1660" i="53"/>
  <c r="Q962" i="53"/>
  <c r="Q264" i="53"/>
  <c r="Q263" i="37"/>
  <c r="Q961" i="37"/>
  <c r="Q613" i="31"/>
  <c r="Q612" i="37"/>
  <c r="Q265" i="31"/>
  <c r="Q1309" i="52"/>
  <c r="Q611" i="54"/>
  <c r="Q1309" i="54"/>
  <c r="Q960" i="54"/>
  <c r="Q262" i="54"/>
  <c r="Q1658" i="52"/>
  <c r="Q262" i="52"/>
  <c r="Q1305" i="51"/>
  <c r="Q260" i="51"/>
  <c r="Q960" i="52"/>
  <c r="Q957" i="51"/>
  <c r="Q958" i="59"/>
  <c r="Q608" i="51"/>
  <c r="Q609" i="59"/>
  <c r="Q611" i="52"/>
  <c r="Q260" i="59"/>
  <c r="Q1659" i="53"/>
  <c r="Q263" i="53"/>
  <c r="Q612" i="53"/>
  <c r="Q961" i="53"/>
  <c r="Q1310" i="53"/>
  <c r="Q960" i="37"/>
  <c r="Q262" i="37"/>
  <c r="Q612" i="31"/>
  <c r="Q611" i="37"/>
  <c r="Q264" i="31"/>
  <c r="Q1308" i="52"/>
  <c r="Q610" i="54"/>
  <c r="Q1308" i="54"/>
  <c r="Q959" i="54"/>
  <c r="Q261" i="54"/>
  <c r="Q959" i="52"/>
  <c r="Q610" i="52"/>
  <c r="Q1304" i="51"/>
  <c r="Q1657" i="52"/>
  <c r="Q607" i="51"/>
  <c r="Q957" i="59"/>
  <c r="Q261" i="52"/>
  <c r="Q608" i="59"/>
  <c r="Q259" i="59"/>
  <c r="Q956" i="51"/>
  <c r="Q259" i="51"/>
  <c r="Q1658" i="53"/>
  <c r="Q960" i="53"/>
  <c r="Q262" i="53"/>
  <c r="Q611" i="31"/>
  <c r="Q611" i="53"/>
  <c r="Q610" i="37"/>
  <c r="Q1309" i="53"/>
  <c r="Q959" i="37"/>
  <c r="Q263" i="31"/>
  <c r="Q261" i="37"/>
  <c r="Q609" i="54"/>
  <c r="Q1656" i="52"/>
  <c r="Q1307" i="54"/>
  <c r="Q958" i="54"/>
  <c r="Q260" i="54"/>
  <c r="Q958" i="52"/>
  <c r="Q609" i="52"/>
  <c r="Q1303" i="51"/>
  <c r="Q1307" i="52"/>
  <c r="Q260" i="52"/>
  <c r="Q258" i="51"/>
  <c r="Q606" i="51"/>
  <c r="Q258" i="59"/>
  <c r="Q955" i="51"/>
  <c r="Q956" i="59"/>
  <c r="Q261" i="53"/>
  <c r="Q610" i="53"/>
  <c r="Q959" i="53"/>
  <c r="Q1308" i="53"/>
  <c r="Q607" i="59"/>
  <c r="Q260" i="37"/>
  <c r="Q609" i="37"/>
  <c r="Q1657" i="53"/>
  <c r="Q958" i="37"/>
  <c r="Q610" i="31"/>
  <c r="Q262" i="31"/>
  <c r="Q608" i="54"/>
  <c r="Q1655" i="52"/>
  <c r="Q1306" i="54"/>
  <c r="Q957" i="54"/>
  <c r="Q259" i="54"/>
  <c r="Q1306" i="52"/>
  <c r="Q1302" i="51"/>
  <c r="Q957" i="52"/>
  <c r="Q954" i="51"/>
  <c r="Q608" i="52"/>
  <c r="Q605" i="51"/>
  <c r="Q606" i="59"/>
  <c r="Q259" i="52"/>
  <c r="Q257" i="59"/>
  <c r="Q1656" i="53"/>
  <c r="Q955" i="59"/>
  <c r="Q1307" i="53"/>
  <c r="Q257" i="51"/>
  <c r="Q958" i="53"/>
  <c r="Q260" i="53"/>
  <c r="Q259" i="37"/>
  <c r="Q609" i="53"/>
  <c r="Q957" i="37"/>
  <c r="Q609" i="31"/>
  <c r="Q608" i="37"/>
  <c r="Q261" i="31"/>
  <c r="Q1305" i="54"/>
  <c r="Q956" i="54"/>
  <c r="Q258" i="54"/>
  <c r="Q1305" i="52"/>
  <c r="Q1654" i="52"/>
  <c r="Q956" i="52"/>
  <c r="J40" i="83" s="1"/>
  <c r="O40" i="83" s="1"/>
  <c r="Q607" i="52"/>
  <c r="Q607" i="54"/>
  <c r="Q258" i="52"/>
  <c r="Q1301" i="51"/>
  <c r="Q604" i="51"/>
  <c r="Q954" i="59"/>
  <c r="Q953" i="51"/>
  <c r="Q605" i="59"/>
  <c r="Q1655" i="53"/>
  <c r="Q256" i="51"/>
  <c r="Q608" i="53"/>
  <c r="Q957" i="53"/>
  <c r="Q256" i="59"/>
  <c r="Q1306" i="53"/>
  <c r="Q607" i="37"/>
  <c r="Q956" i="37"/>
  <c r="Q608" i="31"/>
  <c r="Q260" i="31"/>
  <c r="Q259" i="53"/>
  <c r="Q258" i="37"/>
  <c r="Q1304" i="54"/>
  <c r="Q955" i="54"/>
  <c r="Q257" i="54"/>
  <c r="Q1304" i="52"/>
  <c r="Q257" i="52"/>
  <c r="Q1653" i="52"/>
  <c r="Q955" i="52"/>
  <c r="Q606" i="52"/>
  <c r="Q1300" i="51"/>
  <c r="Q606" i="54"/>
  <c r="Q952" i="51"/>
  <c r="Q604" i="59"/>
  <c r="Q255" i="59"/>
  <c r="Q1654" i="53"/>
  <c r="Q255" i="51"/>
  <c r="Q953" i="59"/>
  <c r="Q603" i="51"/>
  <c r="Q258" i="53"/>
  <c r="Q956" i="53"/>
  <c r="Q606" i="37"/>
  <c r="Q1305" i="53"/>
  <c r="Q955" i="37"/>
  <c r="Q607" i="31"/>
  <c r="Q259" i="31"/>
  <c r="Q607" i="53"/>
  <c r="Q257" i="37"/>
  <c r="Q593" i="54"/>
  <c r="Q1640" i="52"/>
  <c r="Q1291" i="54"/>
  <c r="Q942" i="54"/>
  <c r="Q244" i="54"/>
  <c r="Q1291" i="52"/>
  <c r="Q939" i="51"/>
  <c r="Q593" i="52"/>
  <c r="Q244" i="52"/>
  <c r="Q940" i="59"/>
  <c r="Q1287" i="51"/>
  <c r="Q242" i="59"/>
  <c r="Q942" i="52"/>
  <c r="Q590" i="51"/>
  <c r="Q943" i="53"/>
  <c r="Q1292" i="53"/>
  <c r="Q242" i="51"/>
  <c r="Q591" i="59"/>
  <c r="Q1641" i="53"/>
  <c r="Q245" i="53"/>
  <c r="Q594" i="31"/>
  <c r="Q244" i="37"/>
  <c r="Q593" i="37"/>
  <c r="Q942" i="37"/>
  <c r="Q246" i="31"/>
  <c r="Q594" i="53"/>
  <c r="O615" i="54"/>
  <c r="O266" i="54"/>
  <c r="O1662" i="52"/>
  <c r="O964" i="54"/>
  <c r="O1313" i="54"/>
  <c r="O964" i="52"/>
  <c r="O1309" i="51"/>
  <c r="O1313" i="52"/>
  <c r="O615" i="52"/>
  <c r="O613" i="59"/>
  <c r="O266" i="52"/>
  <c r="O961" i="51"/>
  <c r="O612" i="51"/>
  <c r="O264" i="59"/>
  <c r="O1663" i="53"/>
  <c r="O962" i="59"/>
  <c r="O264" i="51"/>
  <c r="O616" i="53"/>
  <c r="O267" i="53"/>
  <c r="O1314" i="53"/>
  <c r="O964" i="37"/>
  <c r="O965" i="53"/>
  <c r="O615" i="37"/>
  <c r="O268" i="31"/>
  <c r="O616" i="31"/>
  <c r="O266" i="37"/>
  <c r="S623" i="54"/>
  <c r="S1670" i="52"/>
  <c r="S1321" i="54"/>
  <c r="S972" i="54"/>
  <c r="S274" i="54"/>
  <c r="S1321" i="52"/>
  <c r="S972" i="52"/>
  <c r="S623" i="52"/>
  <c r="S1317" i="51"/>
  <c r="S274" i="52"/>
  <c r="S272" i="51"/>
  <c r="S969" i="51"/>
  <c r="S621" i="59"/>
  <c r="S620" i="51"/>
  <c r="S970" i="59"/>
  <c r="S1671" i="53"/>
  <c r="S624" i="53"/>
  <c r="S272" i="59"/>
  <c r="S1322" i="53"/>
  <c r="S973" i="53"/>
  <c r="S275" i="53"/>
  <c r="S274" i="37"/>
  <c r="S624" i="31"/>
  <c r="S972" i="37"/>
  <c r="S623" i="37"/>
  <c r="S276" i="31"/>
  <c r="Q254" i="54"/>
  <c r="Q1301" i="52"/>
  <c r="Q603" i="54"/>
  <c r="Q1301" i="54"/>
  <c r="Q952" i="54"/>
  <c r="Q254" i="52"/>
  <c r="Q1650" i="52"/>
  <c r="Q952" i="52"/>
  <c r="Q603" i="52"/>
  <c r="Q1297" i="51"/>
  <c r="Q252" i="51"/>
  <c r="Q1651" i="53"/>
  <c r="Q949" i="51"/>
  <c r="Q950" i="59"/>
  <c r="Q600" i="51"/>
  <c r="Q601" i="59"/>
  <c r="Q1302" i="53"/>
  <c r="Q252" i="59"/>
  <c r="Q255" i="53"/>
  <c r="Q604" i="53"/>
  <c r="Q953" i="53"/>
  <c r="Q254" i="37"/>
  <c r="Q603" i="37"/>
  <c r="Q952" i="37"/>
  <c r="Q604" i="31"/>
  <c r="Q256" i="31"/>
  <c r="Q253" i="54"/>
  <c r="Q1300" i="52"/>
  <c r="Q602" i="54"/>
  <c r="Q1649" i="52"/>
  <c r="Q1300" i="54"/>
  <c r="Q951" i="54"/>
  <c r="Q951" i="52"/>
  <c r="Q602" i="52"/>
  <c r="Q1296" i="51"/>
  <c r="Q948" i="51"/>
  <c r="Q253" i="52"/>
  <c r="Q599" i="51"/>
  <c r="Q949" i="59"/>
  <c r="Q1650" i="53"/>
  <c r="Q251" i="51"/>
  <c r="Q251" i="59"/>
  <c r="Q254" i="53"/>
  <c r="Q600" i="59"/>
  <c r="Q952" i="53"/>
  <c r="Q603" i="53"/>
  <c r="Q603" i="31"/>
  <c r="Q255" i="31"/>
  <c r="Q951" i="37"/>
  <c r="Q602" i="37"/>
  <c r="Q253" i="37"/>
  <c r="Q1301" i="53"/>
  <c r="Q601" i="54"/>
  <c r="Q1648" i="52"/>
  <c r="Q1299" i="54"/>
  <c r="Q950" i="54"/>
  <c r="Q950" i="52"/>
  <c r="Q601" i="52"/>
  <c r="Q252" i="54"/>
  <c r="Q1299" i="52"/>
  <c r="Q252" i="52"/>
  <c r="Q598" i="51"/>
  <c r="Q948" i="59"/>
  <c r="Q1295" i="51"/>
  <c r="Q947" i="51"/>
  <c r="Q250" i="51"/>
  <c r="Q599" i="59"/>
  <c r="Q250" i="59"/>
  <c r="Q602" i="53"/>
  <c r="Q951" i="53"/>
  <c r="Q601" i="37"/>
  <c r="Q950" i="37"/>
  <c r="Q1300" i="53"/>
  <c r="Q1649" i="53"/>
  <c r="Q254" i="31"/>
  <c r="Q252" i="37"/>
  <c r="Q253" i="53"/>
  <c r="Q602" i="31"/>
  <c r="Q600" i="54"/>
  <c r="Q1647" i="52"/>
  <c r="Q1298" i="54"/>
  <c r="Q949" i="54"/>
  <c r="Q949" i="52"/>
  <c r="Q600" i="52"/>
  <c r="Q1294" i="51"/>
  <c r="Q251" i="54"/>
  <c r="Q1298" i="52"/>
  <c r="Q251" i="52"/>
  <c r="Q249" i="51"/>
  <c r="Q946" i="51"/>
  <c r="Q947" i="59"/>
  <c r="Q598" i="59"/>
  <c r="Q597" i="51"/>
  <c r="Q249" i="59"/>
  <c r="Q601" i="53"/>
  <c r="Q1299" i="53"/>
  <c r="Q950" i="53"/>
  <c r="Q252" i="53"/>
  <c r="Q1648" i="53"/>
  <c r="Q251" i="37"/>
  <c r="Q949" i="37"/>
  <c r="Q600" i="37"/>
  <c r="Q601" i="31"/>
  <c r="Q253" i="31"/>
  <c r="Q1297" i="52"/>
  <c r="Q599" i="54"/>
  <c r="Q1297" i="54"/>
  <c r="Q948" i="54"/>
  <c r="Q250" i="54"/>
  <c r="Q1646" i="52"/>
  <c r="Q948" i="52"/>
  <c r="Q248" i="51"/>
  <c r="Q250" i="52"/>
  <c r="Q945" i="51"/>
  <c r="Q1293" i="51"/>
  <c r="Q946" i="59"/>
  <c r="Q599" i="52"/>
  <c r="Q597" i="59"/>
  <c r="Q596" i="51"/>
  <c r="Q248" i="59"/>
  <c r="Q1647" i="53"/>
  <c r="Q251" i="53"/>
  <c r="Q600" i="53"/>
  <c r="Q949" i="53"/>
  <c r="Q1298" i="53"/>
  <c r="Q948" i="37"/>
  <c r="Q250" i="37"/>
  <c r="Q599" i="37"/>
  <c r="Q600" i="31"/>
  <c r="Q252" i="31"/>
  <c r="Q1296" i="52"/>
  <c r="Q598" i="54"/>
  <c r="Q1296" i="54"/>
  <c r="Q947" i="54"/>
  <c r="Q249" i="54"/>
  <c r="Q1645" i="52"/>
  <c r="Q947" i="52"/>
  <c r="Q598" i="52"/>
  <c r="Q1292" i="51"/>
  <c r="Q249" i="52"/>
  <c r="Q595" i="51"/>
  <c r="Q945" i="59"/>
  <c r="Q944" i="51"/>
  <c r="Q247" i="51"/>
  <c r="Q596" i="59"/>
  <c r="Q247" i="59"/>
  <c r="Q948" i="53"/>
  <c r="Q1646" i="53"/>
  <c r="Q599" i="53"/>
  <c r="Q1297" i="53"/>
  <c r="Q599" i="31"/>
  <c r="Q598" i="37"/>
  <c r="Q947" i="37"/>
  <c r="Q249" i="37"/>
  <c r="Q250" i="53"/>
  <c r="Q251" i="31"/>
  <c r="Q597" i="54"/>
  <c r="Q1644" i="52"/>
  <c r="Q1295" i="54"/>
  <c r="Q946" i="54"/>
  <c r="Q248" i="54"/>
  <c r="Q946" i="52"/>
  <c r="Q597" i="52"/>
  <c r="Q1291" i="51"/>
  <c r="Q248" i="52"/>
  <c r="Q1295" i="52"/>
  <c r="Q246" i="51"/>
  <c r="Q594" i="51"/>
  <c r="Q943" i="51"/>
  <c r="Q246" i="59"/>
  <c r="Q249" i="53"/>
  <c r="Q598" i="53"/>
  <c r="Q947" i="53"/>
  <c r="Q595" i="59"/>
  <c r="Q1296" i="53"/>
  <c r="Q1645" i="53"/>
  <c r="Q944" i="59"/>
  <c r="Q248" i="37"/>
  <c r="Q597" i="37"/>
  <c r="Q598" i="31"/>
  <c r="Q250" i="31"/>
  <c r="Q946" i="37"/>
  <c r="Q596" i="54"/>
  <c r="Q1643" i="52"/>
  <c r="Q1294" i="54"/>
  <c r="Q945" i="54"/>
  <c r="Q247" i="54"/>
  <c r="Q1294" i="52"/>
  <c r="Q945" i="52"/>
  <c r="Q942" i="51"/>
  <c r="J37" i="82" s="1"/>
  <c r="O37" i="82" s="1"/>
  <c r="Q596" i="52"/>
  <c r="Q1290" i="51"/>
  <c r="Q247" i="52"/>
  <c r="Q245" i="51"/>
  <c r="Q943" i="59"/>
  <c r="Q594" i="59"/>
  <c r="Q245" i="59"/>
  <c r="Q593" i="51"/>
  <c r="Q1644" i="53"/>
  <c r="Q1295" i="53"/>
  <c r="Q597" i="53"/>
  <c r="Q247" i="37"/>
  <c r="Q945" i="37"/>
  <c r="Q596" i="37"/>
  <c r="Q248" i="53"/>
  <c r="Q597" i="31"/>
  <c r="Q249" i="31"/>
  <c r="Q946" i="53"/>
  <c r="Q1293" i="54"/>
  <c r="Q944" i="54"/>
  <c r="Q246" i="54"/>
  <c r="Q1293" i="52"/>
  <c r="Q1642" i="52"/>
  <c r="Q595" i="54"/>
  <c r="Q944" i="52"/>
  <c r="Q595" i="52"/>
  <c r="Q592" i="51"/>
  <c r="Q942" i="59"/>
  <c r="Q941" i="51"/>
  <c r="Q246" i="52"/>
  <c r="Q244" i="51"/>
  <c r="Q593" i="59"/>
  <c r="Q1289" i="51"/>
  <c r="Q1643" i="53"/>
  <c r="Q244" i="59"/>
  <c r="Q596" i="53"/>
  <c r="Q945" i="53"/>
  <c r="Q1294" i="53"/>
  <c r="Q595" i="37"/>
  <c r="Q944" i="37"/>
  <c r="Q247" i="53"/>
  <c r="Q246" i="37"/>
  <c r="Q596" i="31"/>
  <c r="Q248" i="31"/>
  <c r="Q1292" i="54"/>
  <c r="Q943" i="54"/>
  <c r="Q245" i="54"/>
  <c r="Q1292" i="52"/>
  <c r="Q245" i="52"/>
  <c r="Q594" i="54"/>
  <c r="Q943" i="52"/>
  <c r="Q594" i="52"/>
  <c r="Q1288" i="51"/>
  <c r="Q1641" i="52"/>
  <c r="Q940" i="51"/>
  <c r="Q592" i="59"/>
  <c r="Q941" i="59"/>
  <c r="Q243" i="59"/>
  <c r="Q591" i="51"/>
  <c r="Q1642" i="53"/>
  <c r="Q243" i="51"/>
  <c r="Q246" i="53"/>
  <c r="Q595" i="53"/>
  <c r="Q1293" i="53"/>
  <c r="Q594" i="37"/>
  <c r="Q944" i="53"/>
  <c r="Q245" i="37"/>
  <c r="Q595" i="31"/>
  <c r="Q247" i="31"/>
  <c r="Q943" i="37"/>
  <c r="O1314" i="54"/>
  <c r="O616" i="54"/>
  <c r="O1663" i="52"/>
  <c r="O1314" i="52"/>
  <c r="O616" i="52"/>
  <c r="O965" i="54"/>
  <c r="O267" i="52"/>
  <c r="O965" i="52"/>
  <c r="O962" i="51"/>
  <c r="O1310" i="51"/>
  <c r="O267" i="54"/>
  <c r="O614" i="59"/>
  <c r="O613" i="51"/>
  <c r="O963" i="59"/>
  <c r="O966" i="53"/>
  <c r="O1315" i="53"/>
  <c r="O265" i="51"/>
  <c r="O265" i="59"/>
  <c r="O1664" i="53"/>
  <c r="O268" i="53"/>
  <c r="O617" i="53"/>
  <c r="O267" i="37"/>
  <c r="O616" i="37"/>
  <c r="O965" i="37"/>
  <c r="O269" i="31"/>
  <c r="O617" i="31"/>
  <c r="O603" i="54"/>
  <c r="O254" i="54"/>
  <c r="O1650" i="52"/>
  <c r="O952" i="54"/>
  <c r="O1301" i="54"/>
  <c r="O1301" i="52"/>
  <c r="O603" i="52"/>
  <c r="O1297" i="51"/>
  <c r="O601" i="59"/>
  <c r="O252" i="59"/>
  <c r="O1651" i="53"/>
  <c r="O252" i="51"/>
  <c r="O952" i="52"/>
  <c r="O600" i="51"/>
  <c r="O949" i="51"/>
  <c r="O950" i="59"/>
  <c r="O254" i="52"/>
  <c r="O604" i="53"/>
  <c r="O1302" i="53"/>
  <c r="O953" i="53"/>
  <c r="O952" i="37"/>
  <c r="O255" i="53"/>
  <c r="O254" i="37"/>
  <c r="O256" i="31"/>
  <c r="O604" i="31"/>
  <c r="O603" i="37"/>
  <c r="S1320" i="52"/>
  <c r="S622" i="54"/>
  <c r="S1320" i="54"/>
  <c r="S971" i="54"/>
  <c r="S273" i="54"/>
  <c r="S1669" i="52"/>
  <c r="S971" i="52"/>
  <c r="S1316" i="51"/>
  <c r="S273" i="52"/>
  <c r="S622" i="52"/>
  <c r="S271" i="51"/>
  <c r="S968" i="51"/>
  <c r="S620" i="59"/>
  <c r="S271" i="59"/>
  <c r="S1670" i="53"/>
  <c r="S274" i="53"/>
  <c r="S623" i="53"/>
  <c r="S969" i="59"/>
  <c r="S972" i="53"/>
  <c r="S619" i="51"/>
  <c r="S1321" i="53"/>
  <c r="S971" i="37"/>
  <c r="S273" i="37"/>
  <c r="S622" i="37"/>
  <c r="S275" i="31"/>
  <c r="S623" i="31"/>
  <c r="O277" i="54"/>
  <c r="O975" i="54"/>
  <c r="O1324" i="54"/>
  <c r="O1673" i="52"/>
  <c r="O1320" i="51"/>
  <c r="O975" i="52"/>
  <c r="O1324" i="52"/>
  <c r="O626" i="54"/>
  <c r="O626" i="52"/>
  <c r="O277" i="52"/>
  <c r="O275" i="59"/>
  <c r="O1674" i="53"/>
  <c r="O973" i="59"/>
  <c r="O275" i="51"/>
  <c r="O972" i="51"/>
  <c r="O623" i="51"/>
  <c r="O1325" i="53"/>
  <c r="O624" i="59"/>
  <c r="O278" i="53"/>
  <c r="O627" i="53"/>
  <c r="O277" i="37"/>
  <c r="O626" i="37"/>
  <c r="O975" i="37"/>
  <c r="O279" i="31"/>
  <c r="O627" i="31"/>
  <c r="O976" i="53"/>
  <c r="O276" i="54"/>
  <c r="O1672" i="52"/>
  <c r="O974" i="54"/>
  <c r="O1323" i="54"/>
  <c r="O276" i="52"/>
  <c r="O974" i="52"/>
  <c r="O1323" i="52"/>
  <c r="O625" i="54"/>
  <c r="O625" i="52"/>
  <c r="O971" i="51"/>
  <c r="O622" i="51"/>
  <c r="O274" i="51"/>
  <c r="O274" i="59"/>
  <c r="O1673" i="53"/>
  <c r="O972" i="59"/>
  <c r="O1319" i="51"/>
  <c r="O623" i="59"/>
  <c r="O277" i="53"/>
  <c r="O975" i="53"/>
  <c r="O626" i="53"/>
  <c r="O1324" i="53"/>
  <c r="O278" i="31"/>
  <c r="O276" i="37"/>
  <c r="O974" i="37"/>
  <c r="O626" i="31"/>
  <c r="O625" i="37"/>
  <c r="O1671" i="52"/>
  <c r="O973" i="54"/>
  <c r="O1322" i="54"/>
  <c r="O624" i="54"/>
  <c r="O275" i="54"/>
  <c r="O973" i="52"/>
  <c r="O1322" i="52"/>
  <c r="O624" i="52"/>
  <c r="O275" i="52"/>
  <c r="O621" i="51"/>
  <c r="O273" i="51"/>
  <c r="O1318" i="51"/>
  <c r="O971" i="59"/>
  <c r="O970" i="51"/>
  <c r="O622" i="59"/>
  <c r="O1672" i="53"/>
  <c r="O625" i="53"/>
  <c r="O974" i="53"/>
  <c r="O624" i="37"/>
  <c r="O273" i="59"/>
  <c r="O973" i="37"/>
  <c r="O277" i="31"/>
  <c r="O275" i="37"/>
  <c r="O1323" i="53"/>
  <c r="O625" i="31"/>
  <c r="O276" i="53"/>
  <c r="O274" i="54"/>
  <c r="O1670" i="52"/>
  <c r="O972" i="54"/>
  <c r="O1321" i="54"/>
  <c r="O623" i="54"/>
  <c r="O274" i="52"/>
  <c r="O1317" i="51"/>
  <c r="O972" i="52"/>
  <c r="O1321" i="52"/>
  <c r="O623" i="52"/>
  <c r="O969" i="51"/>
  <c r="O970" i="59"/>
  <c r="O272" i="51"/>
  <c r="O620" i="51"/>
  <c r="O621" i="59"/>
  <c r="O624" i="53"/>
  <c r="O272" i="59"/>
  <c r="O1322" i="53"/>
  <c r="O973" i="53"/>
  <c r="O1671" i="53"/>
  <c r="O275" i="53"/>
  <c r="O274" i="37"/>
  <c r="O972" i="37"/>
  <c r="O624" i="31"/>
  <c r="O623" i="37"/>
  <c r="O276" i="31"/>
  <c r="O273" i="54"/>
  <c r="O971" i="54"/>
  <c r="O1320" i="54"/>
  <c r="O622" i="54"/>
  <c r="O273" i="52"/>
  <c r="O1669" i="52"/>
  <c r="O971" i="52"/>
  <c r="O1320" i="52"/>
  <c r="O622" i="52"/>
  <c r="O1316" i="51"/>
  <c r="O968" i="51"/>
  <c r="O969" i="59"/>
  <c r="O271" i="51"/>
  <c r="O619" i="51"/>
  <c r="O620" i="59"/>
  <c r="O271" i="59"/>
  <c r="O1670" i="53"/>
  <c r="O274" i="53"/>
  <c r="O623" i="53"/>
  <c r="O972" i="53"/>
  <c r="O1321" i="53"/>
  <c r="O971" i="37"/>
  <c r="O273" i="37"/>
  <c r="O623" i="31"/>
  <c r="O622" i="37"/>
  <c r="O275" i="31"/>
  <c r="O272" i="54"/>
  <c r="O970" i="54"/>
  <c r="O1319" i="54"/>
  <c r="O621" i="54"/>
  <c r="O1315" i="51"/>
  <c r="O1668" i="52"/>
  <c r="O1319" i="52"/>
  <c r="O621" i="52"/>
  <c r="O272" i="52"/>
  <c r="O618" i="51"/>
  <c r="O270" i="51"/>
  <c r="O970" i="52"/>
  <c r="O967" i="51"/>
  <c r="O619" i="59"/>
  <c r="O968" i="59"/>
  <c r="O971" i="53"/>
  <c r="O270" i="59"/>
  <c r="O1669" i="53"/>
  <c r="O622" i="53"/>
  <c r="O273" i="53"/>
  <c r="O622" i="31"/>
  <c r="O1320" i="53"/>
  <c r="O621" i="37"/>
  <c r="O272" i="37"/>
  <c r="O970" i="37"/>
  <c r="O274" i="31"/>
  <c r="O1667" i="52"/>
  <c r="O969" i="54"/>
  <c r="O1318" i="54"/>
  <c r="O620" i="54"/>
  <c r="O1314" i="51"/>
  <c r="O271" i="54"/>
  <c r="O969" i="52"/>
  <c r="O1318" i="52"/>
  <c r="O620" i="52"/>
  <c r="O271" i="52"/>
  <c r="O617" i="51"/>
  <c r="O269" i="51"/>
  <c r="O966" i="51"/>
  <c r="O618" i="59"/>
  <c r="O269" i="59"/>
  <c r="O967" i="59"/>
  <c r="O272" i="53"/>
  <c r="O621" i="53"/>
  <c r="O970" i="53"/>
  <c r="O1319" i="53"/>
  <c r="O1668" i="53"/>
  <c r="O620" i="37"/>
  <c r="O969" i="37"/>
  <c r="O621" i="31"/>
  <c r="O273" i="31"/>
  <c r="O271" i="37"/>
  <c r="O1666" i="52"/>
  <c r="O968" i="54"/>
  <c r="O1317" i="54"/>
  <c r="O619" i="54"/>
  <c r="O270" i="54"/>
  <c r="O968" i="52"/>
  <c r="O1317" i="52"/>
  <c r="O619" i="52"/>
  <c r="O270" i="52"/>
  <c r="O965" i="51"/>
  <c r="O966" i="59"/>
  <c r="O268" i="51"/>
  <c r="O616" i="51"/>
  <c r="O617" i="59"/>
  <c r="O1313" i="51"/>
  <c r="O268" i="59"/>
  <c r="O1667" i="53"/>
  <c r="O1318" i="53"/>
  <c r="O969" i="53"/>
  <c r="O620" i="53"/>
  <c r="O271" i="53"/>
  <c r="O270" i="37"/>
  <c r="O968" i="37"/>
  <c r="O619" i="37"/>
  <c r="O272" i="31"/>
  <c r="O620" i="31"/>
  <c r="O967" i="54"/>
  <c r="O1316" i="54"/>
  <c r="O618" i="54"/>
  <c r="O269" i="54"/>
  <c r="O1316" i="52"/>
  <c r="O1665" i="52"/>
  <c r="O269" i="52"/>
  <c r="O615" i="51"/>
  <c r="O267" i="51"/>
  <c r="O964" i="51"/>
  <c r="O967" i="52"/>
  <c r="O1312" i="51"/>
  <c r="O267" i="59"/>
  <c r="O1666" i="53"/>
  <c r="O965" i="59"/>
  <c r="O618" i="52"/>
  <c r="O619" i="53"/>
  <c r="O616" i="59"/>
  <c r="O968" i="53"/>
  <c r="O1317" i="53"/>
  <c r="O618" i="37"/>
  <c r="O967" i="37"/>
  <c r="O271" i="31"/>
  <c r="O270" i="53"/>
  <c r="O269" i="37"/>
  <c r="O619" i="31"/>
  <c r="O966" i="54"/>
  <c r="O1315" i="54"/>
  <c r="O617" i="54"/>
  <c r="O268" i="54"/>
  <c r="O1315" i="52"/>
  <c r="O1664" i="52"/>
  <c r="O617" i="52"/>
  <c r="O1311" i="51"/>
  <c r="O966" i="52"/>
  <c r="O963" i="51"/>
  <c r="O266" i="51"/>
  <c r="O268" i="52"/>
  <c r="O615" i="59"/>
  <c r="O614" i="51"/>
  <c r="O266" i="59"/>
  <c r="O1665" i="53"/>
  <c r="O269" i="53"/>
  <c r="O618" i="53"/>
  <c r="O1316" i="53"/>
  <c r="O617" i="37"/>
  <c r="O964" i="59"/>
  <c r="O967" i="53"/>
  <c r="O270" i="31"/>
  <c r="O268" i="37"/>
  <c r="O618" i="31"/>
  <c r="O966" i="37"/>
  <c r="O1302" i="54"/>
  <c r="O604" i="54"/>
  <c r="O1651" i="52"/>
  <c r="O604" i="52"/>
  <c r="O953" i="54"/>
  <c r="O1302" i="52"/>
  <c r="O255" i="52"/>
  <c r="O255" i="54"/>
  <c r="O953" i="52"/>
  <c r="O950" i="51"/>
  <c r="O1298" i="51"/>
  <c r="O602" i="59"/>
  <c r="O253" i="51"/>
  <c r="O601" i="51"/>
  <c r="O954" i="53"/>
  <c r="O1303" i="53"/>
  <c r="O253" i="59"/>
  <c r="O951" i="59"/>
  <c r="O256" i="53"/>
  <c r="O255" i="37"/>
  <c r="O1652" i="53"/>
  <c r="O604" i="37"/>
  <c r="O953" i="37"/>
  <c r="O605" i="53"/>
  <c r="O257" i="31"/>
  <c r="O605" i="31"/>
  <c r="S277" i="54"/>
  <c r="S1324" i="52"/>
  <c r="S626" i="54"/>
  <c r="S1324" i="54"/>
  <c r="S975" i="54"/>
  <c r="S277" i="52"/>
  <c r="S975" i="52"/>
  <c r="S626" i="52"/>
  <c r="S1320" i="51"/>
  <c r="S1673" i="52"/>
  <c r="S275" i="51"/>
  <c r="S623" i="51"/>
  <c r="S1674" i="53"/>
  <c r="S624" i="59"/>
  <c r="S1325" i="53"/>
  <c r="S278" i="53"/>
  <c r="S973" i="59"/>
  <c r="S627" i="53"/>
  <c r="S972" i="51"/>
  <c r="S275" i="59"/>
  <c r="S277" i="37"/>
  <c r="S626" i="37"/>
  <c r="S975" i="37"/>
  <c r="S279" i="31"/>
  <c r="S627" i="31"/>
  <c r="S976" i="53"/>
  <c r="S620" i="54"/>
  <c r="S1667" i="52"/>
  <c r="S1318" i="54"/>
  <c r="S969" i="54"/>
  <c r="S271" i="54"/>
  <c r="S969" i="52"/>
  <c r="S620" i="52"/>
  <c r="S1314" i="51"/>
  <c r="S1318" i="52"/>
  <c r="S271" i="52"/>
  <c r="S269" i="51"/>
  <c r="S617" i="51"/>
  <c r="S618" i="59"/>
  <c r="S269" i="59"/>
  <c r="S967" i="59"/>
  <c r="S966" i="51"/>
  <c r="S272" i="53"/>
  <c r="S621" i="53"/>
  <c r="S970" i="53"/>
  <c r="S1319" i="53"/>
  <c r="S271" i="37"/>
  <c r="S620" i="37"/>
  <c r="S969" i="37"/>
  <c r="S273" i="31"/>
  <c r="S1668" i="53"/>
  <c r="S621" i="31"/>
  <c r="O265" i="54"/>
  <c r="O1312" i="52"/>
  <c r="O963" i="54"/>
  <c r="O1312" i="54"/>
  <c r="O1308" i="51"/>
  <c r="O614" i="54"/>
  <c r="O963" i="52"/>
  <c r="O614" i="52"/>
  <c r="O265" i="52"/>
  <c r="O1661" i="52"/>
  <c r="O960" i="51"/>
  <c r="O611" i="51"/>
  <c r="O263" i="59"/>
  <c r="O1662" i="53"/>
  <c r="O961" i="59"/>
  <c r="O263" i="51"/>
  <c r="O1313" i="53"/>
  <c r="O612" i="59"/>
  <c r="O266" i="53"/>
  <c r="O615" i="53"/>
  <c r="O265" i="37"/>
  <c r="O614" i="37"/>
  <c r="O963" i="37"/>
  <c r="O964" i="53"/>
  <c r="O267" i="31"/>
  <c r="O615" i="31"/>
  <c r="O264" i="54"/>
  <c r="O1311" i="52"/>
  <c r="O1660" i="52"/>
  <c r="O962" i="54"/>
  <c r="O1311" i="54"/>
  <c r="O264" i="52"/>
  <c r="O613" i="54"/>
  <c r="O962" i="52"/>
  <c r="O613" i="52"/>
  <c r="O959" i="51"/>
  <c r="O1307" i="51"/>
  <c r="O610" i="51"/>
  <c r="O262" i="51"/>
  <c r="O262" i="59"/>
  <c r="O1661" i="53"/>
  <c r="O960" i="59"/>
  <c r="O611" i="59"/>
  <c r="O265" i="53"/>
  <c r="O963" i="53"/>
  <c r="O1312" i="53"/>
  <c r="O614" i="53"/>
  <c r="O613" i="37"/>
  <c r="O266" i="31"/>
  <c r="O614" i="31"/>
  <c r="O264" i="37"/>
  <c r="O962" i="37"/>
  <c r="O1659" i="52"/>
  <c r="O961" i="54"/>
  <c r="O1310" i="54"/>
  <c r="O612" i="54"/>
  <c r="O961" i="52"/>
  <c r="O263" i="54"/>
  <c r="O1310" i="52"/>
  <c r="O1306" i="51"/>
  <c r="O612" i="52"/>
  <c r="O609" i="51"/>
  <c r="O261" i="51"/>
  <c r="O263" i="52"/>
  <c r="O610" i="59"/>
  <c r="O958" i="51"/>
  <c r="O261" i="59"/>
  <c r="O613" i="53"/>
  <c r="O962" i="53"/>
  <c r="O959" i="59"/>
  <c r="O612" i="37"/>
  <c r="O1311" i="53"/>
  <c r="O961" i="37"/>
  <c r="O1660" i="53"/>
  <c r="O265" i="31"/>
  <c r="O613" i="31"/>
  <c r="O264" i="53"/>
  <c r="O263" i="37"/>
  <c r="O262" i="54"/>
  <c r="O1658" i="52"/>
  <c r="O960" i="54"/>
  <c r="O1309" i="54"/>
  <c r="O611" i="54"/>
  <c r="O262" i="52"/>
  <c r="O1305" i="51"/>
  <c r="O960" i="52"/>
  <c r="O611" i="52"/>
  <c r="O1309" i="52"/>
  <c r="O957" i="51"/>
  <c r="O958" i="59"/>
  <c r="O609" i="59"/>
  <c r="O260" i="51"/>
  <c r="O260" i="59"/>
  <c r="O612" i="53"/>
  <c r="O1659" i="53"/>
  <c r="O1310" i="53"/>
  <c r="O263" i="53"/>
  <c r="O608" i="51"/>
  <c r="O262" i="37"/>
  <c r="O611" i="37"/>
  <c r="O612" i="31"/>
  <c r="O961" i="53"/>
  <c r="O960" i="37"/>
  <c r="O264" i="31"/>
  <c r="O261" i="54"/>
  <c r="O1308" i="52"/>
  <c r="O959" i="54"/>
  <c r="O1308" i="54"/>
  <c r="O610" i="54"/>
  <c r="O261" i="52"/>
  <c r="O959" i="52"/>
  <c r="O610" i="52"/>
  <c r="O1657" i="52"/>
  <c r="O956" i="51"/>
  <c r="O957" i="59"/>
  <c r="O1304" i="51"/>
  <c r="O259" i="51"/>
  <c r="O608" i="59"/>
  <c r="O259" i="59"/>
  <c r="O1658" i="53"/>
  <c r="O607" i="51"/>
  <c r="O262" i="53"/>
  <c r="O611" i="53"/>
  <c r="O960" i="53"/>
  <c r="O1309" i="53"/>
  <c r="O959" i="37"/>
  <c r="O261" i="37"/>
  <c r="O611" i="31"/>
  <c r="O263" i="31"/>
  <c r="O610" i="37"/>
  <c r="O260" i="54"/>
  <c r="O1307" i="52"/>
  <c r="O958" i="54"/>
  <c r="O1307" i="54"/>
  <c r="O609" i="54"/>
  <c r="O1303" i="51"/>
  <c r="O609" i="52"/>
  <c r="O1656" i="52"/>
  <c r="O958" i="52"/>
  <c r="O606" i="51"/>
  <c r="O258" i="51"/>
  <c r="O260" i="52"/>
  <c r="O956" i="59"/>
  <c r="O607" i="59"/>
  <c r="O955" i="51"/>
  <c r="O258" i="59"/>
  <c r="O1657" i="53"/>
  <c r="O959" i="53"/>
  <c r="O610" i="53"/>
  <c r="O610" i="31"/>
  <c r="O609" i="37"/>
  <c r="O1308" i="53"/>
  <c r="O261" i="53"/>
  <c r="O260" i="37"/>
  <c r="O958" i="37"/>
  <c r="O262" i="31"/>
  <c r="O1655" i="52"/>
  <c r="O957" i="54"/>
  <c r="O1306" i="54"/>
  <c r="O608" i="54"/>
  <c r="O1302" i="51"/>
  <c r="O957" i="52"/>
  <c r="O608" i="52"/>
  <c r="O1306" i="52"/>
  <c r="O259" i="54"/>
  <c r="O259" i="52"/>
  <c r="O605" i="51"/>
  <c r="O257" i="51"/>
  <c r="O955" i="59"/>
  <c r="O606" i="59"/>
  <c r="O257" i="59"/>
  <c r="O954" i="51"/>
  <c r="O260" i="53"/>
  <c r="O609" i="53"/>
  <c r="O1656" i="53"/>
  <c r="O958" i="53"/>
  <c r="O1307" i="53"/>
  <c r="O608" i="37"/>
  <c r="O609" i="31"/>
  <c r="O259" i="37"/>
  <c r="O957" i="37"/>
  <c r="O261" i="31"/>
  <c r="O1654" i="52"/>
  <c r="O956" i="54"/>
  <c r="O1305" i="54"/>
  <c r="O607" i="54"/>
  <c r="O956" i="52"/>
  <c r="O607" i="52"/>
  <c r="O1305" i="52"/>
  <c r="O258" i="54"/>
  <c r="O258" i="52"/>
  <c r="O953" i="51"/>
  <c r="O954" i="59"/>
  <c r="O1301" i="51"/>
  <c r="O605" i="59"/>
  <c r="O256" i="51"/>
  <c r="O256" i="59"/>
  <c r="O1655" i="53"/>
  <c r="O604" i="51"/>
  <c r="O1306" i="53"/>
  <c r="O258" i="37"/>
  <c r="O957" i="53"/>
  <c r="O956" i="37"/>
  <c r="O608" i="53"/>
  <c r="O608" i="31"/>
  <c r="O259" i="53"/>
  <c r="O260" i="31"/>
  <c r="O607" i="37"/>
  <c r="O955" i="54"/>
  <c r="O1304" i="54"/>
  <c r="O606" i="54"/>
  <c r="O257" i="54"/>
  <c r="O1304" i="52"/>
  <c r="O1653" i="52"/>
  <c r="O1300" i="51"/>
  <c r="O955" i="52"/>
  <c r="O603" i="51"/>
  <c r="O255" i="51"/>
  <c r="O952" i="51"/>
  <c r="O257" i="52"/>
  <c r="O953" i="59"/>
  <c r="O255" i="59"/>
  <c r="O1654" i="53"/>
  <c r="O606" i="52"/>
  <c r="O607" i="53"/>
  <c r="O956" i="53"/>
  <c r="O1305" i="53"/>
  <c r="O604" i="59"/>
  <c r="O606" i="37"/>
  <c r="O955" i="37"/>
  <c r="O258" i="53"/>
  <c r="O257" i="37"/>
  <c r="O259" i="31"/>
  <c r="O607" i="31"/>
  <c r="O954" i="54"/>
  <c r="O1303" i="54"/>
  <c r="O605" i="54"/>
  <c r="O256" i="54"/>
  <c r="O1303" i="52"/>
  <c r="O605" i="52"/>
  <c r="O1652" i="52"/>
  <c r="O1299" i="51"/>
  <c r="O954" i="52"/>
  <c r="O951" i="51"/>
  <c r="O603" i="59"/>
  <c r="O254" i="59"/>
  <c r="O1653" i="53"/>
  <c r="O254" i="51"/>
  <c r="O602" i="51"/>
  <c r="O952" i="59"/>
  <c r="O256" i="52"/>
  <c r="O257" i="53"/>
  <c r="O1304" i="53"/>
  <c r="O955" i="53"/>
  <c r="O605" i="37"/>
  <c r="O256" i="37"/>
  <c r="O258" i="31"/>
  <c r="O954" i="37"/>
  <c r="O606" i="31"/>
  <c r="O606" i="53"/>
  <c r="S278" i="54"/>
  <c r="S627" i="54"/>
  <c r="S1674" i="52"/>
  <c r="S1325" i="54"/>
  <c r="S976" i="54"/>
  <c r="S278" i="52"/>
  <c r="S1325" i="52"/>
  <c r="S976" i="52"/>
  <c r="S627" i="52"/>
  <c r="S1321" i="51"/>
  <c r="S276" i="51"/>
  <c r="S973" i="51"/>
  <c r="S276" i="59"/>
  <c r="S624" i="51"/>
  <c r="S1675" i="53"/>
  <c r="S625" i="59"/>
  <c r="S974" i="59"/>
  <c r="S628" i="53"/>
  <c r="S1326" i="53"/>
  <c r="S976" i="37"/>
  <c r="S977" i="53"/>
  <c r="S279" i="53"/>
  <c r="S627" i="37"/>
  <c r="S278" i="37"/>
  <c r="S280" i="31"/>
  <c r="S628" i="31"/>
  <c r="S265" i="54"/>
  <c r="S1312" i="52"/>
  <c r="S614" i="54"/>
  <c r="S1312" i="54"/>
  <c r="S963" i="54"/>
  <c r="S265" i="52"/>
  <c r="S1661" i="52"/>
  <c r="S963" i="52"/>
  <c r="S614" i="52"/>
  <c r="S1308" i="51"/>
  <c r="S263" i="51"/>
  <c r="S1662" i="53"/>
  <c r="S961" i="59"/>
  <c r="S960" i="51"/>
  <c r="S611" i="51"/>
  <c r="S612" i="59"/>
  <c r="S1313" i="53"/>
  <c r="S263" i="59"/>
  <c r="S266" i="53"/>
  <c r="S615" i="53"/>
  <c r="S265" i="37"/>
  <c r="S964" i="53"/>
  <c r="S614" i="37"/>
  <c r="S963" i="37"/>
  <c r="S267" i="31"/>
  <c r="S615" i="31"/>
  <c r="S624" i="54"/>
  <c r="S1671" i="52"/>
  <c r="S1322" i="54"/>
  <c r="S973" i="54"/>
  <c r="S275" i="54"/>
  <c r="S1322" i="52"/>
  <c r="S973" i="52"/>
  <c r="S624" i="52"/>
  <c r="S275" i="52"/>
  <c r="S1318" i="51"/>
  <c r="S621" i="51"/>
  <c r="S971" i="59"/>
  <c r="S622" i="59"/>
  <c r="S273" i="59"/>
  <c r="S970" i="51"/>
  <c r="S273" i="51"/>
  <c r="S1672" i="53"/>
  <c r="S625" i="53"/>
  <c r="S974" i="53"/>
  <c r="S624" i="37"/>
  <c r="S973" i="37"/>
  <c r="S277" i="31"/>
  <c r="S625" i="31"/>
  <c r="S276" i="53"/>
  <c r="S1323" i="53"/>
  <c r="S275" i="37"/>
  <c r="O253" i="54"/>
  <c r="O1300" i="52"/>
  <c r="O951" i="54"/>
  <c r="O1300" i="54"/>
  <c r="O602" i="54"/>
  <c r="O1649" i="52"/>
  <c r="O1296" i="51"/>
  <c r="O951" i="52"/>
  <c r="O602" i="52"/>
  <c r="O253" i="52"/>
  <c r="O251" i="59"/>
  <c r="O1650" i="53"/>
  <c r="O251" i="51"/>
  <c r="O599" i="51"/>
  <c r="O948" i="51"/>
  <c r="O1301" i="53"/>
  <c r="O949" i="59"/>
  <c r="O254" i="53"/>
  <c r="O603" i="53"/>
  <c r="O600" i="59"/>
  <c r="O253" i="37"/>
  <c r="O602" i="37"/>
  <c r="O952" i="53"/>
  <c r="O951" i="37"/>
  <c r="O255" i="31"/>
  <c r="O603" i="31"/>
  <c r="O252" i="54"/>
  <c r="O1299" i="52"/>
  <c r="O1648" i="52"/>
  <c r="O950" i="54"/>
  <c r="O1299" i="54"/>
  <c r="O252" i="52"/>
  <c r="O601" i="54"/>
  <c r="O950" i="52"/>
  <c r="O601" i="52"/>
  <c r="O947" i="51"/>
  <c r="O1295" i="51"/>
  <c r="O598" i="51"/>
  <c r="O250" i="51"/>
  <c r="O250" i="59"/>
  <c r="O1649" i="53"/>
  <c r="O948" i="59"/>
  <c r="O253" i="53"/>
  <c r="O599" i="59"/>
  <c r="O951" i="53"/>
  <c r="O602" i="53"/>
  <c r="O1300" i="53"/>
  <c r="O252" i="37"/>
  <c r="O254" i="31"/>
  <c r="O950" i="37"/>
  <c r="O602" i="31"/>
  <c r="O601" i="37"/>
  <c r="O1647" i="52"/>
  <c r="O949" i="54"/>
  <c r="O1298" i="54"/>
  <c r="O600" i="54"/>
  <c r="O1298" i="52"/>
  <c r="O949" i="52"/>
  <c r="O251" i="54"/>
  <c r="O251" i="52"/>
  <c r="O600" i="52"/>
  <c r="O597" i="51"/>
  <c r="O249" i="51"/>
  <c r="O1294" i="51"/>
  <c r="O946" i="51"/>
  <c r="O947" i="59"/>
  <c r="O598" i="59"/>
  <c r="O249" i="59"/>
  <c r="O1648" i="53"/>
  <c r="O601" i="53"/>
  <c r="O950" i="53"/>
  <c r="O600" i="37"/>
  <c r="O949" i="37"/>
  <c r="O1299" i="53"/>
  <c r="O253" i="31"/>
  <c r="O252" i="53"/>
  <c r="O601" i="31"/>
  <c r="O251" i="37"/>
  <c r="O250" i="54"/>
  <c r="O1646" i="52"/>
  <c r="O948" i="54"/>
  <c r="O1297" i="54"/>
  <c r="O599" i="54"/>
  <c r="O250" i="52"/>
  <c r="O1297" i="52"/>
  <c r="O1293" i="51"/>
  <c r="O948" i="52"/>
  <c r="O599" i="52"/>
  <c r="O945" i="51"/>
  <c r="O946" i="59"/>
  <c r="O248" i="51"/>
  <c r="O596" i="51"/>
  <c r="O248" i="59"/>
  <c r="O600" i="53"/>
  <c r="O597" i="59"/>
  <c r="O1298" i="53"/>
  <c r="O1647" i="53"/>
  <c r="O949" i="53"/>
  <c r="O251" i="53"/>
  <c r="O250" i="37"/>
  <c r="O948" i="37"/>
  <c r="O600" i="31"/>
  <c r="O599" i="37"/>
  <c r="O252" i="31"/>
  <c r="O249" i="54"/>
  <c r="O1296" i="52"/>
  <c r="O947" i="54"/>
  <c r="O1296" i="54"/>
  <c r="O598" i="54"/>
  <c r="O249" i="52"/>
  <c r="O947" i="52"/>
  <c r="O1645" i="52"/>
  <c r="O598" i="52"/>
  <c r="O944" i="51"/>
  <c r="O945" i="59"/>
  <c r="O247" i="51"/>
  <c r="O595" i="51"/>
  <c r="O596" i="59"/>
  <c r="O247" i="59"/>
  <c r="O1646" i="53"/>
  <c r="O250" i="53"/>
  <c r="O1292" i="51"/>
  <c r="O599" i="53"/>
  <c r="O948" i="53"/>
  <c r="O1297" i="53"/>
  <c r="O947" i="37"/>
  <c r="O249" i="37"/>
  <c r="O599" i="31"/>
  <c r="O598" i="37"/>
  <c r="O251" i="31"/>
  <c r="O248" i="54"/>
  <c r="O1295" i="52"/>
  <c r="O946" i="54"/>
  <c r="O1295" i="54"/>
  <c r="O597" i="54"/>
  <c r="O1291" i="51"/>
  <c r="O1644" i="52"/>
  <c r="O597" i="52"/>
  <c r="O946" i="52"/>
  <c r="O248" i="52"/>
  <c r="O594" i="51"/>
  <c r="O246" i="51"/>
  <c r="O943" i="51"/>
  <c r="O944" i="59"/>
  <c r="O595" i="59"/>
  <c r="O246" i="59"/>
  <c r="O1645" i="53"/>
  <c r="O947" i="53"/>
  <c r="O249" i="53"/>
  <c r="O598" i="31"/>
  <c r="O1296" i="53"/>
  <c r="O597" i="37"/>
  <c r="O946" i="37"/>
  <c r="O250" i="31"/>
  <c r="O598" i="53"/>
  <c r="O248" i="37"/>
  <c r="O1643" i="52"/>
  <c r="O945" i="54"/>
  <c r="O1294" i="54"/>
  <c r="O596" i="54"/>
  <c r="O1290" i="51"/>
  <c r="O945" i="52"/>
  <c r="O1294" i="52"/>
  <c r="O596" i="52"/>
  <c r="O247" i="54"/>
  <c r="O247" i="52"/>
  <c r="O593" i="51"/>
  <c r="O245" i="51"/>
  <c r="O942" i="51"/>
  <c r="O943" i="59"/>
  <c r="O594" i="59"/>
  <c r="O245" i="59"/>
  <c r="O248" i="53"/>
  <c r="O597" i="53"/>
  <c r="O946" i="53"/>
  <c r="O1295" i="53"/>
  <c r="O1644" i="53"/>
  <c r="O247" i="37"/>
  <c r="O596" i="37"/>
  <c r="O945" i="37"/>
  <c r="O597" i="31"/>
  <c r="O249" i="31"/>
  <c r="O1642" i="52"/>
  <c r="O944" i="54"/>
  <c r="O1293" i="54"/>
  <c r="O595" i="54"/>
  <c r="O944" i="52"/>
  <c r="O1293" i="52"/>
  <c r="O595" i="52"/>
  <c r="O246" i="54"/>
  <c r="O246" i="52"/>
  <c r="O1289" i="51"/>
  <c r="O941" i="51"/>
  <c r="O942" i="59"/>
  <c r="O592" i="51"/>
  <c r="O593" i="59"/>
  <c r="O244" i="59"/>
  <c r="O1643" i="53"/>
  <c r="O244" i="51"/>
  <c r="O1294" i="53"/>
  <c r="O247" i="53"/>
  <c r="O246" i="37"/>
  <c r="O596" i="53"/>
  <c r="O944" i="37"/>
  <c r="O596" i="31"/>
  <c r="O945" i="53"/>
  <c r="O595" i="37"/>
  <c r="O248" i="31"/>
  <c r="O943" i="54"/>
  <c r="O1292" i="54"/>
  <c r="O594" i="54"/>
  <c r="O245" i="54"/>
  <c r="O1292" i="52"/>
  <c r="O1641" i="52"/>
  <c r="O943" i="52"/>
  <c r="O245" i="52"/>
  <c r="O591" i="51"/>
  <c r="O243" i="51"/>
  <c r="O594" i="52"/>
  <c r="O1288" i="51"/>
  <c r="O940" i="51"/>
  <c r="O243" i="59"/>
  <c r="O1642" i="53"/>
  <c r="O595" i="53"/>
  <c r="O944" i="53"/>
  <c r="O1293" i="53"/>
  <c r="O941" i="59"/>
  <c r="O592" i="59"/>
  <c r="O594" i="37"/>
  <c r="O943" i="37"/>
  <c r="O595" i="31"/>
  <c r="O246" i="53"/>
  <c r="O247" i="31"/>
  <c r="O245" i="37"/>
  <c r="O942" i="54"/>
  <c r="O1291" i="54"/>
  <c r="O593" i="54"/>
  <c r="O244" i="54"/>
  <c r="O1291" i="52"/>
  <c r="O593" i="52"/>
  <c r="O1640" i="52"/>
  <c r="O1287" i="51"/>
  <c r="O942" i="52"/>
  <c r="O939" i="51"/>
  <c r="O590" i="51"/>
  <c r="O940" i="59"/>
  <c r="O591" i="59"/>
  <c r="O242" i="59"/>
  <c r="O1641" i="53"/>
  <c r="O244" i="52"/>
  <c r="O242" i="51"/>
  <c r="O245" i="53"/>
  <c r="O943" i="53"/>
  <c r="O594" i="53"/>
  <c r="O593" i="37"/>
  <c r="O1292" i="53"/>
  <c r="O942" i="37"/>
  <c r="O246" i="31"/>
  <c r="O244" i="37"/>
  <c r="O594" i="31"/>
  <c r="S266" i="54"/>
  <c r="S615" i="54"/>
  <c r="S1662" i="52"/>
  <c r="S1313" i="54"/>
  <c r="S964" i="54"/>
  <c r="S266" i="52"/>
  <c r="S964" i="52"/>
  <c r="S615" i="52"/>
  <c r="S1313" i="52"/>
  <c r="S264" i="51"/>
  <c r="S264" i="59"/>
  <c r="S1663" i="53"/>
  <c r="S961" i="51"/>
  <c r="S612" i="51"/>
  <c r="S1309" i="51"/>
  <c r="S613" i="59"/>
  <c r="S962" i="59"/>
  <c r="S616" i="53"/>
  <c r="S267" i="53"/>
  <c r="S965" i="53"/>
  <c r="S964" i="37"/>
  <c r="S1314" i="53"/>
  <c r="S268" i="31"/>
  <c r="S616" i="31"/>
  <c r="S266" i="37"/>
  <c r="S615" i="37"/>
  <c r="S253" i="54"/>
  <c r="S1300" i="52"/>
  <c r="S602" i="54"/>
  <c r="S1300" i="54"/>
  <c r="S951" i="54"/>
  <c r="S253" i="52"/>
  <c r="S1649" i="52"/>
  <c r="S951" i="52"/>
  <c r="S602" i="52"/>
  <c r="S1296" i="51"/>
  <c r="S251" i="51"/>
  <c r="S948" i="51"/>
  <c r="S1650" i="53"/>
  <c r="S949" i="59"/>
  <c r="S1301" i="53"/>
  <c r="S251" i="59"/>
  <c r="S599" i="51"/>
  <c r="S254" i="53"/>
  <c r="S603" i="53"/>
  <c r="S600" i="59"/>
  <c r="S253" i="37"/>
  <c r="S602" i="37"/>
  <c r="S951" i="37"/>
  <c r="S952" i="53"/>
  <c r="S255" i="31"/>
  <c r="S603" i="31"/>
  <c r="S217" i="54"/>
  <c r="S915" i="54"/>
  <c r="S1264" i="54"/>
  <c r="S1613" i="52"/>
  <c r="S566" i="54"/>
  <c r="S566" i="52"/>
  <c r="S1260" i="51"/>
  <c r="S1264" i="52"/>
  <c r="S215" i="51"/>
  <c r="S912" i="51"/>
  <c r="S915" i="52"/>
  <c r="S215" i="59"/>
  <c r="S217" i="52"/>
  <c r="S913" i="59"/>
  <c r="S1265" i="53"/>
  <c r="S567" i="53"/>
  <c r="S916" i="53"/>
  <c r="S564" i="59"/>
  <c r="S218" i="53"/>
  <c r="S915" i="37"/>
  <c r="S563" i="51"/>
  <c r="S1614" i="53"/>
  <c r="S567" i="31"/>
  <c r="S566" i="37"/>
  <c r="S217" i="37"/>
  <c r="S219" i="31"/>
  <c r="M1621" i="52"/>
  <c r="M923" i="54"/>
  <c r="M1272" i="54"/>
  <c r="M1272" i="52"/>
  <c r="M225" i="52"/>
  <c r="M574" i="52"/>
  <c r="M574" i="54"/>
  <c r="M225" i="54"/>
  <c r="M920" i="51"/>
  <c r="M572" i="59"/>
  <c r="M923" i="52"/>
  <c r="M223" i="51"/>
  <c r="M1268" i="51"/>
  <c r="M571" i="51"/>
  <c r="M1622" i="53"/>
  <c r="M223" i="59"/>
  <c r="M921" i="59"/>
  <c r="M924" i="53"/>
  <c r="M1273" i="53"/>
  <c r="M575" i="53"/>
  <c r="M226" i="53"/>
  <c r="M574" i="37"/>
  <c r="M225" i="37"/>
  <c r="M575" i="31"/>
  <c r="M923" i="37"/>
  <c r="M227" i="31"/>
  <c r="Q230" i="54"/>
  <c r="Q1277" i="54"/>
  <c r="Q1277" i="52"/>
  <c r="Q928" i="54"/>
  <c r="Q230" i="52"/>
  <c r="Q579" i="54"/>
  <c r="Q1626" i="52"/>
  <c r="Q579" i="52"/>
  <c r="Q1273" i="51"/>
  <c r="Q228" i="51"/>
  <c r="Q576" i="51"/>
  <c r="Q228" i="59"/>
  <c r="Q928" i="52"/>
  <c r="Q925" i="51"/>
  <c r="Q926" i="59"/>
  <c r="Q580" i="53"/>
  <c r="Q1627" i="53"/>
  <c r="Q929" i="53"/>
  <c r="Q1278" i="53"/>
  <c r="Q231" i="53"/>
  <c r="Q928" i="37"/>
  <c r="Q580" i="31"/>
  <c r="Q577" i="59"/>
  <c r="Q232" i="31"/>
  <c r="Q579" i="37"/>
  <c r="Q230" i="37"/>
  <c r="O235" i="54"/>
  <c r="O1282" i="54"/>
  <c r="O933" i="54"/>
  <c r="O584" i="54"/>
  <c r="O1631" i="52"/>
  <c r="O933" i="52"/>
  <c r="O1282" i="52"/>
  <c r="O1278" i="51"/>
  <c r="O233" i="51"/>
  <c r="O584" i="52"/>
  <c r="O235" i="52"/>
  <c r="O930" i="51"/>
  <c r="O233" i="59"/>
  <c r="O931" i="59"/>
  <c r="O581" i="51"/>
  <c r="O934" i="53"/>
  <c r="O933" i="37"/>
  <c r="O585" i="53"/>
  <c r="O582" i="59"/>
  <c r="O1283" i="53"/>
  <c r="O585" i="31"/>
  <c r="O236" i="53"/>
  <c r="O1632" i="53"/>
  <c r="O235" i="37"/>
  <c r="O237" i="31"/>
  <c r="O584" i="37"/>
  <c r="S589" i="54"/>
  <c r="S938" i="54"/>
  <c r="S1287" i="54"/>
  <c r="S240" i="54"/>
  <c r="S938" i="52"/>
  <c r="S1287" i="52"/>
  <c r="S1283" i="51"/>
  <c r="S1636" i="52"/>
  <c r="S935" i="51"/>
  <c r="S238" i="59"/>
  <c r="S240" i="52"/>
  <c r="S936" i="59"/>
  <c r="S589" i="52"/>
  <c r="S586" i="51"/>
  <c r="S238" i="51"/>
  <c r="S1637" i="53"/>
  <c r="S939" i="53"/>
  <c r="S1288" i="53"/>
  <c r="S587" i="59"/>
  <c r="S590" i="53"/>
  <c r="S241" i="53"/>
  <c r="S938" i="37"/>
  <c r="S590" i="31"/>
  <c r="S242" i="31"/>
  <c r="S589" i="37"/>
  <c r="S240" i="37"/>
  <c r="S559" i="54"/>
  <c r="S908" i="54"/>
  <c r="S1257" i="54"/>
  <c r="S1257" i="52"/>
  <c r="S210" i="54"/>
  <c r="S1253" i="51"/>
  <c r="S559" i="52"/>
  <c r="S210" i="52"/>
  <c r="S908" i="52"/>
  <c r="S556" i="51"/>
  <c r="S906" i="59"/>
  <c r="S1606" i="52"/>
  <c r="S208" i="51"/>
  <c r="S905" i="51"/>
  <c r="S208" i="59"/>
  <c r="S1258" i="53"/>
  <c r="S909" i="53"/>
  <c r="S557" i="59"/>
  <c r="S211" i="53"/>
  <c r="S908" i="37"/>
  <c r="S560" i="53"/>
  <c r="S1607" i="53"/>
  <c r="S560" i="31"/>
  <c r="S212" i="31"/>
  <c r="S559" i="37"/>
  <c r="S210" i="37"/>
  <c r="M1265" i="54"/>
  <c r="M1614" i="52"/>
  <c r="M916" i="54"/>
  <c r="M1265" i="52"/>
  <c r="M567" i="54"/>
  <c r="M567" i="52"/>
  <c r="M218" i="52"/>
  <c r="M218" i="54"/>
  <c r="M913" i="51"/>
  <c r="M914" i="59"/>
  <c r="M564" i="51"/>
  <c r="M1261" i="51"/>
  <c r="M1615" i="53"/>
  <c r="M916" i="52"/>
  <c r="M216" i="51"/>
  <c r="M565" i="59"/>
  <c r="M568" i="53"/>
  <c r="M216" i="59"/>
  <c r="M220" i="31"/>
  <c r="M917" i="53"/>
  <c r="M1266" i="53"/>
  <c r="M568" i="31"/>
  <c r="M219" i="53"/>
  <c r="M916" i="37"/>
  <c r="M567" i="37"/>
  <c r="M218" i="37"/>
  <c r="Q1269" i="54"/>
  <c r="Q571" i="54"/>
  <c r="Q920" i="54"/>
  <c r="Q222" i="54"/>
  <c r="Q920" i="52"/>
  <c r="Q571" i="52"/>
  <c r="Q222" i="52"/>
  <c r="Q568" i="51"/>
  <c r="Q1269" i="52"/>
  <c r="Q569" i="59"/>
  <c r="Q917" i="51"/>
  <c r="Q220" i="51"/>
  <c r="Q1270" i="53"/>
  <c r="Q1618" i="52"/>
  <c r="Q1265" i="51"/>
  <c r="Q572" i="53"/>
  <c r="Q223" i="53"/>
  <c r="Q220" i="59"/>
  <c r="Q1619" i="53"/>
  <c r="Q918" i="59"/>
  <c r="Q921" i="53"/>
  <c r="Q222" i="37"/>
  <c r="Q572" i="31"/>
  <c r="Q224" i="31"/>
  <c r="Q920" i="37"/>
  <c r="Q571" i="37"/>
  <c r="O577" i="54"/>
  <c r="O1275" i="54"/>
  <c r="O926" i="52"/>
  <c r="O228" i="54"/>
  <c r="O926" i="54"/>
  <c r="O1271" i="51"/>
  <c r="O577" i="52"/>
  <c r="O228" i="52"/>
  <c r="O923" i="51"/>
  <c r="O924" i="59"/>
  <c r="O1275" i="52"/>
  <c r="O1624" i="52"/>
  <c r="O226" i="51"/>
  <c r="O226" i="59"/>
  <c r="O927" i="53"/>
  <c r="O1625" i="53"/>
  <c r="O229" i="53"/>
  <c r="O1276" i="53"/>
  <c r="O575" i="59"/>
  <c r="O926" i="37"/>
  <c r="O574" i="51"/>
  <c r="O578" i="53"/>
  <c r="O578" i="31"/>
  <c r="O577" i="37"/>
  <c r="O228" i="37"/>
  <c r="O230" i="31"/>
  <c r="S1265" i="54"/>
  <c r="S218" i="54"/>
  <c r="S916" i="54"/>
  <c r="S567" i="54"/>
  <c r="S1265" i="52"/>
  <c r="S567" i="52"/>
  <c r="S916" i="52"/>
  <c r="S218" i="52"/>
  <c r="S913" i="51"/>
  <c r="S1614" i="52"/>
  <c r="S1261" i="51"/>
  <c r="S1615" i="53"/>
  <c r="S564" i="51"/>
  <c r="S914" i="59"/>
  <c r="S216" i="51"/>
  <c r="S565" i="59"/>
  <c r="S216" i="59"/>
  <c r="S219" i="53"/>
  <c r="S916" i="37"/>
  <c r="S1266" i="53"/>
  <c r="S568" i="53"/>
  <c r="S917" i="53"/>
  <c r="S567" i="37"/>
  <c r="S218" i="37"/>
  <c r="S568" i="31"/>
  <c r="S220" i="31"/>
  <c r="M934" i="54"/>
  <c r="M1283" i="54"/>
  <c r="M1632" i="52"/>
  <c r="M1283" i="52"/>
  <c r="M236" i="52"/>
  <c r="M236" i="54"/>
  <c r="M931" i="51"/>
  <c r="M934" i="52"/>
  <c r="M1633" i="53"/>
  <c r="M1279" i="51"/>
  <c r="M585" i="52"/>
  <c r="M932" i="59"/>
  <c r="M585" i="54"/>
  <c r="M582" i="51"/>
  <c r="M1284" i="53"/>
  <c r="M234" i="51"/>
  <c r="M234" i="59"/>
  <c r="M585" i="37"/>
  <c r="M934" i="37"/>
  <c r="M935" i="53"/>
  <c r="M586" i="53"/>
  <c r="M237" i="53"/>
  <c r="M583" i="59"/>
  <c r="M236" i="37"/>
  <c r="M586" i="31"/>
  <c r="M238" i="31"/>
  <c r="M240" i="54"/>
  <c r="M1287" i="54"/>
  <c r="M1636" i="52"/>
  <c r="M589" i="54"/>
  <c r="M589" i="52"/>
  <c r="M938" i="54"/>
  <c r="M1283" i="51"/>
  <c r="M238" i="51"/>
  <c r="M240" i="52"/>
  <c r="M938" i="52"/>
  <c r="M935" i="51"/>
  <c r="M1287" i="52"/>
  <c r="M238" i="59"/>
  <c r="M936" i="59"/>
  <c r="M587" i="59"/>
  <c r="M938" i="37"/>
  <c r="M939" i="53"/>
  <c r="M1288" i="53"/>
  <c r="M590" i="53"/>
  <c r="M586" i="51"/>
  <c r="M1637" i="53"/>
  <c r="M590" i="31"/>
  <c r="M589" i="37"/>
  <c r="M240" i="37"/>
  <c r="M241" i="53"/>
  <c r="M242" i="31"/>
  <c r="M1257" i="54"/>
  <c r="M210" i="54"/>
  <c r="M908" i="54"/>
  <c r="M559" i="52"/>
  <c r="M559" i="54"/>
  <c r="M1253" i="51"/>
  <c r="M1257" i="52"/>
  <c r="M908" i="52"/>
  <c r="M1606" i="52"/>
  <c r="M208" i="59"/>
  <c r="M906" i="59"/>
  <c r="M905" i="51"/>
  <c r="M208" i="51"/>
  <c r="M210" i="52"/>
  <c r="M556" i="51"/>
  <c r="M909" i="53"/>
  <c r="M1607" i="53"/>
  <c r="M1258" i="53"/>
  <c r="M908" i="37"/>
  <c r="M560" i="53"/>
  <c r="M211" i="53"/>
  <c r="M557" i="59"/>
  <c r="M559" i="37"/>
  <c r="M210" i="37"/>
  <c r="M560" i="31"/>
  <c r="M212" i="31"/>
  <c r="Q1611" i="52"/>
  <c r="Q913" i="54"/>
  <c r="Q1262" i="54"/>
  <c r="Q215" i="54"/>
  <c r="Q215" i="52"/>
  <c r="Q564" i="54"/>
  <c r="Q561" i="51"/>
  <c r="Q913" i="52"/>
  <c r="Q1262" i="52"/>
  <c r="Q564" i="52"/>
  <c r="Q562" i="59"/>
  <c r="Q1258" i="51"/>
  <c r="Q213" i="51"/>
  <c r="Q910" i="51"/>
  <c r="Q1263" i="53"/>
  <c r="Q911" i="59"/>
  <c r="Q213" i="59"/>
  <c r="Q1612" i="53"/>
  <c r="Q914" i="53"/>
  <c r="Q565" i="53"/>
  <c r="Q216" i="53"/>
  <c r="Q217" i="31"/>
  <c r="Q913" i="37"/>
  <c r="Q564" i="37"/>
  <c r="Q215" i="37"/>
  <c r="Q565" i="31"/>
  <c r="O1616" i="52"/>
  <c r="O918" i="54"/>
  <c r="O1267" i="54"/>
  <c r="O569" i="54"/>
  <c r="O1267" i="52"/>
  <c r="O918" i="52"/>
  <c r="O220" i="52"/>
  <c r="O220" i="54"/>
  <c r="O1263" i="51"/>
  <c r="O567" i="59"/>
  <c r="O915" i="51"/>
  <c r="O569" i="52"/>
  <c r="O218" i="51"/>
  <c r="O566" i="51"/>
  <c r="O916" i="59"/>
  <c r="O570" i="53"/>
  <c r="O1617" i="53"/>
  <c r="O919" i="53"/>
  <c r="O221" i="53"/>
  <c r="O1268" i="53"/>
  <c r="O218" i="59"/>
  <c r="O220" i="37"/>
  <c r="O570" i="31"/>
  <c r="O222" i="31"/>
  <c r="O918" i="37"/>
  <c r="O569" i="37"/>
  <c r="S923" i="54"/>
  <c r="S1272" i="54"/>
  <c r="S1621" i="52"/>
  <c r="S574" i="54"/>
  <c r="S225" i="54"/>
  <c r="S923" i="52"/>
  <c r="S225" i="52"/>
  <c r="S574" i="52"/>
  <c r="S920" i="51"/>
  <c r="S1622" i="53"/>
  <c r="S1268" i="51"/>
  <c r="S921" i="59"/>
  <c r="S1272" i="52"/>
  <c r="S572" i="59"/>
  <c r="S223" i="59"/>
  <c r="S571" i="51"/>
  <c r="S924" i="53"/>
  <c r="S223" i="51"/>
  <c r="S574" i="37"/>
  <c r="S1273" i="53"/>
  <c r="S226" i="53"/>
  <c r="S923" i="37"/>
  <c r="S575" i="53"/>
  <c r="S575" i="31"/>
  <c r="S227" i="31"/>
  <c r="S225" i="37"/>
  <c r="M582" i="54"/>
  <c r="M1280" i="54"/>
  <c r="M931" i="54"/>
  <c r="M233" i="54"/>
  <c r="M582" i="52"/>
  <c r="M931" i="52"/>
  <c r="M233" i="52"/>
  <c r="M1276" i="51"/>
  <c r="M1280" i="52"/>
  <c r="M231" i="51"/>
  <c r="M928" i="51"/>
  <c r="M1629" i="52"/>
  <c r="M231" i="59"/>
  <c r="M932" i="53"/>
  <c r="M579" i="51"/>
  <c r="M580" i="59"/>
  <c r="M929" i="59"/>
  <c r="M1630" i="53"/>
  <c r="M931" i="37"/>
  <c r="M583" i="53"/>
  <c r="M234" i="53"/>
  <c r="M1281" i="53"/>
  <c r="M583" i="31"/>
  <c r="M235" i="31"/>
  <c r="M582" i="37"/>
  <c r="M233" i="37"/>
  <c r="Q936" i="54"/>
  <c r="Q1285" i="54"/>
  <c r="Q1634" i="52"/>
  <c r="Q238" i="52"/>
  <c r="Q587" i="54"/>
  <c r="Q933" i="51"/>
  <c r="Q1285" i="52"/>
  <c r="Q587" i="52"/>
  <c r="Q1635" i="53"/>
  <c r="Q584" i="51"/>
  <c r="Q934" i="59"/>
  <c r="Q238" i="54"/>
  <c r="Q936" i="52"/>
  <c r="Q1281" i="51"/>
  <c r="Q585" i="59"/>
  <c r="Q1286" i="53"/>
  <c r="Q236" i="59"/>
  <c r="Q236" i="51"/>
  <c r="Q588" i="53"/>
  <c r="Q587" i="37"/>
  <c r="Q239" i="53"/>
  <c r="Q936" i="37"/>
  <c r="Q937" i="53"/>
  <c r="Q238" i="37"/>
  <c r="Q588" i="31"/>
  <c r="Q240" i="31"/>
  <c r="Q1255" i="54"/>
  <c r="Q1604" i="52"/>
  <c r="Q906" i="54"/>
  <c r="Q557" i="54"/>
  <c r="Q208" i="52"/>
  <c r="Q208" i="54"/>
  <c r="Q1255" i="52"/>
  <c r="Q903" i="51"/>
  <c r="Q906" i="52"/>
  <c r="Q904" i="59"/>
  <c r="Q557" i="52"/>
  <c r="Q1251" i="51"/>
  <c r="Q1605" i="53"/>
  <c r="Q554" i="51"/>
  <c r="Q555" i="59"/>
  <c r="Q206" i="59"/>
  <c r="Q558" i="53"/>
  <c r="Q907" i="53"/>
  <c r="Q209" i="53"/>
  <c r="Q1256" i="53"/>
  <c r="Q210" i="31"/>
  <c r="Q206" i="51"/>
  <c r="Q906" i="37"/>
  <c r="Q208" i="37"/>
  <c r="Q558" i="31"/>
  <c r="Q557" i="37"/>
  <c r="O1260" i="54"/>
  <c r="O1609" i="52"/>
  <c r="O911" i="54"/>
  <c r="O1260" i="52"/>
  <c r="O911" i="52"/>
  <c r="O213" i="54"/>
  <c r="O213" i="52"/>
  <c r="O562" i="54"/>
  <c r="O562" i="52"/>
  <c r="O908" i="51"/>
  <c r="O909" i="59"/>
  <c r="O559" i="51"/>
  <c r="O1610" i="53"/>
  <c r="O1256" i="51"/>
  <c r="O211" i="51"/>
  <c r="O560" i="59"/>
  <c r="O1261" i="53"/>
  <c r="O563" i="53"/>
  <c r="O215" i="31"/>
  <c r="O211" i="59"/>
  <c r="O912" i="53"/>
  <c r="O562" i="37"/>
  <c r="O911" i="37"/>
  <c r="O213" i="37"/>
  <c r="O563" i="31"/>
  <c r="O214" i="53"/>
  <c r="M1276" i="54"/>
  <c r="M229" i="54"/>
  <c r="M578" i="52"/>
  <c r="M1625" i="52"/>
  <c r="M1276" i="52"/>
  <c r="M927" i="54"/>
  <c r="M924" i="51"/>
  <c r="M578" i="54"/>
  <c r="M1272" i="51"/>
  <c r="M575" i="51"/>
  <c r="M1626" i="53"/>
  <c r="M229" i="52"/>
  <c r="M927" i="52"/>
  <c r="M925" i="59"/>
  <c r="M227" i="51"/>
  <c r="M1277" i="53"/>
  <c r="M579" i="53"/>
  <c r="M928" i="53"/>
  <c r="M576" i="59"/>
  <c r="M227" i="59"/>
  <c r="M578" i="37"/>
  <c r="M231" i="31"/>
  <c r="M230" i="53"/>
  <c r="M229" i="37"/>
  <c r="M927" i="37"/>
  <c r="M579" i="31"/>
  <c r="M922" i="54"/>
  <c r="M1271" i="54"/>
  <c r="M1620" i="52"/>
  <c r="M224" i="54"/>
  <c r="M224" i="52"/>
  <c r="M919" i="51"/>
  <c r="M573" i="54"/>
  <c r="M1271" i="52"/>
  <c r="M1621" i="53"/>
  <c r="M573" i="52"/>
  <c r="M920" i="59"/>
  <c r="M922" i="52"/>
  <c r="M1267" i="51"/>
  <c r="M570" i="51"/>
  <c r="M571" i="59"/>
  <c r="M1272" i="53"/>
  <c r="M923" i="53"/>
  <c r="M222" i="51"/>
  <c r="M573" i="37"/>
  <c r="M222" i="59"/>
  <c r="M922" i="37"/>
  <c r="M574" i="53"/>
  <c r="M225" i="53"/>
  <c r="M224" i="37"/>
  <c r="M574" i="31"/>
  <c r="M226" i="31"/>
  <c r="M575" i="54"/>
  <c r="M1273" i="54"/>
  <c r="M226" i="54"/>
  <c r="M1622" i="52"/>
  <c r="M575" i="52"/>
  <c r="M924" i="52"/>
  <c r="M1273" i="52"/>
  <c r="M924" i="54"/>
  <c r="M226" i="52"/>
  <c r="M572" i="51"/>
  <c r="M921" i="51"/>
  <c r="M573" i="59"/>
  <c r="M224" i="51"/>
  <c r="M1269" i="51"/>
  <c r="M925" i="53"/>
  <c r="M1274" i="53"/>
  <c r="M922" i="59"/>
  <c r="M576" i="53"/>
  <c r="M227" i="53"/>
  <c r="M226" i="37"/>
  <c r="M224" i="59"/>
  <c r="M1623" i="53"/>
  <c r="M575" i="37"/>
  <c r="M576" i="31"/>
  <c r="M924" i="37"/>
  <c r="M228" i="31"/>
  <c r="Q1278" i="54"/>
  <c r="Q231" i="54"/>
  <c r="Q580" i="52"/>
  <c r="Q929" i="54"/>
  <c r="Q1278" i="52"/>
  <c r="Q580" i="54"/>
  <c r="Q929" i="52"/>
  <c r="Q926" i="51"/>
  <c r="Q1627" i="52"/>
  <c r="Q1274" i="51"/>
  <c r="Q1628" i="53"/>
  <c r="Q231" i="52"/>
  <c r="Q577" i="51"/>
  <c r="Q927" i="59"/>
  <c r="Q578" i="59"/>
  <c r="Q229" i="51"/>
  <c r="Q1279" i="53"/>
  <c r="Q232" i="53"/>
  <c r="Q929" i="37"/>
  <c r="Q930" i="53"/>
  <c r="Q229" i="59"/>
  <c r="Q581" i="53"/>
  <c r="Q580" i="37"/>
  <c r="Q233" i="31"/>
  <c r="Q231" i="37"/>
  <c r="Q581" i="31"/>
  <c r="O1283" i="54"/>
  <c r="O236" i="54"/>
  <c r="O585" i="52"/>
  <c r="O1632" i="52"/>
  <c r="O1283" i="52"/>
  <c r="O585" i="54"/>
  <c r="O934" i="54"/>
  <c r="O931" i="51"/>
  <c r="O934" i="52"/>
  <c r="O1279" i="51"/>
  <c r="O582" i="51"/>
  <c r="O236" i="52"/>
  <c r="O1633" i="53"/>
  <c r="O932" i="59"/>
  <c r="O234" i="51"/>
  <c r="O1284" i="53"/>
  <c r="O935" i="53"/>
  <c r="O934" i="37"/>
  <c r="O586" i="53"/>
  <c r="O583" i="59"/>
  <c r="O234" i="59"/>
  <c r="O237" i="53"/>
  <c r="O585" i="37"/>
  <c r="O236" i="37"/>
  <c r="O586" i="31"/>
  <c r="O238" i="31"/>
  <c r="O206" i="54"/>
  <c r="O1253" i="54"/>
  <c r="O904" i="54"/>
  <c r="O904" i="52"/>
  <c r="O1602" i="52"/>
  <c r="O555" i="54"/>
  <c r="O901" i="51"/>
  <c r="O206" i="52"/>
  <c r="O555" i="52"/>
  <c r="O1249" i="51"/>
  <c r="O902" i="59"/>
  <c r="O1253" i="52"/>
  <c r="O552" i="51"/>
  <c r="O1603" i="53"/>
  <c r="O556" i="53"/>
  <c r="O553" i="59"/>
  <c r="O207" i="53"/>
  <c r="O204" i="51"/>
  <c r="O204" i="59"/>
  <c r="O905" i="53"/>
  <c r="O904" i="37"/>
  <c r="O1254" i="53"/>
  <c r="O208" i="31"/>
  <c r="O206" i="37"/>
  <c r="O556" i="31"/>
  <c r="O555" i="37"/>
  <c r="S1258" i="54"/>
  <c r="S211" i="54"/>
  <c r="S560" i="52"/>
  <c r="S909" i="52"/>
  <c r="S909" i="54"/>
  <c r="S560" i="54"/>
  <c r="S211" i="52"/>
  <c r="S1607" i="52"/>
  <c r="S209" i="59"/>
  <c r="S557" i="51"/>
  <c r="S907" i="59"/>
  <c r="S209" i="51"/>
  <c r="S1258" i="52"/>
  <c r="S1254" i="51"/>
  <c r="S906" i="51"/>
  <c r="S1608" i="53"/>
  <c r="S1259" i="53"/>
  <c r="S910" i="53"/>
  <c r="S558" i="59"/>
  <c r="S212" i="53"/>
  <c r="S909" i="37"/>
  <c r="S561" i="53"/>
  <c r="S561" i="31"/>
  <c r="S213" i="31"/>
  <c r="S560" i="37"/>
  <c r="S211" i="37"/>
  <c r="M917" i="54"/>
  <c r="M1266" i="54"/>
  <c r="M1615" i="52"/>
  <c r="M219" i="54"/>
  <c r="M219" i="52"/>
  <c r="M917" i="52"/>
  <c r="M568" i="54"/>
  <c r="M568" i="52"/>
  <c r="M1266" i="52"/>
  <c r="M217" i="51"/>
  <c r="M565" i="51"/>
  <c r="M1262" i="51"/>
  <c r="M914" i="51"/>
  <c r="M566" i="59"/>
  <c r="M1267" i="53"/>
  <c r="M915" i="59"/>
  <c r="M569" i="53"/>
  <c r="M220" i="53"/>
  <c r="M217" i="59"/>
  <c r="M1616" i="53"/>
  <c r="M918" i="53"/>
  <c r="M219" i="37"/>
  <c r="M569" i="31"/>
  <c r="M221" i="31"/>
  <c r="M917" i="37"/>
  <c r="M568" i="37"/>
  <c r="Q1271" i="54"/>
  <c r="Q224" i="54"/>
  <c r="Q922" i="54"/>
  <c r="Q573" i="52"/>
  <c r="Q1620" i="52"/>
  <c r="Q573" i="54"/>
  <c r="Q1271" i="52"/>
  <c r="Q1267" i="51"/>
  <c r="Q222" i="59"/>
  <c r="Q570" i="51"/>
  <c r="Q224" i="52"/>
  <c r="Q922" i="52"/>
  <c r="Q920" i="59"/>
  <c r="Q919" i="51"/>
  <c r="Q222" i="51"/>
  <c r="Q923" i="53"/>
  <c r="Q574" i="53"/>
  <c r="Q225" i="53"/>
  <c r="Q922" i="37"/>
  <c r="Q571" i="59"/>
  <c r="Q1621" i="53"/>
  <c r="Q1272" i="53"/>
  <c r="Q573" i="37"/>
  <c r="Q224" i="37"/>
  <c r="Q574" i="31"/>
  <c r="Q226" i="31"/>
  <c r="O1276" i="54"/>
  <c r="O229" i="54"/>
  <c r="O1625" i="52"/>
  <c r="O578" i="54"/>
  <c r="O578" i="52"/>
  <c r="O1276" i="52"/>
  <c r="O1272" i="51"/>
  <c r="O927" i="54"/>
  <c r="O227" i="59"/>
  <c r="O229" i="52"/>
  <c r="O924" i="51"/>
  <c r="O925" i="59"/>
  <c r="O227" i="51"/>
  <c r="O927" i="52"/>
  <c r="O576" i="59"/>
  <c r="O230" i="53"/>
  <c r="O1277" i="53"/>
  <c r="O1626" i="53"/>
  <c r="O927" i="37"/>
  <c r="O928" i="53"/>
  <c r="O575" i="51"/>
  <c r="O579" i="53"/>
  <c r="O231" i="31"/>
  <c r="O578" i="37"/>
  <c r="O229" i="37"/>
  <c r="O579" i="31"/>
  <c r="S583" i="54"/>
  <c r="S932" i="54"/>
  <c r="S1281" i="54"/>
  <c r="S1281" i="52"/>
  <c r="S932" i="52"/>
  <c r="S1277" i="51"/>
  <c r="S1630" i="52"/>
  <c r="S234" i="54"/>
  <c r="S583" i="52"/>
  <c r="S929" i="51"/>
  <c r="S930" i="59"/>
  <c r="S234" i="52"/>
  <c r="S232" i="51"/>
  <c r="S580" i="51"/>
  <c r="S232" i="59"/>
  <c r="S933" i="53"/>
  <c r="S1631" i="53"/>
  <c r="S581" i="59"/>
  <c r="S235" i="53"/>
  <c r="S932" i="37"/>
  <c r="S584" i="53"/>
  <c r="S1282" i="53"/>
  <c r="S584" i="31"/>
  <c r="S583" i="37"/>
  <c r="S234" i="37"/>
  <c r="S236" i="31"/>
  <c r="M1264" i="54"/>
  <c r="M217" i="54"/>
  <c r="M566" i="52"/>
  <c r="M915" i="54"/>
  <c r="M566" i="54"/>
  <c r="M912" i="51"/>
  <c r="M1264" i="52"/>
  <c r="M217" i="52"/>
  <c r="M563" i="51"/>
  <c r="M1260" i="51"/>
  <c r="M1614" i="53"/>
  <c r="M915" i="52"/>
  <c r="M1613" i="52"/>
  <c r="M913" i="59"/>
  <c r="M564" i="59"/>
  <c r="M1265" i="53"/>
  <c r="M215" i="51"/>
  <c r="M567" i="53"/>
  <c r="M218" i="53"/>
  <c r="M215" i="59"/>
  <c r="M916" i="53"/>
  <c r="M566" i="37"/>
  <c r="M915" i="37"/>
  <c r="M219" i="31"/>
  <c r="M217" i="37"/>
  <c r="M567" i="31"/>
  <c r="M910" i="54"/>
  <c r="M1259" i="54"/>
  <c r="M1608" i="52"/>
  <c r="M561" i="54"/>
  <c r="M561" i="52"/>
  <c r="M212" i="54"/>
  <c r="M212" i="52"/>
  <c r="M910" i="52"/>
  <c r="M907" i="51"/>
  <c r="M1259" i="52"/>
  <c r="M1609" i="53"/>
  <c r="M1255" i="51"/>
  <c r="M908" i="59"/>
  <c r="M558" i="51"/>
  <c r="M1260" i="53"/>
  <c r="M210" i="59"/>
  <c r="M559" i="59"/>
  <c r="M911" i="53"/>
  <c r="M561" i="37"/>
  <c r="M910" i="37"/>
  <c r="M562" i="53"/>
  <c r="M213" i="53"/>
  <c r="M210" i="51"/>
  <c r="M212" i="37"/>
  <c r="M562" i="31"/>
  <c r="M214" i="31"/>
  <c r="M211" i="54"/>
  <c r="M1258" i="54"/>
  <c r="M1607" i="52"/>
  <c r="M560" i="52"/>
  <c r="M560" i="54"/>
  <c r="M909" i="52"/>
  <c r="M909" i="54"/>
  <c r="M906" i="51"/>
  <c r="M211" i="52"/>
  <c r="M1254" i="51"/>
  <c r="M907" i="59"/>
  <c r="M557" i="51"/>
  <c r="M1258" i="52"/>
  <c r="M1608" i="53"/>
  <c r="M558" i="59"/>
  <c r="M910" i="53"/>
  <c r="M209" i="59"/>
  <c r="M1259" i="53"/>
  <c r="M561" i="53"/>
  <c r="M209" i="51"/>
  <c r="M213" i="31"/>
  <c r="M212" i="53"/>
  <c r="M560" i="37"/>
  <c r="M211" i="37"/>
  <c r="M561" i="31"/>
  <c r="M909" i="37"/>
  <c r="Q566" i="54"/>
  <c r="Q915" i="54"/>
  <c r="Q1264" i="54"/>
  <c r="Q915" i="52"/>
  <c r="Q566" i="52"/>
  <c r="Q217" i="54"/>
  <c r="Q1260" i="51"/>
  <c r="Q1613" i="52"/>
  <c r="Q1264" i="52"/>
  <c r="Q217" i="52"/>
  <c r="Q912" i="51"/>
  <c r="Q215" i="59"/>
  <c r="Q563" i="51"/>
  <c r="Q913" i="59"/>
  <c r="Q215" i="51"/>
  <c r="Q1614" i="53"/>
  <c r="Q564" i="59"/>
  <c r="Q1265" i="53"/>
  <c r="Q916" i="53"/>
  <c r="Q567" i="53"/>
  <c r="Q218" i="53"/>
  <c r="Q915" i="37"/>
  <c r="Q567" i="31"/>
  <c r="Q219" i="31"/>
  <c r="Q566" i="37"/>
  <c r="Q217" i="37"/>
  <c r="O570" i="54"/>
  <c r="O1268" i="54"/>
  <c r="O919" i="54"/>
  <c r="O1617" i="52"/>
  <c r="O221" i="54"/>
  <c r="O919" i="52"/>
  <c r="O570" i="52"/>
  <c r="O567" i="51"/>
  <c r="O1268" i="52"/>
  <c r="O1264" i="51"/>
  <c r="O568" i="59"/>
  <c r="O916" i="51"/>
  <c r="O221" i="52"/>
  <c r="O219" i="51"/>
  <c r="O219" i="59"/>
  <c r="O917" i="59"/>
  <c r="O1618" i="53"/>
  <c r="O920" i="53"/>
  <c r="O1269" i="53"/>
  <c r="O571" i="53"/>
  <c r="O222" i="53"/>
  <c r="O221" i="37"/>
  <c r="O919" i="37"/>
  <c r="O571" i="31"/>
  <c r="O223" i="31"/>
  <c r="O570" i="37"/>
  <c r="S576" i="54"/>
  <c r="S1274" i="54"/>
  <c r="S1274" i="52"/>
  <c r="S925" i="54"/>
  <c r="S1623" i="52"/>
  <c r="S573" i="51"/>
  <c r="S925" i="52"/>
  <c r="S1275" i="53"/>
  <c r="S227" i="52"/>
  <c r="S227" i="54"/>
  <c r="S576" i="52"/>
  <c r="S1270" i="51"/>
  <c r="S574" i="59"/>
  <c r="S922" i="51"/>
  <c r="S225" i="51"/>
  <c r="S225" i="59"/>
  <c r="S923" i="59"/>
  <c r="S1624" i="53"/>
  <c r="S926" i="53"/>
  <c r="S577" i="53"/>
  <c r="S227" i="37"/>
  <c r="S228" i="53"/>
  <c r="S925" i="37"/>
  <c r="S577" i="31"/>
  <c r="S229" i="31"/>
  <c r="S576" i="37"/>
  <c r="M1281" i="54"/>
  <c r="M234" i="54"/>
  <c r="M583" i="52"/>
  <c r="M1630" i="52"/>
  <c r="M932" i="52"/>
  <c r="M932" i="54"/>
  <c r="M583" i="54"/>
  <c r="M234" i="52"/>
  <c r="M1277" i="51"/>
  <c r="M1281" i="52"/>
  <c r="M232" i="59"/>
  <c r="M930" i="59"/>
  <c r="M232" i="51"/>
  <c r="M929" i="51"/>
  <c r="M1631" i="53"/>
  <c r="M580" i="51"/>
  <c r="M932" i="37"/>
  <c r="M933" i="53"/>
  <c r="M584" i="53"/>
  <c r="M235" i="53"/>
  <c r="M581" i="59"/>
  <c r="M1282" i="53"/>
  <c r="M584" i="31"/>
  <c r="M236" i="31"/>
  <c r="M583" i="37"/>
  <c r="M234" i="37"/>
  <c r="Q1635" i="52"/>
  <c r="Q937" i="54"/>
  <c r="Q1286" i="54"/>
  <c r="Q1286" i="52"/>
  <c r="Q588" i="54"/>
  <c r="Q239" i="52"/>
  <c r="Q588" i="52"/>
  <c r="Q239" i="54"/>
  <c r="Q934" i="51"/>
  <c r="Q586" i="59"/>
  <c r="Q237" i="51"/>
  <c r="Q937" i="52"/>
  <c r="Q1282" i="51"/>
  <c r="Q1287" i="53"/>
  <c r="Q1636" i="53"/>
  <c r="Q237" i="59"/>
  <c r="Q589" i="53"/>
  <c r="Q585" i="51"/>
  <c r="Q935" i="59"/>
  <c r="Q938" i="53"/>
  <c r="Q937" i="37"/>
  <c r="Q588" i="37"/>
  <c r="Q239" i="37"/>
  <c r="Q589" i="31"/>
  <c r="Q240" i="53"/>
  <c r="Q241" i="31"/>
  <c r="Q907" i="54"/>
  <c r="Q1256" i="54"/>
  <c r="Q1605" i="52"/>
  <c r="Q558" i="54"/>
  <c r="Q209" i="52"/>
  <c r="Q209" i="54"/>
  <c r="Q907" i="52"/>
  <c r="Q558" i="52"/>
  <c r="Q555" i="51"/>
  <c r="Q1256" i="52"/>
  <c r="Q1252" i="51"/>
  <c r="Q207" i="51"/>
  <c r="Q1257" i="53"/>
  <c r="Q904" i="51"/>
  <c r="Q556" i="59"/>
  <c r="Q905" i="59"/>
  <c r="Q908" i="53"/>
  <c r="Q1606" i="53"/>
  <c r="Q559" i="53"/>
  <c r="Q210" i="53"/>
  <c r="Q207" i="59"/>
  <c r="Q209" i="37"/>
  <c r="Q558" i="37"/>
  <c r="Q907" i="37"/>
  <c r="Q559" i="31"/>
  <c r="Q211" i="31"/>
  <c r="O912" i="54"/>
  <c r="O1261" i="54"/>
  <c r="O1610" i="52"/>
  <c r="O214" i="54"/>
  <c r="O214" i="52"/>
  <c r="O563" i="54"/>
  <c r="O1261" i="52"/>
  <c r="O912" i="52"/>
  <c r="O909" i="51"/>
  <c r="O212" i="51"/>
  <c r="O560" i="51"/>
  <c r="O563" i="52"/>
  <c r="O1257" i="51"/>
  <c r="O561" i="59"/>
  <c r="O1611" i="53"/>
  <c r="O1262" i="53"/>
  <c r="O212" i="59"/>
  <c r="O913" i="53"/>
  <c r="O910" i="59"/>
  <c r="O564" i="53"/>
  <c r="O215" i="53"/>
  <c r="O214" i="37"/>
  <c r="O563" i="37"/>
  <c r="O912" i="37"/>
  <c r="O564" i="31"/>
  <c r="O216" i="31"/>
  <c r="S1266" i="54"/>
  <c r="S1615" i="52"/>
  <c r="S917" i="54"/>
  <c r="S917" i="52"/>
  <c r="S568" i="54"/>
  <c r="S219" i="52"/>
  <c r="S219" i="54"/>
  <c r="S1266" i="52"/>
  <c r="S914" i="51"/>
  <c r="S915" i="59"/>
  <c r="S1262" i="51"/>
  <c r="S568" i="52"/>
  <c r="S1616" i="53"/>
  <c r="S565" i="51"/>
  <c r="S217" i="51"/>
  <c r="S566" i="59"/>
  <c r="S1267" i="53"/>
  <c r="S217" i="59"/>
  <c r="S220" i="53"/>
  <c r="S569" i="53"/>
  <c r="S221" i="31"/>
  <c r="S918" i="53"/>
  <c r="S568" i="37"/>
  <c r="S917" i="37"/>
  <c r="S219" i="37"/>
  <c r="S569" i="31"/>
  <c r="Q589" i="54"/>
  <c r="Q1287" i="54"/>
  <c r="Q240" i="54"/>
  <c r="Q589" i="52"/>
  <c r="Q938" i="54"/>
  <c r="Q938" i="52"/>
  <c r="Q586" i="51"/>
  <c r="Q240" i="52"/>
  <c r="Q1288" i="53"/>
  <c r="Q1636" i="52"/>
  <c r="Q935" i="51"/>
  <c r="Q587" i="59"/>
  <c r="Q1287" i="52"/>
  <c r="Q238" i="51"/>
  <c r="Q1283" i="51"/>
  <c r="Q939" i="53"/>
  <c r="Q936" i="59"/>
  <c r="Q238" i="59"/>
  <c r="Q1637" i="53"/>
  <c r="Q590" i="53"/>
  <c r="Q240" i="37"/>
  <c r="Q241" i="53"/>
  <c r="Q938" i="37"/>
  <c r="Q589" i="37"/>
  <c r="Q590" i="31"/>
  <c r="Q242" i="31"/>
  <c r="Q584" i="54"/>
  <c r="Q1282" i="54"/>
  <c r="Q933" i="54"/>
  <c r="Q1631" i="52"/>
  <c r="Q933" i="52"/>
  <c r="Q1282" i="52"/>
  <c r="Q235" i="54"/>
  <c r="Q1278" i="51"/>
  <c r="Q930" i="51"/>
  <c r="Q931" i="59"/>
  <c r="Q233" i="51"/>
  <c r="Q235" i="52"/>
  <c r="Q584" i="52"/>
  <c r="Q581" i="51"/>
  <c r="Q233" i="59"/>
  <c r="Q934" i="53"/>
  <c r="Q1632" i="53"/>
  <c r="Q585" i="53"/>
  <c r="Q582" i="59"/>
  <c r="Q1283" i="53"/>
  <c r="Q236" i="53"/>
  <c r="Q933" i="37"/>
  <c r="Q585" i="31"/>
  <c r="Q235" i="37"/>
  <c r="Q237" i="31"/>
  <c r="Q584" i="37"/>
  <c r="M576" i="54"/>
  <c r="M1274" i="54"/>
  <c r="M227" i="54"/>
  <c r="M925" i="54"/>
  <c r="M925" i="52"/>
  <c r="M1270" i="51"/>
  <c r="M1623" i="52"/>
  <c r="M1274" i="52"/>
  <c r="M576" i="52"/>
  <c r="M922" i="51"/>
  <c r="M225" i="59"/>
  <c r="M227" i="52"/>
  <c r="M225" i="51"/>
  <c r="M923" i="59"/>
  <c r="M1624" i="53"/>
  <c r="M577" i="53"/>
  <c r="M228" i="53"/>
  <c r="M926" i="53"/>
  <c r="M573" i="51"/>
  <c r="M1275" i="53"/>
  <c r="M574" i="59"/>
  <c r="M925" i="37"/>
  <c r="M576" i="37"/>
  <c r="M227" i="37"/>
  <c r="M577" i="31"/>
  <c r="M229" i="31"/>
  <c r="Q1279" i="54"/>
  <c r="Q1628" i="52"/>
  <c r="Q930" i="54"/>
  <c r="Q232" i="54"/>
  <c r="Q1279" i="52"/>
  <c r="Q581" i="52"/>
  <c r="Q232" i="52"/>
  <c r="Q581" i="54"/>
  <c r="Q930" i="52"/>
  <c r="Q927" i="51"/>
  <c r="Q928" i="59"/>
  <c r="Q1275" i="51"/>
  <c r="Q1629" i="53"/>
  <c r="Q230" i="51"/>
  <c r="Q578" i="51"/>
  <c r="Q579" i="59"/>
  <c r="Q1280" i="53"/>
  <c r="Q233" i="53"/>
  <c r="Q931" i="53"/>
  <c r="Q234" i="31"/>
  <c r="Q230" i="59"/>
  <c r="Q582" i="53"/>
  <c r="Q582" i="31"/>
  <c r="Q581" i="37"/>
  <c r="Q930" i="37"/>
  <c r="Q232" i="37"/>
  <c r="O1284" i="54"/>
  <c r="O1633" i="52"/>
  <c r="O935" i="54"/>
  <c r="O586" i="54"/>
  <c r="O1284" i="52"/>
  <c r="O237" i="52"/>
  <c r="O932" i="51"/>
  <c r="O933" i="59"/>
  <c r="O1280" i="51"/>
  <c r="O586" i="52"/>
  <c r="O583" i="51"/>
  <c r="O1634" i="53"/>
  <c r="O935" i="52"/>
  <c r="O237" i="54"/>
  <c r="O235" i="59"/>
  <c r="O936" i="53"/>
  <c r="O587" i="53"/>
  <c r="O584" i="59"/>
  <c r="O239" i="31"/>
  <c r="O1285" i="53"/>
  <c r="O235" i="51"/>
  <c r="O238" i="53"/>
  <c r="O237" i="37"/>
  <c r="O935" i="37"/>
  <c r="O587" i="31"/>
  <c r="O586" i="37"/>
  <c r="O905" i="54"/>
  <c r="O1254" i="54"/>
  <c r="O1603" i="52"/>
  <c r="O207" i="54"/>
  <c r="O556" i="54"/>
  <c r="O1254" i="52"/>
  <c r="O207" i="52"/>
  <c r="O902" i="51"/>
  <c r="O1604" i="53"/>
  <c r="O905" i="52"/>
  <c r="O556" i="52"/>
  <c r="O1250" i="51"/>
  <c r="O903" i="59"/>
  <c r="O553" i="51"/>
  <c r="O1255" i="53"/>
  <c r="O205" i="51"/>
  <c r="O557" i="53"/>
  <c r="O208" i="53"/>
  <c r="O205" i="59"/>
  <c r="O554" i="59"/>
  <c r="O906" i="53"/>
  <c r="O556" i="37"/>
  <c r="O905" i="37"/>
  <c r="O207" i="37"/>
  <c r="O557" i="31"/>
  <c r="O209" i="31"/>
  <c r="S212" i="54"/>
  <c r="S1259" i="54"/>
  <c r="S910" i="52"/>
  <c r="S910" i="54"/>
  <c r="S1259" i="52"/>
  <c r="S561" i="54"/>
  <c r="S907" i="51"/>
  <c r="S561" i="52"/>
  <c r="S558" i="51"/>
  <c r="S908" i="59"/>
  <c r="S1608" i="52"/>
  <c r="S212" i="52"/>
  <c r="S1255" i="51"/>
  <c r="S1609" i="53"/>
  <c r="S562" i="53"/>
  <c r="S559" i="59"/>
  <c r="S1260" i="53"/>
  <c r="S210" i="51"/>
  <c r="S911" i="53"/>
  <c r="S213" i="53"/>
  <c r="S910" i="37"/>
  <c r="S210" i="59"/>
  <c r="S214" i="31"/>
  <c r="S212" i="37"/>
  <c r="S562" i="31"/>
  <c r="S561" i="37"/>
  <c r="M1267" i="54"/>
  <c r="M569" i="54"/>
  <c r="M918" i="54"/>
  <c r="M918" i="52"/>
  <c r="M220" i="54"/>
  <c r="M1616" i="52"/>
  <c r="M915" i="51"/>
  <c r="M567" i="59"/>
  <c r="M1267" i="52"/>
  <c r="M569" i="52"/>
  <c r="M220" i="52"/>
  <c r="M218" i="51"/>
  <c r="M566" i="51"/>
  <c r="M1263" i="51"/>
  <c r="M1268" i="53"/>
  <c r="M570" i="53"/>
  <c r="M221" i="53"/>
  <c r="M218" i="59"/>
  <c r="M1617" i="53"/>
  <c r="M919" i="53"/>
  <c r="M916" i="59"/>
  <c r="M570" i="31"/>
  <c r="M222" i="31"/>
  <c r="M918" i="37"/>
  <c r="M569" i="37"/>
  <c r="M220" i="37"/>
  <c r="Q225" i="54"/>
  <c r="Q1272" i="54"/>
  <c r="Q1621" i="52"/>
  <c r="Q574" i="54"/>
  <c r="Q923" i="54"/>
  <c r="Q574" i="52"/>
  <c r="Q920" i="51"/>
  <c r="Q1268" i="51"/>
  <c r="Q1272" i="52"/>
  <c r="Q225" i="52"/>
  <c r="Q923" i="52"/>
  <c r="Q921" i="59"/>
  <c r="Q1622" i="53"/>
  <c r="Q575" i="53"/>
  <c r="Q1273" i="53"/>
  <c r="Q924" i="53"/>
  <c r="Q571" i="51"/>
  <c r="Q223" i="59"/>
  <c r="Q226" i="53"/>
  <c r="Q923" i="37"/>
  <c r="Q223" i="51"/>
  <c r="Q572" i="59"/>
  <c r="Q227" i="31"/>
  <c r="Q574" i="37"/>
  <c r="Q225" i="37"/>
  <c r="Q575" i="31"/>
  <c r="O230" i="54"/>
  <c r="O1277" i="54"/>
  <c r="O579" i="54"/>
  <c r="O1277" i="52"/>
  <c r="O928" i="54"/>
  <c r="O230" i="52"/>
  <c r="O1626" i="52"/>
  <c r="O925" i="51"/>
  <c r="O579" i="52"/>
  <c r="O926" i="59"/>
  <c r="O1273" i="51"/>
  <c r="O928" i="52"/>
  <c r="O576" i="51"/>
  <c r="O1627" i="53"/>
  <c r="O577" i="59"/>
  <c r="O580" i="53"/>
  <c r="O228" i="51"/>
  <c r="O228" i="59"/>
  <c r="O231" i="53"/>
  <c r="O1278" i="53"/>
  <c r="O929" i="53"/>
  <c r="O232" i="31"/>
  <c r="O928" i="37"/>
  <c r="O579" i="37"/>
  <c r="O230" i="37"/>
  <c r="O580" i="31"/>
  <c r="S1282" i="54"/>
  <c r="S235" i="54"/>
  <c r="S933" i="54"/>
  <c r="S1631" i="52"/>
  <c r="S584" i="54"/>
  <c r="S584" i="52"/>
  <c r="S933" i="52"/>
  <c r="S233" i="59"/>
  <c r="S930" i="51"/>
  <c r="S931" i="59"/>
  <c r="S235" i="52"/>
  <c r="S233" i="51"/>
  <c r="S1278" i="51"/>
  <c r="S1282" i="52"/>
  <c r="S1283" i="53"/>
  <c r="S582" i="59"/>
  <c r="S581" i="51"/>
  <c r="S236" i="53"/>
  <c r="S933" i="37"/>
  <c r="S585" i="53"/>
  <c r="S934" i="53"/>
  <c r="S1632" i="53"/>
  <c r="S237" i="31"/>
  <c r="S584" i="37"/>
  <c r="S235" i="37"/>
  <c r="S585" i="31"/>
  <c r="M228" i="54"/>
  <c r="M1275" i="54"/>
  <c r="M926" i="54"/>
  <c r="M926" i="52"/>
  <c r="M1624" i="52"/>
  <c r="M577" i="54"/>
  <c r="M1271" i="51"/>
  <c r="M226" i="51"/>
  <c r="M1275" i="52"/>
  <c r="M577" i="52"/>
  <c r="M923" i="51"/>
  <c r="M226" i="59"/>
  <c r="M228" i="52"/>
  <c r="M924" i="59"/>
  <c r="M574" i="51"/>
  <c r="M926" i="37"/>
  <c r="M1625" i="53"/>
  <c r="M578" i="53"/>
  <c r="M927" i="53"/>
  <c r="M1276" i="53"/>
  <c r="M578" i="31"/>
  <c r="M575" i="59"/>
  <c r="M577" i="37"/>
  <c r="M229" i="53"/>
  <c r="M228" i="37"/>
  <c r="M230" i="31"/>
  <c r="Q577" i="54"/>
  <c r="Q1275" i="54"/>
  <c r="Q1275" i="52"/>
  <c r="Q926" i="54"/>
  <c r="Q228" i="54"/>
  <c r="Q574" i="51"/>
  <c r="Q1624" i="52"/>
  <c r="Q1276" i="53"/>
  <c r="Q1271" i="51"/>
  <c r="Q228" i="52"/>
  <c r="Q926" i="52"/>
  <c r="Q575" i="59"/>
  <c r="Q577" i="52"/>
  <c r="Q923" i="51"/>
  <c r="Q226" i="51"/>
  <c r="Q226" i="59"/>
  <c r="Q924" i="59"/>
  <c r="Q1625" i="53"/>
  <c r="Q927" i="53"/>
  <c r="Q578" i="53"/>
  <c r="Q228" i="37"/>
  <c r="Q229" i="53"/>
  <c r="Q926" i="37"/>
  <c r="Q577" i="37"/>
  <c r="Q578" i="31"/>
  <c r="Q230" i="31"/>
  <c r="Q572" i="54"/>
  <c r="Q921" i="54"/>
  <c r="Q1270" i="54"/>
  <c r="Q1270" i="52"/>
  <c r="Q223" i="54"/>
  <c r="Q1619" i="52"/>
  <c r="Q921" i="52"/>
  <c r="Q1266" i="51"/>
  <c r="Q569" i="51"/>
  <c r="Q223" i="52"/>
  <c r="Q919" i="59"/>
  <c r="Q918" i="51"/>
  <c r="Q221" i="51"/>
  <c r="Q572" i="52"/>
  <c r="Q221" i="59"/>
  <c r="Q922" i="53"/>
  <c r="Q573" i="53"/>
  <c r="Q224" i="53"/>
  <c r="Q921" i="37"/>
  <c r="Q570" i="59"/>
  <c r="Q1620" i="53"/>
  <c r="Q1271" i="53"/>
  <c r="Q573" i="31"/>
  <c r="Q572" i="37"/>
  <c r="Q223" i="37"/>
  <c r="Q225" i="31"/>
  <c r="M1609" i="52"/>
  <c r="M911" i="54"/>
  <c r="M1260" i="54"/>
  <c r="M562" i="54"/>
  <c r="M1260" i="52"/>
  <c r="M911" i="52"/>
  <c r="M213" i="54"/>
  <c r="M213" i="52"/>
  <c r="M562" i="52"/>
  <c r="M1256" i="51"/>
  <c r="M560" i="59"/>
  <c r="M908" i="51"/>
  <c r="M211" i="51"/>
  <c r="M559" i="51"/>
  <c r="M909" i="59"/>
  <c r="M211" i="59"/>
  <c r="M912" i="53"/>
  <c r="M1610" i="53"/>
  <c r="M1261" i="53"/>
  <c r="M563" i="53"/>
  <c r="M214" i="53"/>
  <c r="M911" i="37"/>
  <c r="M562" i="37"/>
  <c r="M213" i="37"/>
  <c r="M563" i="31"/>
  <c r="M215" i="31"/>
  <c r="Q218" i="54"/>
  <c r="Q1265" i="54"/>
  <c r="Q1614" i="52"/>
  <c r="Q567" i="54"/>
  <c r="Q1265" i="52"/>
  <c r="Q567" i="52"/>
  <c r="Q916" i="54"/>
  <c r="Q1261" i="51"/>
  <c r="Q216" i="51"/>
  <c r="Q218" i="52"/>
  <c r="Q913" i="51"/>
  <c r="Q916" i="52"/>
  <c r="Q216" i="59"/>
  <c r="Q914" i="59"/>
  <c r="Q564" i="51"/>
  <c r="Q1266" i="53"/>
  <c r="Q568" i="53"/>
  <c r="Q917" i="53"/>
  <c r="Q565" i="59"/>
  <c r="Q219" i="53"/>
  <c r="Q916" i="37"/>
  <c r="Q1615" i="53"/>
  <c r="Q568" i="31"/>
  <c r="Q220" i="31"/>
  <c r="Q567" i="37"/>
  <c r="Q218" i="37"/>
  <c r="O223" i="54"/>
  <c r="O1270" i="54"/>
  <c r="O921" i="54"/>
  <c r="O1270" i="52"/>
  <c r="O572" i="54"/>
  <c r="O1619" i="52"/>
  <c r="O921" i="52"/>
  <c r="O223" i="52"/>
  <c r="O1266" i="51"/>
  <c r="O221" i="51"/>
  <c r="O221" i="59"/>
  <c r="O572" i="52"/>
  <c r="O918" i="51"/>
  <c r="O919" i="59"/>
  <c r="O1620" i="53"/>
  <c r="O922" i="53"/>
  <c r="O570" i="59"/>
  <c r="O921" i="37"/>
  <c r="O573" i="53"/>
  <c r="O573" i="31"/>
  <c r="O569" i="51"/>
  <c r="O224" i="53"/>
  <c r="O1271" i="53"/>
  <c r="O572" i="37"/>
  <c r="O223" i="37"/>
  <c r="O225" i="31"/>
  <c r="S577" i="54"/>
  <c r="S926" i="54"/>
  <c r="S1275" i="54"/>
  <c r="S926" i="52"/>
  <c r="S1624" i="52"/>
  <c r="S1271" i="51"/>
  <c r="S228" i="54"/>
  <c r="S228" i="52"/>
  <c r="S574" i="51"/>
  <c r="S226" i="59"/>
  <c r="S577" i="52"/>
  <c r="S923" i="51"/>
  <c r="S924" i="59"/>
  <c r="S1275" i="52"/>
  <c r="S226" i="51"/>
  <c r="S1276" i="53"/>
  <c r="S575" i="59"/>
  <c r="S578" i="53"/>
  <c r="S927" i="53"/>
  <c r="S1625" i="53"/>
  <c r="S229" i="53"/>
  <c r="S926" i="37"/>
  <c r="S228" i="37"/>
  <c r="S578" i="31"/>
  <c r="S230" i="31"/>
  <c r="S577" i="37"/>
  <c r="M235" i="54"/>
  <c r="M1282" i="54"/>
  <c r="M933" i="54"/>
  <c r="M584" i="54"/>
  <c r="M1631" i="52"/>
  <c r="M933" i="52"/>
  <c r="M1282" i="52"/>
  <c r="M584" i="52"/>
  <c r="M930" i="51"/>
  <c r="M1278" i="51"/>
  <c r="M931" i="59"/>
  <c r="M581" i="51"/>
  <c r="M235" i="52"/>
  <c r="M1632" i="53"/>
  <c r="M582" i="59"/>
  <c r="M233" i="59"/>
  <c r="M233" i="51"/>
  <c r="M934" i="53"/>
  <c r="M585" i="53"/>
  <c r="M1283" i="53"/>
  <c r="M237" i="31"/>
  <c r="M235" i="37"/>
  <c r="M933" i="37"/>
  <c r="M585" i="31"/>
  <c r="M236" i="53"/>
  <c r="M584" i="37"/>
  <c r="M1253" i="54"/>
  <c r="M1602" i="52"/>
  <c r="M904" i="54"/>
  <c r="M1253" i="52"/>
  <c r="M904" i="52"/>
  <c r="M555" i="54"/>
  <c r="M206" i="52"/>
  <c r="M901" i="51"/>
  <c r="M206" i="54"/>
  <c r="M902" i="59"/>
  <c r="M552" i="51"/>
  <c r="M1603" i="53"/>
  <c r="M555" i="52"/>
  <c r="M1249" i="51"/>
  <c r="M204" i="51"/>
  <c r="M553" i="59"/>
  <c r="M204" i="59"/>
  <c r="M1254" i="53"/>
  <c r="M556" i="53"/>
  <c r="M208" i="31"/>
  <c r="M905" i="53"/>
  <c r="M206" i="37"/>
  <c r="M207" i="53"/>
  <c r="M556" i="31"/>
  <c r="M904" i="37"/>
  <c r="M555" i="37"/>
  <c r="Q1257" i="54"/>
  <c r="Q559" i="54"/>
  <c r="Q908" i="54"/>
  <c r="Q908" i="52"/>
  <c r="Q1257" i="52"/>
  <c r="Q559" i="52"/>
  <c r="Q1253" i="51"/>
  <c r="Q556" i="51"/>
  <c r="Q1606" i="52"/>
  <c r="Q557" i="59"/>
  <c r="Q210" i="54"/>
  <c r="Q208" i="51"/>
  <c r="Q1258" i="53"/>
  <c r="Q905" i="51"/>
  <c r="Q210" i="52"/>
  <c r="Q906" i="59"/>
  <c r="Q208" i="59"/>
  <c r="Q1607" i="53"/>
  <c r="Q909" i="53"/>
  <c r="Q560" i="53"/>
  <c r="Q211" i="53"/>
  <c r="Q559" i="37"/>
  <c r="Q210" i="37"/>
  <c r="Q908" i="37"/>
  <c r="Q560" i="31"/>
  <c r="Q212" i="31"/>
  <c r="O565" i="54"/>
  <c r="O1263" i="54"/>
  <c r="O216" i="54"/>
  <c r="O914" i="54"/>
  <c r="O1263" i="52"/>
  <c r="O1612" i="52"/>
  <c r="O1259" i="51"/>
  <c r="O914" i="52"/>
  <c r="O912" i="59"/>
  <c r="O911" i="51"/>
  <c r="O214" i="51"/>
  <c r="O216" i="52"/>
  <c r="O565" i="52"/>
  <c r="O214" i="59"/>
  <c r="O562" i="51"/>
  <c r="O915" i="53"/>
  <c r="O1613" i="53"/>
  <c r="O217" i="53"/>
  <c r="O1264" i="53"/>
  <c r="O914" i="37"/>
  <c r="O563" i="59"/>
  <c r="O566" i="53"/>
  <c r="O566" i="31"/>
  <c r="O218" i="31"/>
  <c r="O565" i="37"/>
  <c r="O216" i="37"/>
  <c r="S918" i="54"/>
  <c r="S1267" i="54"/>
  <c r="S1616" i="52"/>
  <c r="S569" i="54"/>
  <c r="S220" i="52"/>
  <c r="S1267" i="52"/>
  <c r="S918" i="52"/>
  <c r="S566" i="51"/>
  <c r="S220" i="54"/>
  <c r="S1263" i="51"/>
  <c r="S915" i="51"/>
  <c r="S218" i="51"/>
  <c r="S569" i="52"/>
  <c r="S1268" i="53"/>
  <c r="S567" i="59"/>
  <c r="S1617" i="53"/>
  <c r="S218" i="59"/>
  <c r="S919" i="53"/>
  <c r="S916" i="59"/>
  <c r="S221" i="53"/>
  <c r="S570" i="53"/>
  <c r="S220" i="37"/>
  <c r="S569" i="37"/>
  <c r="S918" i="37"/>
  <c r="S570" i="31"/>
  <c r="S222" i="31"/>
  <c r="M563" i="54"/>
  <c r="M1261" i="54"/>
  <c r="M1610" i="52"/>
  <c r="M912" i="54"/>
  <c r="M1261" i="52"/>
  <c r="M912" i="52"/>
  <c r="M560" i="51"/>
  <c r="M214" i="54"/>
  <c r="M214" i="52"/>
  <c r="M1257" i="51"/>
  <c r="M561" i="59"/>
  <c r="M909" i="51"/>
  <c r="M563" i="52"/>
  <c r="M212" i="51"/>
  <c r="M212" i="59"/>
  <c r="M910" i="59"/>
  <c r="M1611" i="53"/>
  <c r="M913" i="53"/>
  <c r="M1262" i="53"/>
  <c r="M564" i="53"/>
  <c r="M215" i="53"/>
  <c r="M214" i="37"/>
  <c r="M912" i="37"/>
  <c r="M563" i="37"/>
  <c r="M564" i="31"/>
  <c r="M216" i="31"/>
  <c r="Q565" i="54"/>
  <c r="Q1263" i="54"/>
  <c r="Q1263" i="52"/>
  <c r="Q216" i="54"/>
  <c r="Q914" i="54"/>
  <c r="Q562" i="51"/>
  <c r="Q1259" i="51"/>
  <c r="Q1612" i="52"/>
  <c r="Q911" i="51"/>
  <c r="Q1264" i="53"/>
  <c r="Q914" i="52"/>
  <c r="Q565" i="52"/>
  <c r="Q563" i="59"/>
  <c r="Q214" i="51"/>
  <c r="Q216" i="52"/>
  <c r="Q915" i="53"/>
  <c r="Q214" i="59"/>
  <c r="Q1613" i="53"/>
  <c r="Q216" i="37"/>
  <c r="Q912" i="59"/>
  <c r="Q566" i="53"/>
  <c r="Q217" i="53"/>
  <c r="Q914" i="37"/>
  <c r="Q218" i="31"/>
  <c r="Q565" i="37"/>
  <c r="Q566" i="31"/>
  <c r="Q560" i="54"/>
  <c r="Q909" i="54"/>
  <c r="Q1258" i="54"/>
  <c r="Q1258" i="52"/>
  <c r="Q560" i="52"/>
  <c r="Q1254" i="51"/>
  <c r="Q211" i="54"/>
  <c r="Q909" i="52"/>
  <c r="Q211" i="52"/>
  <c r="Q557" i="51"/>
  <c r="Q907" i="59"/>
  <c r="Q209" i="51"/>
  <c r="Q906" i="51"/>
  <c r="Q1607" i="52"/>
  <c r="Q209" i="59"/>
  <c r="Q1259" i="53"/>
  <c r="Q910" i="53"/>
  <c r="Q558" i="59"/>
  <c r="Q1608" i="53"/>
  <c r="Q561" i="53"/>
  <c r="Q212" i="53"/>
  <c r="Q909" i="37"/>
  <c r="Q561" i="31"/>
  <c r="Q560" i="37"/>
  <c r="Q211" i="37"/>
  <c r="Q213" i="31"/>
  <c r="Q931" i="54"/>
  <c r="Q1280" i="54"/>
  <c r="Q1629" i="52"/>
  <c r="Q233" i="54"/>
  <c r="Q233" i="52"/>
  <c r="Q931" i="52"/>
  <c r="Q582" i="52"/>
  <c r="Q582" i="54"/>
  <c r="Q231" i="51"/>
  <c r="Q1281" i="53"/>
  <c r="Q1280" i="52"/>
  <c r="Q1276" i="51"/>
  <c r="Q579" i="51"/>
  <c r="Q928" i="51"/>
  <c r="Q580" i="59"/>
  <c r="Q932" i="53"/>
  <c r="Q1630" i="53"/>
  <c r="Q234" i="53"/>
  <c r="Q929" i="59"/>
  <c r="Q231" i="59"/>
  <c r="Q583" i="53"/>
  <c r="Q233" i="37"/>
  <c r="Q583" i="31"/>
  <c r="Q235" i="31"/>
  <c r="Q582" i="37"/>
  <c r="Q931" i="37"/>
  <c r="O936" i="54"/>
  <c r="O1285" i="54"/>
  <c r="O1634" i="52"/>
  <c r="O587" i="54"/>
  <c r="O238" i="52"/>
  <c r="O1285" i="52"/>
  <c r="O238" i="54"/>
  <c r="O1281" i="51"/>
  <c r="O236" i="51"/>
  <c r="O587" i="52"/>
  <c r="O584" i="51"/>
  <c r="O933" i="51"/>
  <c r="O936" i="52"/>
  <c r="O585" i="59"/>
  <c r="O1286" i="53"/>
  <c r="O934" i="59"/>
  <c r="O937" i="53"/>
  <c r="O588" i="53"/>
  <c r="O236" i="59"/>
  <c r="O1635" i="53"/>
  <c r="O239" i="53"/>
  <c r="O238" i="37"/>
  <c r="O587" i="37"/>
  <c r="O936" i="37"/>
  <c r="O588" i="31"/>
  <c r="O240" i="31"/>
  <c r="O1604" i="52"/>
  <c r="O906" i="54"/>
  <c r="O1255" i="54"/>
  <c r="O208" i="54"/>
  <c r="O1255" i="52"/>
  <c r="O557" i="54"/>
  <c r="O208" i="52"/>
  <c r="O554" i="51"/>
  <c r="O906" i="52"/>
  <c r="O557" i="52"/>
  <c r="O555" i="59"/>
  <c r="O1251" i="51"/>
  <c r="O206" i="51"/>
  <c r="O903" i="51"/>
  <c r="O904" i="59"/>
  <c r="O1256" i="53"/>
  <c r="O558" i="53"/>
  <c r="O209" i="53"/>
  <c r="O206" i="59"/>
  <c r="O907" i="53"/>
  <c r="O1605" i="53"/>
  <c r="O208" i="37"/>
  <c r="O558" i="31"/>
  <c r="O906" i="37"/>
  <c r="O210" i="31"/>
  <c r="O557" i="37"/>
  <c r="S911" i="54"/>
  <c r="S1260" i="54"/>
  <c r="S1609" i="52"/>
  <c r="S213" i="54"/>
  <c r="S1260" i="52"/>
  <c r="S213" i="52"/>
  <c r="S908" i="51"/>
  <c r="S562" i="54"/>
  <c r="S911" i="52"/>
  <c r="S562" i="52"/>
  <c r="S1610" i="53"/>
  <c r="S559" i="51"/>
  <c r="S909" i="59"/>
  <c r="S1256" i="51"/>
  <c r="S211" i="51"/>
  <c r="S563" i="53"/>
  <c r="S1261" i="53"/>
  <c r="S560" i="59"/>
  <c r="S912" i="53"/>
  <c r="S562" i="37"/>
  <c r="S214" i="53"/>
  <c r="S911" i="37"/>
  <c r="S211" i="59"/>
  <c r="S213" i="37"/>
  <c r="S563" i="31"/>
  <c r="S215" i="31"/>
  <c r="M570" i="54"/>
  <c r="M1268" i="54"/>
  <c r="M919" i="52"/>
  <c r="M919" i="54"/>
  <c r="M221" i="54"/>
  <c r="M570" i="52"/>
  <c r="M1264" i="51"/>
  <c r="M916" i="51"/>
  <c r="M1268" i="52"/>
  <c r="M917" i="59"/>
  <c r="M221" i="52"/>
  <c r="M219" i="51"/>
  <c r="M1617" i="52"/>
  <c r="M219" i="59"/>
  <c r="M920" i="53"/>
  <c r="M1618" i="53"/>
  <c r="M567" i="51"/>
  <c r="M1269" i="53"/>
  <c r="M568" i="59"/>
  <c r="M919" i="37"/>
  <c r="M571" i="53"/>
  <c r="M222" i="53"/>
  <c r="M571" i="31"/>
  <c r="M221" i="37"/>
  <c r="M223" i="31"/>
  <c r="M570" i="37"/>
  <c r="Q924" i="54"/>
  <c r="Q1273" i="54"/>
  <c r="Q1622" i="52"/>
  <c r="Q575" i="54"/>
  <c r="Q1273" i="52"/>
  <c r="Q575" i="52"/>
  <c r="Q226" i="52"/>
  <c r="Q924" i="52"/>
  <c r="Q921" i="51"/>
  <c r="Q226" i="54"/>
  <c r="Q1623" i="53"/>
  <c r="Q1269" i="51"/>
  <c r="Q572" i="51"/>
  <c r="Q922" i="59"/>
  <c r="Q573" i="59"/>
  <c r="Q224" i="59"/>
  <c r="Q925" i="53"/>
  <c r="Q576" i="53"/>
  <c r="Q575" i="37"/>
  <c r="Q227" i="53"/>
  <c r="Q924" i="37"/>
  <c r="Q224" i="51"/>
  <c r="Q1274" i="53"/>
  <c r="Q226" i="37"/>
  <c r="Q576" i="31"/>
  <c r="Q228" i="31"/>
  <c r="O929" i="54"/>
  <c r="O1278" i="54"/>
  <c r="O1627" i="52"/>
  <c r="O231" i="52"/>
  <c r="O926" i="51"/>
  <c r="O1278" i="52"/>
  <c r="O929" i="52"/>
  <c r="O580" i="52"/>
  <c r="O580" i="54"/>
  <c r="O1628" i="53"/>
  <c r="O927" i="59"/>
  <c r="O1274" i="51"/>
  <c r="O231" i="54"/>
  <c r="O577" i="51"/>
  <c r="O578" i="59"/>
  <c r="O1279" i="53"/>
  <c r="O232" i="53"/>
  <c r="O229" i="59"/>
  <c r="O580" i="37"/>
  <c r="O229" i="51"/>
  <c r="O929" i="37"/>
  <c r="O930" i="53"/>
  <c r="O581" i="53"/>
  <c r="O233" i="31"/>
  <c r="O231" i="37"/>
  <c r="O581" i="31"/>
  <c r="S236" i="54"/>
  <c r="S1283" i="54"/>
  <c r="S585" i="54"/>
  <c r="S934" i="54"/>
  <c r="S1632" i="52"/>
  <c r="S934" i="52"/>
  <c r="S585" i="52"/>
  <c r="S236" i="52"/>
  <c r="S931" i="51"/>
  <c r="S1283" i="52"/>
  <c r="S932" i="59"/>
  <c r="S582" i="51"/>
  <c r="S1279" i="51"/>
  <c r="S1633" i="53"/>
  <c r="S583" i="59"/>
  <c r="S586" i="53"/>
  <c r="S234" i="51"/>
  <c r="S234" i="59"/>
  <c r="S1284" i="53"/>
  <c r="S237" i="53"/>
  <c r="S934" i="37"/>
  <c r="S935" i="53"/>
  <c r="S238" i="31"/>
  <c r="S585" i="37"/>
  <c r="S236" i="37"/>
  <c r="S586" i="31"/>
  <c r="S1253" i="54"/>
  <c r="S206" i="54"/>
  <c r="S904" i="54"/>
  <c r="S555" i="52"/>
  <c r="S1602" i="52"/>
  <c r="S555" i="54"/>
  <c r="S901" i="51"/>
  <c r="S904" i="52"/>
  <c r="S1253" i="52"/>
  <c r="S552" i="51"/>
  <c r="S206" i="52"/>
  <c r="S1603" i="53"/>
  <c r="S1249" i="51"/>
  <c r="S902" i="59"/>
  <c r="S204" i="51"/>
  <c r="S1254" i="53"/>
  <c r="S905" i="53"/>
  <c r="S207" i="53"/>
  <c r="S904" i="37"/>
  <c r="S553" i="59"/>
  <c r="S204" i="59"/>
  <c r="S556" i="53"/>
  <c r="S555" i="37"/>
  <c r="S208" i="31"/>
  <c r="S206" i="37"/>
  <c r="S556" i="31"/>
  <c r="Q1281" i="54"/>
  <c r="Q583" i="54"/>
  <c r="Q932" i="54"/>
  <c r="Q932" i="52"/>
  <c r="Q1630" i="52"/>
  <c r="Q1281" i="52"/>
  <c r="Q583" i="52"/>
  <c r="Q580" i="51"/>
  <c r="Q929" i="51"/>
  <c r="Q581" i="59"/>
  <c r="Q232" i="51"/>
  <c r="Q234" i="54"/>
  <c r="Q1282" i="53"/>
  <c r="Q234" i="52"/>
  <c r="Q1277" i="51"/>
  <c r="Q930" i="59"/>
  <c r="Q1631" i="53"/>
  <c r="Q235" i="53"/>
  <c r="Q933" i="53"/>
  <c r="Q232" i="59"/>
  <c r="Q584" i="53"/>
  <c r="Q932" i="37"/>
  <c r="Q584" i="31"/>
  <c r="Q236" i="31"/>
  <c r="Q583" i="37"/>
  <c r="Q234" i="37"/>
  <c r="O1286" i="54"/>
  <c r="O588" i="54"/>
  <c r="O937" i="52"/>
  <c r="O937" i="54"/>
  <c r="O239" i="54"/>
  <c r="O588" i="52"/>
  <c r="O1286" i="52"/>
  <c r="O1635" i="52"/>
  <c r="O586" i="59"/>
  <c r="O1282" i="51"/>
  <c r="O237" i="51"/>
  <c r="O239" i="52"/>
  <c r="O585" i="51"/>
  <c r="O934" i="51"/>
  <c r="O935" i="59"/>
  <c r="O237" i="59"/>
  <c r="O1636" i="53"/>
  <c r="O938" i="53"/>
  <c r="O589" i="53"/>
  <c r="O1287" i="53"/>
  <c r="O240" i="53"/>
  <c r="O588" i="37"/>
  <c r="O239" i="37"/>
  <c r="O937" i="37"/>
  <c r="O589" i="31"/>
  <c r="O241" i="31"/>
  <c r="O583" i="54"/>
  <c r="O1281" i="54"/>
  <c r="O234" i="54"/>
  <c r="O932" i="54"/>
  <c r="O932" i="52"/>
  <c r="O1630" i="52"/>
  <c r="O1281" i="52"/>
  <c r="O1277" i="51"/>
  <c r="O583" i="52"/>
  <c r="O580" i="51"/>
  <c r="O234" i="52"/>
  <c r="O929" i="51"/>
  <c r="O232" i="59"/>
  <c r="O930" i="59"/>
  <c r="O232" i="51"/>
  <c r="O933" i="53"/>
  <c r="O584" i="53"/>
  <c r="O581" i="59"/>
  <c r="O1282" i="53"/>
  <c r="O235" i="53"/>
  <c r="O1631" i="53"/>
  <c r="O932" i="37"/>
  <c r="O584" i="31"/>
  <c r="O236" i="31"/>
  <c r="O583" i="37"/>
  <c r="O234" i="37"/>
  <c r="Q1266" i="54"/>
  <c r="Q219" i="54"/>
  <c r="Q568" i="54"/>
  <c r="Q568" i="52"/>
  <c r="Q917" i="52"/>
  <c r="Q917" i="54"/>
  <c r="Q1615" i="52"/>
  <c r="Q219" i="52"/>
  <c r="Q914" i="51"/>
  <c r="Q1266" i="52"/>
  <c r="Q1616" i="53"/>
  <c r="Q1262" i="51"/>
  <c r="Q565" i="51"/>
  <c r="Q915" i="59"/>
  <c r="Q217" i="51"/>
  <c r="Q566" i="59"/>
  <c r="Q217" i="59"/>
  <c r="Q220" i="53"/>
  <c r="Q917" i="37"/>
  <c r="Q1267" i="53"/>
  <c r="Q918" i="53"/>
  <c r="Q569" i="53"/>
  <c r="Q568" i="37"/>
  <c r="Q569" i="31"/>
  <c r="Q221" i="31"/>
  <c r="Q219" i="37"/>
  <c r="O1271" i="54"/>
  <c r="O224" i="54"/>
  <c r="O573" i="52"/>
  <c r="O922" i="54"/>
  <c r="O573" i="54"/>
  <c r="O1620" i="52"/>
  <c r="O919" i="51"/>
  <c r="O1271" i="52"/>
  <c r="O570" i="51"/>
  <c r="O1267" i="51"/>
  <c r="O1621" i="53"/>
  <c r="O922" i="52"/>
  <c r="O224" i="52"/>
  <c r="O920" i="59"/>
  <c r="O571" i="59"/>
  <c r="O1272" i="53"/>
  <c r="O222" i="59"/>
  <c r="O922" i="37"/>
  <c r="O574" i="53"/>
  <c r="O923" i="53"/>
  <c r="O222" i="51"/>
  <c r="O225" i="53"/>
  <c r="O573" i="37"/>
  <c r="O224" i="37"/>
  <c r="O574" i="31"/>
  <c r="O226" i="31"/>
  <c r="S229" i="54"/>
  <c r="S927" i="54"/>
  <c r="S1276" i="54"/>
  <c r="S1276" i="52"/>
  <c r="S229" i="52"/>
  <c r="S1625" i="52"/>
  <c r="S578" i="54"/>
  <c r="S227" i="51"/>
  <c r="S575" i="51"/>
  <c r="S227" i="59"/>
  <c r="S927" i="52"/>
  <c r="S1272" i="51"/>
  <c r="S578" i="52"/>
  <c r="S924" i="51"/>
  <c r="S925" i="59"/>
  <c r="S579" i="53"/>
  <c r="S1626" i="53"/>
  <c r="S928" i="53"/>
  <c r="S230" i="53"/>
  <c r="S927" i="37"/>
  <c r="S579" i="31"/>
  <c r="S1277" i="53"/>
  <c r="S576" i="59"/>
  <c r="S578" i="37"/>
  <c r="S229" i="37"/>
  <c r="S231" i="31"/>
  <c r="M1633" i="52"/>
  <c r="M935" i="54"/>
  <c r="M1284" i="54"/>
  <c r="M237" i="54"/>
  <c r="M1284" i="52"/>
  <c r="M237" i="52"/>
  <c r="M586" i="54"/>
  <c r="M935" i="52"/>
  <c r="M584" i="59"/>
  <c r="M1280" i="51"/>
  <c r="M586" i="52"/>
  <c r="M235" i="51"/>
  <c r="M932" i="51"/>
  <c r="M583" i="51"/>
  <c r="M1285" i="53"/>
  <c r="M235" i="59"/>
  <c r="M933" i="59"/>
  <c r="M1634" i="53"/>
  <c r="M936" i="53"/>
  <c r="M587" i="53"/>
  <c r="M238" i="53"/>
  <c r="M935" i="37"/>
  <c r="M237" i="37"/>
  <c r="M587" i="31"/>
  <c r="M239" i="31"/>
  <c r="M586" i="37"/>
  <c r="M905" i="54"/>
  <c r="M1254" i="54"/>
  <c r="M1603" i="52"/>
  <c r="M556" i="54"/>
  <c r="M207" i="52"/>
  <c r="M207" i="54"/>
  <c r="M905" i="52"/>
  <c r="M902" i="51"/>
  <c r="M205" i="51"/>
  <c r="M553" i="51"/>
  <c r="M556" i="52"/>
  <c r="M1254" i="52"/>
  <c r="M1250" i="51"/>
  <c r="M554" i="59"/>
  <c r="M1604" i="53"/>
  <c r="M1255" i="53"/>
  <c r="M205" i="59"/>
  <c r="M906" i="53"/>
  <c r="M557" i="53"/>
  <c r="M208" i="53"/>
  <c r="M903" i="59"/>
  <c r="M207" i="37"/>
  <c r="M557" i="31"/>
  <c r="M209" i="31"/>
  <c r="M905" i="37"/>
  <c r="M556" i="37"/>
  <c r="Q1259" i="54"/>
  <c r="Q212" i="54"/>
  <c r="Q910" i="54"/>
  <c r="Q1259" i="52"/>
  <c r="Q561" i="52"/>
  <c r="Q1608" i="52"/>
  <c r="Q561" i="54"/>
  <c r="Q910" i="52"/>
  <c r="Q212" i="52"/>
  <c r="Q210" i="59"/>
  <c r="Q1255" i="51"/>
  <c r="Q558" i="51"/>
  <c r="Q908" i="59"/>
  <c r="Q210" i="51"/>
  <c r="Q907" i="51"/>
  <c r="Q1609" i="53"/>
  <c r="Q1260" i="53"/>
  <c r="Q911" i="53"/>
  <c r="Q559" i="59"/>
  <c r="Q562" i="53"/>
  <c r="Q213" i="53"/>
  <c r="Q910" i="37"/>
  <c r="Q561" i="37"/>
  <c r="Q212" i="37"/>
  <c r="Q562" i="31"/>
  <c r="Q214" i="31"/>
  <c r="O1264" i="54"/>
  <c r="O217" i="54"/>
  <c r="O915" i="54"/>
  <c r="O566" i="52"/>
  <c r="O1260" i="51"/>
  <c r="O566" i="54"/>
  <c r="O1264" i="52"/>
  <c r="O215" i="59"/>
  <c r="O1613" i="52"/>
  <c r="O915" i="52"/>
  <c r="O913" i="59"/>
  <c r="O912" i="51"/>
  <c r="O215" i="51"/>
  <c r="O217" i="52"/>
  <c r="O563" i="51"/>
  <c r="O916" i="53"/>
  <c r="O1614" i="53"/>
  <c r="O218" i="53"/>
  <c r="O1265" i="53"/>
  <c r="O915" i="37"/>
  <c r="O564" i="59"/>
  <c r="O567" i="53"/>
  <c r="O219" i="31"/>
  <c r="O566" i="37"/>
  <c r="O217" i="37"/>
  <c r="O567" i="31"/>
  <c r="S571" i="54"/>
  <c r="S920" i="54"/>
  <c r="S1269" i="54"/>
  <c r="S1269" i="52"/>
  <c r="S222" i="54"/>
  <c r="S1265" i="51"/>
  <c r="S1618" i="52"/>
  <c r="S571" i="52"/>
  <c r="S918" i="59"/>
  <c r="S917" i="51"/>
  <c r="S220" i="51"/>
  <c r="S920" i="52"/>
  <c r="S222" i="52"/>
  <c r="S568" i="51"/>
  <c r="S220" i="59"/>
  <c r="S921" i="53"/>
  <c r="S1619" i="53"/>
  <c r="S1270" i="53"/>
  <c r="S223" i="53"/>
  <c r="S920" i="37"/>
  <c r="S569" i="59"/>
  <c r="S572" i="53"/>
  <c r="S572" i="31"/>
  <c r="S224" i="31"/>
  <c r="S571" i="37"/>
  <c r="S222" i="37"/>
  <c r="M1277" i="54"/>
  <c r="M1626" i="52"/>
  <c r="M928" i="54"/>
  <c r="M579" i="54"/>
  <c r="M1277" i="52"/>
  <c r="M230" i="52"/>
  <c r="M925" i="51"/>
  <c r="M230" i="54"/>
  <c r="M926" i="59"/>
  <c r="M1273" i="51"/>
  <c r="M576" i="51"/>
  <c r="M579" i="52"/>
  <c r="M1627" i="53"/>
  <c r="M928" i="52"/>
  <c r="M228" i="59"/>
  <c r="M228" i="51"/>
  <c r="M580" i="53"/>
  <c r="M929" i="53"/>
  <c r="M232" i="31"/>
  <c r="M1278" i="53"/>
  <c r="M577" i="59"/>
  <c r="M579" i="37"/>
  <c r="M231" i="53"/>
  <c r="M230" i="37"/>
  <c r="M928" i="37"/>
  <c r="M580" i="31"/>
  <c r="Q1267" i="54"/>
  <c r="Q1616" i="52"/>
  <c r="Q918" i="54"/>
  <c r="Q1267" i="52"/>
  <c r="Q918" i="52"/>
  <c r="Q220" i="52"/>
  <c r="Q569" i="54"/>
  <c r="Q915" i="51"/>
  <c r="Q916" i="59"/>
  <c r="Q220" i="54"/>
  <c r="Q569" i="52"/>
  <c r="Q1617" i="53"/>
  <c r="Q1263" i="51"/>
  <c r="Q566" i="51"/>
  <c r="Q218" i="51"/>
  <c r="Q567" i="59"/>
  <c r="Q1268" i="53"/>
  <c r="Q221" i="53"/>
  <c r="Q218" i="59"/>
  <c r="Q222" i="31"/>
  <c r="Q919" i="53"/>
  <c r="Q570" i="53"/>
  <c r="Q220" i="37"/>
  <c r="Q570" i="31"/>
  <c r="Q918" i="37"/>
  <c r="Q569" i="37"/>
  <c r="O1274" i="54"/>
  <c r="O576" i="54"/>
  <c r="O925" i="54"/>
  <c r="O925" i="52"/>
  <c r="O227" i="54"/>
  <c r="O1623" i="52"/>
  <c r="O922" i="51"/>
  <c r="O574" i="59"/>
  <c r="O1274" i="52"/>
  <c r="O225" i="51"/>
  <c r="O573" i="51"/>
  <c r="O1270" i="51"/>
  <c r="O576" i="52"/>
  <c r="O227" i="52"/>
  <c r="O923" i="59"/>
  <c r="O1275" i="53"/>
  <c r="O225" i="59"/>
  <c r="O1624" i="53"/>
  <c r="O926" i="53"/>
  <c r="O577" i="53"/>
  <c r="O228" i="53"/>
  <c r="O925" i="37"/>
  <c r="O576" i="37"/>
  <c r="O227" i="37"/>
  <c r="O577" i="31"/>
  <c r="O229" i="31"/>
  <c r="O571" i="54"/>
  <c r="O1269" i="54"/>
  <c r="O920" i="52"/>
  <c r="O920" i="54"/>
  <c r="O1269" i="52"/>
  <c r="O571" i="52"/>
  <c r="O1265" i="51"/>
  <c r="O1618" i="52"/>
  <c r="O222" i="54"/>
  <c r="O222" i="52"/>
  <c r="O568" i="51"/>
  <c r="O220" i="59"/>
  <c r="O917" i="51"/>
  <c r="O918" i="59"/>
  <c r="O220" i="51"/>
  <c r="O569" i="59"/>
  <c r="O572" i="53"/>
  <c r="O1619" i="53"/>
  <c r="O921" i="53"/>
  <c r="O223" i="53"/>
  <c r="O1270" i="53"/>
  <c r="O920" i="37"/>
  <c r="O222" i="37"/>
  <c r="O572" i="31"/>
  <c r="O224" i="31"/>
  <c r="O571" i="37"/>
  <c r="O589" i="54"/>
  <c r="O1287" i="54"/>
  <c r="O240" i="54"/>
  <c r="O589" i="52"/>
  <c r="O1636" i="52"/>
  <c r="O938" i="54"/>
  <c r="O240" i="52"/>
  <c r="O1283" i="51"/>
  <c r="O938" i="52"/>
  <c r="O936" i="59"/>
  <c r="O238" i="51"/>
  <c r="O1287" i="52"/>
  <c r="O935" i="51"/>
  <c r="O238" i="59"/>
  <c r="O939" i="53"/>
  <c r="O586" i="51"/>
  <c r="O587" i="59"/>
  <c r="O241" i="53"/>
  <c r="O938" i="37"/>
  <c r="O590" i="53"/>
  <c r="O1288" i="53"/>
  <c r="O1637" i="53"/>
  <c r="O590" i="31"/>
  <c r="O589" i="37"/>
  <c r="O240" i="37"/>
  <c r="O242" i="31"/>
  <c r="O558" i="54"/>
  <c r="O1256" i="54"/>
  <c r="O907" i="54"/>
  <c r="O1256" i="52"/>
  <c r="O555" i="51"/>
  <c r="O1605" i="52"/>
  <c r="O907" i="52"/>
  <c r="O558" i="52"/>
  <c r="O904" i="51"/>
  <c r="O209" i="52"/>
  <c r="O556" i="59"/>
  <c r="O1252" i="51"/>
  <c r="O209" i="54"/>
  <c r="O207" i="51"/>
  <c r="O908" i="53"/>
  <c r="O1257" i="53"/>
  <c r="O905" i="59"/>
  <c r="O559" i="53"/>
  <c r="O210" i="53"/>
  <c r="O209" i="37"/>
  <c r="O207" i="59"/>
  <c r="O1606" i="53"/>
  <c r="O907" i="37"/>
  <c r="O558" i="37"/>
  <c r="O559" i="31"/>
  <c r="O211" i="31"/>
  <c r="S564" i="54"/>
  <c r="S1262" i="54"/>
  <c r="S1262" i="52"/>
  <c r="S913" i="54"/>
  <c r="S1611" i="52"/>
  <c r="S561" i="51"/>
  <c r="S1258" i="51"/>
  <c r="S910" i="51"/>
  <c r="S1263" i="53"/>
  <c r="S215" i="54"/>
  <c r="S564" i="52"/>
  <c r="S913" i="52"/>
  <c r="S562" i="59"/>
  <c r="S215" i="52"/>
  <c r="S213" i="51"/>
  <c r="S914" i="53"/>
  <c r="S911" i="59"/>
  <c r="S1612" i="53"/>
  <c r="S565" i="53"/>
  <c r="S215" i="37"/>
  <c r="S216" i="53"/>
  <c r="S913" i="37"/>
  <c r="S213" i="59"/>
  <c r="S564" i="37"/>
  <c r="S565" i="31"/>
  <c r="S217" i="31"/>
  <c r="M1269" i="54"/>
  <c r="M222" i="54"/>
  <c r="M1618" i="52"/>
  <c r="M571" i="54"/>
  <c r="M571" i="52"/>
  <c r="M920" i="54"/>
  <c r="M1269" i="52"/>
  <c r="M1265" i="51"/>
  <c r="M920" i="52"/>
  <c r="M220" i="59"/>
  <c r="M917" i="51"/>
  <c r="M918" i="59"/>
  <c r="M222" i="52"/>
  <c r="M220" i="51"/>
  <c r="M569" i="59"/>
  <c r="M568" i="51"/>
  <c r="M1270" i="53"/>
  <c r="M920" i="37"/>
  <c r="M572" i="53"/>
  <c r="M223" i="53"/>
  <c r="M1619" i="53"/>
  <c r="M921" i="53"/>
  <c r="M222" i="37"/>
  <c r="M572" i="31"/>
  <c r="M224" i="31"/>
  <c r="M571" i="37"/>
  <c r="Q1623" i="52"/>
  <c r="Q925" i="54"/>
  <c r="Q1274" i="54"/>
  <c r="Q576" i="54"/>
  <c r="Q925" i="52"/>
  <c r="Q227" i="52"/>
  <c r="Q227" i="54"/>
  <c r="Q1270" i="51"/>
  <c r="Q573" i="51"/>
  <c r="Q1274" i="52"/>
  <c r="Q574" i="59"/>
  <c r="Q576" i="52"/>
  <c r="Q922" i="51"/>
  <c r="Q225" i="51"/>
  <c r="Q1275" i="53"/>
  <c r="Q923" i="59"/>
  <c r="Q926" i="53"/>
  <c r="Q577" i="53"/>
  <c r="Q225" i="59"/>
  <c r="Q1624" i="53"/>
  <c r="Q576" i="37"/>
  <c r="Q227" i="37"/>
  <c r="Q228" i="53"/>
  <c r="Q577" i="31"/>
  <c r="Q925" i="37"/>
  <c r="Q229" i="31"/>
  <c r="O1628" i="52"/>
  <c r="O930" i="54"/>
  <c r="O1279" i="54"/>
  <c r="O1279" i="52"/>
  <c r="O581" i="52"/>
  <c r="O232" i="52"/>
  <c r="O930" i="52"/>
  <c r="O581" i="54"/>
  <c r="O232" i="54"/>
  <c r="O927" i="51"/>
  <c r="O579" i="59"/>
  <c r="O230" i="51"/>
  <c r="O1275" i="51"/>
  <c r="O578" i="51"/>
  <c r="O1629" i="53"/>
  <c r="O230" i="59"/>
  <c r="O1280" i="53"/>
  <c r="O928" i="59"/>
  <c r="O931" i="53"/>
  <c r="O582" i="53"/>
  <c r="O582" i="31"/>
  <c r="O930" i="37"/>
  <c r="O234" i="31"/>
  <c r="O581" i="37"/>
  <c r="O232" i="37"/>
  <c r="O233" i="53"/>
  <c r="S935" i="54"/>
  <c r="S1284" i="54"/>
  <c r="S1633" i="52"/>
  <c r="S1284" i="52"/>
  <c r="S237" i="52"/>
  <c r="S237" i="54"/>
  <c r="S932" i="51"/>
  <c r="S1280" i="51"/>
  <c r="S586" i="54"/>
  <c r="S1634" i="53"/>
  <c r="S933" i="59"/>
  <c r="S935" i="52"/>
  <c r="S586" i="52"/>
  <c r="S583" i="51"/>
  <c r="S584" i="59"/>
  <c r="S1285" i="53"/>
  <c r="S586" i="37"/>
  <c r="S235" i="51"/>
  <c r="S235" i="59"/>
  <c r="S587" i="53"/>
  <c r="S238" i="53"/>
  <c r="S935" i="37"/>
  <c r="S936" i="53"/>
  <c r="S239" i="31"/>
  <c r="S237" i="37"/>
  <c r="S587" i="31"/>
  <c r="S1254" i="54"/>
  <c r="S1603" i="52"/>
  <c r="S905" i="54"/>
  <c r="S556" i="54"/>
  <c r="S207" i="52"/>
  <c r="S1254" i="52"/>
  <c r="S902" i="51"/>
  <c r="S207" i="54"/>
  <c r="S903" i="59"/>
  <c r="S905" i="52"/>
  <c r="S1604" i="53"/>
  <c r="S1250" i="51"/>
  <c r="S556" i="52"/>
  <c r="S553" i="51"/>
  <c r="S554" i="59"/>
  <c r="S205" i="59"/>
  <c r="S205" i="51"/>
  <c r="S906" i="53"/>
  <c r="S208" i="53"/>
  <c r="S209" i="31"/>
  <c r="S557" i="53"/>
  <c r="S1255" i="53"/>
  <c r="S905" i="37"/>
  <c r="S556" i="37"/>
  <c r="S207" i="37"/>
  <c r="S557" i="31"/>
  <c r="M564" i="54"/>
  <c r="M1262" i="54"/>
  <c r="M913" i="52"/>
  <c r="M1611" i="52"/>
  <c r="M913" i="54"/>
  <c r="M1262" i="52"/>
  <c r="M215" i="54"/>
  <c r="M1258" i="51"/>
  <c r="M215" i="52"/>
  <c r="M213" i="59"/>
  <c r="M910" i="51"/>
  <c r="M564" i="52"/>
  <c r="M213" i="51"/>
  <c r="M561" i="51"/>
  <c r="M562" i="59"/>
  <c r="M565" i="53"/>
  <c r="M216" i="53"/>
  <c r="M914" i="53"/>
  <c r="M1612" i="53"/>
  <c r="M1263" i="53"/>
  <c r="M911" i="59"/>
  <c r="M913" i="37"/>
  <c r="M217" i="31"/>
  <c r="M564" i="37"/>
  <c r="M215" i="37"/>
  <c r="M565" i="31"/>
  <c r="Q206" i="54"/>
  <c r="Q1253" i="54"/>
  <c r="Q904" i="54"/>
  <c r="Q904" i="52"/>
  <c r="Q1253" i="52"/>
  <c r="Q555" i="52"/>
  <c r="Q552" i="51"/>
  <c r="Q204" i="51"/>
  <c r="Q1249" i="51"/>
  <c r="Q555" i="54"/>
  <c r="Q901" i="51"/>
  <c r="Q204" i="59"/>
  <c r="Q206" i="52"/>
  <c r="Q1602" i="52"/>
  <c r="Q902" i="59"/>
  <c r="Q556" i="53"/>
  <c r="Q905" i="53"/>
  <c r="Q207" i="53"/>
  <c r="Q904" i="37"/>
  <c r="Q1603" i="53"/>
  <c r="Q1254" i="53"/>
  <c r="Q553" i="59"/>
  <c r="Q556" i="31"/>
  <c r="Q206" i="37"/>
  <c r="Q208" i="31"/>
  <c r="Q555" i="37"/>
  <c r="O1262" i="54"/>
  <c r="O564" i="54"/>
  <c r="O215" i="54"/>
  <c r="O913" i="52"/>
  <c r="O913" i="54"/>
  <c r="O1611" i="52"/>
  <c r="O1262" i="52"/>
  <c r="O215" i="52"/>
  <c r="O562" i="59"/>
  <c r="O910" i="51"/>
  <c r="O213" i="51"/>
  <c r="O561" i="51"/>
  <c r="O564" i="52"/>
  <c r="O1258" i="51"/>
  <c r="O911" i="59"/>
  <c r="O1263" i="53"/>
  <c r="O565" i="53"/>
  <c r="O213" i="59"/>
  <c r="O1612" i="53"/>
  <c r="O914" i="53"/>
  <c r="O216" i="53"/>
  <c r="O217" i="31"/>
  <c r="O564" i="37"/>
  <c r="O215" i="37"/>
  <c r="O913" i="37"/>
  <c r="O565" i="31"/>
  <c r="O559" i="54"/>
  <c r="O1257" i="54"/>
  <c r="O908" i="52"/>
  <c r="O908" i="54"/>
  <c r="O559" i="52"/>
  <c r="O210" i="54"/>
  <c r="O1257" i="52"/>
  <c r="O1253" i="51"/>
  <c r="O905" i="51"/>
  <c r="O556" i="51"/>
  <c r="O1606" i="52"/>
  <c r="O210" i="52"/>
  <c r="O208" i="59"/>
  <c r="O906" i="59"/>
  <c r="O208" i="51"/>
  <c r="O1607" i="53"/>
  <c r="O1258" i="53"/>
  <c r="O560" i="53"/>
  <c r="O211" i="53"/>
  <c r="O557" i="59"/>
  <c r="O909" i="53"/>
  <c r="O908" i="37"/>
  <c r="O559" i="37"/>
  <c r="O210" i="37"/>
  <c r="O560" i="31"/>
  <c r="O212" i="31"/>
  <c r="O1272" i="54"/>
  <c r="O1621" i="52"/>
  <c r="O923" i="54"/>
  <c r="O225" i="54"/>
  <c r="O1272" i="52"/>
  <c r="O574" i="52"/>
  <c r="O225" i="52"/>
  <c r="O574" i="54"/>
  <c r="O920" i="51"/>
  <c r="O921" i="59"/>
  <c r="O571" i="51"/>
  <c r="O1268" i="51"/>
  <c r="O1622" i="53"/>
  <c r="O923" i="52"/>
  <c r="O223" i="51"/>
  <c r="O572" i="59"/>
  <c r="O223" i="59"/>
  <c r="O575" i="53"/>
  <c r="O924" i="53"/>
  <c r="O227" i="31"/>
  <c r="O1273" i="53"/>
  <c r="O574" i="37"/>
  <c r="O225" i="37"/>
  <c r="O575" i="31"/>
  <c r="O226" i="53"/>
  <c r="O923" i="37"/>
  <c r="S1277" i="54"/>
  <c r="S230" i="54"/>
  <c r="S579" i="52"/>
  <c r="S1277" i="52"/>
  <c r="S928" i="54"/>
  <c r="S925" i="51"/>
  <c r="S579" i="54"/>
  <c r="S1273" i="51"/>
  <c r="S230" i="52"/>
  <c r="S576" i="51"/>
  <c r="S1627" i="53"/>
  <c r="S1626" i="52"/>
  <c r="S928" i="52"/>
  <c r="S926" i="59"/>
  <c r="S577" i="59"/>
  <c r="S231" i="53"/>
  <c r="S928" i="37"/>
  <c r="S580" i="53"/>
  <c r="S228" i="59"/>
  <c r="S929" i="53"/>
  <c r="S228" i="51"/>
  <c r="S1278" i="53"/>
  <c r="S579" i="37"/>
  <c r="S230" i="37"/>
  <c r="S580" i="31"/>
  <c r="S232" i="31"/>
  <c r="M587" i="54"/>
  <c r="M1285" i="54"/>
  <c r="M936" i="54"/>
  <c r="M1285" i="52"/>
  <c r="M238" i="54"/>
  <c r="M1634" i="52"/>
  <c r="M933" i="51"/>
  <c r="M584" i="51"/>
  <c r="M936" i="52"/>
  <c r="M585" i="59"/>
  <c r="M1281" i="51"/>
  <c r="M587" i="52"/>
  <c r="M236" i="51"/>
  <c r="M238" i="52"/>
  <c r="M934" i="59"/>
  <c r="M937" i="53"/>
  <c r="M1286" i="53"/>
  <c r="M588" i="53"/>
  <c r="M239" i="53"/>
  <c r="M236" i="59"/>
  <c r="M1635" i="53"/>
  <c r="M238" i="37"/>
  <c r="M587" i="37"/>
  <c r="M936" i="37"/>
  <c r="M588" i="31"/>
  <c r="M240" i="31"/>
  <c r="M1255" i="54"/>
  <c r="M557" i="54"/>
  <c r="M208" i="54"/>
  <c r="M906" i="52"/>
  <c r="M1255" i="52"/>
  <c r="M906" i="54"/>
  <c r="M208" i="52"/>
  <c r="M555" i="59"/>
  <c r="M903" i="51"/>
  <c r="M206" i="51"/>
  <c r="M554" i="51"/>
  <c r="M1604" i="52"/>
  <c r="M557" i="52"/>
  <c r="M1251" i="51"/>
  <c r="M206" i="59"/>
  <c r="M1605" i="53"/>
  <c r="M1256" i="53"/>
  <c r="M558" i="53"/>
  <c r="M209" i="53"/>
  <c r="M904" i="59"/>
  <c r="M907" i="53"/>
  <c r="M208" i="37"/>
  <c r="M558" i="31"/>
  <c r="M210" i="31"/>
  <c r="M906" i="37"/>
  <c r="M557" i="37"/>
  <c r="Q213" i="54"/>
  <c r="Q1260" i="54"/>
  <c r="Q562" i="54"/>
  <c r="Q1260" i="52"/>
  <c r="Q911" i="52"/>
  <c r="Q1609" i="52"/>
  <c r="Q911" i="54"/>
  <c r="Q562" i="52"/>
  <c r="Q908" i="51"/>
  <c r="Q1256" i="51"/>
  <c r="Q559" i="51"/>
  <c r="Q909" i="59"/>
  <c r="Q213" i="52"/>
  <c r="Q1610" i="53"/>
  <c r="Q563" i="53"/>
  <c r="Q560" i="59"/>
  <c r="Q211" i="59"/>
  <c r="Q1261" i="53"/>
  <c r="Q912" i="53"/>
  <c r="Q214" i="53"/>
  <c r="Q911" i="37"/>
  <c r="Q211" i="51"/>
  <c r="Q215" i="31"/>
  <c r="Q562" i="37"/>
  <c r="Q213" i="37"/>
  <c r="Q563" i="31"/>
  <c r="O218" i="54"/>
  <c r="O1265" i="54"/>
  <c r="O1614" i="52"/>
  <c r="O916" i="54"/>
  <c r="O567" i="52"/>
  <c r="O567" i="54"/>
  <c r="O913" i="51"/>
  <c r="O1265" i="52"/>
  <c r="O1261" i="51"/>
  <c r="O916" i="52"/>
  <c r="O914" i="59"/>
  <c r="O218" i="52"/>
  <c r="O564" i="51"/>
  <c r="O1615" i="53"/>
  <c r="O568" i="53"/>
  <c r="O917" i="53"/>
  <c r="O219" i="53"/>
  <c r="O216" i="51"/>
  <c r="O1266" i="53"/>
  <c r="O916" i="37"/>
  <c r="O565" i="59"/>
  <c r="O216" i="59"/>
  <c r="O220" i="31"/>
  <c r="O568" i="31"/>
  <c r="O567" i="37"/>
  <c r="O218" i="37"/>
  <c r="S1270" i="54"/>
  <c r="S223" i="54"/>
  <c r="S572" i="52"/>
  <c r="S921" i="54"/>
  <c r="S572" i="54"/>
  <c r="S921" i="52"/>
  <c r="S1266" i="51"/>
  <c r="S1270" i="52"/>
  <c r="S569" i="51"/>
  <c r="S221" i="59"/>
  <c r="S919" i="59"/>
  <c r="S918" i="51"/>
  <c r="S221" i="51"/>
  <c r="S1619" i="52"/>
  <c r="S223" i="52"/>
  <c r="S922" i="53"/>
  <c r="S1620" i="53"/>
  <c r="S1271" i="53"/>
  <c r="S224" i="53"/>
  <c r="S921" i="37"/>
  <c r="S570" i="59"/>
  <c r="S573" i="53"/>
  <c r="S225" i="31"/>
  <c r="S572" i="37"/>
  <c r="S223" i="37"/>
  <c r="S573" i="31"/>
  <c r="M929" i="54"/>
  <c r="M1278" i="54"/>
  <c r="M1627" i="52"/>
  <c r="M580" i="54"/>
  <c r="M1278" i="52"/>
  <c r="M231" i="52"/>
  <c r="M929" i="52"/>
  <c r="M580" i="52"/>
  <c r="M1274" i="51"/>
  <c r="M231" i="54"/>
  <c r="M229" i="51"/>
  <c r="M577" i="51"/>
  <c r="M926" i="51"/>
  <c r="M578" i="59"/>
  <c r="M927" i="59"/>
  <c r="M1279" i="53"/>
  <c r="M1628" i="53"/>
  <c r="M581" i="53"/>
  <c r="M232" i="53"/>
  <c r="M930" i="53"/>
  <c r="M229" i="59"/>
  <c r="M231" i="37"/>
  <c r="M233" i="31"/>
  <c r="M580" i="37"/>
  <c r="M929" i="37"/>
  <c r="M581" i="31"/>
  <c r="Q1283" i="54"/>
  <c r="Q236" i="54"/>
  <c r="Q1632" i="52"/>
  <c r="Q585" i="54"/>
  <c r="Q585" i="52"/>
  <c r="Q934" i="54"/>
  <c r="Q1283" i="52"/>
  <c r="Q1279" i="51"/>
  <c r="Q934" i="52"/>
  <c r="Q234" i="59"/>
  <c r="Q931" i="51"/>
  <c r="Q932" i="59"/>
  <c r="Q234" i="51"/>
  <c r="Q236" i="52"/>
  <c r="Q582" i="51"/>
  <c r="Q1284" i="53"/>
  <c r="Q583" i="59"/>
  <c r="Q586" i="53"/>
  <c r="Q1633" i="53"/>
  <c r="Q237" i="53"/>
  <c r="Q934" i="37"/>
  <c r="Q935" i="53"/>
  <c r="Q236" i="37"/>
  <c r="Q586" i="31"/>
  <c r="Q238" i="31"/>
  <c r="Q585" i="37"/>
  <c r="O924" i="54"/>
  <c r="O1273" i="54"/>
  <c r="O1622" i="52"/>
  <c r="O226" i="54"/>
  <c r="O575" i="52"/>
  <c r="O226" i="52"/>
  <c r="O924" i="52"/>
  <c r="O1273" i="52"/>
  <c r="O575" i="54"/>
  <c r="O224" i="51"/>
  <c r="O572" i="51"/>
  <c r="O1269" i="51"/>
  <c r="O921" i="51"/>
  <c r="O573" i="59"/>
  <c r="O1274" i="53"/>
  <c r="O925" i="53"/>
  <c r="O224" i="59"/>
  <c r="O922" i="59"/>
  <c r="O1623" i="53"/>
  <c r="O576" i="53"/>
  <c r="O227" i="53"/>
  <c r="O226" i="37"/>
  <c r="O575" i="37"/>
  <c r="O576" i="31"/>
  <c r="O228" i="31"/>
  <c r="O924" i="37"/>
  <c r="S1634" i="52"/>
  <c r="S936" i="54"/>
  <c r="S1285" i="54"/>
  <c r="S1285" i="52"/>
  <c r="S238" i="54"/>
  <c r="S587" i="52"/>
  <c r="S238" i="52"/>
  <c r="S1281" i="51"/>
  <c r="S587" i="54"/>
  <c r="S584" i="51"/>
  <c r="S933" i="51"/>
  <c r="S585" i="59"/>
  <c r="S236" i="51"/>
  <c r="S936" i="52"/>
  <c r="S1286" i="53"/>
  <c r="S1635" i="53"/>
  <c r="S236" i="59"/>
  <c r="S934" i="59"/>
  <c r="S588" i="53"/>
  <c r="S239" i="53"/>
  <c r="S937" i="53"/>
  <c r="S588" i="31"/>
  <c r="S936" i="37"/>
  <c r="S240" i="31"/>
  <c r="S587" i="37"/>
  <c r="S238" i="37"/>
  <c r="S1280" i="54"/>
  <c r="S582" i="54"/>
  <c r="S931" i="54"/>
  <c r="S931" i="52"/>
  <c r="S1280" i="52"/>
  <c r="S1629" i="52"/>
  <c r="S579" i="51"/>
  <c r="S928" i="51"/>
  <c r="S580" i="59"/>
  <c r="S233" i="54"/>
  <c r="S233" i="52"/>
  <c r="S231" i="51"/>
  <c r="S1281" i="53"/>
  <c r="S582" i="52"/>
  <c r="S1276" i="51"/>
  <c r="S929" i="59"/>
  <c r="S234" i="53"/>
  <c r="S583" i="53"/>
  <c r="S231" i="59"/>
  <c r="S932" i="53"/>
  <c r="S1630" i="53"/>
  <c r="S931" i="37"/>
  <c r="S582" i="37"/>
  <c r="S233" i="37"/>
  <c r="S583" i="31"/>
  <c r="S235" i="31"/>
  <c r="O211" i="54"/>
  <c r="O1258" i="54"/>
  <c r="O1607" i="52"/>
  <c r="O560" i="54"/>
  <c r="O909" i="54"/>
  <c r="O560" i="52"/>
  <c r="O909" i="52"/>
  <c r="O1254" i="51"/>
  <c r="O209" i="51"/>
  <c r="O906" i="51"/>
  <c r="O211" i="52"/>
  <c r="O209" i="59"/>
  <c r="O907" i="59"/>
  <c r="O1258" i="52"/>
  <c r="O910" i="53"/>
  <c r="O557" i="51"/>
  <c r="O558" i="59"/>
  <c r="O909" i="37"/>
  <c r="O1259" i="53"/>
  <c r="O561" i="53"/>
  <c r="O561" i="31"/>
  <c r="O212" i="53"/>
  <c r="O1608" i="53"/>
  <c r="O560" i="37"/>
  <c r="O211" i="37"/>
  <c r="O213" i="31"/>
  <c r="S565" i="54"/>
  <c r="S914" i="54"/>
  <c r="S1263" i="54"/>
  <c r="S914" i="52"/>
  <c r="S1612" i="52"/>
  <c r="S1259" i="51"/>
  <c r="S565" i="52"/>
  <c r="S216" i="54"/>
  <c r="S911" i="51"/>
  <c r="S214" i="59"/>
  <c r="S562" i="51"/>
  <c r="S1263" i="52"/>
  <c r="S216" i="52"/>
  <c r="S912" i="59"/>
  <c r="S214" i="51"/>
  <c r="S1613" i="53"/>
  <c r="S1264" i="53"/>
  <c r="S566" i="53"/>
  <c r="S563" i="59"/>
  <c r="S915" i="53"/>
  <c r="S217" i="53"/>
  <c r="S914" i="37"/>
  <c r="S565" i="37"/>
  <c r="S216" i="37"/>
  <c r="S566" i="31"/>
  <c r="S218" i="31"/>
  <c r="M223" i="54"/>
  <c r="M1270" i="54"/>
  <c r="M572" i="54"/>
  <c r="M1270" i="52"/>
  <c r="M1619" i="52"/>
  <c r="M921" i="52"/>
  <c r="M572" i="52"/>
  <c r="M921" i="54"/>
  <c r="M223" i="52"/>
  <c r="M918" i="51"/>
  <c r="M919" i="59"/>
  <c r="M1266" i="51"/>
  <c r="M569" i="51"/>
  <c r="M1620" i="53"/>
  <c r="M221" i="51"/>
  <c r="M221" i="59"/>
  <c r="M1271" i="53"/>
  <c r="M570" i="59"/>
  <c r="M573" i="53"/>
  <c r="M922" i="53"/>
  <c r="M225" i="31"/>
  <c r="M572" i="37"/>
  <c r="M223" i="37"/>
  <c r="M224" i="53"/>
  <c r="M573" i="31"/>
  <c r="M921" i="37"/>
  <c r="Q578" i="54"/>
  <c r="Q1276" i="54"/>
  <c r="Q927" i="52"/>
  <c r="Q229" i="54"/>
  <c r="Q927" i="54"/>
  <c r="Q1276" i="52"/>
  <c r="Q1272" i="51"/>
  <c r="Q229" i="52"/>
  <c r="Q1625" i="52"/>
  <c r="Q575" i="51"/>
  <c r="Q227" i="59"/>
  <c r="Q578" i="52"/>
  <c r="Q924" i="51"/>
  <c r="Q925" i="59"/>
  <c r="Q227" i="51"/>
  <c r="Q1277" i="53"/>
  <c r="Q576" i="59"/>
  <c r="Q928" i="53"/>
  <c r="Q579" i="53"/>
  <c r="Q1626" i="53"/>
  <c r="Q230" i="53"/>
  <c r="Q927" i="37"/>
  <c r="Q231" i="31"/>
  <c r="Q578" i="37"/>
  <c r="Q229" i="37"/>
  <c r="Q579" i="31"/>
  <c r="O582" i="54"/>
  <c r="O1280" i="54"/>
  <c r="O233" i="54"/>
  <c r="O931" i="52"/>
  <c r="O582" i="52"/>
  <c r="O931" i="54"/>
  <c r="O233" i="52"/>
  <c r="O579" i="51"/>
  <c r="O928" i="51"/>
  <c r="O1280" i="52"/>
  <c r="O1629" i="52"/>
  <c r="O580" i="59"/>
  <c r="O231" i="51"/>
  <c r="O1276" i="51"/>
  <c r="O932" i="53"/>
  <c r="O1281" i="53"/>
  <c r="O583" i="53"/>
  <c r="O231" i="59"/>
  <c r="O234" i="53"/>
  <c r="O929" i="59"/>
  <c r="O233" i="37"/>
  <c r="O1630" i="53"/>
  <c r="O931" i="37"/>
  <c r="O583" i="31"/>
  <c r="O235" i="31"/>
  <c r="O582" i="37"/>
  <c r="S588" i="54"/>
  <c r="S1286" i="54"/>
  <c r="S1286" i="52"/>
  <c r="S239" i="54"/>
  <c r="S1635" i="52"/>
  <c r="S937" i="54"/>
  <c r="S937" i="52"/>
  <c r="S588" i="52"/>
  <c r="S585" i="51"/>
  <c r="S239" i="52"/>
  <c r="S1282" i="51"/>
  <c r="S1287" i="53"/>
  <c r="S934" i="51"/>
  <c r="S586" i="59"/>
  <c r="S237" i="51"/>
  <c r="S938" i="53"/>
  <c r="S935" i="59"/>
  <c r="S239" i="37"/>
  <c r="S237" i="59"/>
  <c r="S589" i="53"/>
  <c r="S240" i="53"/>
  <c r="S937" i="37"/>
  <c r="S1636" i="53"/>
  <c r="S589" i="31"/>
  <c r="S241" i="31"/>
  <c r="S588" i="37"/>
  <c r="S906" i="54"/>
  <c r="S1255" i="54"/>
  <c r="S1604" i="52"/>
  <c r="S557" i="54"/>
  <c r="S208" i="52"/>
  <c r="S208" i="54"/>
  <c r="S1251" i="51"/>
  <c r="S554" i="51"/>
  <c r="S557" i="52"/>
  <c r="S906" i="52"/>
  <c r="S206" i="51"/>
  <c r="S1256" i="53"/>
  <c r="S1255" i="52"/>
  <c r="S903" i="51"/>
  <c r="S555" i="59"/>
  <c r="S904" i="59"/>
  <c r="S907" i="53"/>
  <c r="S209" i="53"/>
  <c r="S206" i="59"/>
  <c r="S558" i="53"/>
  <c r="S1605" i="53"/>
  <c r="S208" i="37"/>
  <c r="S210" i="31"/>
  <c r="S906" i="37"/>
  <c r="S557" i="37"/>
  <c r="S558" i="31"/>
  <c r="M216" i="54"/>
  <c r="M1263" i="54"/>
  <c r="M1263" i="52"/>
  <c r="M914" i="54"/>
  <c r="M216" i="52"/>
  <c r="M1259" i="51"/>
  <c r="M1612" i="52"/>
  <c r="M565" i="52"/>
  <c r="M214" i="51"/>
  <c r="M914" i="52"/>
  <c r="M565" i="54"/>
  <c r="M214" i="59"/>
  <c r="M911" i="51"/>
  <c r="M912" i="59"/>
  <c r="M562" i="51"/>
  <c r="M1613" i="53"/>
  <c r="M914" i="37"/>
  <c r="M563" i="59"/>
  <c r="M566" i="53"/>
  <c r="M217" i="53"/>
  <c r="M915" i="53"/>
  <c r="M566" i="31"/>
  <c r="M1264" i="53"/>
  <c r="M218" i="31"/>
  <c r="M565" i="37"/>
  <c r="M216" i="37"/>
  <c r="Q919" i="54"/>
  <c r="Q1268" i="54"/>
  <c r="Q1617" i="52"/>
  <c r="Q221" i="52"/>
  <c r="Q1268" i="52"/>
  <c r="Q570" i="54"/>
  <c r="Q221" i="54"/>
  <c r="Q919" i="52"/>
  <c r="Q570" i="52"/>
  <c r="Q916" i="51"/>
  <c r="Q219" i="51"/>
  <c r="Q1269" i="53"/>
  <c r="Q1264" i="51"/>
  <c r="Q567" i="51"/>
  <c r="Q568" i="59"/>
  <c r="Q1618" i="53"/>
  <c r="Q219" i="59"/>
  <c r="Q920" i="53"/>
  <c r="Q571" i="53"/>
  <c r="Q222" i="53"/>
  <c r="Q917" i="59"/>
  <c r="Q221" i="37"/>
  <c r="Q571" i="31"/>
  <c r="Q223" i="31"/>
  <c r="Q919" i="37"/>
  <c r="Q570" i="37"/>
  <c r="O1259" i="54"/>
  <c r="O212" i="54"/>
  <c r="O561" i="54"/>
  <c r="O561" i="52"/>
  <c r="O910" i="54"/>
  <c r="O1608" i="52"/>
  <c r="O910" i="52"/>
  <c r="O1259" i="52"/>
  <c r="O212" i="52"/>
  <c r="O907" i="51"/>
  <c r="O558" i="51"/>
  <c r="O1609" i="53"/>
  <c r="O1255" i="51"/>
  <c r="O908" i="59"/>
  <c r="O210" i="51"/>
  <c r="O559" i="59"/>
  <c r="O210" i="59"/>
  <c r="O1260" i="53"/>
  <c r="O910" i="37"/>
  <c r="O562" i="53"/>
  <c r="O213" i="53"/>
  <c r="O911" i="53"/>
  <c r="O561" i="37"/>
  <c r="O212" i="37"/>
  <c r="O562" i="31"/>
  <c r="O214" i="31"/>
  <c r="S1622" i="52"/>
  <c r="S924" i="54"/>
  <c r="S1273" i="54"/>
  <c r="S575" i="54"/>
  <c r="S226" i="54"/>
  <c r="S924" i="52"/>
  <c r="S226" i="52"/>
  <c r="S575" i="52"/>
  <c r="S1273" i="52"/>
  <c r="S572" i="51"/>
  <c r="S1269" i="51"/>
  <c r="S573" i="59"/>
  <c r="S921" i="51"/>
  <c r="S224" i="51"/>
  <c r="S1274" i="53"/>
  <c r="S922" i="59"/>
  <c r="S224" i="59"/>
  <c r="S925" i="53"/>
  <c r="S1623" i="53"/>
  <c r="S227" i="53"/>
  <c r="S576" i="53"/>
  <c r="S226" i="37"/>
  <c r="S576" i="31"/>
  <c r="S228" i="31"/>
  <c r="S924" i="37"/>
  <c r="S575" i="37"/>
  <c r="S1268" i="54"/>
  <c r="S570" i="54"/>
  <c r="S919" i="54"/>
  <c r="S221" i="54"/>
  <c r="S919" i="52"/>
  <c r="S1268" i="52"/>
  <c r="S1617" i="52"/>
  <c r="S221" i="52"/>
  <c r="S567" i="51"/>
  <c r="S568" i="59"/>
  <c r="S1264" i="51"/>
  <c r="S916" i="51"/>
  <c r="S219" i="51"/>
  <c r="S570" i="52"/>
  <c r="S1269" i="53"/>
  <c r="S219" i="59"/>
  <c r="S917" i="59"/>
  <c r="S1618" i="53"/>
  <c r="S222" i="53"/>
  <c r="S571" i="53"/>
  <c r="S920" i="53"/>
  <c r="S223" i="31"/>
  <c r="S570" i="37"/>
  <c r="S221" i="37"/>
  <c r="S919" i="37"/>
  <c r="S571" i="31"/>
  <c r="S1278" i="54"/>
  <c r="S1627" i="52"/>
  <c r="S929" i="54"/>
  <c r="S231" i="54"/>
  <c r="S580" i="54"/>
  <c r="S580" i="52"/>
  <c r="S231" i="52"/>
  <c r="S1274" i="51"/>
  <c r="S926" i="51"/>
  <c r="S1278" i="52"/>
  <c r="S927" i="59"/>
  <c r="S577" i="51"/>
  <c r="S1628" i="53"/>
  <c r="S929" i="52"/>
  <c r="S229" i="51"/>
  <c r="S578" i="59"/>
  <c r="S232" i="53"/>
  <c r="S581" i="53"/>
  <c r="S229" i="59"/>
  <c r="S930" i="53"/>
  <c r="S233" i="31"/>
  <c r="S1279" i="53"/>
  <c r="S580" i="37"/>
  <c r="S231" i="37"/>
  <c r="S581" i="31"/>
  <c r="S929" i="37"/>
  <c r="M588" i="54"/>
  <c r="M1286" i="54"/>
  <c r="M937" i="52"/>
  <c r="M588" i="52"/>
  <c r="M239" i="54"/>
  <c r="M937" i="54"/>
  <c r="M1282" i="51"/>
  <c r="M1286" i="52"/>
  <c r="M1635" i="52"/>
  <c r="M239" i="52"/>
  <c r="M934" i="51"/>
  <c r="M237" i="59"/>
  <c r="M237" i="51"/>
  <c r="M935" i="59"/>
  <c r="M585" i="51"/>
  <c r="M1636" i="53"/>
  <c r="M586" i="59"/>
  <c r="M938" i="53"/>
  <c r="M1287" i="53"/>
  <c r="M589" i="53"/>
  <c r="M240" i="53"/>
  <c r="M937" i="37"/>
  <c r="M588" i="37"/>
  <c r="M239" i="37"/>
  <c r="M589" i="31"/>
  <c r="M241" i="31"/>
  <c r="M558" i="54"/>
  <c r="M1256" i="54"/>
  <c r="M209" i="54"/>
  <c r="M907" i="54"/>
  <c r="M1256" i="52"/>
  <c r="M1605" i="52"/>
  <c r="M558" i="52"/>
  <c r="M1252" i="51"/>
  <c r="M905" i="59"/>
  <c r="M907" i="52"/>
  <c r="M904" i="51"/>
  <c r="M207" i="51"/>
  <c r="M209" i="52"/>
  <c r="M207" i="59"/>
  <c r="M908" i="53"/>
  <c r="M555" i="51"/>
  <c r="M1606" i="53"/>
  <c r="M1257" i="53"/>
  <c r="M907" i="37"/>
  <c r="M559" i="53"/>
  <c r="M210" i="53"/>
  <c r="M556" i="59"/>
  <c r="M559" i="31"/>
  <c r="M558" i="37"/>
  <c r="M209" i="37"/>
  <c r="M211" i="31"/>
  <c r="Q912" i="54"/>
  <c r="Q1261" i="54"/>
  <c r="Q1610" i="52"/>
  <c r="Q214" i="54"/>
  <c r="Q214" i="52"/>
  <c r="Q563" i="54"/>
  <c r="Q909" i="51"/>
  <c r="Q1261" i="52"/>
  <c r="Q912" i="52"/>
  <c r="Q1611" i="53"/>
  <c r="Q563" i="52"/>
  <c r="Q1257" i="51"/>
  <c r="Q560" i="51"/>
  <c r="Q910" i="59"/>
  <c r="Q212" i="51"/>
  <c r="Q212" i="59"/>
  <c r="Q561" i="59"/>
  <c r="Q1262" i="53"/>
  <c r="Q913" i="53"/>
  <c r="Q564" i="53"/>
  <c r="Q563" i="37"/>
  <c r="Q215" i="53"/>
  <c r="Q912" i="37"/>
  <c r="Q214" i="37"/>
  <c r="Q564" i="31"/>
  <c r="Q216" i="31"/>
  <c r="O917" i="54"/>
  <c r="O1266" i="54"/>
  <c r="O1615" i="52"/>
  <c r="O568" i="54"/>
  <c r="O917" i="52"/>
  <c r="O219" i="52"/>
  <c r="O568" i="52"/>
  <c r="O914" i="51"/>
  <c r="O1616" i="53"/>
  <c r="O1266" i="52"/>
  <c r="O1262" i="51"/>
  <c r="O915" i="59"/>
  <c r="O219" i="54"/>
  <c r="O565" i="51"/>
  <c r="O1267" i="53"/>
  <c r="O217" i="59"/>
  <c r="O918" i="53"/>
  <c r="O220" i="53"/>
  <c r="O217" i="51"/>
  <c r="O568" i="37"/>
  <c r="O917" i="37"/>
  <c r="O566" i="59"/>
  <c r="O569" i="53"/>
  <c r="O569" i="31"/>
  <c r="O221" i="31"/>
  <c r="O219" i="37"/>
  <c r="S224" i="54"/>
  <c r="S1271" i="54"/>
  <c r="S1620" i="52"/>
  <c r="S1271" i="52"/>
  <c r="S922" i="54"/>
  <c r="S573" i="52"/>
  <c r="S573" i="54"/>
  <c r="S922" i="52"/>
  <c r="S1267" i="51"/>
  <c r="S919" i="51"/>
  <c r="S224" i="52"/>
  <c r="S570" i="51"/>
  <c r="S920" i="59"/>
  <c r="S1621" i="53"/>
  <c r="S574" i="53"/>
  <c r="S1272" i="53"/>
  <c r="S923" i="53"/>
  <c r="S222" i="59"/>
  <c r="S222" i="51"/>
  <c r="S225" i="53"/>
  <c r="S922" i="37"/>
  <c r="S571" i="59"/>
  <c r="S226" i="31"/>
  <c r="S574" i="31"/>
  <c r="S573" i="37"/>
  <c r="S224" i="37"/>
  <c r="M1279" i="54"/>
  <c r="M581" i="54"/>
  <c r="M930" i="52"/>
  <c r="M930" i="54"/>
  <c r="M581" i="52"/>
  <c r="M1628" i="52"/>
  <c r="M1279" i="52"/>
  <c r="M232" i="54"/>
  <c r="M579" i="59"/>
  <c r="M1275" i="51"/>
  <c r="M230" i="51"/>
  <c r="M578" i="51"/>
  <c r="M927" i="51"/>
  <c r="M232" i="52"/>
  <c r="M230" i="59"/>
  <c r="M1629" i="53"/>
  <c r="M928" i="59"/>
  <c r="M582" i="53"/>
  <c r="M233" i="53"/>
  <c r="M931" i="53"/>
  <c r="M1280" i="53"/>
  <c r="M930" i="37"/>
  <c r="M582" i="31"/>
  <c r="M234" i="31"/>
  <c r="M581" i="37"/>
  <c r="M232" i="37"/>
  <c r="Q237" i="54"/>
  <c r="Q1284" i="54"/>
  <c r="Q586" i="54"/>
  <c r="Q935" i="54"/>
  <c r="Q1284" i="52"/>
  <c r="Q237" i="52"/>
  <c r="Q1633" i="52"/>
  <c r="Q932" i="51"/>
  <c r="Q583" i="51"/>
  <c r="Q933" i="59"/>
  <c r="Q935" i="52"/>
  <c r="Q1280" i="51"/>
  <c r="Q586" i="52"/>
  <c r="Q1634" i="53"/>
  <c r="Q584" i="59"/>
  <c r="Q587" i="53"/>
  <c r="Q235" i="51"/>
  <c r="Q235" i="59"/>
  <c r="Q1285" i="53"/>
  <c r="Q238" i="53"/>
  <c r="Q935" i="37"/>
  <c r="Q936" i="53"/>
  <c r="Q239" i="31"/>
  <c r="Q586" i="37"/>
  <c r="Q237" i="37"/>
  <c r="Q587" i="31"/>
  <c r="Q1254" i="54"/>
  <c r="Q207" i="54"/>
  <c r="Q556" i="52"/>
  <c r="Q1603" i="52"/>
  <c r="Q905" i="54"/>
  <c r="Q905" i="52"/>
  <c r="Q902" i="51"/>
  <c r="Q556" i="54"/>
  <c r="Q1254" i="52"/>
  <c r="Q553" i="51"/>
  <c r="Q1250" i="51"/>
  <c r="Q1604" i="53"/>
  <c r="Q207" i="52"/>
  <c r="Q903" i="59"/>
  <c r="Q205" i="51"/>
  <c r="Q1255" i="53"/>
  <c r="Q557" i="53"/>
  <c r="Q906" i="53"/>
  <c r="Q208" i="53"/>
  <c r="Q905" i="37"/>
  <c r="Q554" i="59"/>
  <c r="Q205" i="59"/>
  <c r="Q556" i="37"/>
  <c r="Q207" i="37"/>
  <c r="Q557" i="31"/>
  <c r="Q209" i="31"/>
  <c r="S930" i="54"/>
  <c r="S1279" i="54"/>
  <c r="S1628" i="52"/>
  <c r="S232" i="54"/>
  <c r="S1279" i="52"/>
  <c r="S581" i="52"/>
  <c r="S232" i="52"/>
  <c r="S581" i="54"/>
  <c r="S930" i="52"/>
  <c r="S578" i="51"/>
  <c r="S230" i="51"/>
  <c r="S1280" i="53"/>
  <c r="S1275" i="51"/>
  <c r="S927" i="51"/>
  <c r="S579" i="59"/>
  <c r="S931" i="53"/>
  <c r="S233" i="53"/>
  <c r="S928" i="59"/>
  <c r="S582" i="53"/>
  <c r="S230" i="59"/>
  <c r="S1629" i="53"/>
  <c r="S232" i="37"/>
  <c r="S581" i="37"/>
  <c r="S582" i="31"/>
  <c r="S234" i="31"/>
  <c r="S930" i="37"/>
  <c r="S1610" i="52"/>
  <c r="S912" i="54"/>
  <c r="S1261" i="54"/>
  <c r="S214" i="54"/>
  <c r="S214" i="52"/>
  <c r="S912" i="52"/>
  <c r="S563" i="52"/>
  <c r="S563" i="54"/>
  <c r="S1261" i="52"/>
  <c r="S560" i="51"/>
  <c r="S561" i="59"/>
  <c r="S212" i="51"/>
  <c r="S1257" i="51"/>
  <c r="S909" i="51"/>
  <c r="S1262" i="53"/>
  <c r="S910" i="59"/>
  <c r="S1611" i="53"/>
  <c r="S564" i="53"/>
  <c r="S913" i="53"/>
  <c r="S215" i="53"/>
  <c r="S212" i="59"/>
  <c r="S214" i="37"/>
  <c r="S564" i="31"/>
  <c r="S912" i="37"/>
  <c r="S216" i="31"/>
  <c r="S563" i="37"/>
  <c r="S1256" i="54"/>
  <c r="S558" i="54"/>
  <c r="S1256" i="52"/>
  <c r="S907" i="52"/>
  <c r="L39" i="83" s="1"/>
  <c r="Q39" i="83" s="1"/>
  <c r="S558" i="52"/>
  <c r="S907" i="54"/>
  <c r="S209" i="54"/>
  <c r="S1252" i="51"/>
  <c r="S555" i="51"/>
  <c r="S1605" i="52"/>
  <c r="S556" i="59"/>
  <c r="S207" i="51"/>
  <c r="S209" i="52"/>
  <c r="S1257" i="53"/>
  <c r="S904" i="51"/>
  <c r="S905" i="59"/>
  <c r="S207" i="59"/>
  <c r="S1606" i="53"/>
  <c r="S908" i="53"/>
  <c r="S210" i="53"/>
  <c r="S559" i="53"/>
  <c r="S559" i="31"/>
  <c r="S211" i="31"/>
  <c r="S907" i="37"/>
  <c r="S558" i="37"/>
  <c r="S209" i="37"/>
  <c r="Q536" i="54"/>
  <c r="Q1234" i="54"/>
  <c r="Q1234" i="52"/>
  <c r="Q885" i="54"/>
  <c r="Q1583" i="52"/>
  <c r="Q536" i="52"/>
  <c r="Q185" i="51"/>
  <c r="Q187" i="52"/>
  <c r="Q885" i="52"/>
  <c r="Q1230" i="51"/>
  <c r="Q187" i="54"/>
  <c r="Q882" i="51"/>
  <c r="Q1584" i="53"/>
  <c r="Q533" i="51"/>
  <c r="Q883" i="59"/>
  <c r="Q537" i="53"/>
  <c r="Q1235" i="53"/>
  <c r="Q534" i="59"/>
  <c r="Q187" i="37"/>
  <c r="Q886" i="53"/>
  <c r="Q185" i="59"/>
  <c r="Q188" i="53"/>
  <c r="Q885" i="37"/>
  <c r="Q536" i="37"/>
  <c r="Q537" i="31"/>
  <c r="Q189" i="31"/>
  <c r="Q882" i="54"/>
  <c r="Q1231" i="54"/>
  <c r="Q1580" i="52"/>
  <c r="Q184" i="54"/>
  <c r="Q1231" i="52"/>
  <c r="Q882" i="52"/>
  <c r="Q533" i="54"/>
  <c r="Q533" i="52"/>
  <c r="Q879" i="51"/>
  <c r="Q184" i="52"/>
  <c r="Q530" i="51"/>
  <c r="Q1232" i="53"/>
  <c r="Q182" i="51"/>
  <c r="Q1227" i="51"/>
  <c r="Q531" i="59"/>
  <c r="Q880" i="59"/>
  <c r="Q534" i="53"/>
  <c r="Q534" i="31"/>
  <c r="Q1581" i="53"/>
  <c r="Q185" i="53"/>
  <c r="Q882" i="37"/>
  <c r="Q883" i="53"/>
  <c r="Q182" i="59"/>
  <c r="Q184" i="37"/>
  <c r="Q533" i="37"/>
  <c r="Q186" i="31"/>
  <c r="Q177" i="54"/>
  <c r="Q875" i="54"/>
  <c r="Q1224" i="54"/>
  <c r="Q1573" i="52"/>
  <c r="Q1224" i="52"/>
  <c r="Q526" i="54"/>
  <c r="Q526" i="52"/>
  <c r="Q875" i="52"/>
  <c r="Q177" i="52"/>
  <c r="Q873" i="59"/>
  <c r="Q523" i="51"/>
  <c r="Q1225" i="53"/>
  <c r="Q175" i="51"/>
  <c r="Q1220" i="51"/>
  <c r="Q872" i="51"/>
  <c r="Q524" i="59"/>
  <c r="Q1574" i="53"/>
  <c r="Q876" i="53"/>
  <c r="Q175" i="59"/>
  <c r="Q527" i="31"/>
  <c r="Q527" i="53"/>
  <c r="Q178" i="53"/>
  <c r="Q875" i="37"/>
  <c r="Q179" i="31"/>
  <c r="Q526" i="37"/>
  <c r="Q177" i="37"/>
  <c r="Q524" i="54"/>
  <c r="Q1222" i="54"/>
  <c r="Q1222" i="52"/>
  <c r="Q873" i="54"/>
  <c r="Q524" i="52"/>
  <c r="Q1571" i="52"/>
  <c r="Q173" i="51"/>
  <c r="Q175" i="54"/>
  <c r="Q870" i="51"/>
  <c r="Q873" i="52"/>
  <c r="Q521" i="51"/>
  <c r="Q1572" i="53"/>
  <c r="Q175" i="52"/>
  <c r="Q1218" i="51"/>
  <c r="Q871" i="59"/>
  <c r="Q525" i="53"/>
  <c r="Q874" i="53"/>
  <c r="Q173" i="59"/>
  <c r="Q175" i="37"/>
  <c r="Q1223" i="53"/>
  <c r="Q522" i="59"/>
  <c r="Q524" i="37"/>
  <c r="Q525" i="31"/>
  <c r="Q176" i="53"/>
  <c r="Q873" i="37"/>
  <c r="Q177" i="31"/>
  <c r="M534" i="54"/>
  <c r="M1232" i="54"/>
  <c r="M883" i="54"/>
  <c r="M534" i="52"/>
  <c r="M1581" i="52"/>
  <c r="M883" i="52"/>
  <c r="M183" i="51"/>
  <c r="M1228" i="51"/>
  <c r="M185" i="54"/>
  <c r="M1232" i="52"/>
  <c r="M185" i="52"/>
  <c r="M1582" i="53"/>
  <c r="M531" i="51"/>
  <c r="M880" i="51"/>
  <c r="M881" i="59"/>
  <c r="M535" i="53"/>
  <c r="M185" i="37"/>
  <c r="M183" i="59"/>
  <c r="M532" i="59"/>
  <c r="M186" i="53"/>
  <c r="M884" i="53"/>
  <c r="M883" i="37"/>
  <c r="M534" i="37"/>
  <c r="M1233" i="53"/>
  <c r="M535" i="31"/>
  <c r="M187" i="31"/>
  <c r="M1596" i="52"/>
  <c r="M898" i="54"/>
  <c r="M1247" i="54"/>
  <c r="M549" i="54"/>
  <c r="M200" i="54"/>
  <c r="M898" i="52"/>
  <c r="M1247" i="52"/>
  <c r="M1243" i="51"/>
  <c r="M546" i="51"/>
  <c r="M549" i="52"/>
  <c r="M547" i="59"/>
  <c r="M200" i="52"/>
  <c r="M896" i="59"/>
  <c r="M198" i="51"/>
  <c r="M1248" i="53"/>
  <c r="M895" i="51"/>
  <c r="M898" i="37"/>
  <c r="M1597" i="53"/>
  <c r="M198" i="59"/>
  <c r="M550" i="31"/>
  <c r="M202" i="31"/>
  <c r="M549" i="37"/>
  <c r="M550" i="53"/>
  <c r="M201" i="53"/>
  <c r="M899" i="53"/>
  <c r="M200" i="37"/>
  <c r="O533" i="54"/>
  <c r="O882" i="54"/>
  <c r="O1231" i="54"/>
  <c r="O882" i="52"/>
  <c r="O184" i="54"/>
  <c r="O1580" i="52"/>
  <c r="O533" i="52"/>
  <c r="O530" i="51"/>
  <c r="O182" i="51"/>
  <c r="O531" i="59"/>
  <c r="O1227" i="51"/>
  <c r="O880" i="59"/>
  <c r="O879" i="51"/>
  <c r="O184" i="52"/>
  <c r="O883" i="53"/>
  <c r="O1231" i="52"/>
  <c r="O182" i="59"/>
  <c r="O882" i="37"/>
  <c r="O1232" i="53"/>
  <c r="O534" i="53"/>
  <c r="O1581" i="53"/>
  <c r="O533" i="37"/>
  <c r="O534" i="31"/>
  <c r="O186" i="31"/>
  <c r="O185" i="53"/>
  <c r="O184" i="37"/>
  <c r="O182" i="54"/>
  <c r="O880" i="54"/>
  <c r="O1229" i="54"/>
  <c r="O1229" i="52"/>
  <c r="O531" i="54"/>
  <c r="O880" i="52"/>
  <c r="O1578" i="52"/>
  <c r="O877" i="51"/>
  <c r="O531" i="52"/>
  <c r="O1225" i="51"/>
  <c r="O528" i="51"/>
  <c r="O878" i="59"/>
  <c r="O182" i="52"/>
  <c r="O1230" i="53"/>
  <c r="O180" i="51"/>
  <c r="O529" i="59"/>
  <c r="O180" i="59"/>
  <c r="O532" i="31"/>
  <c r="O183" i="53"/>
  <c r="O1579" i="53"/>
  <c r="O880" i="37"/>
  <c r="O531" i="37"/>
  <c r="O184" i="31"/>
  <c r="O881" i="53"/>
  <c r="O182" i="37"/>
  <c r="O532" i="53"/>
  <c r="O181" i="54"/>
  <c r="O1228" i="54"/>
  <c r="O879" i="54"/>
  <c r="O1577" i="52"/>
  <c r="O1228" i="52"/>
  <c r="O1224" i="51"/>
  <c r="O530" i="52"/>
  <c r="O181" i="52"/>
  <c r="O530" i="54"/>
  <c r="O876" i="51"/>
  <c r="O879" i="52"/>
  <c r="O527" i="51"/>
  <c r="O877" i="59"/>
  <c r="O531" i="53"/>
  <c r="O1578" i="53"/>
  <c r="O179" i="51"/>
  <c r="O528" i="59"/>
  <c r="O1229" i="53"/>
  <c r="O182" i="53"/>
  <c r="O181" i="37"/>
  <c r="O179" i="59"/>
  <c r="O531" i="31"/>
  <c r="O183" i="31"/>
  <c r="O880" i="53"/>
  <c r="O879" i="37"/>
  <c r="O530" i="37"/>
  <c r="S1250" i="52"/>
  <c r="S552" i="54"/>
  <c r="S901" i="54"/>
  <c r="S1250" i="54"/>
  <c r="S1599" i="52"/>
  <c r="S203" i="54"/>
  <c r="S552" i="52"/>
  <c r="S898" i="51"/>
  <c r="S201" i="51"/>
  <c r="S203" i="52"/>
  <c r="S201" i="59"/>
  <c r="S901" i="52"/>
  <c r="S899" i="59"/>
  <c r="S1246" i="51"/>
  <c r="S902" i="53"/>
  <c r="S549" i="51"/>
  <c r="S552" i="37"/>
  <c r="S1251" i="53"/>
  <c r="S550" i="59"/>
  <c r="S1600" i="53"/>
  <c r="S204" i="53"/>
  <c r="S901" i="37"/>
  <c r="S553" i="53"/>
  <c r="S203" i="37"/>
  <c r="S205" i="31"/>
  <c r="S553" i="31"/>
  <c r="S527" i="54"/>
  <c r="S876" i="54"/>
  <c r="S1225" i="54"/>
  <c r="S876" i="52"/>
  <c r="S1574" i="52"/>
  <c r="S1221" i="51"/>
  <c r="S524" i="51"/>
  <c r="S1225" i="52"/>
  <c r="S178" i="52"/>
  <c r="S525" i="59"/>
  <c r="S874" i="59"/>
  <c r="S178" i="54"/>
  <c r="S873" i="51"/>
  <c r="S176" i="51"/>
  <c r="S877" i="53"/>
  <c r="S527" i="52"/>
  <c r="S176" i="59"/>
  <c r="S876" i="37"/>
  <c r="S1575" i="53"/>
  <c r="S1226" i="53"/>
  <c r="S527" i="37"/>
  <c r="S179" i="53"/>
  <c r="S180" i="31"/>
  <c r="S528" i="31"/>
  <c r="S528" i="53"/>
  <c r="S178" i="37"/>
  <c r="O198" i="54"/>
  <c r="O547" i="54"/>
  <c r="O1245" i="54"/>
  <c r="O547" i="52"/>
  <c r="O1594" i="52"/>
  <c r="O896" i="54"/>
  <c r="O1245" i="52"/>
  <c r="O896" i="52"/>
  <c r="O198" i="52"/>
  <c r="O196" i="51"/>
  <c r="O893" i="51"/>
  <c r="O894" i="59"/>
  <c r="O548" i="53"/>
  <c r="O1241" i="51"/>
  <c r="O544" i="51"/>
  <c r="O1595" i="53"/>
  <c r="O1246" i="53"/>
  <c r="O545" i="59"/>
  <c r="O196" i="59"/>
  <c r="O198" i="37"/>
  <c r="O199" i="53"/>
  <c r="O896" i="37"/>
  <c r="O897" i="53"/>
  <c r="O547" i="37"/>
  <c r="O548" i="31"/>
  <c r="O200" i="31"/>
  <c r="O1591" i="52"/>
  <c r="O893" i="54"/>
  <c r="O1242" i="54"/>
  <c r="O1242" i="52"/>
  <c r="O544" i="54"/>
  <c r="O195" i="54"/>
  <c r="O893" i="52"/>
  <c r="O544" i="52"/>
  <c r="O195" i="52"/>
  <c r="O541" i="51"/>
  <c r="O542" i="59"/>
  <c r="O891" i="59"/>
  <c r="O1243" i="53"/>
  <c r="O1238" i="51"/>
  <c r="O193" i="51"/>
  <c r="O890" i="51"/>
  <c r="O545" i="53"/>
  <c r="O893" i="37"/>
  <c r="O1592" i="53"/>
  <c r="O545" i="31"/>
  <c r="O894" i="53"/>
  <c r="O196" i="53"/>
  <c r="O193" i="59"/>
  <c r="O195" i="37"/>
  <c r="O197" i="31"/>
  <c r="O544" i="37"/>
  <c r="O1235" i="54"/>
  <c r="O1584" i="52"/>
  <c r="O188" i="54"/>
  <c r="O537" i="54"/>
  <c r="O1235" i="52"/>
  <c r="O537" i="52"/>
  <c r="O886" i="54"/>
  <c r="O886" i="52"/>
  <c r="O883" i="51"/>
  <c r="O188" i="52"/>
  <c r="O1231" i="51"/>
  <c r="O186" i="51"/>
  <c r="O534" i="51"/>
  <c r="O535" i="59"/>
  <c r="O1236" i="53"/>
  <c r="O1585" i="53"/>
  <c r="O189" i="53"/>
  <c r="O887" i="53"/>
  <c r="O186" i="59"/>
  <c r="O884" i="59"/>
  <c r="O886" i="37"/>
  <c r="O538" i="53"/>
  <c r="O538" i="31"/>
  <c r="O537" i="37"/>
  <c r="O188" i="37"/>
  <c r="O190" i="31"/>
  <c r="O186" i="54"/>
  <c r="O535" i="54"/>
  <c r="O1233" i="54"/>
  <c r="O535" i="52"/>
  <c r="O1582" i="52"/>
  <c r="O1233" i="52"/>
  <c r="O884" i="54"/>
  <c r="O1229" i="51"/>
  <c r="O184" i="51"/>
  <c r="O532" i="51"/>
  <c r="O882" i="59"/>
  <c r="O536" i="53"/>
  <c r="O186" i="52"/>
  <c r="O881" i="51"/>
  <c r="O884" i="52"/>
  <c r="O1583" i="53"/>
  <c r="O885" i="53"/>
  <c r="O184" i="59"/>
  <c r="O1234" i="53"/>
  <c r="O533" i="59"/>
  <c r="O186" i="37"/>
  <c r="O535" i="37"/>
  <c r="O536" i="31"/>
  <c r="O187" i="53"/>
  <c r="O884" i="37"/>
  <c r="O188" i="31"/>
  <c r="Q894" i="54"/>
  <c r="Q1243" i="54"/>
  <c r="Q1592" i="52"/>
  <c r="Q196" i="54"/>
  <c r="Q894" i="52"/>
  <c r="Q891" i="51"/>
  <c r="Q545" i="52"/>
  <c r="Q196" i="52"/>
  <c r="Q1243" i="52"/>
  <c r="Q545" i="54"/>
  <c r="Q542" i="51"/>
  <c r="Q1244" i="53"/>
  <c r="Q543" i="59"/>
  <c r="Q892" i="59"/>
  <c r="Q1239" i="51"/>
  <c r="Q194" i="51"/>
  <c r="Q546" i="31"/>
  <c r="Q1593" i="53"/>
  <c r="Q194" i="59"/>
  <c r="Q197" i="53"/>
  <c r="Q894" i="37"/>
  <c r="Q546" i="53"/>
  <c r="Q545" i="37"/>
  <c r="Q895" i="53"/>
  <c r="Q196" i="37"/>
  <c r="Q198" i="31"/>
  <c r="M527" i="54"/>
  <c r="M876" i="54"/>
  <c r="M1225" i="54"/>
  <c r="M527" i="52"/>
  <c r="M178" i="54"/>
  <c r="M876" i="52"/>
  <c r="M1574" i="52"/>
  <c r="M178" i="52"/>
  <c r="M176" i="51"/>
  <c r="M1221" i="51"/>
  <c r="M176" i="59"/>
  <c r="M1225" i="52"/>
  <c r="M524" i="51"/>
  <c r="M874" i="59"/>
  <c r="M873" i="51"/>
  <c r="M877" i="53"/>
  <c r="M527" i="37"/>
  <c r="M525" i="59"/>
  <c r="M1226" i="53"/>
  <c r="M528" i="53"/>
  <c r="M1575" i="53"/>
  <c r="M876" i="37"/>
  <c r="M528" i="31"/>
  <c r="M180" i="31"/>
  <c r="M179" i="53"/>
  <c r="M178" i="37"/>
  <c r="O521" i="54"/>
  <c r="O870" i="54"/>
  <c r="O1219" i="54"/>
  <c r="O870" i="52"/>
  <c r="O1568" i="52"/>
  <c r="O1219" i="52"/>
  <c r="O172" i="52"/>
  <c r="O1215" i="51"/>
  <c r="O518" i="51"/>
  <c r="O519" i="59"/>
  <c r="O170" i="51"/>
  <c r="O868" i="59"/>
  <c r="O871" i="53"/>
  <c r="O172" i="54"/>
  <c r="O867" i="51"/>
  <c r="O521" i="52"/>
  <c r="O170" i="59"/>
  <c r="O870" i="37"/>
  <c r="O1569" i="53"/>
  <c r="O1220" i="53"/>
  <c r="O521" i="37"/>
  <c r="O174" i="31"/>
  <c r="O522" i="31"/>
  <c r="O522" i="53"/>
  <c r="O173" i="53"/>
  <c r="O172" i="37"/>
  <c r="O170" i="54"/>
  <c r="O868" i="54"/>
  <c r="O1217" i="54"/>
  <c r="O1566" i="52"/>
  <c r="O1217" i="52"/>
  <c r="O519" i="54"/>
  <c r="O519" i="52"/>
  <c r="O168" i="51"/>
  <c r="O866" i="59"/>
  <c r="O516" i="51"/>
  <c r="O1218" i="53"/>
  <c r="O1213" i="51"/>
  <c r="O865" i="51"/>
  <c r="O868" i="52"/>
  <c r="O170" i="52"/>
  <c r="O517" i="59"/>
  <c r="O1567" i="53"/>
  <c r="O869" i="53"/>
  <c r="O168" i="59"/>
  <c r="O520" i="31"/>
  <c r="O171" i="53"/>
  <c r="O520" i="53"/>
  <c r="O868" i="37"/>
  <c r="O172" i="31"/>
  <c r="O519" i="37"/>
  <c r="O170" i="37"/>
  <c r="O169" i="54"/>
  <c r="O1216" i="54"/>
  <c r="O867" i="54"/>
  <c r="O1565" i="52"/>
  <c r="O1216" i="52"/>
  <c r="O518" i="52"/>
  <c r="O1212" i="51"/>
  <c r="O518" i="54"/>
  <c r="O867" i="52"/>
  <c r="O864" i="51"/>
  <c r="O167" i="51"/>
  <c r="O865" i="59"/>
  <c r="O519" i="53"/>
  <c r="O515" i="51"/>
  <c r="O1566" i="53"/>
  <c r="O169" i="52"/>
  <c r="O516" i="59"/>
  <c r="O868" i="53"/>
  <c r="O167" i="59"/>
  <c r="O170" i="53"/>
  <c r="O169" i="37"/>
  <c r="O1217" i="53"/>
  <c r="O171" i="31"/>
  <c r="O867" i="37"/>
  <c r="O518" i="37"/>
  <c r="O519" i="31"/>
  <c r="S1238" i="52"/>
  <c r="S540" i="54"/>
  <c r="S889" i="54"/>
  <c r="S1238" i="54"/>
  <c r="S191" i="54"/>
  <c r="S540" i="52"/>
  <c r="S191" i="52"/>
  <c r="S889" i="52"/>
  <c r="S1587" i="52"/>
  <c r="S1234" i="51"/>
  <c r="S189" i="51"/>
  <c r="S189" i="59"/>
  <c r="S537" i="51"/>
  <c r="S887" i="59"/>
  <c r="S890" i="53"/>
  <c r="S886" i="51"/>
  <c r="S540" i="37"/>
  <c r="S538" i="59"/>
  <c r="S1239" i="53"/>
  <c r="S541" i="53"/>
  <c r="S1588" i="53"/>
  <c r="S541" i="31"/>
  <c r="S193" i="31"/>
  <c r="S192" i="53"/>
  <c r="S889" i="37"/>
  <c r="S191" i="37"/>
  <c r="M1239" i="54"/>
  <c r="M192" i="54"/>
  <c r="M541" i="54"/>
  <c r="M1239" i="52"/>
  <c r="M1235" i="51"/>
  <c r="M541" i="52"/>
  <c r="M1588" i="52"/>
  <c r="M890" i="52"/>
  <c r="M890" i="54"/>
  <c r="M887" i="51"/>
  <c r="M538" i="51"/>
  <c r="M1589" i="53"/>
  <c r="M888" i="59"/>
  <c r="M542" i="53"/>
  <c r="M190" i="51"/>
  <c r="M192" i="52"/>
  <c r="M192" i="37"/>
  <c r="M539" i="59"/>
  <c r="M1240" i="53"/>
  <c r="M193" i="53"/>
  <c r="M190" i="59"/>
  <c r="M542" i="31"/>
  <c r="M194" i="31"/>
  <c r="M891" i="53"/>
  <c r="M890" i="37"/>
  <c r="M541" i="37"/>
  <c r="O174" i="54"/>
  <c r="O523" i="54"/>
  <c r="O1221" i="54"/>
  <c r="O523" i="52"/>
  <c r="O872" i="54"/>
  <c r="O1221" i="52"/>
  <c r="O872" i="52"/>
  <c r="O1570" i="52"/>
  <c r="O174" i="52"/>
  <c r="O172" i="51"/>
  <c r="O870" i="59"/>
  <c r="O524" i="53"/>
  <c r="O520" i="51"/>
  <c r="O1217" i="51"/>
  <c r="O869" i="51"/>
  <c r="O1571" i="53"/>
  <c r="O521" i="59"/>
  <c r="O172" i="59"/>
  <c r="O174" i="37"/>
  <c r="O1222" i="53"/>
  <c r="O175" i="53"/>
  <c r="O873" i="53"/>
  <c r="O872" i="37"/>
  <c r="O523" i="37"/>
  <c r="O524" i="31"/>
  <c r="O176" i="31"/>
  <c r="O1567" i="52"/>
  <c r="O869" i="54"/>
  <c r="O1218" i="54"/>
  <c r="O1218" i="52"/>
  <c r="O520" i="54"/>
  <c r="O869" i="52"/>
  <c r="O866" i="51"/>
  <c r="O1214" i="51"/>
  <c r="O517" i="51"/>
  <c r="O520" i="52"/>
  <c r="O171" i="54"/>
  <c r="O518" i="59"/>
  <c r="O169" i="51"/>
  <c r="O867" i="59"/>
  <c r="O1219" i="53"/>
  <c r="O171" i="52"/>
  <c r="O869" i="37"/>
  <c r="O1568" i="53"/>
  <c r="O169" i="59"/>
  <c r="O521" i="31"/>
  <c r="O172" i="53"/>
  <c r="O870" i="53"/>
  <c r="O173" i="31"/>
  <c r="O520" i="37"/>
  <c r="O521" i="53"/>
  <c r="O171" i="37"/>
  <c r="S199" i="54"/>
  <c r="S897" i="54"/>
  <c r="S1246" i="54"/>
  <c r="S199" i="52"/>
  <c r="S897" i="52"/>
  <c r="S1242" i="51"/>
  <c r="S1595" i="52"/>
  <c r="S548" i="54"/>
  <c r="S895" i="59"/>
  <c r="S549" i="53"/>
  <c r="S548" i="52"/>
  <c r="S1246" i="52"/>
  <c r="S894" i="51"/>
  <c r="S1596" i="53"/>
  <c r="S545" i="51"/>
  <c r="S197" i="51"/>
  <c r="S546" i="59"/>
  <c r="S898" i="53"/>
  <c r="S199" i="37"/>
  <c r="S197" i="59"/>
  <c r="S1247" i="53"/>
  <c r="S201" i="31"/>
  <c r="S200" i="53"/>
  <c r="S897" i="37"/>
  <c r="S548" i="37"/>
  <c r="S549" i="31"/>
  <c r="S546" i="54"/>
  <c r="S1244" i="54"/>
  <c r="S1244" i="52"/>
  <c r="S895" i="54"/>
  <c r="S1593" i="52"/>
  <c r="S546" i="52"/>
  <c r="S197" i="54"/>
  <c r="S892" i="51"/>
  <c r="S895" i="52"/>
  <c r="S197" i="52"/>
  <c r="S896" i="53"/>
  <c r="S1240" i="51"/>
  <c r="S543" i="51"/>
  <c r="S195" i="59"/>
  <c r="S195" i="51"/>
  <c r="S893" i="59"/>
  <c r="S1594" i="53"/>
  <c r="S544" i="59"/>
  <c r="S546" i="37"/>
  <c r="S1245" i="53"/>
  <c r="S197" i="37"/>
  <c r="S547" i="53"/>
  <c r="S547" i="31"/>
  <c r="S198" i="53"/>
  <c r="S895" i="37"/>
  <c r="S199" i="31"/>
  <c r="Q870" i="54"/>
  <c r="Q1219" i="54"/>
  <c r="Q1568" i="52"/>
  <c r="Q172" i="54"/>
  <c r="Q870" i="52"/>
  <c r="Q1219" i="52"/>
  <c r="Q867" i="51"/>
  <c r="Q521" i="52"/>
  <c r="Q1215" i="51"/>
  <c r="Q521" i="54"/>
  <c r="Q518" i="51"/>
  <c r="Q1220" i="53"/>
  <c r="Q170" i="51"/>
  <c r="Q519" i="59"/>
  <c r="Q172" i="52"/>
  <c r="Q868" i="59"/>
  <c r="Q522" i="31"/>
  <c r="Q170" i="59"/>
  <c r="Q173" i="53"/>
  <c r="Q870" i="37"/>
  <c r="Q1569" i="53"/>
  <c r="Q871" i="53"/>
  <c r="Q521" i="37"/>
  <c r="Q522" i="53"/>
  <c r="Q172" i="37"/>
  <c r="Q174" i="31"/>
  <c r="Q189" i="54"/>
  <c r="Q887" i="54"/>
  <c r="Q1236" i="54"/>
  <c r="Q538" i="54"/>
  <c r="Q887" i="52"/>
  <c r="Q1585" i="52"/>
  <c r="Q884" i="51"/>
  <c r="Q189" i="52"/>
  <c r="Q535" i="51"/>
  <c r="Q885" i="59"/>
  <c r="Q1236" i="52"/>
  <c r="Q1232" i="51"/>
  <c r="Q187" i="51"/>
  <c r="Q1237" i="53"/>
  <c r="Q538" i="52"/>
  <c r="Q536" i="59"/>
  <c r="Q187" i="59"/>
  <c r="Q539" i="31"/>
  <c r="Q1586" i="53"/>
  <c r="Q190" i="53"/>
  <c r="Q887" i="37"/>
  <c r="Q538" i="37"/>
  <c r="Q191" i="31"/>
  <c r="Q189" i="37"/>
  <c r="Q888" i="53"/>
  <c r="Q539" i="53"/>
  <c r="S893" i="54"/>
  <c r="S1242" i="54"/>
  <c r="S1591" i="52"/>
  <c r="S195" i="54"/>
  <c r="S893" i="52"/>
  <c r="S544" i="54"/>
  <c r="S890" i="51"/>
  <c r="S1242" i="52"/>
  <c r="S195" i="52"/>
  <c r="S544" i="52"/>
  <c r="S541" i="51"/>
  <c r="S1243" i="53"/>
  <c r="S1238" i="51"/>
  <c r="S193" i="51"/>
  <c r="S542" i="59"/>
  <c r="S891" i="59"/>
  <c r="S545" i="31"/>
  <c r="S1592" i="53"/>
  <c r="S193" i="59"/>
  <c r="S196" i="53"/>
  <c r="S893" i="37"/>
  <c r="S545" i="53"/>
  <c r="S894" i="53"/>
  <c r="S544" i="37"/>
  <c r="S195" i="37"/>
  <c r="S197" i="31"/>
  <c r="S1240" i="54"/>
  <c r="S193" i="54"/>
  <c r="S542" i="54"/>
  <c r="S891" i="54"/>
  <c r="S1589" i="52"/>
  <c r="S1240" i="52"/>
  <c r="S542" i="52"/>
  <c r="S1236" i="51"/>
  <c r="S193" i="52"/>
  <c r="S891" i="52"/>
  <c r="S1590" i="53"/>
  <c r="S888" i="51"/>
  <c r="S191" i="51"/>
  <c r="S539" i="51"/>
  <c r="S540" i="59"/>
  <c r="S889" i="59"/>
  <c r="S543" i="53"/>
  <c r="S193" i="37"/>
  <c r="S892" i="53"/>
  <c r="S191" i="59"/>
  <c r="S1241" i="53"/>
  <c r="S542" i="37"/>
  <c r="S543" i="31"/>
  <c r="S195" i="31"/>
  <c r="S194" i="53"/>
  <c r="S891" i="37"/>
  <c r="S192" i="54"/>
  <c r="S541" i="54"/>
  <c r="S1239" i="54"/>
  <c r="S541" i="52"/>
  <c r="S1239" i="52"/>
  <c r="S890" i="54"/>
  <c r="S1588" i="52"/>
  <c r="S890" i="52"/>
  <c r="S1235" i="51"/>
  <c r="S887" i="51"/>
  <c r="S190" i="51"/>
  <c r="S538" i="51"/>
  <c r="S539" i="59"/>
  <c r="S192" i="52"/>
  <c r="S888" i="59"/>
  <c r="S542" i="53"/>
  <c r="S1589" i="53"/>
  <c r="S891" i="53"/>
  <c r="S190" i="59"/>
  <c r="S1240" i="53"/>
  <c r="S192" i="37"/>
  <c r="S541" i="37"/>
  <c r="S542" i="31"/>
  <c r="S194" i="31"/>
  <c r="S193" i="53"/>
  <c r="S890" i="37"/>
  <c r="S1226" i="52"/>
  <c r="S528" i="54"/>
  <c r="S877" i="54"/>
  <c r="S1226" i="54"/>
  <c r="S179" i="54"/>
  <c r="S528" i="52"/>
  <c r="S1575" i="52"/>
  <c r="S179" i="52"/>
  <c r="S177" i="51"/>
  <c r="S877" i="52"/>
  <c r="S177" i="59"/>
  <c r="S1222" i="51"/>
  <c r="S875" i="59"/>
  <c r="S874" i="51"/>
  <c r="S525" i="51"/>
  <c r="S878" i="53"/>
  <c r="S528" i="37"/>
  <c r="S1576" i="53"/>
  <c r="S1227" i="53"/>
  <c r="S526" i="59"/>
  <c r="S179" i="37"/>
  <c r="S877" i="37"/>
  <c r="S180" i="53"/>
  <c r="S181" i="31"/>
  <c r="S529" i="31"/>
  <c r="S529" i="53"/>
  <c r="M1227" i="54"/>
  <c r="M180" i="54"/>
  <c r="M529" i="54"/>
  <c r="M1576" i="52"/>
  <c r="M1227" i="52"/>
  <c r="M529" i="52"/>
  <c r="M1223" i="51"/>
  <c r="M878" i="52"/>
  <c r="M878" i="54"/>
  <c r="M180" i="52"/>
  <c r="M875" i="51"/>
  <c r="M1577" i="53"/>
  <c r="M526" i="51"/>
  <c r="M876" i="59"/>
  <c r="M530" i="53"/>
  <c r="M178" i="51"/>
  <c r="M180" i="37"/>
  <c r="M879" i="53"/>
  <c r="M178" i="59"/>
  <c r="M527" i="59"/>
  <c r="M181" i="53"/>
  <c r="M1228" i="53"/>
  <c r="M529" i="37"/>
  <c r="M878" i="37"/>
  <c r="M530" i="31"/>
  <c r="M182" i="31"/>
  <c r="S534" i="54"/>
  <c r="S1232" i="54"/>
  <c r="S1232" i="52"/>
  <c r="S185" i="54"/>
  <c r="S1581" i="52"/>
  <c r="S534" i="52"/>
  <c r="S185" i="52"/>
  <c r="S1228" i="51"/>
  <c r="S883" i="54"/>
  <c r="S883" i="52"/>
  <c r="S884" i="53"/>
  <c r="S183" i="59"/>
  <c r="S880" i="51"/>
  <c r="S183" i="51"/>
  <c r="S531" i="51"/>
  <c r="S881" i="59"/>
  <c r="S532" i="59"/>
  <c r="S1233" i="53"/>
  <c r="S534" i="37"/>
  <c r="S1582" i="53"/>
  <c r="S185" i="37"/>
  <c r="S883" i="37"/>
  <c r="S186" i="53"/>
  <c r="S535" i="53"/>
  <c r="S187" i="31"/>
  <c r="S535" i="31"/>
  <c r="S1229" i="54"/>
  <c r="S1578" i="52"/>
  <c r="S182" i="54"/>
  <c r="S182" i="52"/>
  <c r="S531" i="54"/>
  <c r="S1229" i="52"/>
  <c r="S877" i="51"/>
  <c r="S880" i="54"/>
  <c r="S531" i="52"/>
  <c r="S529" i="59"/>
  <c r="S1225" i="51"/>
  <c r="S180" i="51"/>
  <c r="S528" i="51"/>
  <c r="S880" i="52"/>
  <c r="S1230" i="53"/>
  <c r="S1579" i="53"/>
  <c r="S880" i="37"/>
  <c r="S881" i="53"/>
  <c r="S183" i="53"/>
  <c r="S180" i="59"/>
  <c r="S878" i="59"/>
  <c r="S532" i="53"/>
  <c r="S532" i="31"/>
  <c r="S182" i="37"/>
  <c r="S184" i="31"/>
  <c r="S531" i="37"/>
  <c r="S175" i="54"/>
  <c r="S873" i="54"/>
  <c r="S1222" i="54"/>
  <c r="S1222" i="52"/>
  <c r="S175" i="52"/>
  <c r="S1571" i="52"/>
  <c r="S524" i="52"/>
  <c r="S1218" i="51"/>
  <c r="S524" i="54"/>
  <c r="S870" i="51"/>
  <c r="S871" i="59"/>
  <c r="S525" i="53"/>
  <c r="S173" i="51"/>
  <c r="S521" i="51"/>
  <c r="S1572" i="53"/>
  <c r="S873" i="52"/>
  <c r="S522" i="59"/>
  <c r="S874" i="53"/>
  <c r="S173" i="59"/>
  <c r="S175" i="37"/>
  <c r="S1223" i="53"/>
  <c r="S177" i="31"/>
  <c r="S873" i="37"/>
  <c r="S176" i="53"/>
  <c r="S525" i="31"/>
  <c r="S524" i="37"/>
  <c r="S522" i="54"/>
  <c r="S1220" i="54"/>
  <c r="S1220" i="52"/>
  <c r="S871" i="54"/>
  <c r="S522" i="52"/>
  <c r="S173" i="54"/>
  <c r="S871" i="52"/>
  <c r="S171" i="51"/>
  <c r="S872" i="53"/>
  <c r="S1216" i="51"/>
  <c r="S1569" i="52"/>
  <c r="S868" i="51"/>
  <c r="S519" i="51"/>
  <c r="S171" i="59"/>
  <c r="S869" i="59"/>
  <c r="S173" i="52"/>
  <c r="S174" i="53"/>
  <c r="S1221" i="53"/>
  <c r="S523" i="53"/>
  <c r="S522" i="37"/>
  <c r="S520" i="59"/>
  <c r="S1570" i="53"/>
  <c r="S523" i="31"/>
  <c r="S871" i="37"/>
  <c r="S173" i="37"/>
  <c r="S175" i="31"/>
  <c r="O1579" i="52"/>
  <c r="O881" i="54"/>
  <c r="O1230" i="54"/>
  <c r="O532" i="54"/>
  <c r="O1230" i="52"/>
  <c r="O881" i="52"/>
  <c r="O183" i="54"/>
  <c r="O532" i="52"/>
  <c r="O529" i="51"/>
  <c r="O181" i="51"/>
  <c r="O530" i="59"/>
  <c r="O1226" i="51"/>
  <c r="O879" i="59"/>
  <c r="O878" i="51"/>
  <c r="O183" i="52"/>
  <c r="O1231" i="53"/>
  <c r="O881" i="37"/>
  <c r="O181" i="59"/>
  <c r="O533" i="31"/>
  <c r="O184" i="53"/>
  <c r="O1580" i="53"/>
  <c r="O882" i="53"/>
  <c r="O533" i="53"/>
  <c r="O532" i="37"/>
  <c r="O185" i="31"/>
  <c r="O183" i="37"/>
  <c r="O1247" i="54"/>
  <c r="O1596" i="52"/>
  <c r="O200" i="54"/>
  <c r="O1247" i="52"/>
  <c r="O549" i="54"/>
  <c r="O898" i="52"/>
  <c r="O895" i="51"/>
  <c r="O898" i="54"/>
  <c r="O1243" i="51"/>
  <c r="O546" i="51"/>
  <c r="O200" i="52"/>
  <c r="O198" i="51"/>
  <c r="O549" i="52"/>
  <c r="O547" i="59"/>
  <c r="O1248" i="53"/>
  <c r="O198" i="59"/>
  <c r="O201" i="53"/>
  <c r="O898" i="37"/>
  <c r="O896" i="59"/>
  <c r="O1597" i="53"/>
  <c r="O550" i="31"/>
  <c r="O549" i="37"/>
  <c r="O550" i="53"/>
  <c r="O200" i="37"/>
  <c r="O899" i="53"/>
  <c r="O202" i="31"/>
  <c r="S881" i="54"/>
  <c r="S1230" i="54"/>
  <c r="S1579" i="52"/>
  <c r="S183" i="54"/>
  <c r="S1230" i="52"/>
  <c r="S881" i="52"/>
  <c r="S532" i="52"/>
  <c r="S878" i="51"/>
  <c r="S532" i="54"/>
  <c r="S183" i="52"/>
  <c r="S529" i="51"/>
  <c r="S1231" i="53"/>
  <c r="S530" i="59"/>
  <c r="S184" i="53"/>
  <c r="S1226" i="51"/>
  <c r="S181" i="51"/>
  <c r="S879" i="59"/>
  <c r="S533" i="53"/>
  <c r="S533" i="31"/>
  <c r="S1580" i="53"/>
  <c r="S881" i="37"/>
  <c r="S882" i="53"/>
  <c r="S181" i="59"/>
  <c r="S183" i="37"/>
  <c r="S532" i="37"/>
  <c r="S185" i="31"/>
  <c r="S1228" i="54"/>
  <c r="S181" i="54"/>
  <c r="S530" i="54"/>
  <c r="S879" i="54"/>
  <c r="S879" i="52"/>
  <c r="S1224" i="51"/>
  <c r="S530" i="52"/>
  <c r="S1577" i="52"/>
  <c r="S876" i="51"/>
  <c r="S1578" i="53"/>
  <c r="S181" i="52"/>
  <c r="S1228" i="52"/>
  <c r="S528" i="59"/>
  <c r="S179" i="51"/>
  <c r="S877" i="59"/>
  <c r="S531" i="53"/>
  <c r="S527" i="51"/>
  <c r="S181" i="37"/>
  <c r="S880" i="53"/>
  <c r="S182" i="53"/>
  <c r="S179" i="59"/>
  <c r="S1229" i="53"/>
  <c r="S879" i="37"/>
  <c r="S183" i="31"/>
  <c r="S530" i="37"/>
  <c r="S531" i="31"/>
  <c r="S180" i="54"/>
  <c r="S529" i="54"/>
  <c r="S1227" i="54"/>
  <c r="S529" i="52"/>
  <c r="S878" i="54"/>
  <c r="S878" i="52"/>
  <c r="S180" i="52"/>
  <c r="S178" i="51"/>
  <c r="S1576" i="52"/>
  <c r="S1227" i="52"/>
  <c r="S527" i="59"/>
  <c r="S1223" i="51"/>
  <c r="S876" i="59"/>
  <c r="S530" i="53"/>
  <c r="S875" i="51"/>
  <c r="S526" i="51"/>
  <c r="S1577" i="53"/>
  <c r="S529" i="37"/>
  <c r="S181" i="53"/>
  <c r="S178" i="59"/>
  <c r="S1228" i="53"/>
  <c r="S180" i="37"/>
  <c r="S878" i="37"/>
  <c r="S182" i="31"/>
  <c r="S530" i="31"/>
  <c r="S879" i="53"/>
  <c r="M1228" i="54"/>
  <c r="M1577" i="52"/>
  <c r="M181" i="54"/>
  <c r="M1228" i="52"/>
  <c r="M530" i="54"/>
  <c r="M530" i="52"/>
  <c r="M181" i="52"/>
  <c r="M876" i="51"/>
  <c r="M879" i="54"/>
  <c r="M1224" i="51"/>
  <c r="M879" i="52"/>
  <c r="M527" i="51"/>
  <c r="M528" i="59"/>
  <c r="M179" i="51"/>
  <c r="M1229" i="53"/>
  <c r="M1578" i="53"/>
  <c r="M179" i="59"/>
  <c r="M879" i="37"/>
  <c r="M531" i="53"/>
  <c r="M182" i="53"/>
  <c r="M877" i="59"/>
  <c r="M531" i="31"/>
  <c r="M880" i="53"/>
  <c r="M530" i="37"/>
  <c r="M183" i="31"/>
  <c r="M181" i="37"/>
  <c r="Q552" i="54"/>
  <c r="Q901" i="54"/>
  <c r="Q1250" i="54"/>
  <c r="Q901" i="52"/>
  <c r="Q1599" i="52"/>
  <c r="Q552" i="52"/>
  <c r="Q203" i="54"/>
  <c r="Q549" i="51"/>
  <c r="Q203" i="52"/>
  <c r="Q1250" i="52"/>
  <c r="Q1246" i="51"/>
  <c r="Q550" i="59"/>
  <c r="Q898" i="51"/>
  <c r="Q899" i="59"/>
  <c r="Q201" i="51"/>
  <c r="Q902" i="53"/>
  <c r="Q201" i="59"/>
  <c r="Q1251" i="53"/>
  <c r="Q553" i="53"/>
  <c r="Q204" i="53"/>
  <c r="Q901" i="37"/>
  <c r="Q1600" i="53"/>
  <c r="Q552" i="37"/>
  <c r="Q203" i="37"/>
  <c r="Q205" i="31"/>
  <c r="Q553" i="31"/>
  <c r="M897" i="54"/>
  <c r="M1246" i="54"/>
  <c r="M1595" i="52"/>
  <c r="M1246" i="52"/>
  <c r="M548" i="54"/>
  <c r="M199" i="54"/>
  <c r="M548" i="52"/>
  <c r="M897" i="52"/>
  <c r="M894" i="51"/>
  <c r="M199" i="52"/>
  <c r="M895" i="59"/>
  <c r="M197" i="51"/>
  <c r="M545" i="51"/>
  <c r="M1247" i="53"/>
  <c r="M1242" i="51"/>
  <c r="M546" i="59"/>
  <c r="M1596" i="53"/>
  <c r="M200" i="53"/>
  <c r="M197" i="59"/>
  <c r="M549" i="31"/>
  <c r="M549" i="53"/>
  <c r="M897" i="37"/>
  <c r="M201" i="31"/>
  <c r="M548" i="37"/>
  <c r="M898" i="53"/>
  <c r="M199" i="37"/>
  <c r="M546" i="54"/>
  <c r="M1244" i="54"/>
  <c r="M895" i="54"/>
  <c r="M546" i="52"/>
  <c r="M1593" i="52"/>
  <c r="M197" i="54"/>
  <c r="M195" i="51"/>
  <c r="M543" i="51"/>
  <c r="M1244" i="52"/>
  <c r="M1594" i="53"/>
  <c r="M895" i="52"/>
  <c r="M892" i="51"/>
  <c r="M1240" i="51"/>
  <c r="M197" i="52"/>
  <c r="M893" i="59"/>
  <c r="M547" i="53"/>
  <c r="M896" i="53"/>
  <c r="M195" i="59"/>
  <c r="M544" i="59"/>
  <c r="M197" i="37"/>
  <c r="M1245" i="53"/>
  <c r="M198" i="53"/>
  <c r="M895" i="37"/>
  <c r="M546" i="37"/>
  <c r="M547" i="31"/>
  <c r="M199" i="31"/>
  <c r="M191" i="54"/>
  <c r="M540" i="54"/>
  <c r="M540" i="52"/>
  <c r="M1238" i="54"/>
  <c r="M1587" i="52"/>
  <c r="M1238" i="52"/>
  <c r="M889" i="52"/>
  <c r="M889" i="54"/>
  <c r="M886" i="51"/>
  <c r="M887" i="59"/>
  <c r="M541" i="53"/>
  <c r="M1234" i="51"/>
  <c r="M189" i="51"/>
  <c r="M191" i="52"/>
  <c r="M537" i="51"/>
  <c r="M1588" i="53"/>
  <c r="M538" i="59"/>
  <c r="M1239" i="53"/>
  <c r="M192" i="53"/>
  <c r="M189" i="59"/>
  <c r="M191" i="37"/>
  <c r="M890" i="53"/>
  <c r="M889" i="37"/>
  <c r="M540" i="37"/>
  <c r="M193" i="31"/>
  <c r="M541" i="31"/>
  <c r="M538" i="54"/>
  <c r="M887" i="54"/>
  <c r="M1236" i="54"/>
  <c r="M887" i="52"/>
  <c r="M1585" i="52"/>
  <c r="M189" i="54"/>
  <c r="M538" i="52"/>
  <c r="M1236" i="52"/>
  <c r="M535" i="51"/>
  <c r="M884" i="51"/>
  <c r="M885" i="59"/>
  <c r="M1232" i="51"/>
  <c r="M187" i="51"/>
  <c r="M888" i="53"/>
  <c r="M189" i="52"/>
  <c r="M187" i="59"/>
  <c r="M1237" i="53"/>
  <c r="M539" i="53"/>
  <c r="M887" i="37"/>
  <c r="M1586" i="53"/>
  <c r="M536" i="59"/>
  <c r="M538" i="37"/>
  <c r="M190" i="53"/>
  <c r="M189" i="37"/>
  <c r="M191" i="31"/>
  <c r="M539" i="31"/>
  <c r="M203" i="54"/>
  <c r="M552" i="54"/>
  <c r="M552" i="52"/>
  <c r="M1250" i="54"/>
  <c r="M901" i="54"/>
  <c r="M901" i="52"/>
  <c r="M203" i="52"/>
  <c r="M1250" i="52"/>
  <c r="M1599" i="52"/>
  <c r="M1246" i="51"/>
  <c r="M899" i="59"/>
  <c r="M553" i="53"/>
  <c r="M549" i="51"/>
  <c r="M201" i="51"/>
  <c r="M898" i="51"/>
  <c r="M1600" i="53"/>
  <c r="M204" i="53"/>
  <c r="M201" i="59"/>
  <c r="M550" i="59"/>
  <c r="M203" i="37"/>
  <c r="M902" i="53"/>
  <c r="M901" i="37"/>
  <c r="M552" i="37"/>
  <c r="M553" i="31"/>
  <c r="M1251" i="53"/>
  <c r="M205" i="31"/>
  <c r="S1241" i="54"/>
  <c r="S1590" i="52"/>
  <c r="S194" i="54"/>
  <c r="S892" i="54"/>
  <c r="S194" i="52"/>
  <c r="S543" i="54"/>
  <c r="S1241" i="52"/>
  <c r="S543" i="52"/>
  <c r="S892" i="52"/>
  <c r="S1237" i="51"/>
  <c r="S889" i="51"/>
  <c r="S192" i="51"/>
  <c r="S540" i="51"/>
  <c r="S541" i="59"/>
  <c r="S1242" i="53"/>
  <c r="S1591" i="53"/>
  <c r="S893" i="53"/>
  <c r="S192" i="59"/>
  <c r="S195" i="53"/>
  <c r="S892" i="37"/>
  <c r="S544" i="53"/>
  <c r="S890" i="59"/>
  <c r="S544" i="31"/>
  <c r="S543" i="37"/>
  <c r="S196" i="31"/>
  <c r="S194" i="37"/>
  <c r="O1223" i="54"/>
  <c r="O1572" i="52"/>
  <c r="O176" i="54"/>
  <c r="O1223" i="52"/>
  <c r="O525" i="54"/>
  <c r="O871" i="51"/>
  <c r="O874" i="54"/>
  <c r="O874" i="52"/>
  <c r="O525" i="52"/>
  <c r="O176" i="52"/>
  <c r="O523" i="59"/>
  <c r="O174" i="51"/>
  <c r="O522" i="51"/>
  <c r="O1219" i="51"/>
  <c r="O1224" i="53"/>
  <c r="O177" i="53"/>
  <c r="O872" i="59"/>
  <c r="O1573" i="53"/>
  <c r="O874" i="37"/>
  <c r="O875" i="53"/>
  <c r="O174" i="59"/>
  <c r="O526" i="53"/>
  <c r="O526" i="31"/>
  <c r="O176" i="37"/>
  <c r="O525" i="37"/>
  <c r="O178" i="31"/>
  <c r="S869" i="54"/>
  <c r="S1218" i="54"/>
  <c r="S1567" i="52"/>
  <c r="S171" i="54"/>
  <c r="S869" i="52"/>
  <c r="S1218" i="52"/>
  <c r="S171" i="52"/>
  <c r="S520" i="54"/>
  <c r="S866" i="51"/>
  <c r="S1214" i="51"/>
  <c r="S517" i="51"/>
  <c r="S1219" i="53"/>
  <c r="S518" i="59"/>
  <c r="S172" i="53"/>
  <c r="S867" i="59"/>
  <c r="S520" i="52"/>
  <c r="S169" i="51"/>
  <c r="S521" i="31"/>
  <c r="S169" i="59"/>
  <c r="S869" i="37"/>
  <c r="S1568" i="53"/>
  <c r="S870" i="53"/>
  <c r="S520" i="37"/>
  <c r="S521" i="53"/>
  <c r="S171" i="37"/>
  <c r="S173" i="31"/>
  <c r="S1216" i="54"/>
  <c r="S169" i="54"/>
  <c r="S518" i="54"/>
  <c r="S867" i="54"/>
  <c r="S169" i="52"/>
  <c r="S1212" i="51"/>
  <c r="S867" i="52"/>
  <c r="S1565" i="52"/>
  <c r="S518" i="52"/>
  <c r="S515" i="51"/>
  <c r="S1566" i="53"/>
  <c r="S1216" i="52"/>
  <c r="S516" i="59"/>
  <c r="S865" i="59"/>
  <c r="S519" i="53"/>
  <c r="S167" i="51"/>
  <c r="S864" i="51"/>
  <c r="S169" i="37"/>
  <c r="S1217" i="53"/>
  <c r="S167" i="59"/>
  <c r="S519" i="31"/>
  <c r="S170" i="53"/>
  <c r="S518" i="37"/>
  <c r="S171" i="31"/>
  <c r="S868" i="53"/>
  <c r="S867" i="37"/>
  <c r="M892" i="54"/>
  <c r="M1241" i="54"/>
  <c r="M1590" i="52"/>
  <c r="M194" i="54"/>
  <c r="M892" i="52"/>
  <c r="M543" i="54"/>
  <c r="M1237" i="51"/>
  <c r="M543" i="52"/>
  <c r="M194" i="52"/>
  <c r="M540" i="51"/>
  <c r="M1242" i="53"/>
  <c r="M889" i="51"/>
  <c r="M1241" i="52"/>
  <c r="M541" i="59"/>
  <c r="M890" i="59"/>
  <c r="M192" i="51"/>
  <c r="M544" i="31"/>
  <c r="M192" i="59"/>
  <c r="M892" i="37"/>
  <c r="M1591" i="53"/>
  <c r="M893" i="53"/>
  <c r="M543" i="37"/>
  <c r="M195" i="53"/>
  <c r="M544" i="53"/>
  <c r="M194" i="37"/>
  <c r="M196" i="31"/>
  <c r="M1216" i="54"/>
  <c r="M1565" i="52"/>
  <c r="M169" i="54"/>
  <c r="M518" i="54"/>
  <c r="M1216" i="52"/>
  <c r="M867" i="54"/>
  <c r="M864" i="51"/>
  <c r="M518" i="52"/>
  <c r="M167" i="51"/>
  <c r="M867" i="52"/>
  <c r="M516" i="59"/>
  <c r="M1212" i="51"/>
  <c r="M169" i="52"/>
  <c r="M515" i="51"/>
  <c r="M1217" i="53"/>
  <c r="M1566" i="53"/>
  <c r="M867" i="37"/>
  <c r="M868" i="53"/>
  <c r="M865" i="59"/>
  <c r="M170" i="53"/>
  <c r="M167" i="59"/>
  <c r="M519" i="53"/>
  <c r="M519" i="31"/>
  <c r="M169" i="37"/>
  <c r="M518" i="37"/>
  <c r="M171" i="31"/>
  <c r="Q540" i="54"/>
  <c r="Q889" i="54"/>
  <c r="Q1238" i="54"/>
  <c r="Q889" i="52"/>
  <c r="Q1238" i="52"/>
  <c r="Q886" i="51"/>
  <c r="Q191" i="54"/>
  <c r="Q537" i="51"/>
  <c r="Q540" i="52"/>
  <c r="Q191" i="52"/>
  <c r="Q538" i="59"/>
  <c r="Q887" i="59"/>
  <c r="Q1587" i="52"/>
  <c r="Q890" i="53"/>
  <c r="Q1234" i="51"/>
  <c r="Q189" i="51"/>
  <c r="Q189" i="59"/>
  <c r="Q192" i="53"/>
  <c r="Q889" i="37"/>
  <c r="Q1239" i="53"/>
  <c r="Q541" i="53"/>
  <c r="Q1588" i="53"/>
  <c r="Q540" i="37"/>
  <c r="Q541" i="31"/>
  <c r="Q193" i="31"/>
  <c r="Q191" i="37"/>
  <c r="M526" i="54"/>
  <c r="M875" i="54"/>
  <c r="M1224" i="54"/>
  <c r="M875" i="52"/>
  <c r="M177" i="54"/>
  <c r="M523" i="51"/>
  <c r="M1224" i="52"/>
  <c r="M1573" i="52"/>
  <c r="M177" i="52"/>
  <c r="M873" i="59"/>
  <c r="M872" i="51"/>
  <c r="M876" i="53"/>
  <c r="M175" i="51"/>
  <c r="M526" i="52"/>
  <c r="M1220" i="51"/>
  <c r="M175" i="59"/>
  <c r="M875" i="37"/>
  <c r="M524" i="59"/>
  <c r="M1225" i="53"/>
  <c r="M527" i="53"/>
  <c r="M1574" i="53"/>
  <c r="M526" i="37"/>
  <c r="M527" i="31"/>
  <c r="M179" i="31"/>
  <c r="M177" i="37"/>
  <c r="M178" i="53"/>
  <c r="M873" i="54"/>
  <c r="M1222" i="54"/>
  <c r="M1222" i="52"/>
  <c r="M175" i="54"/>
  <c r="M524" i="54"/>
  <c r="M873" i="52"/>
  <c r="M524" i="52"/>
  <c r="M870" i="51"/>
  <c r="M521" i="51"/>
  <c r="M871" i="59"/>
  <c r="M173" i="51"/>
  <c r="M1223" i="53"/>
  <c r="M1218" i="51"/>
  <c r="M1571" i="52"/>
  <c r="M175" i="52"/>
  <c r="M522" i="59"/>
  <c r="M173" i="59"/>
  <c r="M176" i="53"/>
  <c r="M525" i="31"/>
  <c r="M1572" i="53"/>
  <c r="M873" i="37"/>
  <c r="M524" i="37"/>
  <c r="M177" i="31"/>
  <c r="M874" i="53"/>
  <c r="M175" i="37"/>
  <c r="M525" i="53"/>
  <c r="Q1598" i="52"/>
  <c r="Q900" i="54"/>
  <c r="Q1249" i="54"/>
  <c r="Q551" i="54"/>
  <c r="Q1249" i="52"/>
  <c r="Q900" i="52"/>
  <c r="Q202" i="54"/>
  <c r="Q897" i="51"/>
  <c r="Q551" i="52"/>
  <c r="Q548" i="51"/>
  <c r="Q1245" i="51"/>
  <c r="Q549" i="59"/>
  <c r="Q898" i="59"/>
  <c r="Q202" i="52"/>
  <c r="Q200" i="51"/>
  <c r="Q1250" i="53"/>
  <c r="Q552" i="53"/>
  <c r="Q203" i="53"/>
  <c r="Q900" i="37"/>
  <c r="Q1599" i="53"/>
  <c r="Q552" i="31"/>
  <c r="Q901" i="53"/>
  <c r="Q200" i="59"/>
  <c r="Q202" i="37"/>
  <c r="Q204" i="31"/>
  <c r="Q551" i="37"/>
  <c r="Q200" i="54"/>
  <c r="Q1247" i="54"/>
  <c r="Q898" i="54"/>
  <c r="Q1247" i="52"/>
  <c r="Q898" i="52"/>
  <c r="Q1243" i="51"/>
  <c r="Q549" i="54"/>
  <c r="Q549" i="52"/>
  <c r="Q200" i="52"/>
  <c r="Q1596" i="52"/>
  <c r="Q895" i="51"/>
  <c r="Q896" i="59"/>
  <c r="Q550" i="53"/>
  <c r="Q198" i="51"/>
  <c r="Q1597" i="53"/>
  <c r="Q546" i="51"/>
  <c r="Q547" i="59"/>
  <c r="Q899" i="53"/>
  <c r="Q200" i="37"/>
  <c r="Q198" i="59"/>
  <c r="Q1248" i="53"/>
  <c r="Q202" i="31"/>
  <c r="Q201" i="53"/>
  <c r="Q898" i="37"/>
  <c r="Q549" i="37"/>
  <c r="Q550" i="31"/>
  <c r="M885" i="54"/>
  <c r="M1234" i="54"/>
  <c r="M1234" i="52"/>
  <c r="M536" i="54"/>
  <c r="M187" i="52"/>
  <c r="M885" i="52"/>
  <c r="M1230" i="51"/>
  <c r="M882" i="51"/>
  <c r="M187" i="54"/>
  <c r="M536" i="52"/>
  <c r="M883" i="59"/>
  <c r="M185" i="51"/>
  <c r="M1235" i="53"/>
  <c r="M533" i="51"/>
  <c r="M1583" i="52"/>
  <c r="M534" i="59"/>
  <c r="M188" i="53"/>
  <c r="M1584" i="53"/>
  <c r="M537" i="31"/>
  <c r="M886" i="53"/>
  <c r="M185" i="59"/>
  <c r="M537" i="53"/>
  <c r="M885" i="37"/>
  <c r="M187" i="37"/>
  <c r="M189" i="31"/>
  <c r="M536" i="37"/>
  <c r="S1217" i="54"/>
  <c r="S1566" i="52"/>
  <c r="S170" i="54"/>
  <c r="S170" i="52"/>
  <c r="S519" i="54"/>
  <c r="S868" i="52"/>
  <c r="S1217" i="52"/>
  <c r="S868" i="54"/>
  <c r="S1213" i="51"/>
  <c r="S865" i="51"/>
  <c r="S516" i="51"/>
  <c r="S517" i="59"/>
  <c r="S171" i="53"/>
  <c r="S519" i="52"/>
  <c r="S168" i="51"/>
  <c r="S1218" i="53"/>
  <c r="S168" i="59"/>
  <c r="S868" i="37"/>
  <c r="S1567" i="53"/>
  <c r="S866" i="59"/>
  <c r="S520" i="31"/>
  <c r="S519" i="37"/>
  <c r="S520" i="53"/>
  <c r="S170" i="37"/>
  <c r="S172" i="31"/>
  <c r="S869" i="53"/>
  <c r="S187" i="54"/>
  <c r="S885" i="54"/>
  <c r="S1234" i="54"/>
  <c r="S1234" i="52"/>
  <c r="S187" i="52"/>
  <c r="S1583" i="52"/>
  <c r="S1230" i="51"/>
  <c r="S536" i="54"/>
  <c r="S533" i="51"/>
  <c r="S883" i="59"/>
  <c r="S537" i="53"/>
  <c r="S1584" i="53"/>
  <c r="S882" i="51"/>
  <c r="S185" i="51"/>
  <c r="S534" i="59"/>
  <c r="S885" i="52"/>
  <c r="S536" i="52"/>
  <c r="S1235" i="53"/>
  <c r="S187" i="37"/>
  <c r="S185" i="59"/>
  <c r="S188" i="53"/>
  <c r="S886" i="53"/>
  <c r="S537" i="31"/>
  <c r="S189" i="31"/>
  <c r="S885" i="37"/>
  <c r="S536" i="37"/>
  <c r="M545" i="54"/>
  <c r="M1243" i="54"/>
  <c r="M545" i="52"/>
  <c r="M894" i="54"/>
  <c r="M196" i="54"/>
  <c r="M196" i="52"/>
  <c r="M894" i="52"/>
  <c r="M1592" i="52"/>
  <c r="M1243" i="52"/>
  <c r="M194" i="51"/>
  <c r="M895" i="53"/>
  <c r="M542" i="51"/>
  <c r="M891" i="51"/>
  <c r="M194" i="59"/>
  <c r="M1239" i="51"/>
  <c r="M892" i="59"/>
  <c r="M543" i="59"/>
  <c r="M1244" i="53"/>
  <c r="M546" i="53"/>
  <c r="M545" i="37"/>
  <c r="M1593" i="53"/>
  <c r="M546" i="31"/>
  <c r="M197" i="53"/>
  <c r="M894" i="37"/>
  <c r="M198" i="31"/>
  <c r="M196" i="37"/>
  <c r="M893" i="54"/>
  <c r="M1242" i="54"/>
  <c r="M1591" i="52"/>
  <c r="M893" i="52"/>
  <c r="M544" i="54"/>
  <c r="M195" i="52"/>
  <c r="M541" i="51"/>
  <c r="M544" i="52"/>
  <c r="M1242" i="52"/>
  <c r="M195" i="54"/>
  <c r="M890" i="51"/>
  <c r="M193" i="59"/>
  <c r="M1238" i="51"/>
  <c r="M891" i="59"/>
  <c r="M193" i="51"/>
  <c r="M894" i="53"/>
  <c r="M542" i="59"/>
  <c r="M1243" i="53"/>
  <c r="M545" i="53"/>
  <c r="M544" i="37"/>
  <c r="M893" i="37"/>
  <c r="M1592" i="53"/>
  <c r="M545" i="31"/>
  <c r="M196" i="53"/>
  <c r="M195" i="37"/>
  <c r="M197" i="31"/>
  <c r="M880" i="54"/>
  <c r="M1229" i="54"/>
  <c r="M1578" i="52"/>
  <c r="M182" i="54"/>
  <c r="M880" i="52"/>
  <c r="M1229" i="52"/>
  <c r="M531" i="52"/>
  <c r="M531" i="54"/>
  <c r="M528" i="51"/>
  <c r="M1230" i="53"/>
  <c r="M1225" i="51"/>
  <c r="M182" i="52"/>
  <c r="M529" i="59"/>
  <c r="M877" i="51"/>
  <c r="M878" i="59"/>
  <c r="M180" i="51"/>
  <c r="M532" i="31"/>
  <c r="M1579" i="53"/>
  <c r="M180" i="59"/>
  <c r="M880" i="37"/>
  <c r="M532" i="53"/>
  <c r="M881" i="53"/>
  <c r="M531" i="37"/>
  <c r="M183" i="53"/>
  <c r="M184" i="31"/>
  <c r="M182" i="37"/>
  <c r="Q1239" i="52"/>
  <c r="Q541" i="54"/>
  <c r="Q890" i="54"/>
  <c r="Q1239" i="54"/>
  <c r="Q192" i="54"/>
  <c r="Q541" i="52"/>
  <c r="Q890" i="52"/>
  <c r="Q1588" i="52"/>
  <c r="Q192" i="52"/>
  <c r="Q190" i="51"/>
  <c r="Q1235" i="51"/>
  <c r="Q190" i="59"/>
  <c r="Q538" i="51"/>
  <c r="Q888" i="59"/>
  <c r="Q891" i="53"/>
  <c r="Q887" i="51"/>
  <c r="Q541" i="37"/>
  <c r="Q539" i="59"/>
  <c r="Q1240" i="53"/>
  <c r="Q542" i="53"/>
  <c r="Q1589" i="53"/>
  <c r="Q193" i="53"/>
  <c r="Q890" i="37"/>
  <c r="Q542" i="31"/>
  <c r="Q194" i="31"/>
  <c r="Q192" i="37"/>
  <c r="Q528" i="54"/>
  <c r="Q877" i="54"/>
  <c r="Q1226" i="54"/>
  <c r="Q877" i="52"/>
  <c r="Q1575" i="52"/>
  <c r="Q179" i="54"/>
  <c r="Q179" i="52"/>
  <c r="Q1222" i="51"/>
  <c r="Q528" i="52"/>
  <c r="Q525" i="51"/>
  <c r="Q874" i="51"/>
  <c r="Q526" i="59"/>
  <c r="Q875" i="59"/>
  <c r="Q1226" i="52"/>
  <c r="Q878" i="53"/>
  <c r="Q177" i="51"/>
  <c r="Q177" i="59"/>
  <c r="Q180" i="53"/>
  <c r="Q877" i="37"/>
  <c r="Q1576" i="53"/>
  <c r="Q1227" i="53"/>
  <c r="Q528" i="37"/>
  <c r="Q181" i="31"/>
  <c r="Q529" i="31"/>
  <c r="Q529" i="53"/>
  <c r="Q179" i="37"/>
  <c r="Q188" i="54"/>
  <c r="Q1235" i="54"/>
  <c r="Q886" i="54"/>
  <c r="Q1235" i="52"/>
  <c r="Q188" i="52"/>
  <c r="Q1584" i="52"/>
  <c r="Q1231" i="51"/>
  <c r="Q886" i="52"/>
  <c r="Q537" i="52"/>
  <c r="Q537" i="54"/>
  <c r="Q534" i="51"/>
  <c r="Q884" i="59"/>
  <c r="Q538" i="53"/>
  <c r="Q186" i="51"/>
  <c r="Q883" i="51"/>
  <c r="Q1585" i="53"/>
  <c r="Q535" i="59"/>
  <c r="Q1236" i="53"/>
  <c r="Q188" i="37"/>
  <c r="Q186" i="59"/>
  <c r="Q538" i="31"/>
  <c r="Q190" i="31"/>
  <c r="Q189" i="53"/>
  <c r="Q886" i="37"/>
  <c r="Q887" i="53"/>
  <c r="Q537" i="37"/>
  <c r="Q535" i="54"/>
  <c r="Q1233" i="54"/>
  <c r="Q1233" i="52"/>
  <c r="Q1582" i="52"/>
  <c r="Q535" i="52"/>
  <c r="Q186" i="54"/>
  <c r="Q884" i="54"/>
  <c r="Q884" i="52"/>
  <c r="Q1229" i="51"/>
  <c r="Q885" i="53"/>
  <c r="Q184" i="51"/>
  <c r="Q881" i="51"/>
  <c r="Q184" i="59"/>
  <c r="Q532" i="51"/>
  <c r="Q882" i="59"/>
  <c r="Q186" i="52"/>
  <c r="Q1234" i="53"/>
  <c r="Q533" i="59"/>
  <c r="Q535" i="37"/>
  <c r="Q1583" i="53"/>
  <c r="Q186" i="37"/>
  <c r="Q536" i="53"/>
  <c r="Q187" i="53"/>
  <c r="Q884" i="37"/>
  <c r="Q536" i="31"/>
  <c r="Q188" i="31"/>
  <c r="Q1574" i="52"/>
  <c r="Q876" i="54"/>
  <c r="Q1225" i="54"/>
  <c r="Q527" i="54"/>
  <c r="Q1225" i="52"/>
  <c r="Q876" i="52"/>
  <c r="Q873" i="51"/>
  <c r="Q178" i="54"/>
  <c r="Q178" i="52"/>
  <c r="Q524" i="51"/>
  <c r="Q1221" i="51"/>
  <c r="Q525" i="59"/>
  <c r="Q874" i="59"/>
  <c r="Q527" i="52"/>
  <c r="Q1226" i="53"/>
  <c r="Q176" i="51"/>
  <c r="Q179" i="53"/>
  <c r="Q876" i="37"/>
  <c r="Q1575" i="53"/>
  <c r="Q176" i="59"/>
  <c r="Q528" i="31"/>
  <c r="Q180" i="31"/>
  <c r="Q527" i="37"/>
  <c r="Q877" i="53"/>
  <c r="Q528" i="53"/>
  <c r="Q178" i="37"/>
  <c r="Q176" i="54"/>
  <c r="Q1223" i="54"/>
  <c r="Q1223" i="52"/>
  <c r="Q176" i="52"/>
  <c r="Q874" i="54"/>
  <c r="Q1572" i="52"/>
  <c r="Q525" i="52"/>
  <c r="Q1219" i="51"/>
  <c r="Q871" i="51"/>
  <c r="Q525" i="54"/>
  <c r="Q874" i="52"/>
  <c r="Q872" i="59"/>
  <c r="Q526" i="53"/>
  <c r="Q522" i="51"/>
  <c r="Q174" i="51"/>
  <c r="Q1573" i="53"/>
  <c r="Q523" i="59"/>
  <c r="Q875" i="53"/>
  <c r="Q174" i="59"/>
  <c r="Q176" i="37"/>
  <c r="Q1224" i="53"/>
  <c r="Q178" i="31"/>
  <c r="Q525" i="37"/>
  <c r="Q526" i="31"/>
  <c r="Q177" i="53"/>
  <c r="Q874" i="37"/>
  <c r="Q547" i="54"/>
  <c r="Q1245" i="54"/>
  <c r="Q198" i="54"/>
  <c r="Q1594" i="52"/>
  <c r="Q896" i="54"/>
  <c r="Q547" i="52"/>
  <c r="Q198" i="52"/>
  <c r="Q893" i="51"/>
  <c r="Q1245" i="52"/>
  <c r="Q896" i="52"/>
  <c r="Q897" i="53"/>
  <c r="Q196" i="51"/>
  <c r="Q544" i="51"/>
  <c r="Q196" i="59"/>
  <c r="Q894" i="59"/>
  <c r="Q1241" i="51"/>
  <c r="Q1595" i="53"/>
  <c r="Q547" i="37"/>
  <c r="Q545" i="59"/>
  <c r="Q198" i="37"/>
  <c r="Q548" i="53"/>
  <c r="Q199" i="53"/>
  <c r="Q896" i="37"/>
  <c r="Q548" i="31"/>
  <c r="Q1246" i="53"/>
  <c r="Q200" i="31"/>
  <c r="M550" i="54"/>
  <c r="M899" i="54"/>
  <c r="M1248" i="54"/>
  <c r="M899" i="52"/>
  <c r="M1597" i="52"/>
  <c r="M201" i="54"/>
  <c r="M1248" i="52"/>
  <c r="M550" i="52"/>
  <c r="M201" i="52"/>
  <c r="M1244" i="51"/>
  <c r="M547" i="51"/>
  <c r="M897" i="59"/>
  <c r="M199" i="51"/>
  <c r="M900" i="53"/>
  <c r="M896" i="51"/>
  <c r="M199" i="59"/>
  <c r="M899" i="37"/>
  <c r="M1598" i="53"/>
  <c r="M548" i="59"/>
  <c r="M1249" i="53"/>
  <c r="M550" i="37"/>
  <c r="M203" i="31"/>
  <c r="M551" i="31"/>
  <c r="M551" i="53"/>
  <c r="M202" i="53"/>
  <c r="M201" i="37"/>
  <c r="M186" i="54"/>
  <c r="M1233" i="54"/>
  <c r="M884" i="54"/>
  <c r="M1233" i="52"/>
  <c r="M884" i="52"/>
  <c r="M1229" i="51"/>
  <c r="M1582" i="52"/>
  <c r="M535" i="54"/>
  <c r="M881" i="51"/>
  <c r="M882" i="59"/>
  <c r="M536" i="53"/>
  <c r="M184" i="51"/>
  <c r="M186" i="52"/>
  <c r="M1583" i="53"/>
  <c r="M532" i="51"/>
  <c r="M535" i="52"/>
  <c r="M187" i="53"/>
  <c r="M885" i="53"/>
  <c r="M186" i="37"/>
  <c r="M184" i="59"/>
  <c r="M533" i="59"/>
  <c r="M1234" i="53"/>
  <c r="M188" i="31"/>
  <c r="M884" i="37"/>
  <c r="M535" i="37"/>
  <c r="M536" i="31"/>
  <c r="M533" i="54"/>
  <c r="M1231" i="54"/>
  <c r="M1580" i="52"/>
  <c r="M882" i="54"/>
  <c r="M533" i="52"/>
  <c r="M184" i="54"/>
  <c r="M184" i="52"/>
  <c r="M1231" i="52"/>
  <c r="M882" i="52"/>
  <c r="M883" i="53"/>
  <c r="M182" i="51"/>
  <c r="M1227" i="51"/>
  <c r="M530" i="51"/>
  <c r="M182" i="59"/>
  <c r="M879" i="51"/>
  <c r="M880" i="59"/>
  <c r="M1581" i="53"/>
  <c r="M533" i="37"/>
  <c r="M531" i="59"/>
  <c r="M184" i="37"/>
  <c r="M185" i="53"/>
  <c r="M534" i="53"/>
  <c r="M882" i="37"/>
  <c r="M1232" i="53"/>
  <c r="M534" i="31"/>
  <c r="M186" i="31"/>
  <c r="M881" i="54"/>
  <c r="M1230" i="54"/>
  <c r="M1579" i="52"/>
  <c r="M183" i="54"/>
  <c r="M881" i="52"/>
  <c r="M1230" i="52"/>
  <c r="M532" i="54"/>
  <c r="M529" i="51"/>
  <c r="M181" i="51"/>
  <c r="M1226" i="51"/>
  <c r="M183" i="52"/>
  <c r="M181" i="59"/>
  <c r="M878" i="51"/>
  <c r="M532" i="52"/>
  <c r="M879" i="59"/>
  <c r="M882" i="53"/>
  <c r="M1580" i="53"/>
  <c r="M532" i="37"/>
  <c r="M530" i="59"/>
  <c r="M881" i="37"/>
  <c r="M1231" i="53"/>
  <c r="M184" i="53"/>
  <c r="M533" i="53"/>
  <c r="M533" i="31"/>
  <c r="M183" i="37"/>
  <c r="M185" i="31"/>
  <c r="M868" i="54"/>
  <c r="M1217" i="54"/>
  <c r="M1566" i="52"/>
  <c r="M868" i="52"/>
  <c r="M519" i="54"/>
  <c r="M519" i="52"/>
  <c r="M170" i="54"/>
  <c r="M1217" i="52"/>
  <c r="M516" i="51"/>
  <c r="M1218" i="53"/>
  <c r="M168" i="51"/>
  <c r="M517" i="59"/>
  <c r="M1213" i="51"/>
  <c r="M866" i="59"/>
  <c r="M170" i="52"/>
  <c r="M865" i="51"/>
  <c r="M520" i="53"/>
  <c r="M520" i="31"/>
  <c r="M1567" i="53"/>
  <c r="M868" i="37"/>
  <c r="M869" i="53"/>
  <c r="M168" i="59"/>
  <c r="M170" i="37"/>
  <c r="M171" i="53"/>
  <c r="M519" i="37"/>
  <c r="M172" i="31"/>
  <c r="Q1227" i="52"/>
  <c r="Q529" i="54"/>
  <c r="Q878" i="54"/>
  <c r="Q1227" i="54"/>
  <c r="Q180" i="54"/>
  <c r="Q529" i="52"/>
  <c r="Q1576" i="52"/>
  <c r="Q180" i="52"/>
  <c r="Q178" i="51"/>
  <c r="Q1223" i="51"/>
  <c r="Q178" i="59"/>
  <c r="Q875" i="51"/>
  <c r="Q878" i="52"/>
  <c r="Q876" i="59"/>
  <c r="Q526" i="51"/>
  <c r="Q879" i="53"/>
  <c r="Q529" i="37"/>
  <c r="Q1577" i="53"/>
  <c r="Q1228" i="53"/>
  <c r="Q527" i="59"/>
  <c r="Q180" i="37"/>
  <c r="Q182" i="31"/>
  <c r="Q530" i="31"/>
  <c r="Q181" i="53"/>
  <c r="Q878" i="37"/>
  <c r="Q530" i="53"/>
  <c r="O900" i="54"/>
  <c r="O1249" i="54"/>
  <c r="O1598" i="52"/>
  <c r="O900" i="52"/>
  <c r="O202" i="54"/>
  <c r="O548" i="51"/>
  <c r="O1249" i="52"/>
  <c r="O202" i="52"/>
  <c r="O551" i="54"/>
  <c r="O551" i="52"/>
  <c r="O1245" i="51"/>
  <c r="O897" i="51"/>
  <c r="O200" i="51"/>
  <c r="O200" i="59"/>
  <c r="O898" i="59"/>
  <c r="O901" i="53"/>
  <c r="O1250" i="53"/>
  <c r="O549" i="59"/>
  <c r="O552" i="53"/>
  <c r="O551" i="37"/>
  <c r="O900" i="37"/>
  <c r="O1599" i="53"/>
  <c r="O552" i="31"/>
  <c r="O203" i="53"/>
  <c r="O202" i="37"/>
  <c r="O204" i="31"/>
  <c r="O1246" i="54"/>
  <c r="O199" i="54"/>
  <c r="O548" i="54"/>
  <c r="O1246" i="52"/>
  <c r="O1242" i="51"/>
  <c r="O897" i="54"/>
  <c r="O897" i="52"/>
  <c r="O1595" i="52"/>
  <c r="O548" i="52"/>
  <c r="O894" i="51"/>
  <c r="O545" i="51"/>
  <c r="O1596" i="53"/>
  <c r="O199" i="52"/>
  <c r="O197" i="51"/>
  <c r="O895" i="59"/>
  <c r="O549" i="53"/>
  <c r="O199" i="37"/>
  <c r="O1247" i="53"/>
  <c r="O546" i="59"/>
  <c r="O197" i="59"/>
  <c r="O200" i="53"/>
  <c r="O549" i="31"/>
  <c r="O897" i="37"/>
  <c r="O201" i="31"/>
  <c r="O898" i="53"/>
  <c r="O548" i="37"/>
  <c r="O546" i="54"/>
  <c r="O895" i="54"/>
  <c r="O1244" i="54"/>
  <c r="O197" i="54"/>
  <c r="O1593" i="52"/>
  <c r="O546" i="52"/>
  <c r="O1244" i="52"/>
  <c r="O197" i="52"/>
  <c r="O895" i="52"/>
  <c r="O195" i="51"/>
  <c r="O195" i="59"/>
  <c r="O892" i="51"/>
  <c r="O893" i="59"/>
  <c r="O896" i="53"/>
  <c r="O1240" i="51"/>
  <c r="O543" i="51"/>
  <c r="O546" i="37"/>
  <c r="O1245" i="53"/>
  <c r="O544" i="59"/>
  <c r="O1594" i="53"/>
  <c r="O198" i="53"/>
  <c r="O895" i="37"/>
  <c r="O547" i="53"/>
  <c r="O197" i="37"/>
  <c r="O199" i="31"/>
  <c r="O547" i="31"/>
  <c r="O887" i="54"/>
  <c r="O1236" i="54"/>
  <c r="O1585" i="52"/>
  <c r="O887" i="52"/>
  <c r="O189" i="54"/>
  <c r="O538" i="54"/>
  <c r="O1236" i="52"/>
  <c r="O535" i="51"/>
  <c r="O1237" i="53"/>
  <c r="O538" i="52"/>
  <c r="O1232" i="51"/>
  <c r="O187" i="51"/>
  <c r="O536" i="59"/>
  <c r="O189" i="52"/>
  <c r="O884" i="51"/>
  <c r="O885" i="59"/>
  <c r="O539" i="31"/>
  <c r="O1586" i="53"/>
  <c r="O190" i="53"/>
  <c r="O187" i="59"/>
  <c r="O887" i="37"/>
  <c r="O539" i="53"/>
  <c r="O538" i="37"/>
  <c r="O888" i="53"/>
  <c r="O189" i="37"/>
  <c r="O191" i="31"/>
  <c r="O1234" i="54"/>
  <c r="O187" i="54"/>
  <c r="O536" i="54"/>
  <c r="O1583" i="52"/>
  <c r="O1234" i="52"/>
  <c r="O536" i="52"/>
  <c r="O1230" i="51"/>
  <c r="O885" i="54"/>
  <c r="O187" i="52"/>
  <c r="O885" i="52"/>
  <c r="O882" i="51"/>
  <c r="O1584" i="53"/>
  <c r="O185" i="51"/>
  <c r="O533" i="51"/>
  <c r="O883" i="59"/>
  <c r="O537" i="53"/>
  <c r="O187" i="37"/>
  <c r="O886" i="53"/>
  <c r="O185" i="59"/>
  <c r="O1235" i="53"/>
  <c r="O534" i="59"/>
  <c r="O188" i="53"/>
  <c r="O536" i="37"/>
  <c r="O537" i="31"/>
  <c r="O189" i="31"/>
  <c r="O885" i="37"/>
  <c r="Q523" i="54"/>
  <c r="Q1221" i="54"/>
  <c r="Q1221" i="52"/>
  <c r="Q174" i="54"/>
  <c r="Q872" i="54"/>
  <c r="Q523" i="52"/>
  <c r="Q872" i="52"/>
  <c r="Q174" i="52"/>
  <c r="Q1570" i="52"/>
  <c r="Q873" i="53"/>
  <c r="Q520" i="51"/>
  <c r="Q172" i="51"/>
  <c r="Q172" i="59"/>
  <c r="Q1217" i="51"/>
  <c r="Q869" i="51"/>
  <c r="Q870" i="59"/>
  <c r="Q1222" i="53"/>
  <c r="Q524" i="53"/>
  <c r="Q523" i="37"/>
  <c r="Q521" i="59"/>
  <c r="Q1571" i="53"/>
  <c r="Q524" i="31"/>
  <c r="Q175" i="53"/>
  <c r="Q872" i="37"/>
  <c r="Q174" i="37"/>
  <c r="Q176" i="31"/>
  <c r="M179" i="54"/>
  <c r="M528" i="54"/>
  <c r="M1226" i="54"/>
  <c r="M528" i="52"/>
  <c r="M1575" i="52"/>
  <c r="M877" i="54"/>
  <c r="M1222" i="51"/>
  <c r="M877" i="52"/>
  <c r="M1226" i="52"/>
  <c r="M179" i="52"/>
  <c r="M525" i="51"/>
  <c r="M875" i="59"/>
  <c r="M529" i="53"/>
  <c r="M874" i="51"/>
  <c r="M177" i="51"/>
  <c r="M1576" i="53"/>
  <c r="M878" i="53"/>
  <c r="M177" i="59"/>
  <c r="M526" i="59"/>
  <c r="M180" i="53"/>
  <c r="M1227" i="53"/>
  <c r="M179" i="37"/>
  <c r="M528" i="37"/>
  <c r="M877" i="37"/>
  <c r="M529" i="31"/>
  <c r="M181" i="31"/>
  <c r="M174" i="54"/>
  <c r="M1221" i="54"/>
  <c r="M872" i="54"/>
  <c r="M1570" i="52"/>
  <c r="M1221" i="52"/>
  <c r="M1217" i="51"/>
  <c r="M869" i="51"/>
  <c r="M174" i="52"/>
  <c r="M523" i="54"/>
  <c r="M520" i="51"/>
  <c r="M870" i="59"/>
  <c r="M524" i="53"/>
  <c r="M872" i="52"/>
  <c r="M172" i="51"/>
  <c r="M1571" i="53"/>
  <c r="M523" i="52"/>
  <c r="M175" i="53"/>
  <c r="M521" i="59"/>
  <c r="M1222" i="53"/>
  <c r="M174" i="37"/>
  <c r="M172" i="59"/>
  <c r="M524" i="31"/>
  <c r="M176" i="31"/>
  <c r="M872" i="37"/>
  <c r="M873" i="53"/>
  <c r="M523" i="37"/>
  <c r="M521" i="54"/>
  <c r="M1219" i="54"/>
  <c r="M1568" i="52"/>
  <c r="M521" i="52"/>
  <c r="M870" i="54"/>
  <c r="M172" i="54"/>
  <c r="M1219" i="52"/>
  <c r="M172" i="52"/>
  <c r="M1215" i="51"/>
  <c r="M870" i="52"/>
  <c r="M871" i="53"/>
  <c r="M867" i="51"/>
  <c r="M170" i="51"/>
  <c r="M170" i="59"/>
  <c r="M518" i="51"/>
  <c r="M868" i="59"/>
  <c r="M519" i="59"/>
  <c r="M1220" i="53"/>
  <c r="M521" i="37"/>
  <c r="M1569" i="53"/>
  <c r="M172" i="37"/>
  <c r="M173" i="53"/>
  <c r="M522" i="53"/>
  <c r="M870" i="37"/>
  <c r="M174" i="31"/>
  <c r="M522" i="31"/>
  <c r="M869" i="54"/>
  <c r="M1218" i="54"/>
  <c r="M1567" i="52"/>
  <c r="M869" i="52"/>
  <c r="M520" i="54"/>
  <c r="M520" i="52"/>
  <c r="M517" i="51"/>
  <c r="M1214" i="51"/>
  <c r="M171" i="54"/>
  <c r="M866" i="51"/>
  <c r="M1218" i="52"/>
  <c r="M169" i="51"/>
  <c r="M169" i="59"/>
  <c r="M867" i="59"/>
  <c r="M171" i="52"/>
  <c r="M870" i="53"/>
  <c r="M1219" i="53"/>
  <c r="M521" i="53"/>
  <c r="M520" i="37"/>
  <c r="M1568" i="53"/>
  <c r="M869" i="37"/>
  <c r="M518" i="59"/>
  <c r="M171" i="37"/>
  <c r="M172" i="53"/>
  <c r="M173" i="31"/>
  <c r="M521" i="31"/>
  <c r="Q193" i="54"/>
  <c r="Q542" i="54"/>
  <c r="Q1240" i="54"/>
  <c r="Q542" i="52"/>
  <c r="Q1240" i="52"/>
  <c r="Q1589" i="52"/>
  <c r="Q891" i="54"/>
  <c r="Q193" i="52"/>
  <c r="Q1236" i="51"/>
  <c r="Q891" i="52"/>
  <c r="Q539" i="51"/>
  <c r="Q889" i="59"/>
  <c r="Q543" i="53"/>
  <c r="Q888" i="51"/>
  <c r="Q191" i="51"/>
  <c r="Q1590" i="53"/>
  <c r="Q892" i="53"/>
  <c r="Q191" i="59"/>
  <c r="Q540" i="59"/>
  <c r="Q1241" i="53"/>
  <c r="Q193" i="37"/>
  <c r="Q542" i="37"/>
  <c r="Q194" i="53"/>
  <c r="Q891" i="37"/>
  <c r="Q543" i="31"/>
  <c r="Q195" i="31"/>
  <c r="O552" i="54"/>
  <c r="O1250" i="54"/>
  <c r="O901" i="54"/>
  <c r="O552" i="52"/>
  <c r="O203" i="52"/>
  <c r="O203" i="54"/>
  <c r="O901" i="52"/>
  <c r="O1250" i="52"/>
  <c r="O902" i="53"/>
  <c r="O1246" i="51"/>
  <c r="O549" i="51"/>
  <c r="O898" i="51"/>
  <c r="O201" i="51"/>
  <c r="O201" i="59"/>
  <c r="O1599" i="52"/>
  <c r="O899" i="59"/>
  <c r="O1251" i="53"/>
  <c r="O550" i="59"/>
  <c r="O553" i="53"/>
  <c r="O552" i="37"/>
  <c r="O1600" i="53"/>
  <c r="O553" i="31"/>
  <c r="O204" i="53"/>
  <c r="O901" i="37"/>
  <c r="O203" i="37"/>
  <c r="O205" i="31"/>
  <c r="O888" i="54"/>
  <c r="O1237" i="54"/>
  <c r="O1586" i="52"/>
  <c r="O888" i="52"/>
  <c r="O539" i="54"/>
  <c r="O190" i="54"/>
  <c r="O536" i="51"/>
  <c r="O539" i="52"/>
  <c r="O1237" i="52"/>
  <c r="O188" i="59"/>
  <c r="O1233" i="51"/>
  <c r="O188" i="51"/>
  <c r="O190" i="52"/>
  <c r="O885" i="51"/>
  <c r="O886" i="59"/>
  <c r="O889" i="53"/>
  <c r="O1587" i="53"/>
  <c r="O539" i="37"/>
  <c r="O888" i="37"/>
  <c r="O1238" i="53"/>
  <c r="O537" i="59"/>
  <c r="O540" i="53"/>
  <c r="O540" i="31"/>
  <c r="O191" i="53"/>
  <c r="O190" i="37"/>
  <c r="O192" i="31"/>
  <c r="O1222" i="54"/>
  <c r="O175" i="54"/>
  <c r="O524" i="54"/>
  <c r="O1222" i="52"/>
  <c r="O873" i="52"/>
  <c r="O1218" i="51"/>
  <c r="O873" i="54"/>
  <c r="O870" i="51"/>
  <c r="O524" i="52"/>
  <c r="O1572" i="53"/>
  <c r="O173" i="51"/>
  <c r="O871" i="59"/>
  <c r="O525" i="53"/>
  <c r="O1571" i="52"/>
  <c r="O521" i="51"/>
  <c r="O175" i="52"/>
  <c r="O175" i="37"/>
  <c r="O522" i="59"/>
  <c r="O874" i="53"/>
  <c r="O173" i="59"/>
  <c r="O1223" i="53"/>
  <c r="O176" i="53"/>
  <c r="O873" i="37"/>
  <c r="O177" i="31"/>
  <c r="O524" i="37"/>
  <c r="O525" i="31"/>
  <c r="O522" i="54"/>
  <c r="O871" i="54"/>
  <c r="O1220" i="54"/>
  <c r="O173" i="54"/>
  <c r="O522" i="52"/>
  <c r="O1220" i="52"/>
  <c r="O1569" i="52"/>
  <c r="O173" i="52"/>
  <c r="O871" i="52"/>
  <c r="O171" i="51"/>
  <c r="O171" i="59"/>
  <c r="O869" i="59"/>
  <c r="O519" i="51"/>
  <c r="O872" i="53"/>
  <c r="O1216" i="51"/>
  <c r="O868" i="51"/>
  <c r="O522" i="37"/>
  <c r="O520" i="59"/>
  <c r="O1570" i="53"/>
  <c r="O1221" i="53"/>
  <c r="O174" i="53"/>
  <c r="O173" i="37"/>
  <c r="O871" i="37"/>
  <c r="O175" i="31"/>
  <c r="O523" i="31"/>
  <c r="O523" i="53"/>
  <c r="S200" i="54"/>
  <c r="S898" i="54"/>
  <c r="S1247" i="54"/>
  <c r="S549" i="54"/>
  <c r="S200" i="52"/>
  <c r="S1243" i="51"/>
  <c r="S1596" i="52"/>
  <c r="S1247" i="52"/>
  <c r="S898" i="52"/>
  <c r="S549" i="52"/>
  <c r="S896" i="59"/>
  <c r="S895" i="51"/>
  <c r="S1248" i="53"/>
  <c r="S546" i="51"/>
  <c r="S198" i="51"/>
  <c r="S547" i="59"/>
  <c r="S1597" i="53"/>
  <c r="S550" i="31"/>
  <c r="S899" i="53"/>
  <c r="S198" i="59"/>
  <c r="S550" i="53"/>
  <c r="S201" i="53"/>
  <c r="S898" i="37"/>
  <c r="S200" i="37"/>
  <c r="S202" i="31"/>
  <c r="S549" i="37"/>
  <c r="S547" i="54"/>
  <c r="S1245" i="54"/>
  <c r="S1245" i="52"/>
  <c r="S547" i="52"/>
  <c r="S1594" i="52"/>
  <c r="S896" i="54"/>
  <c r="S896" i="52"/>
  <c r="S198" i="52"/>
  <c r="S198" i="54"/>
  <c r="S196" i="51"/>
  <c r="S1241" i="51"/>
  <c r="S893" i="51"/>
  <c r="S1595" i="53"/>
  <c r="S544" i="51"/>
  <c r="S894" i="59"/>
  <c r="S548" i="53"/>
  <c r="S545" i="59"/>
  <c r="S198" i="37"/>
  <c r="S196" i="59"/>
  <c r="S199" i="53"/>
  <c r="S896" i="37"/>
  <c r="S897" i="53"/>
  <c r="S547" i="37"/>
  <c r="S548" i="31"/>
  <c r="S1246" i="53"/>
  <c r="S200" i="31"/>
  <c r="O534" i="54"/>
  <c r="O883" i="54"/>
  <c r="O1232" i="54"/>
  <c r="O185" i="54"/>
  <c r="O534" i="52"/>
  <c r="O883" i="52"/>
  <c r="O1581" i="52"/>
  <c r="O1232" i="52"/>
  <c r="O185" i="52"/>
  <c r="O1228" i="51"/>
  <c r="O183" i="51"/>
  <c r="O183" i="59"/>
  <c r="O531" i="51"/>
  <c r="O881" i="59"/>
  <c r="O880" i="51"/>
  <c r="O884" i="53"/>
  <c r="O534" i="37"/>
  <c r="O1233" i="53"/>
  <c r="O535" i="53"/>
  <c r="O532" i="59"/>
  <c r="O1582" i="53"/>
  <c r="O535" i="31"/>
  <c r="O187" i="31"/>
  <c r="O186" i="53"/>
  <c r="O883" i="37"/>
  <c r="O185" i="37"/>
  <c r="Q1586" i="52"/>
  <c r="Q888" i="54"/>
  <c r="Q1237" i="54"/>
  <c r="Q539" i="54"/>
  <c r="Q888" i="52"/>
  <c r="Q1237" i="52"/>
  <c r="Q885" i="51"/>
  <c r="Q190" i="54"/>
  <c r="Q536" i="51"/>
  <c r="Q537" i="59"/>
  <c r="Q190" i="52"/>
  <c r="Q886" i="59"/>
  <c r="Q1233" i="51"/>
  <c r="Q188" i="51"/>
  <c r="Q1238" i="53"/>
  <c r="Q539" i="52"/>
  <c r="Q191" i="53"/>
  <c r="Q888" i="37"/>
  <c r="Q188" i="59"/>
  <c r="Q540" i="31"/>
  <c r="Q1587" i="53"/>
  <c r="Q889" i="53"/>
  <c r="Q540" i="53"/>
  <c r="Q539" i="37"/>
  <c r="Q192" i="31"/>
  <c r="Q190" i="37"/>
  <c r="Q895" i="54"/>
  <c r="Q1244" i="54"/>
  <c r="Q1244" i="52"/>
  <c r="Q1593" i="52"/>
  <c r="Q197" i="54"/>
  <c r="Q895" i="52"/>
  <c r="Q546" i="54"/>
  <c r="Q543" i="51"/>
  <c r="Q197" i="52"/>
  <c r="Q892" i="51"/>
  <c r="Q195" i="51"/>
  <c r="Q195" i="59"/>
  <c r="Q546" i="52"/>
  <c r="Q893" i="59"/>
  <c r="Q1240" i="51"/>
  <c r="Q896" i="53"/>
  <c r="Q1594" i="53"/>
  <c r="Q546" i="37"/>
  <c r="Q544" i="59"/>
  <c r="Q198" i="53"/>
  <c r="Q895" i="37"/>
  <c r="Q1245" i="53"/>
  <c r="Q547" i="53"/>
  <c r="Q547" i="31"/>
  <c r="Q197" i="37"/>
  <c r="Q199" i="31"/>
  <c r="Q1242" i="54"/>
  <c r="Q1591" i="52"/>
  <c r="Q195" i="54"/>
  <c r="Q544" i="54"/>
  <c r="Q1242" i="52"/>
  <c r="Q544" i="52"/>
  <c r="Q893" i="52"/>
  <c r="Q893" i="54"/>
  <c r="Q195" i="52"/>
  <c r="Q541" i="51"/>
  <c r="Q542" i="59"/>
  <c r="Q1238" i="51"/>
  <c r="Q890" i="51"/>
  <c r="Q193" i="51"/>
  <c r="Q1243" i="53"/>
  <c r="Q1592" i="53"/>
  <c r="Q891" i="59"/>
  <c r="Q894" i="53"/>
  <c r="Q193" i="59"/>
  <c r="Q196" i="53"/>
  <c r="Q893" i="37"/>
  <c r="Q545" i="53"/>
  <c r="Q545" i="31"/>
  <c r="Q544" i="37"/>
  <c r="Q197" i="31"/>
  <c r="Q195" i="37"/>
  <c r="Q1241" i="54"/>
  <c r="Q194" i="54"/>
  <c r="Q543" i="54"/>
  <c r="Q1590" i="52"/>
  <c r="Q1241" i="52"/>
  <c r="Q543" i="52"/>
  <c r="Q1237" i="51"/>
  <c r="Q194" i="52"/>
  <c r="Q892" i="54"/>
  <c r="Q1591" i="53"/>
  <c r="Q540" i="51"/>
  <c r="Q541" i="59"/>
  <c r="Q892" i="52"/>
  <c r="Q890" i="59"/>
  <c r="Q544" i="53"/>
  <c r="Q889" i="51"/>
  <c r="Q192" i="51"/>
  <c r="Q194" i="37"/>
  <c r="Q893" i="53"/>
  <c r="Q192" i="59"/>
  <c r="Q1242" i="53"/>
  <c r="Q543" i="37"/>
  <c r="Q195" i="53"/>
  <c r="Q892" i="37"/>
  <c r="Q544" i="31"/>
  <c r="Q196" i="31"/>
  <c r="Q181" i="54"/>
  <c r="Q530" i="54"/>
  <c r="Q1228" i="54"/>
  <c r="Q530" i="52"/>
  <c r="Q879" i="52"/>
  <c r="Q1228" i="52"/>
  <c r="Q879" i="54"/>
  <c r="Q1224" i="51"/>
  <c r="Q876" i="51"/>
  <c r="Q1577" i="52"/>
  <c r="Q877" i="59"/>
  <c r="Q531" i="53"/>
  <c r="Q527" i="51"/>
  <c r="Q181" i="52"/>
  <c r="Q179" i="51"/>
  <c r="Q1578" i="53"/>
  <c r="Q528" i="59"/>
  <c r="Q179" i="59"/>
  <c r="Q181" i="37"/>
  <c r="Q183" i="31"/>
  <c r="Q530" i="37"/>
  <c r="Q880" i="53"/>
  <c r="Q531" i="31"/>
  <c r="Q1229" i="53"/>
  <c r="Q182" i="53"/>
  <c r="Q879" i="37"/>
  <c r="O540" i="54"/>
  <c r="O1238" i="54"/>
  <c r="O1587" i="52"/>
  <c r="O540" i="52"/>
  <c r="O889" i="54"/>
  <c r="O191" i="52"/>
  <c r="O191" i="54"/>
  <c r="O890" i="53"/>
  <c r="O537" i="51"/>
  <c r="O189" i="59"/>
  <c r="O1234" i="51"/>
  <c r="O189" i="51"/>
  <c r="O886" i="51"/>
  <c r="O1238" i="52"/>
  <c r="O887" i="59"/>
  <c r="O889" i="52"/>
  <c r="O538" i="59"/>
  <c r="O1588" i="53"/>
  <c r="O540" i="37"/>
  <c r="O191" i="37"/>
  <c r="O1239" i="53"/>
  <c r="O541" i="53"/>
  <c r="O541" i="31"/>
  <c r="O192" i="53"/>
  <c r="O889" i="37"/>
  <c r="O193" i="31"/>
  <c r="O876" i="54"/>
  <c r="O1225" i="54"/>
  <c r="O1574" i="52"/>
  <c r="O178" i="54"/>
  <c r="O876" i="52"/>
  <c r="O527" i="52"/>
  <c r="O524" i="51"/>
  <c r="O527" i="54"/>
  <c r="O1221" i="51"/>
  <c r="O873" i="51"/>
  <c r="O178" i="52"/>
  <c r="O176" i="59"/>
  <c r="O1225" i="52"/>
  <c r="O176" i="51"/>
  <c r="O874" i="59"/>
  <c r="O877" i="53"/>
  <c r="O1226" i="53"/>
  <c r="O528" i="53"/>
  <c r="O525" i="59"/>
  <c r="O527" i="37"/>
  <c r="O1575" i="53"/>
  <c r="O876" i="37"/>
  <c r="O179" i="53"/>
  <c r="O178" i="37"/>
  <c r="O180" i="31"/>
  <c r="O528" i="31"/>
  <c r="S535" i="54"/>
  <c r="S1233" i="54"/>
  <c r="S1233" i="52"/>
  <c r="S1582" i="52"/>
  <c r="S535" i="52"/>
  <c r="S884" i="54"/>
  <c r="S884" i="52"/>
  <c r="S184" i="51"/>
  <c r="S186" i="54"/>
  <c r="S186" i="52"/>
  <c r="S1583" i="53"/>
  <c r="S1229" i="51"/>
  <c r="S881" i="51"/>
  <c r="S533" i="59"/>
  <c r="S532" i="51"/>
  <c r="S882" i="59"/>
  <c r="S536" i="53"/>
  <c r="S1234" i="53"/>
  <c r="S186" i="37"/>
  <c r="S535" i="37"/>
  <c r="S885" i="53"/>
  <c r="S184" i="59"/>
  <c r="S884" i="37"/>
  <c r="S187" i="53"/>
  <c r="S188" i="31"/>
  <c r="S536" i="31"/>
  <c r="S882" i="54"/>
  <c r="S1231" i="54"/>
  <c r="S1231" i="52"/>
  <c r="S1580" i="52"/>
  <c r="S184" i="54"/>
  <c r="S882" i="52"/>
  <c r="S533" i="52"/>
  <c r="S184" i="52"/>
  <c r="S530" i="51"/>
  <c r="S533" i="54"/>
  <c r="S1227" i="51"/>
  <c r="S182" i="59"/>
  <c r="S879" i="51"/>
  <c r="S182" i="51"/>
  <c r="S880" i="59"/>
  <c r="S883" i="53"/>
  <c r="S531" i="59"/>
  <c r="S1232" i="53"/>
  <c r="S534" i="53"/>
  <c r="S533" i="37"/>
  <c r="S1581" i="53"/>
  <c r="S882" i="37"/>
  <c r="S184" i="37"/>
  <c r="S185" i="53"/>
  <c r="S186" i="31"/>
  <c r="S534" i="31"/>
  <c r="S176" i="54"/>
  <c r="S874" i="54"/>
  <c r="S1223" i="54"/>
  <c r="S1572" i="52"/>
  <c r="S525" i="54"/>
  <c r="S1223" i="52"/>
  <c r="S525" i="52"/>
  <c r="S176" i="52"/>
  <c r="S874" i="52"/>
  <c r="S872" i="59"/>
  <c r="S174" i="51"/>
  <c r="S1219" i="51"/>
  <c r="S871" i="51"/>
  <c r="S522" i="51"/>
  <c r="S1224" i="53"/>
  <c r="S523" i="59"/>
  <c r="S177" i="53"/>
  <c r="S1573" i="53"/>
  <c r="S875" i="53"/>
  <c r="S174" i="59"/>
  <c r="S526" i="31"/>
  <c r="S526" i="53"/>
  <c r="S874" i="37"/>
  <c r="S178" i="31"/>
  <c r="S525" i="37"/>
  <c r="S176" i="37"/>
  <c r="S523" i="54"/>
  <c r="S1221" i="54"/>
  <c r="S1221" i="52"/>
  <c r="S872" i="54"/>
  <c r="S523" i="52"/>
  <c r="S1570" i="52"/>
  <c r="S172" i="51"/>
  <c r="S174" i="52"/>
  <c r="S869" i="51"/>
  <c r="S872" i="52"/>
  <c r="S174" i="54"/>
  <c r="S1217" i="51"/>
  <c r="S520" i="51"/>
  <c r="S1571" i="53"/>
  <c r="S521" i="59"/>
  <c r="S870" i="59"/>
  <c r="S524" i="53"/>
  <c r="S873" i="53"/>
  <c r="S175" i="53"/>
  <c r="S172" i="59"/>
  <c r="S174" i="37"/>
  <c r="S1222" i="53"/>
  <c r="S523" i="37"/>
  <c r="S872" i="37"/>
  <c r="S524" i="31"/>
  <c r="S176" i="31"/>
  <c r="S894" i="54"/>
  <c r="S1243" i="54"/>
  <c r="S1243" i="52"/>
  <c r="S1592" i="52"/>
  <c r="S196" i="54"/>
  <c r="S894" i="52"/>
  <c r="S545" i="54"/>
  <c r="S542" i="51"/>
  <c r="S891" i="51"/>
  <c r="S545" i="52"/>
  <c r="S1239" i="51"/>
  <c r="S196" i="52"/>
  <c r="S194" i="59"/>
  <c r="S194" i="51"/>
  <c r="S892" i="59"/>
  <c r="S895" i="53"/>
  <c r="S1593" i="53"/>
  <c r="S543" i="59"/>
  <c r="S545" i="37"/>
  <c r="S197" i="53"/>
  <c r="S894" i="37"/>
  <c r="S1244" i="53"/>
  <c r="S546" i="53"/>
  <c r="S546" i="31"/>
  <c r="S196" i="37"/>
  <c r="S198" i="31"/>
  <c r="O899" i="54"/>
  <c r="O1248" i="54"/>
  <c r="O1597" i="52"/>
  <c r="O899" i="52"/>
  <c r="O201" i="54"/>
  <c r="O201" i="52"/>
  <c r="O1244" i="51"/>
  <c r="O550" i="54"/>
  <c r="O547" i="51"/>
  <c r="O1249" i="53"/>
  <c r="O896" i="51"/>
  <c r="O199" i="51"/>
  <c r="O550" i="52"/>
  <c r="O548" i="59"/>
  <c r="O897" i="59"/>
  <c r="O1248" i="52"/>
  <c r="O551" i="31"/>
  <c r="O199" i="59"/>
  <c r="O202" i="53"/>
  <c r="O899" i="37"/>
  <c r="O1598" i="53"/>
  <c r="O900" i="53"/>
  <c r="O550" i="37"/>
  <c r="O551" i="53"/>
  <c r="O201" i="37"/>
  <c r="O203" i="31"/>
  <c r="Q883" i="54"/>
  <c r="Q1232" i="54"/>
  <c r="Q1232" i="52"/>
  <c r="Q1581" i="52"/>
  <c r="Q185" i="54"/>
  <c r="Q883" i="52"/>
  <c r="Q534" i="52"/>
  <c r="Q185" i="52"/>
  <c r="Q534" i="54"/>
  <c r="Q531" i="51"/>
  <c r="Q1228" i="51"/>
  <c r="Q183" i="51"/>
  <c r="Q880" i="51"/>
  <c r="Q183" i="59"/>
  <c r="Q881" i="59"/>
  <c r="Q884" i="53"/>
  <c r="Q1233" i="53"/>
  <c r="Q532" i="59"/>
  <c r="Q535" i="53"/>
  <c r="Q534" i="37"/>
  <c r="Q1582" i="53"/>
  <c r="Q186" i="53"/>
  <c r="Q883" i="37"/>
  <c r="Q185" i="37"/>
  <c r="Q535" i="31"/>
  <c r="Q187" i="31"/>
  <c r="Q1230" i="54"/>
  <c r="Q1579" i="52"/>
  <c r="Q183" i="54"/>
  <c r="Q183" i="52"/>
  <c r="Q532" i="54"/>
  <c r="Q1230" i="52"/>
  <c r="Q881" i="54"/>
  <c r="Q881" i="52"/>
  <c r="Q878" i="51"/>
  <c r="Q181" i="51"/>
  <c r="Q1226" i="51"/>
  <c r="Q532" i="52"/>
  <c r="Q530" i="59"/>
  <c r="Q529" i="51"/>
  <c r="Q1231" i="53"/>
  <c r="Q879" i="59"/>
  <c r="Q1580" i="53"/>
  <c r="Q184" i="53"/>
  <c r="Q881" i="37"/>
  <c r="Q882" i="53"/>
  <c r="Q181" i="59"/>
  <c r="Q533" i="53"/>
  <c r="Q533" i="31"/>
  <c r="Q183" i="37"/>
  <c r="Q185" i="31"/>
  <c r="Q532" i="37"/>
  <c r="Q1229" i="54"/>
  <c r="Q182" i="54"/>
  <c r="Q531" i="54"/>
  <c r="Q880" i="52"/>
  <c r="Q1225" i="51"/>
  <c r="Q1578" i="52"/>
  <c r="Q182" i="52"/>
  <c r="Q877" i="51"/>
  <c r="Q1229" i="52"/>
  <c r="Q531" i="52"/>
  <c r="Q880" i="54"/>
  <c r="Q1579" i="53"/>
  <c r="Q529" i="59"/>
  <c r="Q878" i="59"/>
  <c r="Q532" i="53"/>
  <c r="Q528" i="51"/>
  <c r="Q180" i="51"/>
  <c r="Q182" i="37"/>
  <c r="Q881" i="53"/>
  <c r="Q180" i="59"/>
  <c r="Q1230" i="53"/>
  <c r="Q184" i="31"/>
  <c r="Q531" i="37"/>
  <c r="Q183" i="53"/>
  <c r="Q880" i="37"/>
  <c r="Q532" i="31"/>
  <c r="Q169" i="54"/>
  <c r="Q518" i="54"/>
  <c r="Q1216" i="54"/>
  <c r="Q518" i="52"/>
  <c r="Q1216" i="52"/>
  <c r="Q1565" i="52"/>
  <c r="Q867" i="54"/>
  <c r="Q864" i="51"/>
  <c r="Q867" i="52"/>
  <c r="Q167" i="51"/>
  <c r="Q865" i="59"/>
  <c r="Q519" i="53"/>
  <c r="Q169" i="52"/>
  <c r="Q1212" i="51"/>
  <c r="Q515" i="51"/>
  <c r="Q1566" i="53"/>
  <c r="Q1217" i="53"/>
  <c r="Q516" i="59"/>
  <c r="Q868" i="53"/>
  <c r="Q167" i="59"/>
  <c r="Q169" i="37"/>
  <c r="Q170" i="53"/>
  <c r="Q867" i="37"/>
  <c r="Q171" i="31"/>
  <c r="Q518" i="37"/>
  <c r="Q519" i="31"/>
  <c r="O528" i="54"/>
  <c r="O1226" i="54"/>
  <c r="O877" i="54"/>
  <c r="O1575" i="52"/>
  <c r="O528" i="52"/>
  <c r="O179" i="52"/>
  <c r="O1222" i="51"/>
  <c r="O1226" i="52"/>
  <c r="O179" i="54"/>
  <c r="O878" i="53"/>
  <c r="O874" i="51"/>
  <c r="O177" i="59"/>
  <c r="O877" i="52"/>
  <c r="O177" i="51"/>
  <c r="O525" i="51"/>
  <c r="O875" i="59"/>
  <c r="O1227" i="53"/>
  <c r="O526" i="59"/>
  <c r="O528" i="37"/>
  <c r="O1576" i="53"/>
  <c r="O180" i="53"/>
  <c r="O179" i="37"/>
  <c r="O877" i="37"/>
  <c r="O529" i="53"/>
  <c r="O181" i="31"/>
  <c r="O529" i="31"/>
  <c r="S1597" i="52"/>
  <c r="S899" i="54"/>
  <c r="S1248" i="54"/>
  <c r="S550" i="54"/>
  <c r="S1248" i="52"/>
  <c r="S899" i="52"/>
  <c r="S896" i="51"/>
  <c r="S550" i="52"/>
  <c r="S201" i="54"/>
  <c r="S547" i="51"/>
  <c r="S201" i="52"/>
  <c r="S548" i="59"/>
  <c r="S897" i="59"/>
  <c r="S1244" i="51"/>
  <c r="S1249" i="53"/>
  <c r="S199" i="51"/>
  <c r="S551" i="53"/>
  <c r="S202" i="53"/>
  <c r="S899" i="37"/>
  <c r="S1598" i="53"/>
  <c r="S551" i="31"/>
  <c r="S900" i="53"/>
  <c r="S199" i="59"/>
  <c r="S201" i="37"/>
  <c r="S203" i="31"/>
  <c r="S550" i="37"/>
  <c r="M198" i="54"/>
  <c r="M1245" i="54"/>
  <c r="M896" i="54"/>
  <c r="M1594" i="52"/>
  <c r="M1245" i="52"/>
  <c r="M547" i="52"/>
  <c r="M1241" i="51"/>
  <c r="M547" i="54"/>
  <c r="M893" i="51"/>
  <c r="M896" i="52"/>
  <c r="M198" i="52"/>
  <c r="M894" i="59"/>
  <c r="M548" i="53"/>
  <c r="M196" i="51"/>
  <c r="M544" i="51"/>
  <c r="M1595" i="53"/>
  <c r="M199" i="53"/>
  <c r="M897" i="53"/>
  <c r="M196" i="59"/>
  <c r="M545" i="59"/>
  <c r="M198" i="37"/>
  <c r="M1246" i="53"/>
  <c r="M200" i="31"/>
  <c r="M896" i="37"/>
  <c r="M547" i="37"/>
  <c r="M548" i="31"/>
  <c r="M1240" i="54"/>
  <c r="M1589" i="52"/>
  <c r="M193" i="54"/>
  <c r="M542" i="54"/>
  <c r="M1240" i="52"/>
  <c r="M891" i="52"/>
  <c r="M891" i="54"/>
  <c r="M888" i="51"/>
  <c r="M1236" i="51"/>
  <c r="M539" i="51"/>
  <c r="M540" i="59"/>
  <c r="M191" i="51"/>
  <c r="M193" i="52"/>
  <c r="M542" i="52"/>
  <c r="M1241" i="53"/>
  <c r="M191" i="59"/>
  <c r="M891" i="37"/>
  <c r="M194" i="53"/>
  <c r="M1590" i="53"/>
  <c r="M889" i="59"/>
  <c r="M543" i="31"/>
  <c r="M542" i="37"/>
  <c r="M543" i="53"/>
  <c r="M193" i="37"/>
  <c r="M892" i="53"/>
  <c r="M195" i="31"/>
  <c r="M539" i="54"/>
  <c r="M888" i="54"/>
  <c r="M1237" i="54"/>
  <c r="M190" i="54"/>
  <c r="M1586" i="52"/>
  <c r="M539" i="52"/>
  <c r="M1237" i="52"/>
  <c r="M190" i="52"/>
  <c r="M188" i="59"/>
  <c r="M885" i="51"/>
  <c r="M886" i="59"/>
  <c r="M888" i="52"/>
  <c r="M1233" i="51"/>
  <c r="M188" i="51"/>
  <c r="M889" i="53"/>
  <c r="M536" i="51"/>
  <c r="M537" i="59"/>
  <c r="M539" i="37"/>
  <c r="M1238" i="53"/>
  <c r="M1587" i="53"/>
  <c r="M540" i="53"/>
  <c r="M191" i="53"/>
  <c r="M190" i="37"/>
  <c r="M192" i="31"/>
  <c r="M888" i="37"/>
  <c r="M540" i="31"/>
  <c r="M1584" i="52"/>
  <c r="M886" i="54"/>
  <c r="M1235" i="54"/>
  <c r="M537" i="54"/>
  <c r="M886" i="52"/>
  <c r="M537" i="52"/>
  <c r="M1235" i="52"/>
  <c r="M534" i="51"/>
  <c r="M188" i="52"/>
  <c r="M535" i="59"/>
  <c r="M884" i="59"/>
  <c r="M1231" i="51"/>
  <c r="M186" i="51"/>
  <c r="M1236" i="53"/>
  <c r="M188" i="54"/>
  <c r="M883" i="51"/>
  <c r="M538" i="53"/>
  <c r="M886" i="37"/>
  <c r="M1585" i="53"/>
  <c r="M538" i="31"/>
  <c r="M887" i="53"/>
  <c r="M186" i="59"/>
  <c r="M189" i="53"/>
  <c r="M188" i="37"/>
  <c r="M190" i="31"/>
  <c r="M537" i="37"/>
  <c r="S870" i="54"/>
  <c r="S1219" i="54"/>
  <c r="S1219" i="52"/>
  <c r="S1568" i="52"/>
  <c r="S172" i="54"/>
  <c r="S870" i="52"/>
  <c r="S521" i="54"/>
  <c r="S172" i="52"/>
  <c r="S518" i="51"/>
  <c r="S521" i="52"/>
  <c r="S1215" i="51"/>
  <c r="S170" i="51"/>
  <c r="S867" i="51"/>
  <c r="S170" i="59"/>
  <c r="S868" i="59"/>
  <c r="S871" i="53"/>
  <c r="S1220" i="53"/>
  <c r="S522" i="53"/>
  <c r="S521" i="37"/>
  <c r="S870" i="37"/>
  <c r="S519" i="59"/>
  <c r="S1569" i="53"/>
  <c r="S173" i="53"/>
  <c r="S522" i="31"/>
  <c r="S172" i="37"/>
  <c r="S174" i="31"/>
  <c r="O875" i="54"/>
  <c r="O1224" i="54"/>
  <c r="O1573" i="52"/>
  <c r="O177" i="54"/>
  <c r="O875" i="52"/>
  <c r="O1224" i="52"/>
  <c r="O526" i="52"/>
  <c r="O526" i="54"/>
  <c r="O523" i="51"/>
  <c r="O1225" i="53"/>
  <c r="O177" i="52"/>
  <c r="O524" i="59"/>
  <c r="O175" i="51"/>
  <c r="O873" i="59"/>
  <c r="O1220" i="51"/>
  <c r="O872" i="51"/>
  <c r="O527" i="53"/>
  <c r="O527" i="31"/>
  <c r="O178" i="53"/>
  <c r="O1574" i="53"/>
  <c r="O875" i="37"/>
  <c r="O876" i="53"/>
  <c r="O175" i="59"/>
  <c r="O177" i="37"/>
  <c r="O526" i="37"/>
  <c r="O179" i="31"/>
  <c r="Q871" i="54"/>
  <c r="Q1220" i="54"/>
  <c r="Q1220" i="52"/>
  <c r="Q1569" i="52"/>
  <c r="Q173" i="54"/>
  <c r="Q871" i="52"/>
  <c r="Q519" i="51"/>
  <c r="Q522" i="52"/>
  <c r="Q522" i="54"/>
  <c r="Q173" i="52"/>
  <c r="Q171" i="51"/>
  <c r="Q171" i="59"/>
  <c r="Q1216" i="51"/>
  <c r="Q868" i="51"/>
  <c r="Q869" i="59"/>
  <c r="Q872" i="53"/>
  <c r="Q1221" i="53"/>
  <c r="Q523" i="53"/>
  <c r="Q522" i="37"/>
  <c r="Q174" i="53"/>
  <c r="Q871" i="37"/>
  <c r="Q520" i="59"/>
  <c r="Q1570" i="53"/>
  <c r="Q523" i="31"/>
  <c r="Q173" i="37"/>
  <c r="Q175" i="31"/>
  <c r="Q1218" i="54"/>
  <c r="Q1567" i="52"/>
  <c r="Q171" i="54"/>
  <c r="Q171" i="52"/>
  <c r="Q520" i="54"/>
  <c r="Q869" i="52"/>
  <c r="Q1218" i="52"/>
  <c r="Q869" i="54"/>
  <c r="Q1214" i="51"/>
  <c r="Q517" i="51"/>
  <c r="Q169" i="51"/>
  <c r="Q520" i="52"/>
  <c r="Q518" i="59"/>
  <c r="Q866" i="51"/>
  <c r="Q1219" i="53"/>
  <c r="Q867" i="59"/>
  <c r="Q169" i="59"/>
  <c r="Q172" i="53"/>
  <c r="Q869" i="37"/>
  <c r="Q1568" i="53"/>
  <c r="Q521" i="31"/>
  <c r="Q520" i="37"/>
  <c r="Q870" i="53"/>
  <c r="Q521" i="53"/>
  <c r="Q171" i="37"/>
  <c r="Q173" i="31"/>
  <c r="Q1217" i="54"/>
  <c r="Q170" i="54"/>
  <c r="Q519" i="54"/>
  <c r="Q868" i="54"/>
  <c r="Q170" i="52"/>
  <c r="Q1213" i="51"/>
  <c r="Q519" i="52"/>
  <c r="Q1566" i="52"/>
  <c r="Q1217" i="52"/>
  <c r="Q868" i="52"/>
  <c r="Q516" i="51"/>
  <c r="Q1567" i="53"/>
  <c r="Q168" i="51"/>
  <c r="Q517" i="59"/>
  <c r="Q866" i="59"/>
  <c r="Q520" i="53"/>
  <c r="Q865" i="51"/>
  <c r="Q170" i="37"/>
  <c r="Q1218" i="53"/>
  <c r="Q168" i="59"/>
  <c r="Q520" i="31"/>
  <c r="Q869" i="53"/>
  <c r="Q171" i="53"/>
  <c r="Q868" i="37"/>
  <c r="Q172" i="31"/>
  <c r="Q519" i="37"/>
  <c r="O541" i="54"/>
  <c r="O1239" i="54"/>
  <c r="O890" i="54"/>
  <c r="O541" i="52"/>
  <c r="O1588" i="52"/>
  <c r="O890" i="52"/>
  <c r="O190" i="51"/>
  <c r="O192" i="54"/>
  <c r="O1239" i="52"/>
  <c r="O1235" i="51"/>
  <c r="O1589" i="53"/>
  <c r="O538" i="51"/>
  <c r="O192" i="52"/>
  <c r="O887" i="51"/>
  <c r="O888" i="59"/>
  <c r="O542" i="53"/>
  <c r="O539" i="59"/>
  <c r="O192" i="37"/>
  <c r="O190" i="59"/>
  <c r="O890" i="37"/>
  <c r="O1240" i="53"/>
  <c r="O541" i="37"/>
  <c r="O891" i="53"/>
  <c r="O542" i="31"/>
  <c r="O193" i="53"/>
  <c r="O194" i="31"/>
  <c r="S551" i="54"/>
  <c r="S900" i="54"/>
  <c r="S1249" i="54"/>
  <c r="S1249" i="52"/>
  <c r="S900" i="52"/>
  <c r="S1598" i="52"/>
  <c r="S551" i="52"/>
  <c r="S202" i="54"/>
  <c r="S548" i="51"/>
  <c r="S549" i="59"/>
  <c r="S898" i="59"/>
  <c r="S1245" i="51"/>
  <c r="S901" i="53"/>
  <c r="S202" i="52"/>
  <c r="S897" i="51"/>
  <c r="S200" i="51"/>
  <c r="S200" i="59"/>
  <c r="S1250" i="53"/>
  <c r="S552" i="53"/>
  <c r="S203" i="53"/>
  <c r="S900" i="37"/>
  <c r="S1599" i="53"/>
  <c r="S551" i="37"/>
  <c r="S202" i="37"/>
  <c r="S204" i="31"/>
  <c r="S552" i="31"/>
  <c r="S1585" i="52"/>
  <c r="S887" i="54"/>
  <c r="S1236" i="54"/>
  <c r="S538" i="54"/>
  <c r="S887" i="52"/>
  <c r="S189" i="54"/>
  <c r="S1236" i="52"/>
  <c r="S884" i="51"/>
  <c r="S535" i="51"/>
  <c r="S538" i="52"/>
  <c r="S189" i="52"/>
  <c r="S187" i="51"/>
  <c r="S536" i="59"/>
  <c r="S885" i="59"/>
  <c r="S1237" i="53"/>
  <c r="S1232" i="51"/>
  <c r="S190" i="53"/>
  <c r="S887" i="37"/>
  <c r="S187" i="59"/>
  <c r="S539" i="31"/>
  <c r="S1586" i="53"/>
  <c r="S888" i="53"/>
  <c r="S539" i="53"/>
  <c r="S538" i="37"/>
  <c r="S191" i="31"/>
  <c r="S189" i="37"/>
  <c r="M1572" i="52"/>
  <c r="M874" i="54"/>
  <c r="M1223" i="54"/>
  <c r="M525" i="54"/>
  <c r="M874" i="52"/>
  <c r="M522" i="51"/>
  <c r="M525" i="52"/>
  <c r="M176" i="54"/>
  <c r="M1223" i="52"/>
  <c r="M176" i="52"/>
  <c r="M523" i="59"/>
  <c r="M872" i="59"/>
  <c r="M871" i="51"/>
  <c r="M174" i="51"/>
  <c r="M1224" i="53"/>
  <c r="M1219" i="51"/>
  <c r="M874" i="37"/>
  <c r="M174" i="59"/>
  <c r="M526" i="31"/>
  <c r="M1573" i="53"/>
  <c r="M875" i="53"/>
  <c r="M526" i="53"/>
  <c r="M525" i="37"/>
  <c r="M178" i="31"/>
  <c r="M176" i="37"/>
  <c r="M177" i="53"/>
  <c r="M522" i="54"/>
  <c r="M1220" i="54"/>
  <c r="M871" i="54"/>
  <c r="M173" i="54"/>
  <c r="M1569" i="52"/>
  <c r="M522" i="52"/>
  <c r="M1220" i="52"/>
  <c r="M871" i="52"/>
  <c r="M171" i="51"/>
  <c r="M173" i="52"/>
  <c r="M868" i="51"/>
  <c r="M1570" i="53"/>
  <c r="M1216" i="51"/>
  <c r="M519" i="51"/>
  <c r="M869" i="59"/>
  <c r="M523" i="53"/>
  <c r="M520" i="59"/>
  <c r="M1221" i="53"/>
  <c r="M173" i="37"/>
  <c r="M171" i="59"/>
  <c r="M174" i="53"/>
  <c r="M871" i="37"/>
  <c r="M872" i="53"/>
  <c r="M522" i="37"/>
  <c r="M175" i="31"/>
  <c r="M523" i="31"/>
  <c r="Q201" i="54"/>
  <c r="Q899" i="54"/>
  <c r="Q1248" i="54"/>
  <c r="Q1248" i="52"/>
  <c r="Q550" i="54"/>
  <c r="Q550" i="52"/>
  <c r="Q201" i="52"/>
  <c r="Q1244" i="51"/>
  <c r="Q1597" i="52"/>
  <c r="Q896" i="51"/>
  <c r="Q897" i="59"/>
  <c r="Q199" i="51"/>
  <c r="Q1249" i="53"/>
  <c r="Q899" i="52"/>
  <c r="Q547" i="51"/>
  <c r="Q548" i="59"/>
  <c r="Q1598" i="53"/>
  <c r="Q551" i="31"/>
  <c r="Q900" i="53"/>
  <c r="Q199" i="59"/>
  <c r="Q551" i="53"/>
  <c r="Q202" i="53"/>
  <c r="Q899" i="37"/>
  <c r="Q201" i="37"/>
  <c r="Q203" i="31"/>
  <c r="Q550" i="37"/>
  <c r="Q548" i="54"/>
  <c r="Q1246" i="54"/>
  <c r="Q897" i="54"/>
  <c r="Q548" i="52"/>
  <c r="Q1595" i="52"/>
  <c r="Q897" i="52"/>
  <c r="Q197" i="51"/>
  <c r="Q1242" i="51"/>
  <c r="Q199" i="54"/>
  <c r="Q199" i="52"/>
  <c r="Q1596" i="53"/>
  <c r="Q1246" i="52"/>
  <c r="Q545" i="51"/>
  <c r="Q894" i="51"/>
  <c r="Q895" i="59"/>
  <c r="Q549" i="53"/>
  <c r="Q199" i="37"/>
  <c r="Q197" i="59"/>
  <c r="Q546" i="59"/>
  <c r="Q200" i="53"/>
  <c r="Q897" i="37"/>
  <c r="Q548" i="37"/>
  <c r="Q549" i="31"/>
  <c r="Q1247" i="53"/>
  <c r="Q898" i="53"/>
  <c r="Q201" i="31"/>
  <c r="M551" i="54"/>
  <c r="M900" i="54"/>
  <c r="M1249" i="54"/>
  <c r="M551" i="52"/>
  <c r="M1598" i="52"/>
  <c r="M202" i="52"/>
  <c r="M202" i="54"/>
  <c r="M1249" i="52"/>
  <c r="M1245" i="51"/>
  <c r="M200" i="59"/>
  <c r="M898" i="59"/>
  <c r="M548" i="51"/>
  <c r="M200" i="51"/>
  <c r="M901" i="53"/>
  <c r="M900" i="52"/>
  <c r="M897" i="51"/>
  <c r="M551" i="37"/>
  <c r="M1599" i="53"/>
  <c r="M549" i="59"/>
  <c r="M202" i="37"/>
  <c r="M900" i="37"/>
  <c r="M204" i="31"/>
  <c r="M552" i="31"/>
  <c r="M1250" i="53"/>
  <c r="M552" i="53"/>
  <c r="M203" i="53"/>
  <c r="S188" i="54"/>
  <c r="S886" i="54"/>
  <c r="S1235" i="54"/>
  <c r="S537" i="54"/>
  <c r="S886" i="52"/>
  <c r="S537" i="52"/>
  <c r="S883" i="51"/>
  <c r="S1235" i="52"/>
  <c r="S534" i="51"/>
  <c r="S884" i="59"/>
  <c r="S1584" i="52"/>
  <c r="S188" i="52"/>
  <c r="S1236" i="53"/>
  <c r="S1231" i="51"/>
  <c r="S186" i="51"/>
  <c r="S535" i="59"/>
  <c r="S189" i="53"/>
  <c r="S186" i="59"/>
  <c r="S538" i="31"/>
  <c r="S1585" i="53"/>
  <c r="S886" i="37"/>
  <c r="S537" i="37"/>
  <c r="S887" i="53"/>
  <c r="S190" i="31"/>
  <c r="S188" i="37"/>
  <c r="S538" i="53"/>
  <c r="O545" i="54"/>
  <c r="O894" i="54"/>
  <c r="O1243" i="54"/>
  <c r="O196" i="54"/>
  <c r="O894" i="52"/>
  <c r="O1592" i="52"/>
  <c r="O545" i="52"/>
  <c r="O1243" i="52"/>
  <c r="O542" i="51"/>
  <c r="O891" i="51"/>
  <c r="O543" i="59"/>
  <c r="O892" i="59"/>
  <c r="O895" i="53"/>
  <c r="O1239" i="51"/>
  <c r="O196" i="52"/>
  <c r="O194" i="51"/>
  <c r="O194" i="59"/>
  <c r="O1244" i="53"/>
  <c r="O546" i="53"/>
  <c r="O894" i="37"/>
  <c r="O1593" i="53"/>
  <c r="O545" i="37"/>
  <c r="O196" i="37"/>
  <c r="O198" i="31"/>
  <c r="O197" i="53"/>
  <c r="O546" i="31"/>
  <c r="O194" i="54"/>
  <c r="O892" i="54"/>
  <c r="O1241" i="54"/>
  <c r="O1241" i="52"/>
  <c r="O543" i="54"/>
  <c r="O1237" i="51"/>
  <c r="O892" i="52"/>
  <c r="O1590" i="52"/>
  <c r="O889" i="51"/>
  <c r="O194" i="52"/>
  <c r="O890" i="59"/>
  <c r="O543" i="52"/>
  <c r="O1242" i="53"/>
  <c r="O540" i="51"/>
  <c r="O192" i="51"/>
  <c r="O541" i="59"/>
  <c r="O1591" i="53"/>
  <c r="O544" i="31"/>
  <c r="O893" i="53"/>
  <c r="O195" i="53"/>
  <c r="O192" i="59"/>
  <c r="O544" i="53"/>
  <c r="O892" i="37"/>
  <c r="O194" i="37"/>
  <c r="O196" i="31"/>
  <c r="O543" i="37"/>
  <c r="O193" i="54"/>
  <c r="O1240" i="54"/>
  <c r="O891" i="54"/>
  <c r="O1240" i="52"/>
  <c r="O891" i="52"/>
  <c r="O1236" i="51"/>
  <c r="O888" i="51"/>
  <c r="O542" i="54"/>
  <c r="O542" i="52"/>
  <c r="O889" i="59"/>
  <c r="O543" i="53"/>
  <c r="O1590" i="53"/>
  <c r="O1589" i="52"/>
  <c r="O539" i="51"/>
  <c r="O191" i="51"/>
  <c r="O193" i="52"/>
  <c r="O540" i="59"/>
  <c r="O892" i="53"/>
  <c r="O194" i="53"/>
  <c r="O193" i="37"/>
  <c r="O191" i="59"/>
  <c r="O1241" i="53"/>
  <c r="O195" i="31"/>
  <c r="O891" i="37"/>
  <c r="O542" i="37"/>
  <c r="O543" i="31"/>
  <c r="O529" i="54"/>
  <c r="O1227" i="54"/>
  <c r="O878" i="54"/>
  <c r="O1576" i="52"/>
  <c r="O529" i="52"/>
  <c r="O180" i="54"/>
  <c r="O178" i="51"/>
  <c r="O1227" i="52"/>
  <c r="O878" i="52"/>
  <c r="O180" i="52"/>
  <c r="O1223" i="51"/>
  <c r="O875" i="51"/>
  <c r="O1577" i="53"/>
  <c r="O526" i="51"/>
  <c r="O876" i="59"/>
  <c r="O530" i="53"/>
  <c r="O1228" i="53"/>
  <c r="O180" i="37"/>
  <c r="O527" i="59"/>
  <c r="O879" i="53"/>
  <c r="O178" i="59"/>
  <c r="O181" i="53"/>
  <c r="O878" i="37"/>
  <c r="O529" i="37"/>
  <c r="O182" i="31"/>
  <c r="O530" i="31"/>
  <c r="S539" i="54"/>
  <c r="S888" i="54"/>
  <c r="S1237" i="54"/>
  <c r="S888" i="52"/>
  <c r="S190" i="54"/>
  <c r="S1237" i="52"/>
  <c r="S190" i="52"/>
  <c r="S885" i="51"/>
  <c r="S536" i="51"/>
  <c r="S1586" i="52"/>
  <c r="S539" i="52"/>
  <c r="S188" i="51"/>
  <c r="S537" i="59"/>
  <c r="S886" i="59"/>
  <c r="S889" i="53"/>
  <c r="S1233" i="51"/>
  <c r="S188" i="59"/>
  <c r="S191" i="53"/>
  <c r="S888" i="37"/>
  <c r="S1238" i="53"/>
  <c r="S540" i="53"/>
  <c r="S1587" i="53"/>
  <c r="S539" i="37"/>
  <c r="S540" i="31"/>
  <c r="S192" i="31"/>
  <c r="S190" i="37"/>
  <c r="S1573" i="52"/>
  <c r="S875" i="54"/>
  <c r="S1224" i="54"/>
  <c r="S526" i="54"/>
  <c r="S1224" i="52"/>
  <c r="S875" i="52"/>
  <c r="S177" i="52"/>
  <c r="S872" i="51"/>
  <c r="S526" i="52"/>
  <c r="S1220" i="51"/>
  <c r="S523" i="51"/>
  <c r="S177" i="54"/>
  <c r="S524" i="59"/>
  <c r="S178" i="53"/>
  <c r="S873" i="59"/>
  <c r="S175" i="51"/>
  <c r="S1225" i="53"/>
  <c r="S875" i="37"/>
  <c r="S1574" i="53"/>
  <c r="S175" i="59"/>
  <c r="S527" i="31"/>
  <c r="S179" i="31"/>
  <c r="S527" i="53"/>
  <c r="S526" i="37"/>
  <c r="S876" i="53"/>
  <c r="S177" i="37"/>
  <c r="L98" i="67"/>
  <c r="K98" i="67"/>
  <c r="J39" i="83"/>
  <c r="O39" i="83" s="1"/>
  <c r="J24" i="78"/>
  <c r="O24" i="78" s="1"/>
  <c r="L24" i="78"/>
  <c r="Q24" i="78" s="1"/>
  <c r="O98" i="67"/>
  <c r="N98" i="67"/>
  <c r="O64" i="67"/>
  <c r="N64" i="67"/>
  <c r="I56" i="67"/>
  <c r="I58" i="67" s="1"/>
  <c r="J15" i="79"/>
  <c r="O15" i="79" s="1"/>
  <c r="L15" i="79"/>
  <c r="Q15" i="79" s="1"/>
  <c r="J25" i="79"/>
  <c r="O25" i="79" s="1"/>
  <c r="L37" i="84"/>
  <c r="Q37" i="84" s="1"/>
  <c r="L40" i="83"/>
  <c r="Q40" i="83" s="1"/>
  <c r="J25" i="82"/>
  <c r="O25" i="82" s="1"/>
  <c r="J37" i="84"/>
  <c r="O37" i="84" s="1"/>
  <c r="L25" i="79"/>
  <c r="Q25" i="79" s="1"/>
  <c r="J49" i="82"/>
  <c r="O49" i="82" s="1"/>
  <c r="L25" i="82"/>
  <c r="Q25" i="82" s="1"/>
  <c r="C31" i="78"/>
  <c r="C25" i="86" s="1"/>
  <c r="D16" i="84"/>
  <c r="C127" i="86" s="1"/>
  <c r="C19" i="84"/>
  <c r="C129" i="86" s="1"/>
  <c r="D28" i="84"/>
  <c r="C131" i="86" s="1"/>
  <c r="C31" i="84"/>
  <c r="C133" i="86" s="1"/>
  <c r="D40" i="84"/>
  <c r="C135" i="86" s="1"/>
  <c r="C43" i="84"/>
  <c r="C137" i="86" s="1"/>
  <c r="D55" i="83"/>
  <c r="C115" i="86" s="1"/>
  <c r="C58" i="83"/>
  <c r="C117" i="86" s="1"/>
  <c r="D31" i="83"/>
  <c r="C107" i="86" s="1"/>
  <c r="C34" i="83"/>
  <c r="C109" i="86" s="1"/>
  <c r="D16" i="83"/>
  <c r="C103" i="86" s="1"/>
  <c r="C22" i="83"/>
  <c r="C105" i="86" s="1"/>
  <c r="D28" i="82"/>
  <c r="C87" i="86" s="1"/>
  <c r="C31" i="82"/>
  <c r="C89" i="86" s="1"/>
  <c r="D40" i="82"/>
  <c r="C91" i="86" s="1"/>
  <c r="C43" i="82"/>
  <c r="C93" i="86" s="1"/>
  <c r="D52" i="82"/>
  <c r="C95" i="86" s="1"/>
  <c r="C55" i="82"/>
  <c r="C97" i="86" s="1"/>
  <c r="D16" i="82"/>
  <c r="C83" i="86" s="1"/>
  <c r="D15" i="81"/>
  <c r="C63" i="86" s="1"/>
  <c r="C18" i="81"/>
  <c r="C65" i="86" s="1"/>
  <c r="D30" i="81"/>
  <c r="C67" i="86" s="1"/>
  <c r="C33" i="81"/>
  <c r="C69" i="86" s="1"/>
  <c r="D60" i="81"/>
  <c r="C75" i="86" s="1"/>
  <c r="C63" i="81"/>
  <c r="C77" i="86" s="1"/>
  <c r="D45" i="81"/>
  <c r="C71" i="86" s="1"/>
  <c r="C48" i="81"/>
  <c r="C73" i="86" s="1"/>
  <c r="C19" i="80"/>
  <c r="C49" i="86" s="1"/>
  <c r="D40" i="79"/>
  <c r="C39" i="86" s="1"/>
  <c r="C43" i="79"/>
  <c r="C41" i="86" s="1"/>
  <c r="D28" i="79"/>
  <c r="C35" i="86" s="1"/>
  <c r="C31" i="79"/>
  <c r="C37" i="86" s="1"/>
  <c r="D16" i="79"/>
  <c r="C31" i="86" s="1"/>
  <c r="C19" i="79"/>
  <c r="C33" i="86" s="1"/>
  <c r="C18" i="78"/>
  <c r="C21" i="86" s="1"/>
  <c r="D15" i="78"/>
  <c r="C19" i="86" s="1"/>
  <c r="J64" i="83"/>
  <c r="O64" i="83" s="1"/>
  <c r="L64" i="83"/>
  <c r="Q64" i="83" s="1"/>
  <c r="J37" i="79"/>
  <c r="O37" i="79" s="1"/>
  <c r="L49" i="82"/>
  <c r="Q49" i="82" s="1"/>
  <c r="L37" i="82"/>
  <c r="Q37" i="82" s="1"/>
  <c r="J12" i="78"/>
  <c r="O12" i="78" s="1"/>
  <c r="L12" i="78"/>
  <c r="Q12" i="78" s="1"/>
  <c r="L37" i="79"/>
  <c r="Q37" i="79" s="1"/>
  <c r="J57" i="81"/>
  <c r="O57" i="81" s="1"/>
  <c r="L12" i="80"/>
  <c r="Q12" i="80" s="1"/>
  <c r="J12" i="80"/>
  <c r="O12" i="80" s="1"/>
  <c r="L57" i="81"/>
  <c r="Q57" i="81" s="1"/>
  <c r="L54" i="83"/>
  <c r="Q54" i="83" s="1"/>
  <c r="J54" i="83"/>
  <c r="O54" i="83" s="1"/>
  <c r="L51" i="82"/>
  <c r="Q51" i="82" s="1"/>
  <c r="J51" i="82"/>
  <c r="O51" i="82" s="1"/>
  <c r="L27" i="82"/>
  <c r="Q27" i="82" s="1"/>
  <c r="J39" i="82"/>
  <c r="O39" i="82" s="1"/>
  <c r="L39" i="82"/>
  <c r="Q39" i="82" s="1"/>
  <c r="J15" i="82"/>
  <c r="O15" i="82" s="1"/>
  <c r="J27" i="82"/>
  <c r="O27" i="82" s="1"/>
  <c r="L15" i="82"/>
  <c r="Q15" i="82" s="1"/>
  <c r="J39" i="79"/>
  <c r="O39" i="79" s="1"/>
  <c r="L39" i="79"/>
  <c r="Q39" i="79" s="1"/>
  <c r="J13" i="79"/>
  <c r="O13" i="79" s="1"/>
  <c r="L13" i="79"/>
  <c r="Q13" i="79" s="1"/>
  <c r="L12" i="79"/>
  <c r="Q12" i="79" s="1"/>
  <c r="J12" i="79"/>
  <c r="O12" i="79" s="1"/>
  <c r="L25" i="78"/>
  <c r="Q25" i="78" s="1"/>
  <c r="J27" i="78"/>
  <c r="O27" i="78" s="1"/>
  <c r="L27" i="78"/>
  <c r="Q27" i="78" s="1"/>
  <c r="L23" i="78"/>
  <c r="Q23" i="78" s="1"/>
  <c r="J25" i="78"/>
  <c r="O25" i="78" s="1"/>
  <c r="J23" i="78"/>
  <c r="O23" i="78" s="1"/>
  <c r="Q1174" i="53" l="1"/>
  <c r="J58" i="81" s="1"/>
  <c r="O58" i="81" s="1"/>
  <c r="Q473" i="59"/>
  <c r="S1173" i="54"/>
  <c r="Q1173" i="54"/>
  <c r="J50" i="84" s="1"/>
  <c r="O50" i="84" s="1"/>
  <c r="Q824" i="54"/>
  <c r="J38" i="84" s="1"/>
  <c r="O38" i="84" s="1"/>
  <c r="S824" i="54"/>
  <c r="L38" i="84" s="1"/>
  <c r="Q38" i="84" s="1"/>
  <c r="Q475" i="54"/>
  <c r="J26" i="84" s="1"/>
  <c r="O26" i="84" s="1"/>
  <c r="S475" i="54"/>
  <c r="L26" i="84" s="1"/>
  <c r="Q26" i="84" s="1"/>
  <c r="Q126" i="54"/>
  <c r="J14" i="84" s="1"/>
  <c r="O14" i="84" s="1"/>
  <c r="S126" i="54"/>
  <c r="L14" i="84" s="1"/>
  <c r="Q14" i="84" s="1"/>
  <c r="Q1522" i="52"/>
  <c r="J65" i="83" s="1"/>
  <c r="O65" i="83" s="1"/>
  <c r="S1522" i="52"/>
  <c r="L65" i="83" s="1"/>
  <c r="Q65" i="83" s="1"/>
  <c r="S1173" i="52"/>
  <c r="L53" i="83" s="1"/>
  <c r="Q53" i="83" s="1"/>
  <c r="Q1173" i="52"/>
  <c r="J53" i="83" s="1"/>
  <c r="O53" i="83" s="1"/>
  <c r="S824" i="52"/>
  <c r="L41" i="83" s="1"/>
  <c r="Q41" i="83" s="1"/>
  <c r="Q824" i="52"/>
  <c r="J41" i="83" s="1"/>
  <c r="O41" i="83" s="1"/>
  <c r="Q475" i="52"/>
  <c r="J29" i="83" s="1"/>
  <c r="O29" i="83" s="1"/>
  <c r="S475" i="52"/>
  <c r="L29" i="83" s="1"/>
  <c r="Q29" i="83" s="1"/>
  <c r="Q126" i="52"/>
  <c r="J14" i="83" s="1"/>
  <c r="O14" i="83" s="1"/>
  <c r="S126" i="52"/>
  <c r="L14" i="83" s="1"/>
  <c r="Q14" i="83" s="1"/>
  <c r="Q1170" i="51"/>
  <c r="J50" i="82" s="1"/>
  <c r="O50" i="82" s="1"/>
  <c r="S1170" i="51"/>
  <c r="L50" i="82" s="1"/>
  <c r="Q50" i="82" s="1"/>
  <c r="S821" i="51"/>
  <c r="L38" i="82" s="1"/>
  <c r="Q38" i="82" s="1"/>
  <c r="Q821" i="51"/>
  <c r="J38" i="82" s="1"/>
  <c r="O38" i="82" s="1"/>
  <c r="Q473" i="51"/>
  <c r="J26" i="82" s="1"/>
  <c r="O26" i="82" s="1"/>
  <c r="S473" i="51"/>
  <c r="L26" i="82" s="1"/>
  <c r="Q26" i="82" s="1"/>
  <c r="O101" i="51"/>
  <c r="S101" i="51" s="1"/>
  <c r="S125" i="51" s="1"/>
  <c r="L14" i="82" s="1"/>
  <c r="Q14" i="82" s="1"/>
  <c r="Q125" i="51"/>
  <c r="J14" i="82" s="1"/>
  <c r="O14" i="82" s="1"/>
  <c r="Q824" i="37"/>
  <c r="J38" i="79" s="1"/>
  <c r="O38" i="79" s="1"/>
  <c r="S824" i="37"/>
  <c r="L38" i="79" s="1"/>
  <c r="Q38" i="79" s="1"/>
  <c r="S475" i="37"/>
  <c r="L26" i="79" s="1"/>
  <c r="Q26" i="79" s="1"/>
  <c r="Q475" i="37"/>
  <c r="J26" i="79" s="1"/>
  <c r="O26" i="79" s="1"/>
  <c r="Q126" i="37"/>
  <c r="J14" i="79" s="1"/>
  <c r="O14" i="79" s="1"/>
  <c r="S126" i="37"/>
  <c r="L14" i="79" s="1"/>
  <c r="Q14" i="79" s="1"/>
  <c r="S1523" i="53"/>
  <c r="Q1523" i="53"/>
  <c r="S1174" i="53"/>
  <c r="L58" i="81" s="1"/>
  <c r="Q58" i="81" s="1"/>
  <c r="Q825" i="53"/>
  <c r="J43" i="81" s="1"/>
  <c r="O43" i="81" s="1"/>
  <c r="S825" i="53"/>
  <c r="L43" i="81" s="1"/>
  <c r="Q43" i="81" s="1"/>
  <c r="S476" i="53"/>
  <c r="L28" i="81" s="1"/>
  <c r="Q28" i="81" s="1"/>
  <c r="Q476" i="53"/>
  <c r="J28" i="81" s="1"/>
  <c r="O28" i="81" s="1"/>
  <c r="Q127" i="53"/>
  <c r="J13" i="81" s="1"/>
  <c r="O13" i="81" s="1"/>
  <c r="S127" i="53"/>
  <c r="L13" i="81" s="1"/>
  <c r="Q13" i="81" s="1"/>
  <c r="Q822" i="59"/>
  <c r="J38" i="80" s="1"/>
  <c r="O38" i="80" s="1"/>
  <c r="S822" i="59"/>
  <c r="L38" i="80" s="1"/>
  <c r="Q38" i="80" s="1"/>
  <c r="S473" i="59"/>
  <c r="L26" i="80" s="1"/>
  <c r="Q26" i="80" s="1"/>
  <c r="Q124" i="59"/>
  <c r="J14" i="80" s="1"/>
  <c r="O14" i="80" s="1"/>
  <c r="S124" i="59"/>
  <c r="L14" i="80" s="1"/>
  <c r="Q14" i="80" s="1"/>
  <c r="S127" i="31"/>
  <c r="L13" i="78" s="1"/>
  <c r="Q13" i="78" s="1"/>
  <c r="Q127" i="31"/>
  <c r="J13" i="78" s="1"/>
  <c r="O13" i="78" s="1"/>
  <c r="S476" i="31"/>
  <c r="L26" i="78" s="1"/>
  <c r="Q26" i="78" s="1"/>
  <c r="Q476" i="31"/>
  <c r="J26" i="78" s="1"/>
  <c r="O26" i="78" s="1"/>
  <c r="L73" i="67"/>
  <c r="L81" i="67"/>
  <c r="L89" i="67"/>
  <c r="K71" i="67"/>
  <c r="K79" i="67"/>
  <c r="K87" i="67"/>
  <c r="L74" i="67"/>
  <c r="L82" i="67"/>
  <c r="L90" i="67"/>
  <c r="K72" i="67"/>
  <c r="K80" i="67"/>
  <c r="K88" i="67"/>
  <c r="L75" i="67"/>
  <c r="K73" i="67"/>
  <c r="L76" i="67"/>
  <c r="L84" i="67"/>
  <c r="L92" i="67"/>
  <c r="K74" i="67"/>
  <c r="K82" i="67"/>
  <c r="K90" i="67"/>
  <c r="L86" i="67"/>
  <c r="K76" i="67"/>
  <c r="K84" i="67"/>
  <c r="K92" i="67"/>
  <c r="L71" i="67"/>
  <c r="L79" i="67"/>
  <c r="L87" i="67"/>
  <c r="K77" i="67"/>
  <c r="K93" i="67"/>
  <c r="L83" i="67"/>
  <c r="K81" i="67"/>
  <c r="L69" i="67"/>
  <c r="L77" i="67"/>
  <c r="L85" i="67"/>
  <c r="L93" i="67"/>
  <c r="K75" i="67"/>
  <c r="K83" i="67"/>
  <c r="K91" i="67"/>
  <c r="L70" i="67"/>
  <c r="L78" i="67"/>
  <c r="K69" i="67"/>
  <c r="K85" i="67"/>
  <c r="L91" i="67"/>
  <c r="L72" i="67"/>
  <c r="L80" i="67"/>
  <c r="L88" i="67"/>
  <c r="K70" i="67"/>
  <c r="K78" i="67"/>
  <c r="K86" i="67"/>
  <c r="K89" i="67"/>
  <c r="H14" i="69"/>
  <c r="L50" i="84"/>
  <c r="Q50" i="84" s="1"/>
  <c r="J26" i="80"/>
  <c r="O26" i="80" s="1"/>
  <c r="K11" i="86"/>
  <c r="M11" i="86"/>
  <c r="O11" i="86"/>
  <c r="I11" i="86"/>
  <c r="L13" i="82"/>
  <c r="Q13" i="82" s="1"/>
  <c r="J13" i="82"/>
  <c r="O13" i="82" s="1"/>
  <c r="L27" i="79"/>
  <c r="Q27" i="79" s="1"/>
  <c r="J27" i="79"/>
  <c r="O27" i="79" s="1"/>
  <c r="L25" i="84"/>
  <c r="Q25" i="84" s="1"/>
  <c r="J25" i="84"/>
  <c r="O25" i="84" s="1"/>
  <c r="J13" i="84"/>
  <c r="O13" i="84" s="1"/>
  <c r="L13" i="84"/>
  <c r="Q13" i="84" s="1"/>
  <c r="J28" i="83"/>
  <c r="O28" i="83" s="1"/>
  <c r="L28" i="83"/>
  <c r="Q28" i="83" s="1"/>
  <c r="J38" i="83"/>
  <c r="O38" i="83" s="1"/>
  <c r="L38" i="83"/>
  <c r="Q38" i="83" s="1"/>
  <c r="L13" i="83"/>
  <c r="Q13" i="83" s="1"/>
  <c r="J13" i="83"/>
  <c r="O13" i="83" s="1"/>
  <c r="L11" i="79"/>
  <c r="Q11" i="79" s="1"/>
  <c r="J11" i="79"/>
  <c r="O11" i="79" s="1"/>
  <c r="J64" i="67"/>
  <c r="J103" i="67" s="1"/>
  <c r="O103" i="67" s="1"/>
  <c r="I104" i="67"/>
  <c r="N104" i="67" s="1"/>
  <c r="J104" i="67"/>
  <c r="O104" i="67" s="1"/>
  <c r="I64" i="67"/>
  <c r="I103" i="67" s="1"/>
  <c r="N103" i="67" s="1"/>
  <c r="J27" i="81"/>
  <c r="O27" i="81" s="1"/>
  <c r="L13" i="80"/>
  <c r="Q13" i="80" s="1"/>
  <c r="L49" i="84"/>
  <c r="Q49" i="84" s="1"/>
  <c r="J13" i="69"/>
  <c r="O13" i="69" s="1"/>
  <c r="J25" i="80"/>
  <c r="O25" i="80" s="1"/>
  <c r="J51" i="83"/>
  <c r="O51" i="83" s="1"/>
  <c r="J36" i="82"/>
  <c r="O36" i="82" s="1"/>
  <c r="J36" i="84"/>
  <c r="O36" i="84" s="1"/>
  <c r="J49" i="84"/>
  <c r="O49" i="84" s="1"/>
  <c r="J12" i="84"/>
  <c r="O12" i="84" s="1"/>
  <c r="L12" i="81"/>
  <c r="Q12" i="81" s="1"/>
  <c r="J42" i="81"/>
  <c r="O42" i="81" s="1"/>
  <c r="J56" i="81"/>
  <c r="O56" i="81" s="1"/>
  <c r="L27" i="81"/>
  <c r="Q27" i="81" s="1"/>
  <c r="J12" i="81"/>
  <c r="O12" i="81" s="1"/>
  <c r="L42" i="81"/>
  <c r="Q42" i="81" s="1"/>
  <c r="L25" i="80"/>
  <c r="Q25" i="80" s="1"/>
  <c r="J13" i="80"/>
  <c r="O13" i="80" s="1"/>
  <c r="R34" i="63"/>
  <c r="L56" i="81"/>
  <c r="Q56" i="81" s="1"/>
  <c r="L12" i="84"/>
  <c r="Q12" i="84" s="1"/>
  <c r="L51" i="83"/>
  <c r="Q51" i="83" s="1"/>
  <c r="L36" i="84"/>
  <c r="Q36" i="84" s="1"/>
  <c r="J48" i="82"/>
  <c r="O48" i="82" s="1"/>
  <c r="L36" i="82"/>
  <c r="Q36" i="82" s="1"/>
  <c r="S509" i="31" l="1"/>
  <c r="W509" i="31" s="1"/>
  <c r="S857" i="52"/>
  <c r="W857" i="52" s="1"/>
  <c r="Q857" i="52"/>
  <c r="U857" i="52" s="1"/>
  <c r="L80" i="81"/>
  <c r="S1556" i="53"/>
  <c r="V1556" i="53" s="1"/>
  <c r="J80" i="81"/>
  <c r="Q1556" i="53"/>
  <c r="U1556" i="53" s="1"/>
  <c r="Q103" i="67"/>
  <c r="R104" i="67"/>
  <c r="Q104" i="67"/>
  <c r="R103" i="67"/>
  <c r="O16" i="79"/>
  <c r="L16" i="79"/>
  <c r="L19" i="79" s="1"/>
  <c r="Q509" i="31"/>
  <c r="U509" i="31" s="1"/>
  <c r="L28" i="78"/>
  <c r="L31" i="78" s="1"/>
  <c r="Q28" i="78"/>
  <c r="Q31" i="78" s="1"/>
  <c r="O28" i="78"/>
  <c r="O31" i="78" s="1"/>
  <c r="J28" i="78"/>
  <c r="J31" i="78" s="1"/>
  <c r="L94" i="67"/>
  <c r="K94" i="67"/>
  <c r="Q43" i="83"/>
  <c r="L43" i="83"/>
  <c r="O43" i="83"/>
  <c r="J43" i="83"/>
  <c r="S159" i="37"/>
  <c r="W159" i="37" s="1"/>
  <c r="J12" i="83"/>
  <c r="O12" i="83" s="1"/>
  <c r="Q16" i="79"/>
  <c r="O31" i="86" s="1"/>
  <c r="O33" i="86" s="1"/>
  <c r="J16" i="79"/>
  <c r="J19" i="79" s="1"/>
  <c r="Q159" i="37"/>
  <c r="U159" i="37" s="1"/>
  <c r="J105" i="67"/>
  <c r="O105" i="67" s="1"/>
  <c r="I105" i="67"/>
  <c r="N105" i="67" s="1"/>
  <c r="L13" i="69"/>
  <c r="Q13" i="69" s="1"/>
  <c r="J52" i="83"/>
  <c r="O52" i="83" s="1"/>
  <c r="L52" i="83"/>
  <c r="Q52" i="83" s="1"/>
  <c r="L12" i="83"/>
  <c r="Q12" i="83" s="1"/>
  <c r="J15" i="69"/>
  <c r="M10" i="86"/>
  <c r="M12" i="86" s="1"/>
  <c r="M14" i="86" s="1"/>
  <c r="M165" i="86" s="1"/>
  <c r="L42" i="92" s="1"/>
  <c r="L24" i="79"/>
  <c r="Q24" i="79" s="1"/>
  <c r="J24" i="79"/>
  <c r="O24" i="79" s="1"/>
  <c r="L48" i="82"/>
  <c r="Q48" i="82" s="1"/>
  <c r="J12" i="82"/>
  <c r="O12" i="82" s="1"/>
  <c r="L12" i="82"/>
  <c r="Q12" i="82" s="1"/>
  <c r="J26" i="81"/>
  <c r="O26" i="81" s="1"/>
  <c r="J11" i="81"/>
  <c r="O11" i="81" s="1"/>
  <c r="J37" i="80"/>
  <c r="O37" i="80" s="1"/>
  <c r="J11" i="78"/>
  <c r="O11" i="78" s="1"/>
  <c r="L37" i="80"/>
  <c r="Q37" i="80" s="1"/>
  <c r="D215" i="21"/>
  <c r="P90" i="21"/>
  <c r="O90" i="21"/>
  <c r="P168" i="21"/>
  <c r="O168" i="21"/>
  <c r="P129" i="21"/>
  <c r="O129" i="21"/>
  <c r="P52" i="21"/>
  <c r="O52" i="21"/>
  <c r="P13" i="21"/>
  <c r="O13" i="21"/>
  <c r="Y129" i="21"/>
  <c r="X129" i="21"/>
  <c r="H212" i="21"/>
  <c r="K31" i="86" l="1"/>
  <c r="K33" i="86" s="1"/>
  <c r="Q80" i="81"/>
  <c r="Q82" i="81" s="1"/>
  <c r="L82" i="81"/>
  <c r="O80" i="81"/>
  <c r="O82" i="81" s="1"/>
  <c r="J82" i="81"/>
  <c r="J16" i="69"/>
  <c r="Q105" i="67"/>
  <c r="O16" i="69" s="1"/>
  <c r="R105" i="67"/>
  <c r="Q16" i="69" s="1"/>
  <c r="L16" i="69"/>
  <c r="O19" i="79"/>
  <c r="M31" i="86"/>
  <c r="M33" i="86" s="1"/>
  <c r="J46" i="83"/>
  <c r="I111" i="86"/>
  <c r="I113" i="86" s="1"/>
  <c r="O46" i="83"/>
  <c r="M111" i="86"/>
  <c r="M113" i="86" s="1"/>
  <c r="L46" i="83"/>
  <c r="K111" i="86"/>
  <c r="K113" i="86" s="1"/>
  <c r="Q46" i="83"/>
  <c r="O111" i="86"/>
  <c r="O113" i="86" s="1"/>
  <c r="Q19" i="79"/>
  <c r="I31" i="86"/>
  <c r="I33" i="86" s="1"/>
  <c r="J106" i="67"/>
  <c r="O10" i="86"/>
  <c r="O12" i="86" s="1"/>
  <c r="O14" i="86" s="1"/>
  <c r="O165" i="86" s="1"/>
  <c r="N42" i="92" s="1"/>
  <c r="L15" i="69"/>
  <c r="O15" i="69"/>
  <c r="I10" i="86"/>
  <c r="I12" i="86" s="1"/>
  <c r="I14" i="86" s="1"/>
  <c r="I165" i="86" s="1"/>
  <c r="H42" i="92" s="1"/>
  <c r="Q15" i="69"/>
  <c r="K10" i="86"/>
  <c r="K12" i="86" s="1"/>
  <c r="K14" i="86" s="1"/>
  <c r="K165" i="86" s="1"/>
  <c r="J42" i="92" s="1"/>
  <c r="Q40" i="80"/>
  <c r="L40" i="80"/>
  <c r="O40" i="80"/>
  <c r="J40" i="80"/>
  <c r="I106" i="67"/>
  <c r="L36" i="79"/>
  <c r="Q36" i="79" s="1"/>
  <c r="J36" i="79"/>
  <c r="O36" i="79" s="1"/>
  <c r="L63" i="83"/>
  <c r="Q63" i="83" s="1"/>
  <c r="J63" i="83"/>
  <c r="O63" i="83" s="1"/>
  <c r="J48" i="84"/>
  <c r="O48" i="84" s="1"/>
  <c r="L48" i="84"/>
  <c r="Q48" i="84" s="1"/>
  <c r="J27" i="83"/>
  <c r="O27" i="83" s="1"/>
  <c r="J24" i="84"/>
  <c r="O24" i="84" s="1"/>
  <c r="L24" i="84"/>
  <c r="Q24" i="84" s="1"/>
  <c r="L27" i="83"/>
  <c r="Q27" i="83" s="1"/>
  <c r="J24" i="82"/>
  <c r="O24" i="82" s="1"/>
  <c r="L24" i="82"/>
  <c r="Q24" i="82" s="1"/>
  <c r="J41" i="81"/>
  <c r="O41" i="81" s="1"/>
  <c r="L26" i="81"/>
  <c r="Q26" i="81" s="1"/>
  <c r="L11" i="81"/>
  <c r="Q11" i="81" s="1"/>
  <c r="J24" i="80"/>
  <c r="O24" i="80" s="1"/>
  <c r="L11" i="78"/>
  <c r="Q11" i="78" s="1"/>
  <c r="L24" i="80"/>
  <c r="Q24" i="80" s="1"/>
  <c r="S855" i="59"/>
  <c r="W855" i="59" s="1"/>
  <c r="Q855" i="59"/>
  <c r="U855" i="59" s="1"/>
  <c r="L41" i="81"/>
  <c r="Q41" i="81" s="1"/>
  <c r="O88" i="81" l="1"/>
  <c r="O85" i="81"/>
  <c r="J88" i="81"/>
  <c r="J85" i="81"/>
  <c r="L88" i="81"/>
  <c r="L85" i="81"/>
  <c r="Q88" i="81"/>
  <c r="Q85" i="81"/>
  <c r="Q106" i="67"/>
  <c r="R106" i="67"/>
  <c r="O106" i="67"/>
  <c r="J43" i="80"/>
  <c r="I55" i="86"/>
  <c r="I57" i="86" s="1"/>
  <c r="O43" i="80"/>
  <c r="M55" i="86"/>
  <c r="M57" i="86" s="1"/>
  <c r="L43" i="80"/>
  <c r="K55" i="86"/>
  <c r="K57" i="86" s="1"/>
  <c r="Q43" i="80"/>
  <c r="O55" i="86"/>
  <c r="O57" i="86" s="1"/>
  <c r="N106" i="67"/>
  <c r="L59" i="81"/>
  <c r="Q59" i="81" s="1"/>
  <c r="L44" i="81"/>
  <c r="Q44" i="81" s="1"/>
  <c r="J14" i="81"/>
  <c r="O14" i="81" s="1"/>
  <c r="L47" i="82"/>
  <c r="Q47" i="82" s="1"/>
  <c r="L35" i="82"/>
  <c r="Q35" i="82" s="1"/>
  <c r="J35" i="82"/>
  <c r="O35" i="82" s="1"/>
  <c r="J47" i="82"/>
  <c r="O47" i="82" s="1"/>
  <c r="J59" i="81"/>
  <c r="O59" i="81" s="1"/>
  <c r="J44" i="81"/>
  <c r="O44" i="81" s="1"/>
  <c r="J15" i="84"/>
  <c r="O15" i="84" s="1"/>
  <c r="L14" i="81"/>
  <c r="Q14" i="81" s="1"/>
  <c r="J14" i="78"/>
  <c r="O14" i="78" s="1"/>
  <c r="L14" i="78"/>
  <c r="Q14" i="78" s="1"/>
  <c r="K209" i="21"/>
  <c r="Q209" i="21"/>
  <c r="P209" i="21"/>
  <c r="O209" i="21"/>
  <c r="M209" i="21"/>
  <c r="L209" i="21"/>
  <c r="L39" i="84" l="1"/>
  <c r="Q39" i="84" s="1"/>
  <c r="J51" i="84"/>
  <c r="O51" i="84" s="1"/>
  <c r="J15" i="83"/>
  <c r="O15" i="83" s="1"/>
  <c r="L15" i="83"/>
  <c r="Q15" i="83" s="1"/>
  <c r="L15" i="84"/>
  <c r="Q15" i="84" s="1"/>
  <c r="L51" i="84"/>
  <c r="Q51" i="84" s="1"/>
  <c r="J39" i="84"/>
  <c r="O39" i="84" s="1"/>
  <c r="J35" i="84"/>
  <c r="O35" i="84" s="1"/>
  <c r="O40" i="82"/>
  <c r="J40" i="82"/>
  <c r="Q40" i="82"/>
  <c r="L40" i="82"/>
  <c r="Q52" i="82"/>
  <c r="L52" i="82"/>
  <c r="J52" i="82"/>
  <c r="O52" i="82"/>
  <c r="J23" i="79"/>
  <c r="O23" i="79" s="1"/>
  <c r="L35" i="79"/>
  <c r="Q35" i="79" s="1"/>
  <c r="L35" i="84"/>
  <c r="Q35" i="84" s="1"/>
  <c r="J47" i="84"/>
  <c r="O47" i="84" s="1"/>
  <c r="J27" i="84"/>
  <c r="O27" i="84" s="1"/>
  <c r="L30" i="83"/>
  <c r="Q30" i="83" s="1"/>
  <c r="L47" i="84"/>
  <c r="Q47" i="84" s="1"/>
  <c r="J30" i="83"/>
  <c r="O30" i="83" s="1"/>
  <c r="L62" i="83"/>
  <c r="Q62" i="83" s="1"/>
  <c r="L27" i="84"/>
  <c r="Q27" i="84" s="1"/>
  <c r="L23" i="84"/>
  <c r="Q23" i="84" s="1"/>
  <c r="J23" i="84"/>
  <c r="O23" i="84" s="1"/>
  <c r="J26" i="83"/>
  <c r="O26" i="83" s="1"/>
  <c r="L26" i="83"/>
  <c r="Q26" i="83" s="1"/>
  <c r="S854" i="51"/>
  <c r="W854" i="51" s="1"/>
  <c r="J23" i="82"/>
  <c r="O23" i="82" s="1"/>
  <c r="S1202" i="51"/>
  <c r="W1202" i="51" s="1"/>
  <c r="Q1202" i="51"/>
  <c r="U1202" i="51" s="1"/>
  <c r="L23" i="82"/>
  <c r="Q23" i="82" s="1"/>
  <c r="Q854" i="51"/>
  <c r="U854" i="51" s="1"/>
  <c r="J11" i="82"/>
  <c r="O11" i="82" s="1"/>
  <c r="L11" i="82"/>
  <c r="Q11" i="82" s="1"/>
  <c r="J25" i="81"/>
  <c r="O25" i="81" s="1"/>
  <c r="L23" i="80"/>
  <c r="Q23" i="80" s="1"/>
  <c r="L55" i="81"/>
  <c r="Q55" i="81" s="1"/>
  <c r="J15" i="80"/>
  <c r="O15" i="80" s="1"/>
  <c r="J10" i="81"/>
  <c r="O10" i="81" s="1"/>
  <c r="L25" i="81"/>
  <c r="Q25" i="81" s="1"/>
  <c r="L10" i="81"/>
  <c r="Q10" i="81" s="1"/>
  <c r="J23" i="80"/>
  <c r="O23" i="80" s="1"/>
  <c r="L10" i="78"/>
  <c r="Q10" i="78" s="1"/>
  <c r="L40" i="81"/>
  <c r="Q40" i="81" s="1"/>
  <c r="J55" i="81"/>
  <c r="O55" i="81" s="1"/>
  <c r="L15" i="80"/>
  <c r="Q15" i="80" s="1"/>
  <c r="L11" i="80"/>
  <c r="Q11" i="80" s="1"/>
  <c r="J11" i="80"/>
  <c r="O11" i="80" s="1"/>
  <c r="D36" i="9"/>
  <c r="K36" i="9"/>
  <c r="M36" i="9" s="1"/>
  <c r="O40" i="84" l="1"/>
  <c r="M135" i="86" s="1"/>
  <c r="M137" i="86" s="1"/>
  <c r="Q857" i="54"/>
  <c r="U857" i="54" s="1"/>
  <c r="J40" i="84"/>
  <c r="J43" i="84" s="1"/>
  <c r="L55" i="82"/>
  <c r="K95" i="86"/>
  <c r="K97" i="86" s="1"/>
  <c r="Q55" i="82"/>
  <c r="O95" i="86"/>
  <c r="O97" i="86" s="1"/>
  <c r="Q43" i="82"/>
  <c r="O91" i="86"/>
  <c r="O55" i="82"/>
  <c r="M95" i="86"/>
  <c r="M97" i="86" s="1"/>
  <c r="J43" i="82"/>
  <c r="I91" i="86"/>
  <c r="L43" i="82"/>
  <c r="K91" i="86"/>
  <c r="J55" i="82"/>
  <c r="I95" i="86"/>
  <c r="I97" i="86" s="1"/>
  <c r="O43" i="82"/>
  <c r="M91" i="86"/>
  <c r="O28" i="82"/>
  <c r="J28" i="82"/>
  <c r="Q52" i="84"/>
  <c r="L52" i="84"/>
  <c r="Q15" i="81"/>
  <c r="Q21" i="81" s="1"/>
  <c r="L15" i="81"/>
  <c r="L21" i="81" s="1"/>
  <c r="Q28" i="82"/>
  <c r="L28" i="82"/>
  <c r="O52" i="84"/>
  <c r="J52" i="84"/>
  <c r="Q45" i="81"/>
  <c r="Q51" i="81" s="1"/>
  <c r="L45" i="81"/>
  <c r="L51" i="81" s="1"/>
  <c r="Q16" i="82"/>
  <c r="L16" i="82"/>
  <c r="L31" i="83"/>
  <c r="Q31" i="83"/>
  <c r="O28" i="84"/>
  <c r="J28" i="84"/>
  <c r="J60" i="81"/>
  <c r="J66" i="81" s="1"/>
  <c r="O60" i="81"/>
  <c r="O66" i="81" s="1"/>
  <c r="Q15" i="78"/>
  <c r="L15" i="78"/>
  <c r="J15" i="81"/>
  <c r="J21" i="81" s="1"/>
  <c r="O15" i="81"/>
  <c r="O21" i="81" s="1"/>
  <c r="O16" i="82"/>
  <c r="J16" i="82"/>
  <c r="O31" i="83"/>
  <c r="J31" i="83"/>
  <c r="Q40" i="84"/>
  <c r="L40" i="84"/>
  <c r="L60" i="81"/>
  <c r="L66" i="81" s="1"/>
  <c r="Q60" i="81"/>
  <c r="Q66" i="81" s="1"/>
  <c r="Q858" i="53"/>
  <c r="U858" i="53" s="1"/>
  <c r="J40" i="81"/>
  <c r="O40" i="81" s="1"/>
  <c r="Q161" i="31"/>
  <c r="U161" i="31" s="1"/>
  <c r="J10" i="78"/>
  <c r="O10" i="78" s="1"/>
  <c r="Q28" i="84"/>
  <c r="L28" i="84"/>
  <c r="Q67" i="83"/>
  <c r="L67" i="83"/>
  <c r="Q1555" i="52"/>
  <c r="U1555" i="52" s="1"/>
  <c r="J62" i="83"/>
  <c r="O62" i="83" s="1"/>
  <c r="O28" i="80"/>
  <c r="J28" i="80"/>
  <c r="O16" i="80"/>
  <c r="J16" i="80"/>
  <c r="L28" i="80"/>
  <c r="Q28" i="80"/>
  <c r="Q31" i="80" s="1"/>
  <c r="L16" i="80"/>
  <c r="Q16" i="80"/>
  <c r="Q40" i="79"/>
  <c r="L40" i="79"/>
  <c r="Q857" i="37"/>
  <c r="U857" i="37" s="1"/>
  <c r="J35" i="79"/>
  <c r="O35" i="79" s="1"/>
  <c r="J28" i="79"/>
  <c r="O28" i="79"/>
  <c r="S508" i="37"/>
  <c r="W508" i="37" s="1"/>
  <c r="L23" i="79"/>
  <c r="Q23" i="79" s="1"/>
  <c r="S857" i="37"/>
  <c r="W857" i="37" s="1"/>
  <c r="Q508" i="37"/>
  <c r="U508" i="37" s="1"/>
  <c r="Q1206" i="54"/>
  <c r="U1206" i="54" s="1"/>
  <c r="S857" i="54"/>
  <c r="W857" i="54" s="1"/>
  <c r="S1555" i="52"/>
  <c r="W1555" i="52" s="1"/>
  <c r="S1206" i="54"/>
  <c r="W1206" i="54" s="1"/>
  <c r="J50" i="83"/>
  <c r="O50" i="83" s="1"/>
  <c r="Q508" i="54"/>
  <c r="U508" i="54" s="1"/>
  <c r="S508" i="54"/>
  <c r="W508" i="54" s="1"/>
  <c r="S508" i="52"/>
  <c r="W508" i="52" s="1"/>
  <c r="Q508" i="52"/>
  <c r="U508" i="52" s="1"/>
  <c r="J11" i="83"/>
  <c r="O11" i="83" s="1"/>
  <c r="L11" i="83"/>
  <c r="Q11" i="83" s="1"/>
  <c r="S505" i="51"/>
  <c r="W505" i="51" s="1"/>
  <c r="Q505" i="51"/>
  <c r="U505" i="51" s="1"/>
  <c r="S157" i="51"/>
  <c r="W157" i="51" s="1"/>
  <c r="Q157" i="51"/>
  <c r="U157" i="51" s="1"/>
  <c r="Q157" i="59"/>
  <c r="U157" i="59" s="1"/>
  <c r="S506" i="59"/>
  <c r="W506" i="59" s="1"/>
  <c r="J29" i="81"/>
  <c r="O29" i="81" s="1"/>
  <c r="S1207" i="53"/>
  <c r="V1207" i="53" s="1"/>
  <c r="S858" i="53"/>
  <c r="V858" i="53" s="1"/>
  <c r="S160" i="53"/>
  <c r="V160" i="53" s="1"/>
  <c r="Q160" i="53"/>
  <c r="U160" i="53" s="1"/>
  <c r="Q1207" i="53"/>
  <c r="U1207" i="53" s="1"/>
  <c r="S161" i="31"/>
  <c r="W161" i="31" s="1"/>
  <c r="Q506" i="59"/>
  <c r="U506" i="59" s="1"/>
  <c r="L29" i="81"/>
  <c r="Q29" i="81" s="1"/>
  <c r="S157" i="59"/>
  <c r="W157" i="59" s="1"/>
  <c r="H16" i="10"/>
  <c r="H13" i="10"/>
  <c r="J6" i="22" s="1"/>
  <c r="J7" i="22" s="1"/>
  <c r="J9" i="22" s="1"/>
  <c r="J5" i="22" s="1"/>
  <c r="D77" i="11"/>
  <c r="D78" i="11"/>
  <c r="D79" i="11"/>
  <c r="D80" i="11"/>
  <c r="D47" i="11"/>
  <c r="D48" i="11"/>
  <c r="D49" i="11"/>
  <c r="D50" i="11"/>
  <c r="D51" i="11"/>
  <c r="D52" i="11"/>
  <c r="D53" i="11"/>
  <c r="D54" i="11"/>
  <c r="D55" i="11"/>
  <c r="D56" i="11"/>
  <c r="D57" i="11"/>
  <c r="D58"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29" i="9"/>
  <c r="M38" i="9"/>
  <c r="I30" i="9" s="1"/>
  <c r="D13" i="9"/>
  <c r="M20" i="9"/>
  <c r="I13" i="9" s="1"/>
  <c r="O43" i="84" l="1"/>
  <c r="I135" i="86"/>
  <c r="I137" i="86" s="1"/>
  <c r="K93" i="86"/>
  <c r="I93" i="86"/>
  <c r="O93" i="86"/>
  <c r="M93" i="86"/>
  <c r="Q19" i="80"/>
  <c r="O47" i="86"/>
  <c r="O49" i="86" s="1"/>
  <c r="J19" i="82"/>
  <c r="I83" i="86"/>
  <c r="Q48" i="81"/>
  <c r="O71" i="86"/>
  <c r="O73" i="86" s="1"/>
  <c r="Q55" i="84"/>
  <c r="O139" i="86"/>
  <c r="O141" i="86" s="1"/>
  <c r="L19" i="80"/>
  <c r="K47" i="86"/>
  <c r="K49" i="86" s="1"/>
  <c r="O19" i="82"/>
  <c r="M83" i="86"/>
  <c r="J31" i="84"/>
  <c r="I131" i="86"/>
  <c r="I133" i="86" s="1"/>
  <c r="J55" i="84"/>
  <c r="I139" i="86"/>
  <c r="I141" i="86" s="1"/>
  <c r="J31" i="82"/>
  <c r="I87" i="86"/>
  <c r="I89" i="86" s="1"/>
  <c r="O31" i="79"/>
  <c r="M35" i="86"/>
  <c r="L70" i="83"/>
  <c r="K119" i="86"/>
  <c r="K121" i="86" s="1"/>
  <c r="Q63" i="81"/>
  <c r="O75" i="86"/>
  <c r="O18" i="81"/>
  <c r="M63" i="86"/>
  <c r="M65" i="86" s="1"/>
  <c r="O31" i="84"/>
  <c r="M131" i="86"/>
  <c r="M133" i="86" s="1"/>
  <c r="O55" i="84"/>
  <c r="M139" i="86"/>
  <c r="M141" i="86" s="1"/>
  <c r="O31" i="82"/>
  <c r="M87" i="86"/>
  <c r="M89" i="86" s="1"/>
  <c r="J31" i="79"/>
  <c r="I35" i="86"/>
  <c r="L31" i="80"/>
  <c r="K51" i="86"/>
  <c r="K53" i="86" s="1"/>
  <c r="Q70" i="83"/>
  <c r="O119" i="86"/>
  <c r="O121" i="86" s="1"/>
  <c r="L63" i="81"/>
  <c r="K75" i="86"/>
  <c r="J18" i="81"/>
  <c r="I63" i="86"/>
  <c r="I65" i="86" s="1"/>
  <c r="Q34" i="83"/>
  <c r="O107" i="86"/>
  <c r="O109" i="86" s="1"/>
  <c r="L31" i="82"/>
  <c r="K87" i="86"/>
  <c r="K89" i="86" s="1"/>
  <c r="J19" i="80"/>
  <c r="I47" i="86"/>
  <c r="I49" i="86" s="1"/>
  <c r="L31" i="84"/>
  <c r="K131" i="86"/>
  <c r="K133" i="86" s="1"/>
  <c r="L43" i="84"/>
  <c r="K135" i="86"/>
  <c r="K137" i="86" s="1"/>
  <c r="L18" i="78"/>
  <c r="K19" i="86"/>
  <c r="K21" i="86" s="1"/>
  <c r="K27" i="86" s="1"/>
  <c r="L34" i="83"/>
  <c r="K107" i="86"/>
  <c r="K109" i="86" s="1"/>
  <c r="Q31" i="82"/>
  <c r="O87" i="86"/>
  <c r="O89" i="86" s="1"/>
  <c r="O19" i="80"/>
  <c r="M47" i="86"/>
  <c r="M49" i="86" s="1"/>
  <c r="Q31" i="84"/>
  <c r="O131" i="86"/>
  <c r="O133" i="86" s="1"/>
  <c r="Q43" i="84"/>
  <c r="O135" i="86"/>
  <c r="O137" i="86" s="1"/>
  <c r="Q18" i="78"/>
  <c r="O19" i="86"/>
  <c r="O21" i="86" s="1"/>
  <c r="O27" i="86" s="1"/>
  <c r="L19" i="82"/>
  <c r="K83" i="86"/>
  <c r="L18" i="81"/>
  <c r="K63" i="86"/>
  <c r="K65" i="86" s="1"/>
  <c r="L43" i="79"/>
  <c r="K39" i="86"/>
  <c r="K41" i="86" s="1"/>
  <c r="J31" i="80"/>
  <c r="I51" i="86"/>
  <c r="I53" i="86" s="1"/>
  <c r="J34" i="83"/>
  <c r="I107" i="86"/>
  <c r="I109" i="86" s="1"/>
  <c r="O63" i="81"/>
  <c r="M75" i="86"/>
  <c r="Q19" i="82"/>
  <c r="O83" i="86"/>
  <c r="Q18" i="81"/>
  <c r="O63" i="86"/>
  <c r="O65" i="86" s="1"/>
  <c r="Q43" i="79"/>
  <c r="O39" i="86"/>
  <c r="O41" i="86" s="1"/>
  <c r="O31" i="80"/>
  <c r="O51" i="86"/>
  <c r="O53" i="86" s="1"/>
  <c r="M51" i="86"/>
  <c r="M53" i="86" s="1"/>
  <c r="O34" i="83"/>
  <c r="M107" i="86"/>
  <c r="M109" i="86" s="1"/>
  <c r="J63" i="81"/>
  <c r="I75" i="86"/>
  <c r="L48" i="81"/>
  <c r="K71" i="86"/>
  <c r="K73" i="86" s="1"/>
  <c r="L55" i="84"/>
  <c r="K139" i="86"/>
  <c r="K141" i="86" s="1"/>
  <c r="L30" i="81"/>
  <c r="L36" i="81" s="1"/>
  <c r="L16" i="83"/>
  <c r="Q16" i="83"/>
  <c r="O55" i="83"/>
  <c r="J55" i="83"/>
  <c r="O67" i="83"/>
  <c r="J67" i="83"/>
  <c r="O45" i="81"/>
  <c r="O51" i="81" s="1"/>
  <c r="J45" i="81"/>
  <c r="J51" i="81" s="1"/>
  <c r="O16" i="83"/>
  <c r="J16" i="83"/>
  <c r="Q30" i="81"/>
  <c r="Q36" i="81" s="1"/>
  <c r="Q159" i="54"/>
  <c r="U159" i="54" s="1"/>
  <c r="J11" i="84"/>
  <c r="O11" i="84" s="1"/>
  <c r="S1206" i="52"/>
  <c r="W1206" i="52" s="1"/>
  <c r="L50" i="83"/>
  <c r="Q50" i="83" s="1"/>
  <c r="S159" i="54"/>
  <c r="W159" i="54" s="1"/>
  <c r="L11" i="84"/>
  <c r="Q11" i="84" s="1"/>
  <c r="J30" i="81"/>
  <c r="J36" i="81" s="1"/>
  <c r="J15" i="78"/>
  <c r="O15" i="78"/>
  <c r="O30" i="81"/>
  <c r="O36" i="81" s="1"/>
  <c r="O40" i="79"/>
  <c r="J40" i="79"/>
  <c r="Q28" i="79"/>
  <c r="L28" i="79"/>
  <c r="Q1206" i="52"/>
  <c r="U1206" i="52" s="1"/>
  <c r="Q159" i="52"/>
  <c r="U159" i="52" s="1"/>
  <c r="S159" i="52"/>
  <c r="W159" i="52" s="1"/>
  <c r="Q509" i="53"/>
  <c r="U509" i="53" s="1"/>
  <c r="S509" i="53"/>
  <c r="V509" i="53" s="1"/>
  <c r="K8" i="62"/>
  <c r="K9" i="62" s="1"/>
  <c r="K11" i="62" s="1"/>
  <c r="K7" i="62" s="1"/>
  <c r="K8" i="32"/>
  <c r="K9" i="32" s="1"/>
  <c r="K11" i="32" s="1"/>
  <c r="K7" i="32" s="1"/>
  <c r="K8" i="70"/>
  <c r="K9" i="70" s="1"/>
  <c r="K11" i="70" s="1"/>
  <c r="K7" i="70" s="1"/>
  <c r="K8" i="64"/>
  <c r="K9" i="64" s="1"/>
  <c r="K11" i="64" s="1"/>
  <c r="K7" i="64" s="1"/>
  <c r="K8" i="68"/>
  <c r="K9" i="68" s="1"/>
  <c r="K11" i="68" s="1"/>
  <c r="K7" i="68" s="1"/>
  <c r="B7" i="70"/>
  <c r="B7" i="68"/>
  <c r="B7" i="32"/>
  <c r="B7" i="62"/>
  <c r="B7" i="64"/>
  <c r="H14" i="10"/>
  <c r="B5" i="22"/>
  <c r="I14" i="9"/>
  <c r="C10" i="4" s="1"/>
  <c r="I29" i="9"/>
  <c r="Q31" i="79" l="1"/>
  <c r="O35" i="86"/>
  <c r="O37" i="86" s="1"/>
  <c r="O43" i="86" s="1"/>
  <c r="O167" i="86" s="1"/>
  <c r="N44" i="92" s="1"/>
  <c r="L31" i="79"/>
  <c r="K35" i="86"/>
  <c r="K37" i="86" s="1"/>
  <c r="K43" i="86" s="1"/>
  <c r="K167" i="86" s="1"/>
  <c r="J44" i="92" s="1"/>
  <c r="K166" i="86"/>
  <c r="J43" i="92" s="1"/>
  <c r="O166" i="86"/>
  <c r="N43" i="92" s="1"/>
  <c r="B2" i="92"/>
  <c r="B2" i="94"/>
  <c r="B2" i="93"/>
  <c r="K85" i="86"/>
  <c r="K99" i="86" s="1"/>
  <c r="K170" i="86" s="1"/>
  <c r="J47" i="92" s="1"/>
  <c r="I77" i="86"/>
  <c r="I37" i="86"/>
  <c r="M37" i="86"/>
  <c r="M85" i="86"/>
  <c r="M99" i="86" s="1"/>
  <c r="M170" i="86" s="1"/>
  <c r="L47" i="92" s="1"/>
  <c r="I85" i="86"/>
  <c r="I99" i="86" s="1"/>
  <c r="I170" i="86" s="1"/>
  <c r="H47" i="92" s="1"/>
  <c r="M77" i="86"/>
  <c r="O85" i="86"/>
  <c r="O99" i="86" s="1"/>
  <c r="O170" i="86" s="1"/>
  <c r="N47" i="92" s="1"/>
  <c r="K77" i="86"/>
  <c r="O77" i="86"/>
  <c r="C11" i="90"/>
  <c r="C11" i="89"/>
  <c r="M59" i="86"/>
  <c r="M168" i="86" s="1"/>
  <c r="L45" i="92" s="1"/>
  <c r="O43" i="79"/>
  <c r="M39" i="86"/>
  <c r="M41" i="86" s="1"/>
  <c r="O33" i="81"/>
  <c r="M67" i="86"/>
  <c r="O18" i="78"/>
  <c r="M19" i="86"/>
  <c r="M21" i="86" s="1"/>
  <c r="M27" i="86" s="1"/>
  <c r="J58" i="83"/>
  <c r="I115" i="86"/>
  <c r="J70" i="83"/>
  <c r="I119" i="86"/>
  <c r="I121" i="86" s="1"/>
  <c r="O70" i="83"/>
  <c r="M119" i="86"/>
  <c r="M121" i="86" s="1"/>
  <c r="B2" i="86"/>
  <c r="C11" i="87"/>
  <c r="J18" i="78"/>
  <c r="I19" i="86"/>
  <c r="I21" i="86" s="1"/>
  <c r="I27" i="86" s="1"/>
  <c r="Q33" i="81"/>
  <c r="O67" i="86"/>
  <c r="O58" i="83"/>
  <c r="M115" i="86"/>
  <c r="J48" i="81"/>
  <c r="I71" i="86"/>
  <c r="I73" i="86" s="1"/>
  <c r="L33" i="81"/>
  <c r="K67" i="86"/>
  <c r="I59" i="86"/>
  <c r="I168" i="86" s="1"/>
  <c r="H45" i="92" s="1"/>
  <c r="K59" i="86"/>
  <c r="K168" i="86" s="1"/>
  <c r="J45" i="92" s="1"/>
  <c r="O59" i="86"/>
  <c r="O168" i="86" s="1"/>
  <c r="N45" i="92" s="1"/>
  <c r="J33" i="81"/>
  <c r="I67" i="86"/>
  <c r="J22" i="83"/>
  <c r="I103" i="86"/>
  <c r="Q22" i="83"/>
  <c r="O103" i="86"/>
  <c r="O22" i="83"/>
  <c r="M103" i="86"/>
  <c r="L22" i="83"/>
  <c r="K103" i="86"/>
  <c r="J43" i="79"/>
  <c r="I39" i="86"/>
  <c r="I41" i="86" s="1"/>
  <c r="O48" i="81"/>
  <c r="M71" i="86"/>
  <c r="M73" i="86" s="1"/>
  <c r="L55" i="83"/>
  <c r="Q55" i="83"/>
  <c r="J16" i="84"/>
  <c r="O16" i="84"/>
  <c r="B2" i="79"/>
  <c r="B2" i="78"/>
  <c r="B2" i="83"/>
  <c r="B2" i="82"/>
  <c r="B2" i="81"/>
  <c r="B2" i="80"/>
  <c r="B2" i="84"/>
  <c r="L16" i="84"/>
  <c r="Q16" i="84"/>
  <c r="B2" i="77"/>
  <c r="B2" i="76"/>
  <c r="B2" i="73"/>
  <c r="B2" i="75"/>
  <c r="B2" i="74"/>
  <c r="B2" i="70"/>
  <c r="B2" i="69"/>
  <c r="B2" i="71"/>
  <c r="B2" i="68"/>
  <c r="B2" i="67"/>
  <c r="B2" i="61"/>
  <c r="B2" i="64"/>
  <c r="B2" i="62"/>
  <c r="B2" i="65"/>
  <c r="B2" i="63"/>
  <c r="B2" i="59"/>
  <c r="B2" i="54"/>
  <c r="B2" i="53"/>
  <c r="B2" i="57"/>
  <c r="B2" i="47"/>
  <c r="B2" i="46"/>
  <c r="B2" i="56"/>
  <c r="B2" i="42"/>
  <c r="B2" i="43"/>
  <c r="B2" i="38"/>
  <c r="B2" i="58"/>
  <c r="B2" i="41"/>
  <c r="B2" i="40"/>
  <c r="B2" i="50"/>
  <c r="B2" i="44"/>
  <c r="B2" i="49"/>
  <c r="B2" i="48"/>
  <c r="B2" i="55"/>
  <c r="B2" i="45"/>
  <c r="B2" i="52"/>
  <c r="B2" i="39"/>
  <c r="B2" i="51"/>
  <c r="B2" i="37"/>
  <c r="B2" i="36"/>
  <c r="B2" i="32"/>
  <c r="B2" i="35"/>
  <c r="B2" i="31"/>
  <c r="B2" i="34"/>
  <c r="B2" i="24"/>
  <c r="B2" i="21"/>
  <c r="B2" i="22"/>
  <c r="B2" i="23"/>
  <c r="C11" i="7"/>
  <c r="B2" i="9"/>
  <c r="B2" i="10"/>
  <c r="C11" i="8"/>
  <c r="B2" i="11"/>
  <c r="B2" i="5"/>
  <c r="C11" i="6"/>
  <c r="M166" i="86" l="1"/>
  <c r="L43" i="92" s="1"/>
  <c r="I166" i="86"/>
  <c r="H43" i="92" s="1"/>
  <c r="M43" i="86"/>
  <c r="M167" i="86" s="1"/>
  <c r="L44" i="92" s="1"/>
  <c r="I117" i="86"/>
  <c r="M105" i="86"/>
  <c r="I69" i="86"/>
  <c r="I79" i="86" s="1"/>
  <c r="I169" i="86" s="1"/>
  <c r="M117" i="86"/>
  <c r="O105" i="86"/>
  <c r="M69" i="86"/>
  <c r="M79" i="86" s="1"/>
  <c r="M169" i="86" s="1"/>
  <c r="K105" i="86"/>
  <c r="O69" i="86"/>
  <c r="O79" i="86" s="1"/>
  <c r="O169" i="86" s="1"/>
  <c r="I43" i="86"/>
  <c r="I167" i="86" s="1"/>
  <c r="H44" i="92" s="1"/>
  <c r="I105" i="86"/>
  <c r="K69" i="86"/>
  <c r="K79" i="86" s="1"/>
  <c r="K169" i="86" s="1"/>
  <c r="L58" i="83"/>
  <c r="K115" i="86"/>
  <c r="Q19" i="84"/>
  <c r="O127" i="86"/>
  <c r="O129" i="86" s="1"/>
  <c r="O143" i="86" s="1"/>
  <c r="O172" i="86" s="1"/>
  <c r="N49" i="92" s="1"/>
  <c r="Q58" i="83"/>
  <c r="O115" i="86"/>
  <c r="L19" i="84"/>
  <c r="K127" i="86"/>
  <c r="K129" i="86" s="1"/>
  <c r="K143" i="86" s="1"/>
  <c r="K172" i="86" s="1"/>
  <c r="J49" i="92" s="1"/>
  <c r="O19" i="84"/>
  <c r="M127" i="86"/>
  <c r="M129" i="86" s="1"/>
  <c r="M143" i="86" s="1"/>
  <c r="M172" i="86" s="1"/>
  <c r="L49" i="92" s="1"/>
  <c r="J19" i="84"/>
  <c r="I127" i="86"/>
  <c r="I129" i="86" s="1"/>
  <c r="I143" i="86" s="1"/>
  <c r="I172" i="86" s="1"/>
  <c r="H49" i="92" s="1"/>
  <c r="I123" i="86" l="1"/>
  <c r="I148" i="86" s="1"/>
  <c r="M123" i="86"/>
  <c r="M148" i="86" s="1"/>
  <c r="N46" i="92"/>
  <c r="L46" i="92"/>
  <c r="J46" i="92"/>
  <c r="H46" i="92"/>
  <c r="O117" i="86"/>
  <c r="O123" i="86" s="1"/>
  <c r="K117" i="86"/>
  <c r="M160" i="86" l="1"/>
  <c r="L58" i="92" s="1"/>
  <c r="M157" i="86"/>
  <c r="L55" i="92" s="1"/>
  <c r="I160" i="86"/>
  <c r="H58" i="92" s="1"/>
  <c r="I157" i="86"/>
  <c r="H55" i="92" s="1"/>
  <c r="O148" i="86"/>
  <c r="K123" i="86"/>
  <c r="K147" i="86" s="1"/>
  <c r="I147" i="86"/>
  <c r="I171" i="86"/>
  <c r="O147" i="86"/>
  <c r="O171" i="86"/>
  <c r="M147" i="86"/>
  <c r="M171" i="86"/>
  <c r="O157" i="86" l="1"/>
  <c r="N55" i="92" s="1"/>
  <c r="O160" i="86"/>
  <c r="N58" i="92" s="1"/>
  <c r="M158" i="86"/>
  <c r="L56" i="92" s="1"/>
  <c r="M156" i="86"/>
  <c r="L54" i="92" s="1"/>
  <c r="M159" i="86"/>
  <c r="L57" i="92" s="1"/>
  <c r="O159" i="86"/>
  <c r="N57" i="92" s="1"/>
  <c r="O158" i="86"/>
  <c r="N56" i="92" s="1"/>
  <c r="O156" i="86"/>
  <c r="N54" i="92" s="1"/>
  <c r="I159" i="86"/>
  <c r="H57" i="92" s="1"/>
  <c r="I156" i="86"/>
  <c r="H54" i="92" s="1"/>
  <c r="I158" i="86"/>
  <c r="H56" i="92" s="1"/>
  <c r="K156" i="86"/>
  <c r="J54" i="92" s="1"/>
  <c r="K159" i="86"/>
  <c r="J57" i="92" s="1"/>
  <c r="K158" i="86"/>
  <c r="J56" i="92" s="1"/>
  <c r="K148" i="86"/>
  <c r="K171" i="86"/>
  <c r="K173" i="86" s="1"/>
  <c r="N48" i="92"/>
  <c r="N50" i="92" s="1"/>
  <c r="O173" i="86"/>
  <c r="L48" i="92"/>
  <c r="L50" i="92" s="1"/>
  <c r="M173" i="86"/>
  <c r="H48" i="92"/>
  <c r="H50" i="92" s="1"/>
  <c r="I173" i="86"/>
  <c r="K157" i="86" l="1"/>
  <c r="J55" i="92" s="1"/>
  <c r="K160" i="86"/>
  <c r="J58" i="92" s="1"/>
  <c r="J48" i="92"/>
  <c r="J50" i="9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author>
  </authors>
  <commentList>
    <comment ref="I13" authorId="0" shapeId="0" xr:uid="{00000000-0006-0000-0800-000001000000}">
      <text>
        <r>
          <rPr>
            <b/>
            <sz val="9"/>
            <color indexed="81"/>
            <rFont val="Tahoma"/>
            <family val="2"/>
          </rPr>
          <t xml:space="preserve">Tip
</t>
        </r>
        <r>
          <rPr>
            <sz val="9"/>
            <color indexed="81"/>
            <rFont val="Tahoma"/>
            <family val="2"/>
          </rPr>
          <t>In this case, the stock keeping unit refers to the amount of time for which the person is being paid, as indicated in the SKU Indicative Price.  This is often Month, but it can be year, day, or hour.</t>
        </r>
      </text>
    </comment>
    <comment ref="M13" authorId="0" shapeId="0" xr:uid="{00000000-0006-0000-0800-000002000000}">
      <text>
        <r>
          <rPr>
            <b/>
            <sz val="9"/>
            <color indexed="81"/>
            <rFont val="Tahoma"/>
            <family val="2"/>
          </rPr>
          <t xml:space="preserve">Tip:
</t>
        </r>
        <r>
          <rPr>
            <sz val="9"/>
            <color indexed="81"/>
            <rFont val="Tahoma"/>
            <family val="2"/>
          </rPr>
          <t>This will be used to divide into the SKU indicative price.  Standards are customarily 20 days per month, 240 days per year, 8 hours per day, 60 minutes per hour. _x000D_
Therefore, one month equals 20*8*60=9,600 minutes.</t>
        </r>
      </text>
    </comment>
    <comment ref="H212" authorId="0" shapeId="0" xr:uid="{00000000-0006-0000-0800-000003000000}">
      <text>
        <r>
          <rPr>
            <b/>
            <sz val="9"/>
            <color indexed="81"/>
            <rFont val="Tahoma"/>
            <family val="2"/>
          </rPr>
          <t xml:space="preserve">Alert Check
</t>
        </r>
        <r>
          <rPr>
            <sz val="9"/>
            <color indexed="81"/>
            <rFont val="Tahoma"/>
            <family val="2"/>
          </rPr>
          <t>Flags the occurrence of designated events.</t>
        </r>
      </text>
    </comment>
  </commentList>
</comments>
</file>

<file path=xl/sharedStrings.xml><?xml version="1.0" encoding="utf-8"?>
<sst xmlns="http://schemas.openxmlformats.org/spreadsheetml/2006/main" count="8434" uniqueCount="1024">
  <si>
    <t>Section &amp; Sheet Titles</t>
  </si>
  <si>
    <t>Cover Notes:</t>
  </si>
  <si>
    <t>Go to Table of Contents</t>
  </si>
  <si>
    <t>Table of Contents</t>
  </si>
  <si>
    <t>Go to Cover Sheet</t>
  </si>
  <si>
    <t>é</t>
  </si>
  <si>
    <t>Section Cover Notes:</t>
  </si>
  <si>
    <t>[Insert section cover note 1]</t>
  </si>
  <si>
    <t>[Insert section cover note 2]</t>
  </si>
  <si>
    <t>[Insert section cover note 3]</t>
  </si>
  <si>
    <t>ç</t>
  </si>
  <si>
    <t>è</t>
  </si>
  <si>
    <t>Appendices</t>
  </si>
  <si>
    <t>Checks</t>
  </si>
  <si>
    <t>Error Checks</t>
  </si>
  <si>
    <t>Errors Detected - Summary</t>
  </si>
  <si>
    <t>Check</t>
  </si>
  <si>
    <t>Include?</t>
  </si>
  <si>
    <t>Flag</t>
  </si>
  <si>
    <t>Total Errors:</t>
  </si>
  <si>
    <t>Error Message (Empty if None):</t>
  </si>
  <si>
    <t>Alert Checks</t>
  </si>
  <si>
    <t>Alerts Detected - Summary</t>
  </si>
  <si>
    <t>Total Alerts:</t>
  </si>
  <si>
    <t>Alert Message (Empty if None):</t>
  </si>
  <si>
    <t>x</t>
  </si>
  <si>
    <t>O</t>
  </si>
  <si>
    <t>Time Series</t>
  </si>
  <si>
    <t>Names</t>
  </si>
  <si>
    <t>Time Series - Assumptions</t>
  </si>
  <si>
    <t>Primary Periodicity</t>
  </si>
  <si>
    <t>Annual</t>
  </si>
  <si>
    <t>Model Start Date</t>
  </si>
  <si>
    <t>Model End Date</t>
  </si>
  <si>
    <t>Denomination</t>
  </si>
  <si>
    <t>$</t>
  </si>
  <si>
    <t>Denomination Conversion Factor</t>
  </si>
  <si>
    <t>Time Series - Lookups</t>
  </si>
  <si>
    <t>Month Days</t>
  </si>
  <si>
    <t>Month Day</t>
  </si>
  <si>
    <t>LU_TS_Mth_Days</t>
  </si>
  <si>
    <t>Month Names</t>
  </si>
  <si>
    <t>Month Name</t>
  </si>
  <si>
    <t>LU_TS_Mth_Names</t>
  </si>
  <si>
    <t>Periods In Periods</t>
  </si>
  <si>
    <t>Periods In Period</t>
  </si>
  <si>
    <t xml:space="preserve"> </t>
  </si>
  <si>
    <t>Denominations</t>
  </si>
  <si>
    <t>LU_TS_Denom</t>
  </si>
  <si>
    <t>Denomination Conversions</t>
  </si>
  <si>
    <t>Denomination Conversion</t>
  </si>
  <si>
    <t>LU_TS_Denom_Conv</t>
  </si>
  <si>
    <t>TS_Secs_In_Min</t>
  </si>
  <si>
    <t>TS_Mins_In_Hr</t>
  </si>
  <si>
    <t>TS_Hrs_In_Day</t>
  </si>
  <si>
    <t>TS_Days_In_Wk</t>
  </si>
  <si>
    <t>TS_Mths_In_Qtr</t>
  </si>
  <si>
    <t>TS_Mths_In_Half</t>
  </si>
  <si>
    <t>TS_Mths_In_Yr</t>
  </si>
  <si>
    <t>TS_Qtrs_In_Half</t>
  </si>
  <si>
    <t>TS_Qtrs_In_Yr</t>
  </si>
  <si>
    <t>TS_Halves_In_Yr</t>
  </si>
  <si>
    <t>TS_Thousand</t>
  </si>
  <si>
    <t>TS_Million</t>
  </si>
  <si>
    <t>TS_Billion</t>
  </si>
  <si>
    <t>Section 1.</t>
  </si>
  <si>
    <t>a.</t>
  </si>
  <si>
    <t>Section 2.</t>
  </si>
  <si>
    <t>Section 3.</t>
  </si>
  <si>
    <t>-</t>
  </si>
  <si>
    <t>Equipment Category 1</t>
  </si>
  <si>
    <t>Other Direct Cost Category 1</t>
  </si>
  <si>
    <t>Other Direct Cost Category 2</t>
  </si>
  <si>
    <t>Other Direct Cost Category 3</t>
  </si>
  <si>
    <t>Other Direct Cost Category 4</t>
  </si>
  <si>
    <t>Other Direct Cost Category 5</t>
  </si>
  <si>
    <t>Applied Currency:</t>
  </si>
  <si>
    <t>Personnel</t>
  </si>
  <si>
    <t># Days</t>
  </si>
  <si>
    <t>Total Personnel</t>
  </si>
  <si>
    <t># Persons</t>
  </si>
  <si>
    <t>Unit Cost - Financial</t>
  </si>
  <si>
    <t>Total Travel &amp; Allowances</t>
  </si>
  <si>
    <t>Unit Cost - Economic</t>
  </si>
  <si>
    <t>Materials &amp; Supplies</t>
  </si>
  <si>
    <t>Total Materials &amp; Supplies</t>
  </si>
  <si>
    <t>Description</t>
  </si>
  <si>
    <t># Units</t>
  </si>
  <si>
    <t>Total Equipment</t>
  </si>
  <si>
    <t>Other Direct Costs</t>
  </si>
  <si>
    <t>Total Other Direct Cost</t>
  </si>
  <si>
    <t>Total Estimated Costs</t>
  </si>
  <si>
    <t>Currencies and Exchange Rates</t>
  </si>
  <si>
    <t>Currencies</t>
  </si>
  <si>
    <t>Lookup Table Title</t>
  </si>
  <si>
    <t>Lookup Table Heading</t>
  </si>
  <si>
    <t>b.</t>
  </si>
  <si>
    <t>c.</t>
  </si>
  <si>
    <t>Period Start Date</t>
  </si>
  <si>
    <t>Period End Date</t>
  </si>
  <si>
    <t>Counter</t>
  </si>
  <si>
    <t>Financial Year</t>
  </si>
  <si>
    <t>Description of Cost Item</t>
  </si>
  <si>
    <t>Daily Cost (Financial)</t>
  </si>
  <si>
    <t>Daily Cost (Economic)</t>
  </si>
  <si>
    <t>Total Cost (Financial)</t>
  </si>
  <si>
    <t>Total Cost (Economic)</t>
  </si>
  <si>
    <t>Unit Cost (Financial)</t>
  </si>
  <si>
    <t>Unit Cost (Economic)</t>
  </si>
  <si>
    <t>&lt;Travel &amp; Allowances&gt; Category 1</t>
  </si>
  <si>
    <t>&lt;Travel &amp; Allowances&gt; Category 2</t>
  </si>
  <si>
    <t>&lt;Travel &amp; Allowances&gt; Category 3</t>
  </si>
  <si>
    <t>&lt;Travel &amp; Allowances&gt; Category 4</t>
  </si>
  <si>
    <t>&lt;Travel &amp; Allowances&gt; Category 5</t>
  </si>
  <si>
    <t>&lt;Travel &amp; Allowances&gt; Category 6</t>
  </si>
  <si>
    <t>&lt;Travel &amp; Allowances&gt; Category 7</t>
  </si>
  <si>
    <t>&lt;Travel &amp; Allowances&gt; Category 8</t>
  </si>
  <si>
    <t>d.</t>
  </si>
  <si>
    <t>e.</t>
  </si>
  <si>
    <t>Activity Name:</t>
  </si>
  <si>
    <t>Activity Personnel Category 7</t>
  </si>
  <si>
    <t>Activity Personnel Category 8</t>
  </si>
  <si>
    <t>Equipment Category 2</t>
  </si>
  <si>
    <t>Microplanning</t>
  </si>
  <si>
    <t>f.</t>
  </si>
  <si>
    <t>&lt;-- (units to display)</t>
  </si>
  <si>
    <t>SKU</t>
  </si>
  <si>
    <t>SU</t>
  </si>
  <si>
    <t>Applied Currency</t>
  </si>
  <si>
    <t>Notes / Source of Information</t>
  </si>
  <si>
    <t>Equipment</t>
  </si>
  <si>
    <t>Equipment Type</t>
  </si>
  <si>
    <t>Supplies</t>
  </si>
  <si>
    <t>Supply Type</t>
  </si>
  <si>
    <t>ODC Item</t>
  </si>
  <si>
    <t>Facility 1</t>
  </si>
  <si>
    <t>Facility 2</t>
  </si>
  <si>
    <t>Facility 3</t>
  </si>
  <si>
    <t>Unknown Selection</t>
  </si>
  <si>
    <t>Currency Rates</t>
  </si>
  <si>
    <t>Currency Code</t>
  </si>
  <si>
    <t>Exchange Rates</t>
  </si>
  <si>
    <t>Note:(first currency is always 1.00)</t>
  </si>
  <si>
    <t xml:space="preserve">Source of Currency Codes and Rates: </t>
  </si>
  <si>
    <t>Economic Rates</t>
  </si>
  <si>
    <t>Rate</t>
  </si>
  <si>
    <t>Annual Inflation Rate</t>
  </si>
  <si>
    <t>Annual Discount Rate</t>
  </si>
  <si>
    <t>Currency</t>
  </si>
  <si>
    <t>Yes</t>
  </si>
  <si>
    <t>g.</t>
  </si>
  <si>
    <t>Source of Information/ Notes</t>
  </si>
  <si>
    <t>Country Name Label</t>
  </si>
  <si>
    <t>Sub-National Level Name Labels</t>
  </si>
  <si>
    <t>First Level</t>
  </si>
  <si>
    <t>Second Level</t>
  </si>
  <si>
    <t>Third Level</t>
  </si>
  <si>
    <t>Facility Type Name Labels</t>
  </si>
  <si>
    <t>h.</t>
  </si>
  <si>
    <t>Support Facilities</t>
  </si>
  <si>
    <t>Fixed</t>
  </si>
  <si>
    <t>Mobile</t>
  </si>
  <si>
    <t>Temporary</t>
  </si>
  <si>
    <t>Resource List</t>
  </si>
  <si>
    <t>Allowances</t>
  </si>
  <si>
    <t>SU/SKU</t>
  </si>
  <si>
    <t>Personnel Type</t>
  </si>
  <si>
    <t>Type</t>
  </si>
  <si>
    <t>Stock-Keeping Unit</t>
  </si>
  <si>
    <t>Single Unit</t>
  </si>
  <si>
    <t>SUs per SKU</t>
  </si>
  <si>
    <t>Per</t>
  </si>
  <si>
    <t>Notes / Sources of Information</t>
  </si>
  <si>
    <t>Day</t>
  </si>
  <si>
    <t>ULY</t>
  </si>
  <si>
    <t>Resource Lists</t>
  </si>
  <si>
    <t>Other DIrect Costs</t>
  </si>
  <si>
    <t>Other DIrect Cost</t>
  </si>
  <si>
    <t>Financial Price per SKU</t>
  </si>
  <si>
    <t>Economic Price per SKU</t>
  </si>
  <si>
    <t>HQ1</t>
  </si>
  <si>
    <t>HQ2</t>
  </si>
  <si>
    <t>HQ3</t>
  </si>
  <si>
    <t>Currency Applied:</t>
  </si>
  <si>
    <t>Leaflet</t>
  </si>
  <si>
    <t>Notes and Information Sources</t>
  </si>
  <si>
    <t># Count</t>
  </si>
  <si>
    <t># Repititions</t>
  </si>
  <si>
    <t>Activity Personnel Category 1</t>
  </si>
  <si>
    <t>Activity Personnel Category 2</t>
  </si>
  <si>
    <t>Activity Personnel Category 3</t>
  </si>
  <si>
    <t>Activity Personnel Category 4</t>
  </si>
  <si>
    <t>Activity Personnel Category 5</t>
  </si>
  <si>
    <t>Activity Personnel Category 6</t>
  </si>
  <si>
    <t>LU_RES_Curr</t>
  </si>
  <si>
    <t>LU_RES_Personnel</t>
  </si>
  <si>
    <t>LU_RES_Allowances</t>
  </si>
  <si>
    <t>LU_RES_Supplies</t>
  </si>
  <si>
    <t>LU_RES_Equip</t>
  </si>
  <si>
    <t>LU_RES_ODC</t>
  </si>
  <si>
    <t>LU_ACT_Meet_Curr</t>
  </si>
  <si>
    <t>LU_ACT_Pers_Res</t>
  </si>
  <si>
    <t>LU_ACT_Allowances</t>
  </si>
  <si>
    <t>LU_ACT_Supplies</t>
  </si>
  <si>
    <t>LU_ACT_Equipment</t>
  </si>
  <si>
    <t>LU_ACT_ODCS</t>
  </si>
  <si>
    <t>LU_ACT_2_Meet_Curr</t>
  </si>
  <si>
    <t>LU_ACT_2_Pers_Res</t>
  </si>
  <si>
    <t>LU_ACT_2_Allowances</t>
  </si>
  <si>
    <t>LU_ACT_2_Supplies</t>
  </si>
  <si>
    <t>LU_ACT_2_Equipment</t>
  </si>
  <si>
    <t>LU_ACT_2_ODCS</t>
  </si>
  <si>
    <t>MICRO-LOCAL</t>
  </si>
  <si>
    <t>MICRO-LOCAL - Lookups</t>
  </si>
  <si>
    <t>MICRO-NATL</t>
  </si>
  <si>
    <t>MICRO-NATL - Lookups</t>
  </si>
  <si>
    <t>RESOURCES</t>
  </si>
  <si>
    <t>RESOURCES - Lookups</t>
  </si>
  <si>
    <t>Number of National Microplanning Activities</t>
  </si>
  <si>
    <t>Number of Local Microplanning Activities</t>
  </si>
  <si>
    <t>LU_ACT_3_Meet_Curr</t>
  </si>
  <si>
    <t>LU_ACT_3_Pers_Res</t>
  </si>
  <si>
    <t>LU_ACT_3_Allowances</t>
  </si>
  <si>
    <t>LU_ACT_3_Supplies</t>
  </si>
  <si>
    <t>LU_ACT_3_Equipment</t>
  </si>
  <si>
    <t>LU_ACT_3_ODCS</t>
  </si>
  <si>
    <t>Sensitisation</t>
  </si>
  <si>
    <t>Number of National Sensitization Activities</t>
  </si>
  <si>
    <t>SENS-NATL</t>
  </si>
  <si>
    <t>SENS-NATL - Lookups</t>
  </si>
  <si>
    <t>LU_ACT_4_Meet_Curr</t>
  </si>
  <si>
    <t>LU_ACT_4_Pers_Res</t>
  </si>
  <si>
    <t>LU_ACT_4_Allowances</t>
  </si>
  <si>
    <t>LU_ACT_4_Supplies</t>
  </si>
  <si>
    <t>LU_ACT_4_Equipment</t>
  </si>
  <si>
    <t>LU_ACT_4_ODCS</t>
  </si>
  <si>
    <t>SENS-DISTR</t>
  </si>
  <si>
    <t>SENS-DISTR - Lookups</t>
  </si>
  <si>
    <t>LU_ACT_5_Meet_Curr</t>
  </si>
  <si>
    <t>LU_ACT_5_Pers_Res</t>
  </si>
  <si>
    <t>LU_ACT_5_Allowances</t>
  </si>
  <si>
    <t>LU_ACT_5_Supplies</t>
  </si>
  <si>
    <t>LU_ACT_5_Equipment</t>
  </si>
  <si>
    <t>LU_ACT_5_ODCS</t>
  </si>
  <si>
    <t>SENS-LOCAL</t>
  </si>
  <si>
    <t>SENS-LOCAL - Lookups</t>
  </si>
  <si>
    <t>LU_ACT_6_Meet_Curr</t>
  </si>
  <si>
    <t>LU_ACT_6_Pers_Res</t>
  </si>
  <si>
    <t>LU_ACT_6_Allowances</t>
  </si>
  <si>
    <t>LU_ACT_6_Supplies</t>
  </si>
  <si>
    <t>LU_ACT_6_Equipment</t>
  </si>
  <si>
    <t>LU_ACT_6_ODCS</t>
  </si>
  <si>
    <t>LU_ACT_7_Meet_Curr</t>
  </si>
  <si>
    <t>LU_ACT_7_Pers_Res</t>
  </si>
  <si>
    <t>LU_ACT_7_Allowances</t>
  </si>
  <si>
    <t>LU_ACT_7_Supplies</t>
  </si>
  <si>
    <t>LU_ACT_7_Equipment</t>
  </si>
  <si>
    <t>LU_ACT_7_ODCS</t>
  </si>
  <si>
    <t>LU_ACT_8_Meet_Curr</t>
  </si>
  <si>
    <t>LU_ACT_8_Pers_Res</t>
  </si>
  <si>
    <t>LU_ACT_8_Allowances</t>
  </si>
  <si>
    <t>LU_ACT_8_Supplies</t>
  </si>
  <si>
    <t>LU_ACT_8_Equipment</t>
  </si>
  <si>
    <t>LU_ACT_8_ODCS</t>
  </si>
  <si>
    <t>LU_ACT_9_Meet_Curr</t>
  </si>
  <si>
    <t>LU_ACT_9_Pers_Res</t>
  </si>
  <si>
    <t>LU_ACT_9_Allowances</t>
  </si>
  <si>
    <t>LU_ACT_9_Supplies</t>
  </si>
  <si>
    <t>LU_ACT_9_Equipment</t>
  </si>
  <si>
    <t>LU_ACT_9_ODCS</t>
  </si>
  <si>
    <t>LU_ACT_10_Meet_Curr</t>
  </si>
  <si>
    <t>LU_ACT_10_Pers_Res</t>
  </si>
  <si>
    <t>LU_ACT_10_Allowances</t>
  </si>
  <si>
    <t>LU_ACT_10_Supplies</t>
  </si>
  <si>
    <t>LU_ACT_10_Equipment</t>
  </si>
  <si>
    <t>LU_ACT_10_ODCS</t>
  </si>
  <si>
    <t>LU_ACT_11_Meet_Curr</t>
  </si>
  <si>
    <t>LU_ACT_11_Pers_Res</t>
  </si>
  <si>
    <t>LU_ACT_11_Allowances</t>
  </si>
  <si>
    <t>LU_ACT_11_Supplies</t>
  </si>
  <si>
    <t>LU_ACT_11_Equipment</t>
  </si>
  <si>
    <t>LU_ACT_11_ODCS</t>
  </si>
  <si>
    <t>LU_ACT_12_Meet_Curr</t>
  </si>
  <si>
    <t>LU_ACT_12_Pers_Res</t>
  </si>
  <si>
    <t>LU_ACT_12_Allowances</t>
  </si>
  <si>
    <t>LU_ACT_12_Supplies</t>
  </si>
  <si>
    <t>LU_ACT_12_Equipment</t>
  </si>
  <si>
    <t>LU_ACT_12_ODCS</t>
  </si>
  <si>
    <t>LU_ACT_13_Meet_Curr</t>
  </si>
  <si>
    <t>LU_ACT_13_Pers_Res</t>
  </si>
  <si>
    <t>LU_ACT_13_Allowances</t>
  </si>
  <si>
    <t>LU_ACT_13_Supplies</t>
  </si>
  <si>
    <t>LU_ACT_13_Equipment</t>
  </si>
  <si>
    <t>LU_ACT_13_ODCS</t>
  </si>
  <si>
    <t>LU_ACT_14_Meet_Curr</t>
  </si>
  <si>
    <t>LU_ACT_14_Pers_Res</t>
  </si>
  <si>
    <t>LU_ACT_14_Allowances</t>
  </si>
  <si>
    <t>LU_ACT_14_Supplies</t>
  </si>
  <si>
    <t>LU_ACT_14_Equipment</t>
  </si>
  <si>
    <t>LU_ACT_14_ODCS</t>
  </si>
  <si>
    <t>LU_ACT_15_Meet_Curr</t>
  </si>
  <si>
    <t>LU_ACT_15_Pers_Res</t>
  </si>
  <si>
    <t>LU_ACT_15_Allowances</t>
  </si>
  <si>
    <t>LU_ACT_15_Supplies</t>
  </si>
  <si>
    <t>LU_ACT_15_Equipment</t>
  </si>
  <si>
    <t>LU_ACT_15_ODCS</t>
  </si>
  <si>
    <t>LU_ACT_16_Meet_Curr</t>
  </si>
  <si>
    <t>LU_ACT_16_Pers_Res</t>
  </si>
  <si>
    <t>LU_ACT_16_Allowances</t>
  </si>
  <si>
    <t>LU_ACT_16_Supplies</t>
  </si>
  <si>
    <t>LU_ACT_16_Equipment</t>
  </si>
  <si>
    <t>LU_ACT_16_ODCS</t>
  </si>
  <si>
    <t>IEC-DESIGN</t>
  </si>
  <si>
    <t>IEC-DESIGN - Lookups</t>
  </si>
  <si>
    <t>MOB-1</t>
  </si>
  <si>
    <t>MOB-1 - Lookups</t>
  </si>
  <si>
    <t>MOB-2</t>
  </si>
  <si>
    <t>MOB-2 - Assumptions</t>
  </si>
  <si>
    <t>MOB-2 - Lookups</t>
  </si>
  <si>
    <t>MOB-3</t>
  </si>
  <si>
    <t>MOB-3 - Assumptions</t>
  </si>
  <si>
    <t>MOB-3 - Lookups</t>
  </si>
  <si>
    <t>MOB-4</t>
  </si>
  <si>
    <t>MOB-4 - Assumptions</t>
  </si>
  <si>
    <t>MOB-4 - Lookups</t>
  </si>
  <si>
    <t>LU_ACT_17_Meet_Curr</t>
  </si>
  <si>
    <t>LU_ACT_17_Pers_Res</t>
  </si>
  <si>
    <t>LU_ACT_17_Allowances</t>
  </si>
  <si>
    <t>LU_ACT_17_Supplies</t>
  </si>
  <si>
    <t>LU_ACT_17_Equipment</t>
  </si>
  <si>
    <t>LU_ACT_17_ODCS</t>
  </si>
  <si>
    <t>LU_ACT_18_Meet_Curr</t>
  </si>
  <si>
    <t>LU_ACT_18_Pers_Res</t>
  </si>
  <si>
    <t>LU_ACT_18_Allowances</t>
  </si>
  <si>
    <t>LU_ACT_18_Supplies</t>
  </si>
  <si>
    <t>LU_ACT_18_Equipment</t>
  </si>
  <si>
    <t>LU_ACT_18_ODCS</t>
  </si>
  <si>
    <t>LU_ACT_19_Meet_Curr</t>
  </si>
  <si>
    <t>LU_ACT_19_Pers_Res</t>
  </si>
  <si>
    <t>LU_ACT_19_Allowances</t>
  </si>
  <si>
    <t>LU_ACT_19_Supplies</t>
  </si>
  <si>
    <t>LU_ACT_19_Equipment</t>
  </si>
  <si>
    <t>LU_ACT_19_ODCS</t>
  </si>
  <si>
    <t>LU_ACT_20_Meet_Curr</t>
  </si>
  <si>
    <t>LU_ACT_20_Pers_Res</t>
  </si>
  <si>
    <t>LU_ACT_20_Allowances</t>
  </si>
  <si>
    <t>LU_ACT_20_Supplies</t>
  </si>
  <si>
    <t>LU_ACT_20_Equipment</t>
  </si>
  <si>
    <t>LU_ACT_20_ODCS</t>
  </si>
  <si>
    <t>TRAIN-TOT</t>
  </si>
  <si>
    <t>TRAIN-TOT - Assumptions</t>
  </si>
  <si>
    <t>TRAIN-TOT - Lookups</t>
  </si>
  <si>
    <t>TRAIN-TOVacc</t>
  </si>
  <si>
    <t>TRAIN-TOVacc - Assumptions</t>
  </si>
  <si>
    <t>TRAIN-TOVacc - Lookups</t>
  </si>
  <si>
    <t>TRAIN-TOVacc2</t>
  </si>
  <si>
    <t>TRAIN-TOVacc2 - Assumptions</t>
  </si>
  <si>
    <t>TRAIN-TOVacc2 - Lookups</t>
  </si>
  <si>
    <t>TRAIN-TOVol</t>
  </si>
  <si>
    <t>TRAIN-TOVol - Assumptions</t>
  </si>
  <si>
    <t>TRAIN-TOVol - Lookups</t>
  </si>
  <si>
    <t>Microplanning Activity Costing</t>
  </si>
  <si>
    <t>Training Activity Costings</t>
  </si>
  <si>
    <t>Annual Activity Counts</t>
  </si>
  <si>
    <t>Sensitisation Activity Costings</t>
  </si>
  <si>
    <t>Financial Year End</t>
  </si>
  <si>
    <t>First Financial Year</t>
  </si>
  <si>
    <t>Term (Years)</t>
  </si>
  <si>
    <t>Counts - Assumptions</t>
  </si>
  <si>
    <t>Counts - Outputs</t>
  </si>
  <si>
    <t>Counts</t>
  </si>
  <si>
    <t>ID</t>
  </si>
  <si>
    <t>Area Name</t>
  </si>
  <si>
    <t>Target Pop</t>
  </si>
  <si>
    <t>Vaccinators</t>
  </si>
  <si>
    <t>Volunteers</t>
  </si>
  <si>
    <t>Local Leaders</t>
  </si>
  <si>
    <t>Population Growth Rates</t>
  </si>
  <si>
    <t>Counts - Lookups</t>
  </si>
  <si>
    <t>TGT POP</t>
  </si>
  <si>
    <t>OCV-1</t>
  </si>
  <si>
    <t>OCV-2</t>
  </si>
  <si>
    <t>OCV-1 RATE</t>
  </si>
  <si>
    <t>OCV-2 RATE</t>
  </si>
  <si>
    <t>ROUND 1</t>
  </si>
  <si>
    <t>ROUND 2</t>
  </si>
  <si>
    <t>TOTAL OCV-1</t>
  </si>
  <si>
    <t>TOTAL-OCV-2</t>
  </si>
  <si>
    <t>Total Area_Counts</t>
  </si>
  <si>
    <t>HQ</t>
  </si>
  <si>
    <t>TOTAL SITES</t>
  </si>
  <si>
    <t>FINAL</t>
  </si>
  <si>
    <t>AVG. POP PER SITE</t>
  </si>
  <si>
    <t>FULL IMM RATE</t>
  </si>
  <si>
    <t>Vaccination Counts - Prospective by Rates</t>
  </si>
  <si>
    <t>Vaccination Counts - Retrospective by Numbers</t>
  </si>
  <si>
    <t>Personnel Counts - Retrospective</t>
  </si>
  <si>
    <t>Site Counts - Retrospective</t>
  </si>
  <si>
    <t>Vaccine</t>
  </si>
  <si>
    <t>Vaccine - Assumptions</t>
  </si>
  <si>
    <t>Vaccine - Outputs</t>
  </si>
  <si>
    <t>Vaccine - Lookups</t>
  </si>
  <si>
    <t>TOTAL</t>
  </si>
  <si>
    <t>LU_Vacc_PROS_RETRO</t>
  </si>
  <si>
    <t>Prospective</t>
  </si>
  <si>
    <t>Retrospective</t>
  </si>
  <si>
    <t>SERVICE AREA</t>
  </si>
  <si>
    <t>TGT-POP</t>
  </si>
  <si>
    <t>PROSPECTIVE DOSES ADMINISTERED</t>
  </si>
  <si>
    <t>RETROSPECTIVE DOSES ADMINISTERED</t>
  </si>
  <si>
    <t>Total Service Areas</t>
  </si>
  <si>
    <t>Wastage and Buffer Stock Rates</t>
  </si>
  <si>
    <t>Buffer/Reserve Stock (%)</t>
  </si>
  <si>
    <t>Wastage Rate (%) of vaccine</t>
  </si>
  <si>
    <t>Vaccine Procurement Charges - Assumptions</t>
  </si>
  <si>
    <t>CHARGE NAME</t>
  </si>
  <si>
    <t>Financial</t>
  </si>
  <si>
    <t>Economic</t>
  </si>
  <si>
    <t>Subsidy</t>
  </si>
  <si>
    <t>LU_Vacc_Currency</t>
  </si>
  <si>
    <t>Cost per Dose</t>
  </si>
  <si>
    <t>Deduct Stock on Hand</t>
  </si>
  <si>
    <t>TOTAL PROCUREMENT REQUIRED</t>
  </si>
  <si>
    <t>TOTAL COST TO ARRIVAL PORT IN COUNTRY:</t>
  </si>
  <si>
    <t>Cost</t>
  </si>
  <si>
    <t>OCV-1 #</t>
  </si>
  <si>
    <t>OCV-2 #</t>
  </si>
  <si>
    <t>OCV-1 %</t>
  </si>
  <si>
    <t>OCV-2 %</t>
  </si>
  <si>
    <t># (Per Rate)</t>
  </si>
  <si>
    <t># (Actual)</t>
  </si>
  <si>
    <t>&lt; SELECT</t>
  </si>
  <si>
    <t># Repetitions</t>
  </si>
  <si>
    <t>Audience</t>
  </si>
  <si>
    <t>#</t>
  </si>
  <si>
    <t>Estimated Patients</t>
  </si>
  <si>
    <t>Wastage %</t>
  </si>
  <si>
    <t>Patient Education Materials</t>
  </si>
  <si>
    <t>Public Education Materials</t>
  </si>
  <si>
    <t>Vaccination Site Identification</t>
  </si>
  <si>
    <t># per Site</t>
  </si>
  <si>
    <t>Banner</t>
  </si>
  <si>
    <t>T-shirts for Vaccinators</t>
  </si>
  <si>
    <t>T-shirts for Volunteers</t>
  </si>
  <si>
    <t>Location Signs</t>
  </si>
  <si>
    <t>Target Pop.</t>
  </si>
  <si>
    <t>% adults</t>
  </si>
  <si>
    <t>Recipients</t>
  </si>
  <si>
    <t>per Recipient</t>
  </si>
  <si>
    <t>Sites</t>
  </si>
  <si>
    <t>LU_ACT_21_Meet_Curr</t>
  </si>
  <si>
    <t>LU_ACT_21_Pers_Res</t>
  </si>
  <si>
    <t>LU_ACT_21_Allowances</t>
  </si>
  <si>
    <t>LU_ACT_21_Supplies</t>
  </si>
  <si>
    <t>LU_ACT_21_Equipment</t>
  </si>
  <si>
    <t>LU_ACT_21_ODCS</t>
  </si>
  <si>
    <t>IEC-PRETESTING</t>
  </si>
  <si>
    <t>IEC-PRETESTING - Lookups</t>
  </si>
  <si>
    <t>Social Mobilisation Activity Costings</t>
  </si>
  <si>
    <t>LU_ACT_22_Meet_Curr</t>
  </si>
  <si>
    <t>LU_ACT_22_Pers_Res</t>
  </si>
  <si>
    <t>LU_ACT_22_Allowances</t>
  </si>
  <si>
    <t>LU_ACT_22_Supplies</t>
  </si>
  <si>
    <t>LU_ACT_22_Equipment</t>
  </si>
  <si>
    <t>LU_ACT_22_ODCS</t>
  </si>
  <si>
    <t>IEC-PRODUCTION</t>
  </si>
  <si>
    <t>IEC-PRODUCTION - Lookups</t>
  </si>
  <si>
    <t>Number of District Sensitization Activities</t>
  </si>
  <si>
    <t>Number of HFCA Sensitization Activities</t>
  </si>
  <si>
    <t>Communication Materials</t>
  </si>
  <si>
    <t>Number of IEC Design &amp; Development Activities</t>
  </si>
  <si>
    <t>Number IEC Pretesting Activities</t>
  </si>
  <si>
    <t>Social Mobilisation</t>
  </si>
  <si>
    <t>Number of Social Mobilisation Type 1 Activities</t>
  </si>
  <si>
    <t>Number of this Activity Required</t>
  </si>
  <si>
    <t>Public</t>
  </si>
  <si>
    <t>Vaccination - Round 1</t>
  </si>
  <si>
    <t>Vaccination - Round 2</t>
  </si>
  <si>
    <t>LU_ACT_23_Meet_Curr</t>
  </si>
  <si>
    <t>LU_ACT_23_Pers_Res</t>
  </si>
  <si>
    <t>LU_ACT_23_Allowances</t>
  </si>
  <si>
    <t>LU_ACT_23_Supplies</t>
  </si>
  <si>
    <t>LU_ACT_23_Equipment</t>
  </si>
  <si>
    <t>LU_ACT_23_ODCS</t>
  </si>
  <si>
    <t>LU_ACT_24_Meet_Curr</t>
  </si>
  <si>
    <t>LU_ACT_24_Pers_Res</t>
  </si>
  <si>
    <t>LU_ACT_24_Allowances</t>
  </si>
  <si>
    <t>LU_ACT_24_Supplies</t>
  </si>
  <si>
    <t>LU_ACT_24_Equipment</t>
  </si>
  <si>
    <t>LU_ACT_24_ODCS</t>
  </si>
  <si>
    <t xml:space="preserve">   </t>
  </si>
  <si>
    <t>Training</t>
  </si>
  <si>
    <t>Total</t>
  </si>
  <si>
    <t>UNIT COST (FIN)</t>
  </si>
  <si>
    <t>UNIT COST (ECON)</t>
  </si>
  <si>
    <t>TOTAL COST (FIN)</t>
  </si>
  <si>
    <t>TOTAL COST (ECON)</t>
  </si>
  <si>
    <t>Vaccine Add-on Charges - Assumptions</t>
  </si>
  <si>
    <t>Applied Add-on Charges (User-entered)</t>
  </si>
  <si>
    <t>Suggested Add-on charge estimate (calculated)</t>
  </si>
  <si>
    <t>Vaccine Cost (pre-clearance)</t>
  </si>
  <si>
    <t>(ERROR CHECK)</t>
  </si>
  <si>
    <t>PROSPECTIVE RATES (%)</t>
  </si>
  <si>
    <t>RETROSPECTIVE COSTS</t>
  </si>
  <si>
    <t>PROSPECTIVE COSTS</t>
  </si>
  <si>
    <t>Total Cost per Dose</t>
  </si>
  <si>
    <t>Purchase Price per Dose</t>
  </si>
  <si>
    <t>Add-on Cost per Dose</t>
  </si>
  <si>
    <t>Suggested Per Dose Add-on Charge</t>
  </si>
  <si>
    <t>Cross-Check Totals (should be same)</t>
  </si>
  <si>
    <t>Vaccines Administered</t>
  </si>
  <si>
    <t>Vaccines Non-Administered - Assumptions</t>
  </si>
  <si>
    <t>Additiional Vaccine Required</t>
  </si>
  <si>
    <t>Subtotal Vaccines Required</t>
  </si>
  <si>
    <t>Vaccination Activity Costings- Round 1</t>
  </si>
  <si>
    <t>Vaccination Activity Costings - Round 2</t>
  </si>
  <si>
    <t>Go to National Microplanning Outputs</t>
  </si>
  <si>
    <t>Go to District Microplanning - Assumptions</t>
  </si>
  <si>
    <t># Doses</t>
  </si>
  <si>
    <t>Subtotal Vaccine Cost</t>
  </si>
  <si>
    <t xml:space="preserve">  </t>
  </si>
  <si>
    <t>Go to Vaccines - Assumptions</t>
  </si>
  <si>
    <t>Primary Developer:  Winthrop Morgan, MPH</t>
  </si>
  <si>
    <t>Please use Table of Contents for navigation.</t>
  </si>
  <si>
    <t>Plug-in: Calculate IEC Materials Needed</t>
  </si>
  <si>
    <t>Step 2: Single Activity Costing</t>
  </si>
  <si>
    <t>Step 3: Estimate Numbers of Each Activity</t>
  </si>
  <si>
    <t>Target Population Name</t>
  </si>
  <si>
    <t>Cost of Oral Cholera Vaccination Campaign</t>
  </si>
  <si>
    <t>Analysis</t>
  </si>
  <si>
    <t>Step 4: Results and Analysis</t>
  </si>
  <si>
    <t>Section 5.</t>
  </si>
  <si>
    <t>Cost per Vaccinator Trained</t>
  </si>
  <si>
    <t>Cost per Trainer Trained</t>
  </si>
  <si>
    <t>Cost per Partially Immunised Person</t>
  </si>
  <si>
    <t>Cost per Statistics</t>
  </si>
  <si>
    <t>Cost per Activity</t>
  </si>
  <si>
    <t>Persons &gt; 1 yr old and non-Pregnant</t>
  </si>
  <si>
    <t>PLUG_ACTIVITY</t>
  </si>
  <si>
    <t>PLUG_ACTIVITY - Assumptions</t>
  </si>
  <si>
    <t>PLUG_ACTIVITY - Lookups</t>
  </si>
  <si>
    <t>LU_ACT_25_Meet_Curr</t>
  </si>
  <si>
    <t>LU_ACT_25_Pers_Res</t>
  </si>
  <si>
    <t>LU_ACT_25_Allowances</t>
  </si>
  <si>
    <t>LU_ACT_25_Supplies</t>
  </si>
  <si>
    <t>LU_ACT_25_Equipment</t>
  </si>
  <si>
    <t>LU_ACT_25_ODCS</t>
  </si>
  <si>
    <t>LU_ACT_26_Meet_Curr</t>
  </si>
  <si>
    <t>LU_ACT_26_Pers_Res</t>
  </si>
  <si>
    <t>LU_ACT_26_Allowances</t>
  </si>
  <si>
    <t>LU_ACT_26_Supplies</t>
  </si>
  <si>
    <t>LU_ACT_26_Equipment</t>
  </si>
  <si>
    <t>LU_ACT_26_ODCS</t>
  </si>
  <si>
    <t>Notes/source of information</t>
  </si>
  <si>
    <t>Notes and Source of information</t>
  </si>
  <si>
    <t>Applied Add-on Charge</t>
  </si>
  <si>
    <t>Total materials and supply</t>
  </si>
  <si>
    <t>Crowd Controller</t>
  </si>
  <si>
    <t>Please save often to avoid accidental loss of data.</t>
  </si>
  <si>
    <t>Vaccination Team Types</t>
  </si>
  <si>
    <t>Type 1</t>
  </si>
  <si>
    <t>Type 2</t>
  </si>
  <si>
    <t>Type 3</t>
  </si>
  <si>
    <t>Vaccination Team Role Labels</t>
  </si>
  <si>
    <t>Role 1</t>
  </si>
  <si>
    <t>Role 2</t>
  </si>
  <si>
    <t>Role 3</t>
  </si>
  <si>
    <t>Role 4</t>
  </si>
  <si>
    <t>Role 6</t>
  </si>
  <si>
    <t>Role 5</t>
  </si>
  <si>
    <t>Vaccinator</t>
  </si>
  <si>
    <t>Data Recorder</t>
  </si>
  <si>
    <t>Social Mobiliser</t>
  </si>
  <si>
    <t>Change below, if desired</t>
  </si>
  <si>
    <t>If more categories are needed, please contact the developer at win@winthropmorgan.com for assistance.</t>
  </si>
  <si>
    <t>Type of Estimate:</t>
  </si>
  <si>
    <t>USE THIS TABLE FOR PROSPECTIVE ESTIMATES ONLY!</t>
  </si>
  <si>
    <t>USE THIS TABLE FOR RETROSPECTIVE ESTIMATES ONLY!</t>
  </si>
  <si>
    <t>PROSPECTIVE ONLY!</t>
  </si>
  <si>
    <t>RETROSPECTIVE ONLY!</t>
  </si>
  <si>
    <t>PROSPECTIVE AND RETROSPECTIVE</t>
  </si>
  <si>
    <t>PROSPECTIVE</t>
  </si>
  <si>
    <t>RETROSPECTIVE</t>
  </si>
  <si>
    <t>&lt;-FROM APPLIED CURRENCY SELECTION ABOVE</t>
  </si>
  <si>
    <t>Currencies and Exchange Rate References (Developer Only - User may change in Step 1.d)</t>
  </si>
  <si>
    <t>Resource Lists (Developer Only. User May Change in Step 1.e)</t>
  </si>
  <si>
    <t>Resource List References (Developer Only. User May Change in Step 1.e)</t>
  </si>
  <si>
    <t>Currencies and Exchange Rates Referenced Links (Developer Use Only.  User Can Change in Step 1.d)</t>
  </si>
  <si>
    <t>Resource Lists Referenced Links (Developer Use Only.  User can Change in Step 1.e)</t>
  </si>
  <si>
    <t>Currencies and Exchange Rates Reference Links (Developer Use Only.  User can change in Step 1.d)</t>
  </si>
  <si>
    <t>Resource Lists Reference Links (User can change in Step 1.e)</t>
  </si>
  <si>
    <t>Currencies &amp; Exchange Rates Reference Links (Developer Only. User Can Change in Step 1.d.)</t>
  </si>
  <si>
    <t># Trained per Training</t>
  </si>
  <si>
    <t>Cost per Participant Trained</t>
  </si>
  <si>
    <t>Section Contents:</t>
  </si>
  <si>
    <t xml:space="preserve">         </t>
  </si>
  <si>
    <t>Avg. Number of Vaccinations Administered per Team per Day</t>
  </si>
  <si>
    <t>i</t>
  </si>
  <si>
    <t xml:space="preserve">  Go to Table of Contents</t>
  </si>
  <si>
    <t>Cost per Fully Immunised Person (with vaccine)</t>
  </si>
  <si>
    <t>Cost per Fully Immunised Person (without vaccine)</t>
  </si>
  <si>
    <t>TOTAL ORAL CHOLERA VACCINATION CAMPAIGN (without vaccine)</t>
  </si>
  <si>
    <t>TOTAL ORAL CHOLERA VACCINATION CAMPAIGN (with vaccine)</t>
  </si>
  <si>
    <t>Cost per Vaccine Administered (including vaccine)</t>
  </si>
  <si>
    <t>Cost per Vaccine Administered (without vaccine cost)</t>
  </si>
  <si>
    <t>ECONOMIC COST</t>
  </si>
  <si>
    <t>FINANCIAL COST</t>
  </si>
  <si>
    <t>Activity Costs</t>
  </si>
  <si>
    <t>Cost per Immunization</t>
  </si>
  <si>
    <t>Vaccination Site Type Names Reference Links (Developer Only. User May Change in Step 1.b.)</t>
  </si>
  <si>
    <t>Target Population (Developer Only. User May Change in Step 1.b.)</t>
  </si>
  <si>
    <t>Vaccination Team Roles (Developer Only. User May Change in Step 1.b.)</t>
  </si>
  <si>
    <t>Reserved for Future Multi-Year Expansion (Developer Use Only)</t>
  </si>
  <si>
    <t>Facility Names Reference Links (Developer Use Only - User May Change in Step 1b)</t>
  </si>
  <si>
    <t>Vaccine Procurement Outputs</t>
  </si>
  <si>
    <t>Microplanning Outputs (Requires User Input for Completion)</t>
  </si>
  <si>
    <t>Sensitization Outputs (Requires User Input for Completion)</t>
  </si>
  <si>
    <t xml:space="preserve">Information, Education, and Communication Outputs </t>
  </si>
  <si>
    <t>Service Delivery Outputs (Requires User Input for Completion)</t>
  </si>
  <si>
    <t>Mobilisation Outputs (Requires User Input for Completion)</t>
  </si>
  <si>
    <t>Training Outputs (Requires User Input for Completion)</t>
  </si>
  <si>
    <t>CURRENT COST ESTIMATES</t>
  </si>
  <si>
    <t>Area_Counts Category 11</t>
  </si>
  <si>
    <t>Area_Counts Category 12</t>
  </si>
  <si>
    <t>Area_Counts Category 13</t>
  </si>
  <si>
    <t>Area_Counts Category 14</t>
  </si>
  <si>
    <t>Area_Counts Category 15</t>
  </si>
  <si>
    <t>Area_Counts Category 16</t>
  </si>
  <si>
    <t>Area_Counts Category 17</t>
  </si>
  <si>
    <t>Area_Counts Category 18</t>
  </si>
  <si>
    <t>Area_Counts Category 19</t>
  </si>
  <si>
    <t>Area_Counts Category 20</t>
  </si>
  <si>
    <t>Area_Counts Category 21</t>
  </si>
  <si>
    <t>Area_Counts Category 22</t>
  </si>
  <si>
    <t>Area_Counts Category 23</t>
  </si>
  <si>
    <t>Area_Counts Category 24</t>
  </si>
  <si>
    <t>Area_Counts Category 25</t>
  </si>
  <si>
    <t>Infographic</t>
  </si>
  <si>
    <t>Tables</t>
  </si>
  <si>
    <t>Charts</t>
  </si>
  <si>
    <t>Step 1: Tool Set Up (Step1_SC)</t>
  </si>
  <si>
    <t>Time Series - Broad Assumptions (TS_BA)</t>
  </si>
  <si>
    <t>Counts - Broad Assumptions (Count_BA)</t>
  </si>
  <si>
    <t>IMPORTANT!</t>
  </si>
  <si>
    <t>Applied Currency (Select):</t>
  </si>
  <si>
    <t>COST PER DOSE ADMINISTERED</t>
  </si>
  <si>
    <t>In this section, we set the assumed parameters for the estimate.</t>
  </si>
  <si>
    <t>We identify the year of activity, label the areas of effort, inventory our resources, set currencies and exchange rates, and develop a price list of resources.</t>
  </si>
  <si>
    <t xml:space="preserve">In this section, we estimate the cost our vaccines frome a prospectvie or retrospective approach. </t>
  </si>
  <si>
    <t>We also estimate the costs of single tasks or activities involved in carrying out our immunization effort.</t>
  </si>
  <si>
    <t>In this section, estimate the numbers of each type of activity that occur.</t>
  </si>
  <si>
    <t>Section Cover (Step4_SC)</t>
  </si>
  <si>
    <t xml:space="preserve">In this section, we provide the results of our assumptions. </t>
  </si>
  <si>
    <t xml:space="preserve">We also provide a basic analysis of our findings. </t>
  </si>
  <si>
    <t>Summary of Outputs and Costs (Summary_BO)</t>
  </si>
  <si>
    <t>Social Mobilisation - Broad Outputs (MOB_BO)</t>
  </si>
  <si>
    <t>TRAINING - Broad Outputs (TRAIN_BO)</t>
  </si>
  <si>
    <t>Information, Education and Materials - Broad Outputs (IEC_BO)</t>
  </si>
  <si>
    <t>Microplanning - Broad Outputs (MICRO_BO)</t>
  </si>
  <si>
    <t>Vaccine Procurement and Shipment</t>
  </si>
  <si>
    <t>ROUND 1 - ADDITIONAL ACTIVITY</t>
  </si>
  <si>
    <t>ROUND 1 - ADDITIONAL ACTIVITY - Assumptions</t>
  </si>
  <si>
    <t>ROUND 1 - ADDITIONAL ACTIVITY - Lookups</t>
  </si>
  <si>
    <t>ROUND2- TEAM CONFIGURATION A</t>
  </si>
  <si>
    <t>ROUND2- TEAM CONFIGURATION A - Assumptions</t>
  </si>
  <si>
    <t>ROUND2- TEAM CONFIGURATION A - Lookups</t>
  </si>
  <si>
    <t>ROUND1- TEAM CONFIGURATION A</t>
  </si>
  <si>
    <t>ROUND1- TEAM CONFIGURATION A - Assumptions</t>
  </si>
  <si>
    <t>ROUND1- TEAM CONFIGURATION A - Lookups</t>
  </si>
  <si>
    <t>ROUND1- TEAM CONFIGURATION B</t>
  </si>
  <si>
    <t>ROUND1- TEAM CONFIGURATION B - Assumptions</t>
  </si>
  <si>
    <t>ROUND1- TEAM CONFIGURATION B - Lookups</t>
  </si>
  <si>
    <t>ROUND2- TEAM CONFIGURATION B</t>
  </si>
  <si>
    <t>ROUND2- TEAM CONFIGURATION B - Assumptions</t>
  </si>
  <si>
    <t>ROUND2- TEAM CONFIGURATION B - Lookups</t>
  </si>
  <si>
    <t>ROUND1- FIELD SUPERVISION</t>
  </si>
  <si>
    <t>ROUND1- FIELD SUPERVISION - Assumptions</t>
  </si>
  <si>
    <t>ROUND1- FIELD SUPERVISION - Lookups</t>
  </si>
  <si>
    <t>ROUND2-FIELD SUPERVISION</t>
  </si>
  <si>
    <t>ROUND2-FIELD SUPERVISION - Assumptions</t>
  </si>
  <si>
    <t>ROUND2-FIELD SUPERVISION - Lookups</t>
  </si>
  <si>
    <t>ROUND1- HQ SUPPORT</t>
  </si>
  <si>
    <t>ROUND1- HQ SUPPORT - Assumptions</t>
  </si>
  <si>
    <t>ROUND1- HQ SUPPORT - Lookups</t>
  </si>
  <si>
    <t>ROUND2HQ SUPPORT</t>
  </si>
  <si>
    <t>ROUND2HQ SUPPORT - Assumptions</t>
  </si>
  <si>
    <t>ROUND2HQ SUPPORT - Lookups</t>
  </si>
  <si>
    <t>SENSITISATION</t>
  </si>
  <si>
    <t>LABELS</t>
  </si>
  <si>
    <t>RESOURCES - Assumptions</t>
  </si>
  <si>
    <t>RESOURCES - Currency Assumptions</t>
  </si>
  <si>
    <t>Default Country Label [Change under Lbl_BA]</t>
  </si>
  <si>
    <t>Central</t>
  </si>
  <si>
    <t>Subnational</t>
  </si>
  <si>
    <t>Subsubnational</t>
  </si>
  <si>
    <t>Fac1</t>
  </si>
  <si>
    <t>Fac2</t>
  </si>
  <si>
    <t>Fac3</t>
  </si>
  <si>
    <t>Vac1</t>
  </si>
  <si>
    <t>Area_Counts Category 1</t>
  </si>
  <si>
    <t>Area_Counts Category 2</t>
  </si>
  <si>
    <t>Area_Counts Category 3</t>
  </si>
  <si>
    <t>Area_Counts Category 4</t>
  </si>
  <si>
    <t>Area_Counts Category 5</t>
  </si>
  <si>
    <t>Area_Counts Category 6</t>
  </si>
  <si>
    <t>Area_Counts Category 7</t>
  </si>
  <si>
    <t>Area_Counts Category 8</t>
  </si>
  <si>
    <t>Area_Counts Category 9</t>
  </si>
  <si>
    <t>Area_Counts Category 10</t>
  </si>
  <si>
    <t>GOZ</t>
  </si>
  <si>
    <t>USD</t>
  </si>
  <si>
    <t>Personnel Cadre - Other 16</t>
  </si>
  <si>
    <t>Personnel Cadre - Other 17</t>
  </si>
  <si>
    <t>Allowances Category 6</t>
  </si>
  <si>
    <t>Allowances Category 7</t>
  </si>
  <si>
    <t>Allowances Category 8</t>
  </si>
  <si>
    <t>Allowances Category 9</t>
  </si>
  <si>
    <t>Allowances Category 10</t>
  </si>
  <si>
    <t>Allowances Category 11</t>
  </si>
  <si>
    <t>Allowances Category 12</t>
  </si>
  <si>
    <t>Allowances Category 13</t>
  </si>
  <si>
    <t>Allowances Category 14</t>
  </si>
  <si>
    <t>Allowances Category 15</t>
  </si>
  <si>
    <t>Allowances Category 16</t>
  </si>
  <si>
    <t>Personnel Cadre - Other 18</t>
  </si>
  <si>
    <t>Personnel Cadre - Other 19</t>
  </si>
  <si>
    <t>Personnel Cadre - Other 20</t>
  </si>
  <si>
    <t>Personnel Cadre - Other 21</t>
  </si>
  <si>
    <t>Personnel Cadre - Other 22</t>
  </si>
  <si>
    <t>Personnel Cadre - Other 23</t>
  </si>
  <si>
    <t>Personnel Cadre - Other 24</t>
  </si>
  <si>
    <t>Personnel Cadre - Other 25</t>
  </si>
  <si>
    <t>Personnel Cadre - Other 26</t>
  </si>
  <si>
    <t>Personnel Cadre - Other 27</t>
  </si>
  <si>
    <t>Personnel Cadre - Other 28</t>
  </si>
  <si>
    <t>Personnel Cadre - Other 29</t>
  </si>
  <si>
    <t>Personnel Cadre - Other 30</t>
  </si>
  <si>
    <t>Personnel Cadre - Other 31</t>
  </si>
  <si>
    <t>Personnel Cadre - Other 32</t>
  </si>
  <si>
    <t>Personnel Cadre - Other 33</t>
  </si>
  <si>
    <t>Personnel Cadre - Other 34</t>
  </si>
  <si>
    <t>Personnel Cadre - Other 35</t>
  </si>
  <si>
    <t>Allowances Category 24</t>
  </si>
  <si>
    <t>Allowances Category 25</t>
  </si>
  <si>
    <t>Allowances Category 26</t>
  </si>
  <si>
    <t>Allowances Category 27</t>
  </si>
  <si>
    <t>Allowances Category 28</t>
  </si>
  <si>
    <t>Allowances Category 29</t>
  </si>
  <si>
    <t>Allowances Category 30</t>
  </si>
  <si>
    <t>Supplies Category 17</t>
  </si>
  <si>
    <t>Supplies Category 18</t>
  </si>
  <si>
    <t>Supplies Category 19</t>
  </si>
  <si>
    <t>Supplies Category 20</t>
  </si>
  <si>
    <t>Supplies Category 21</t>
  </si>
  <si>
    <t>Supplies Category 22</t>
  </si>
  <si>
    <t>Supplies Category 23</t>
  </si>
  <si>
    <t>Supplies Category 24</t>
  </si>
  <si>
    <t>Supplies Category 25</t>
  </si>
  <si>
    <t>Supplies Category 26</t>
  </si>
  <si>
    <t>Supplies Category 27</t>
  </si>
  <si>
    <t>Supplies Category 28</t>
  </si>
  <si>
    <t>Supplies Category 29</t>
  </si>
  <si>
    <t>Supplies Category 30</t>
  </si>
  <si>
    <t>Supplies Category 31</t>
  </si>
  <si>
    <t>Supplies Category 32</t>
  </si>
  <si>
    <t>Supplies Category 33</t>
  </si>
  <si>
    <t>Supplies Category 34</t>
  </si>
  <si>
    <t>Supplies Category 35</t>
  </si>
  <si>
    <t>Other Direct Costs Category 4</t>
  </si>
  <si>
    <t>Other Direct Costs Category 5</t>
  </si>
  <si>
    <t>Other Direct Costs Category 6</t>
  </si>
  <si>
    <t>Other Direct Costs Category 7</t>
  </si>
  <si>
    <t>Other Direct Costs Category 8</t>
  </si>
  <si>
    <t>Other Direct Costs Category 9</t>
  </si>
  <si>
    <t>Other Direct Costs Category 10</t>
  </si>
  <si>
    <t>Other Direct Costs Category 11</t>
  </si>
  <si>
    <t>Other Direct Costs Category 12</t>
  </si>
  <si>
    <t>Other Direct Costs Category 13</t>
  </si>
  <si>
    <t>Equipment Category 7</t>
  </si>
  <si>
    <t>Equipment Category 8</t>
  </si>
  <si>
    <t>Equipment Category 9</t>
  </si>
  <si>
    <t>Equipment Category 10</t>
  </si>
  <si>
    <t>Equipment Category 11</t>
  </si>
  <si>
    <t>Equipment Category 12</t>
  </si>
  <si>
    <t>Equipment Category 13</t>
  </si>
  <si>
    <t>Equipment Category 14</t>
  </si>
  <si>
    <t>Equipment Category 15</t>
  </si>
  <si>
    <t>Equipment Category 16</t>
  </si>
  <si>
    <t>Equipment Category 17</t>
  </si>
  <si>
    <t>Equipment Category 18</t>
  </si>
  <si>
    <t>Equipment Category 19</t>
  </si>
  <si>
    <t>Equipment Category 20</t>
  </si>
  <si>
    <t>Equipment Category 21</t>
  </si>
  <si>
    <t>Equipment Category 22</t>
  </si>
  <si>
    <t>Equipment Category 23</t>
  </si>
  <si>
    <t>Equipment Category 24</t>
  </si>
  <si>
    <t>Equipment Category 25</t>
  </si>
  <si>
    <t>Equipment Category 26</t>
  </si>
  <si>
    <t>Equipment Category 27</t>
  </si>
  <si>
    <t>Equipment Category 28</t>
  </si>
  <si>
    <t>Equipment Category 29</t>
  </si>
  <si>
    <t>Equipment Category 30</t>
  </si>
  <si>
    <t>Equipment Category 31</t>
  </si>
  <si>
    <t>Equipment Category 32</t>
  </si>
  <si>
    <t>Equipment Category 33</t>
  </si>
  <si>
    <t>Equipment Category 34</t>
  </si>
  <si>
    <t>Equipment Category 35</t>
  </si>
  <si>
    <t>Other Direct Costs Category 14</t>
  </si>
  <si>
    <t>Other Direct Costs Category 15</t>
  </si>
  <si>
    <t>Other Direct Costs Category 16</t>
  </si>
  <si>
    <t>Other Direct Costs Category 17</t>
  </si>
  <si>
    <t>Other Direct Costs Category 18</t>
  </si>
  <si>
    <t>Other Direct Costs Category 19</t>
  </si>
  <si>
    <t>Other Direct Costs Category 20</t>
  </si>
  <si>
    <t>Other Direct Costs Category 21</t>
  </si>
  <si>
    <t>Other Direct Costs Category 22</t>
  </si>
  <si>
    <t>Other Direct Costs Category 23</t>
  </si>
  <si>
    <t>Other Direct Costs Category 24</t>
  </si>
  <si>
    <t>Other Direct Costs Category 25</t>
  </si>
  <si>
    <t>Other Direct Costs Category 26</t>
  </si>
  <si>
    <t>Other Direct Costs Category 27</t>
  </si>
  <si>
    <t>Other Direct Costs Category 28</t>
  </si>
  <si>
    <t>Other Direct Costs Category 29</t>
  </si>
  <si>
    <t>Other Direct Costs Category 30</t>
  </si>
  <si>
    <t>Other Direct Costs Category 31</t>
  </si>
  <si>
    <t>Other Direct Costs Category 32</t>
  </si>
  <si>
    <t>Other Direct Costs Category 33</t>
  </si>
  <si>
    <t>Other Direct Costs Category 34</t>
  </si>
  <si>
    <t>Other Direct Costs Category 35</t>
  </si>
  <si>
    <t>Microplanning Activity #1 [not in use]</t>
  </si>
  <si>
    <t>Activity Personnel Category 9</t>
  </si>
  <si>
    <t>Activity Personnel Category 10</t>
  </si>
  <si>
    <t>Activity Personnel Category 11</t>
  </si>
  <si>
    <t>Activity Personnel Category 12</t>
  </si>
  <si>
    <t>Activity Personnel Category 13</t>
  </si>
  <si>
    <t>Activity Personnel Category 14</t>
  </si>
  <si>
    <t>Activity Personnel Category 15</t>
  </si>
  <si>
    <t>Activity Personnel Category 16</t>
  </si>
  <si>
    <t>&lt;Travel &amp; Allowances&gt; Category 9</t>
  </si>
  <si>
    <t>&lt;Travel &amp; Allowances&gt; Category 10</t>
  </si>
  <si>
    <t>&lt;Travel &amp; Allowances&gt; Category 11</t>
  </si>
  <si>
    <t>&lt;Travel &amp; Allowances&gt; Category 12</t>
  </si>
  <si>
    <t>&lt;Travel &amp; Allowances&gt; Category 13</t>
  </si>
  <si>
    <t>&lt;Travel &amp; Allowances&gt; Category 14</t>
  </si>
  <si>
    <t>&lt;Travel &amp; Allowances&gt; Category 15</t>
  </si>
  <si>
    <t>&lt;Travel &amp; Allowances&gt; Category 16</t>
  </si>
  <si>
    <t>Activity Personnel Category 17</t>
  </si>
  <si>
    <t>Activity Personnel Category 18</t>
  </si>
  <si>
    <t>Activity Personnel Category 19</t>
  </si>
  <si>
    <t>Activity Personnel Category 20</t>
  </si>
  <si>
    <t>&lt;Travel &amp; Allowances&gt; Category 17</t>
  </si>
  <si>
    <t>&lt;Travel &amp; Allowances&gt; Category 18</t>
  </si>
  <si>
    <t>&lt;Travel &amp; Allowances&gt; Category 19</t>
  </si>
  <si>
    <t>&lt;Travel &amp; Allowances&gt; Category 20</t>
  </si>
  <si>
    <t>Materials &amp; Supplies Category 3</t>
  </si>
  <si>
    <t>Materials &amp; Supplies Category 4</t>
  </si>
  <si>
    <t>Materials &amp; Supplies Category 5</t>
  </si>
  <si>
    <t>Materials &amp; Supplies Category 6</t>
  </si>
  <si>
    <t>Materials &amp; Supplies Category 7</t>
  </si>
  <si>
    <t>Materials &amp; Supplies Category 8</t>
  </si>
  <si>
    <t>Materials &amp; Supplies Category 9</t>
  </si>
  <si>
    <t>Materials &amp; Supplies Category 10</t>
  </si>
  <si>
    <t>Materials &amp; Supplies Category 11</t>
  </si>
  <si>
    <t>Materials &amp; Supplies Category 12</t>
  </si>
  <si>
    <t>Materials &amp; Supplies Category 13</t>
  </si>
  <si>
    <t>Materials &amp; Supplies Category 14</t>
  </si>
  <si>
    <t>Materials &amp; Supplies Category 15</t>
  </si>
  <si>
    <t>Materials &amp; Supplies Category 16</t>
  </si>
  <si>
    <t>Materials &amp; Supplies Category 17</t>
  </si>
  <si>
    <t>Materials &amp; Supplies Category 18</t>
  </si>
  <si>
    <t>Materials &amp; Supplies Category 19</t>
  </si>
  <si>
    <t>Materials &amp; Supplies Category 20</t>
  </si>
  <si>
    <t>Equipment Category 3</t>
  </si>
  <si>
    <t>Equipment Category 4</t>
  </si>
  <si>
    <t>Equipment Category 5</t>
  </si>
  <si>
    <t>Equipment Category 6</t>
  </si>
  <si>
    <t>Other Direct Cost Category 6</t>
  </si>
  <si>
    <t>Other Direct Cost Category 7</t>
  </si>
  <si>
    <t>Other Direct Cost Category 8</t>
  </si>
  <si>
    <t>Other Direct Cost Category 9</t>
  </si>
  <si>
    <t>Other Direct Cost Category 10</t>
  </si>
  <si>
    <t>Other Direct Cost Category 11</t>
  </si>
  <si>
    <t>Other Direct Cost Category 12</t>
  </si>
  <si>
    <t>Other Direct Cost Category 13</t>
  </si>
  <si>
    <t>Other Direct Cost Category 14</t>
  </si>
  <si>
    <t>Other Direct Cost Category 15</t>
  </si>
  <si>
    <t>Other Direct Cost Category 16</t>
  </si>
  <si>
    <t>Other Direct Cost Category 17</t>
  </si>
  <si>
    <t>Other Direct Cost Category 18</t>
  </si>
  <si>
    <t>Other Direct Cost Category 19</t>
  </si>
  <si>
    <t>Other Direct Cost Category 20</t>
  </si>
  <si>
    <t>Microplanning Activity #2 [not in use]</t>
  </si>
  <si>
    <t>Materials &amp; Supplies Category 1</t>
  </si>
  <si>
    <t>Materials &amp; Supplies Category 2</t>
  </si>
  <si>
    <t>Communication Materials Activity #1 [not in use]</t>
  </si>
  <si>
    <t>Personnel Cadre - Other 1</t>
  </si>
  <si>
    <t>Personnel Cadre - Other 2</t>
  </si>
  <si>
    <t>Personnel Cadre - Other 3</t>
  </si>
  <si>
    <t>Personnel Cadre - Other 4</t>
  </si>
  <si>
    <t>Personnel Cadre - Other 5</t>
  </si>
  <si>
    <t>Personnel Cadre - Other 6</t>
  </si>
  <si>
    <t>Personnel Cadre - Other 7</t>
  </si>
  <si>
    <t>Personnel Cadre - Other 8</t>
  </si>
  <si>
    <t>Personnel Cadre - Other 9</t>
  </si>
  <si>
    <t>Personnel Cadre - Other 10</t>
  </si>
  <si>
    <t>Personnel Cadre - Other 11</t>
  </si>
  <si>
    <t>Personnel Cadre - Other 12</t>
  </si>
  <si>
    <t>Personnel Cadre - Other 13</t>
  </si>
  <si>
    <t>Personnel Cadre - Other 14</t>
  </si>
  <si>
    <t>Personnel Cadre - Other 15</t>
  </si>
  <si>
    <t>Allowances Category 1</t>
  </si>
  <si>
    <t>Allowances Category 2</t>
  </si>
  <si>
    <t>Allowances Category 3</t>
  </si>
  <si>
    <t>Allowances Category 4</t>
  </si>
  <si>
    <t>Allowances Category 5</t>
  </si>
  <si>
    <t>Allowances Category 17</t>
  </si>
  <si>
    <t>Allowances Category 18</t>
  </si>
  <si>
    <t>Allowances Category 19</t>
  </si>
  <si>
    <t>Allowances Category 20</t>
  </si>
  <si>
    <t>Allowances Category 21</t>
  </si>
  <si>
    <t>Allowances Category 22</t>
  </si>
  <si>
    <t>Allowances Category 23</t>
  </si>
  <si>
    <t>Allowances Category 31</t>
  </si>
  <si>
    <t>Allowances Category 32</t>
  </si>
  <si>
    <t>Allowances Category 33</t>
  </si>
  <si>
    <t>Allowances Category 34</t>
  </si>
  <si>
    <t>Allowances Category 35</t>
  </si>
  <si>
    <t>Supplies Category 1</t>
  </si>
  <si>
    <t>Supplies Category 2</t>
  </si>
  <si>
    <t>Supplies Category 3</t>
  </si>
  <si>
    <t>Supplies Category 4</t>
  </si>
  <si>
    <t>Supplies Category 5</t>
  </si>
  <si>
    <t>Supplies Category 6</t>
  </si>
  <si>
    <t>Supplies Category 7</t>
  </si>
  <si>
    <t>Supplies Category 8</t>
  </si>
  <si>
    <t>Supplies Category 9</t>
  </si>
  <si>
    <t>Supplies Category 10</t>
  </si>
  <si>
    <t>Supplies Category 11</t>
  </si>
  <si>
    <t>Supplies Category 12</t>
  </si>
  <si>
    <t>Supplies Category 13</t>
  </si>
  <si>
    <t>Supplies Category 14</t>
  </si>
  <si>
    <t>Supplies Category 15</t>
  </si>
  <si>
    <t>Supplies Category 16</t>
  </si>
  <si>
    <t>Other Direct Costs Category 1</t>
  </si>
  <si>
    <t>Other Direct Costs Category 2</t>
  </si>
  <si>
    <t>Other Direct Costs Category 3</t>
  </si>
  <si>
    <t>Procurement charges Category 1</t>
  </si>
  <si>
    <t>Procurement charges Category 2</t>
  </si>
  <si>
    <t>Procurement charges Category 3</t>
  </si>
  <si>
    <t>Procurement charges Category 4</t>
  </si>
  <si>
    <t>Procurement charges Category 5</t>
  </si>
  <si>
    <t>Procurement charges Category 6</t>
  </si>
  <si>
    <t>Procurement charges Category 7</t>
  </si>
  <si>
    <t>Procurement charges Category 8</t>
  </si>
  <si>
    <t>Procurement charges Category 9</t>
  </si>
  <si>
    <t>Procurement charges Category 10</t>
  </si>
  <si>
    <t>Procurement charges Category 11</t>
  </si>
  <si>
    <t>Procurement charges Category 12</t>
  </si>
  <si>
    <t>Procurement charges Category 13</t>
  </si>
  <si>
    <t>Procurement charges Category 14</t>
  </si>
  <si>
    <t>Procurement charges Category 15</t>
  </si>
  <si>
    <t>Procurement charges Category 16</t>
  </si>
  <si>
    <t>Procurement charges Category 17</t>
  </si>
  <si>
    <t>Procurement charges Category 18</t>
  </si>
  <si>
    <t>Procurement charges Category 19</t>
  </si>
  <si>
    <t>Procurement charges Category 20</t>
  </si>
  <si>
    <t>Procurement charges Category 21</t>
  </si>
  <si>
    <t>Procurement charges Category 22</t>
  </si>
  <si>
    <t>Procurement charges Category 23</t>
  </si>
  <si>
    <t>Procurement charges Category 24</t>
  </si>
  <si>
    <t>Procurement charges Category 25</t>
  </si>
  <si>
    <t>Activity Personnel Category 21</t>
  </si>
  <si>
    <t>&lt;Travel &amp; Allowances&gt; Category 21</t>
  </si>
  <si>
    <t>Activity Personnel Category 22</t>
  </si>
  <si>
    <t>Activity Personnel Category 23</t>
  </si>
  <si>
    <t>Activity Personnel Category 24</t>
  </si>
  <si>
    <t>Activity Personnel Category 25</t>
  </si>
  <si>
    <t>&lt;Travel &amp; Allowances&gt; Category 22</t>
  </si>
  <si>
    <t>&lt;Travel &amp; Allowances&gt; Category 23</t>
  </si>
  <si>
    <t>&lt;Travel &amp; Allowances&gt; Category 24</t>
  </si>
  <si>
    <t>&lt;Travel &amp; Allowances&gt; Category 25</t>
  </si>
  <si>
    <t>Materials &amp; Supplies Category 21</t>
  </si>
  <si>
    <t>Materials &amp; Supplies Category 22</t>
  </si>
  <si>
    <t>Materials &amp; Supplies Category 23</t>
  </si>
  <si>
    <t>Materials &amp; Supplies Category 24</t>
  </si>
  <si>
    <t>Materials &amp; Supplies Category 25</t>
  </si>
  <si>
    <t>Other Direct Cost Category 21</t>
  </si>
  <si>
    <t>Other Direct Cost Category 22</t>
  </si>
  <si>
    <t>Other Direct Cost Category 23</t>
  </si>
  <si>
    <t>Other Direct Cost Category 24</t>
  </si>
  <si>
    <t>Other Direct Cost Category 25</t>
  </si>
  <si>
    <t>Communication Materials Activity #2 [not in use]</t>
  </si>
  <si>
    <t>Communication Materials Activity #3 [not in use]</t>
  </si>
  <si>
    <t>Training Activity #1 [not in use]</t>
  </si>
  <si>
    <t>Training Activity #2 [not in use]</t>
  </si>
  <si>
    <t>Training Activity #3 [not in use]</t>
  </si>
  <si>
    <t>Training Activity #4 [not in use]</t>
  </si>
  <si>
    <t>Training Activity #5 [not in use]</t>
  </si>
  <si>
    <t>Sensitisation Activity #1 [not in use]</t>
  </si>
  <si>
    <t>Sensitisation Activity #2 [not in use]</t>
  </si>
  <si>
    <t>Sensitisation Activity #3 [not in use]</t>
  </si>
  <si>
    <t>Social Mobilisation Activity #1 [not in use]</t>
  </si>
  <si>
    <t>Social Mobilisation Activity #2 [not in use]</t>
  </si>
  <si>
    <t>Social Mobilisation Activity #3 [not in use]</t>
  </si>
  <si>
    <t>Social Mobilisation Activity #4 [not in use]</t>
  </si>
  <si>
    <t>Round 1 - Vacciination Activity #1 [not in use]</t>
  </si>
  <si>
    <t>Round 1 - Vacciination Activity #2 [not in use]</t>
  </si>
  <si>
    <t>Round 1 - Vacciination Activity #3 [not in use]</t>
  </si>
  <si>
    <t>Round 1 - Vacciination Activity #4 [not in use]</t>
  </si>
  <si>
    <t>Round 1 - Vacciination Activity #5 [not in use]</t>
  </si>
  <si>
    <t>Round 2 - Vacciination Activity #1 [not in use]</t>
  </si>
  <si>
    <t>Round 2 - Vacciination Activity #2 [not in use]</t>
  </si>
  <si>
    <t>Round 2 - Vacciination Activity #3 [not in use]</t>
  </si>
  <si>
    <t>Round 2 - Vacciination Activity #4 [not in use]</t>
  </si>
  <si>
    <t>Tool Version Last Updated</t>
  </si>
  <si>
    <t>Current File Name:</t>
  </si>
  <si>
    <t>Current File Last Opened:</t>
  </si>
  <si>
    <t>Developed wth Support from:</t>
  </si>
  <si>
    <t>This is public version 1.2, with Division by Zero (#DIV/0) Errors Supressed</t>
  </si>
  <si>
    <t>SERVICE DELIVERY - ROUND 1 (ROUND1_BO)</t>
  </si>
  <si>
    <t>SERVICE DELIVERY - ROUND 2 (ROUND2_BO)</t>
  </si>
  <si>
    <t>&lt;Proj&gt;&lt;ProjProps&gt;&lt;FV&gt;3&lt;/FV&gt;&lt;CXPI&gt;&lt;![CDATA[{ABB67515-8981-4AEA-9360-08A181FAB65E}]]&gt;&lt;/CXPI&gt;&lt;/ProjProps&gt;&lt;/Proj&gt;</t>
  </si>
  <si>
    <t>Validated using:</t>
  </si>
  <si>
    <t>EXChecker Advanced Validation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</si>
</sst>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_(&quot;$&quot;* \(#,##0.00\);_(&quot;$&quot;* &quot;-&quot;??_);_(@_)"/>
    <numFmt numFmtId="164" formatCode="_(###0_);\(###0\);_(&quot;-&quot;_);_)@_)"/>
    <numFmt numFmtId="165" formatCode="_)d\-mmm\-yy_);_)d\-mmm\-yy_);_)&quot;-&quot;_);_)@_)"/>
    <numFmt numFmtId="166" formatCode="_(#,##0.0_);\(#,##0.0\);_(&quot;-&quot;_);_)@_)"/>
    <numFmt numFmtId="167" formatCode="_(#,##0.0%_);\(#,##0.0%\);_(&quot;-&quot;_);_)@_)"/>
    <numFmt numFmtId="168" formatCode="_(#,##0.0\x_);\(#,##0.0\x\);_(&quot;-&quot;_);_)@_)"/>
    <numFmt numFmtId="169" formatCode="_(&quot;$&quot;#,##0.0_);\(&quot;$&quot;#,##0.0\);_(&quot;-&quot;_);_)@_)"/>
    <numFmt numFmtId="170" formatCode="_(#,##0_);\(#,##0\);_(#,##0_);_)@_)"/>
    <numFmt numFmtId="171" formatCode="_(#,##0_);\(#,##0\);_(&quot;-&quot;_);_)@_)"/>
    <numFmt numFmtId="172" formatCode="#,##0."/>
    <numFmt numFmtId="173" formatCode="_(#,##0.00_);\(#,##0.00\);_(&quot;-&quot;_);_)@_)"/>
    <numFmt numFmtId="174" formatCode="_(#,##0.00%_);\(#,##0.00%\);_(&quot;-&quot;_);_)@_)"/>
    <numFmt numFmtId="175" formatCode="_(#,##0%_);\(#,##0%\);_(&quot;-&quot;_);_)@_)"/>
    <numFmt numFmtId="176" formatCode="_(#,##0.000_);\(#,##0.000\);_(&quot;-&quot;_);_)@_)"/>
    <numFmt numFmtId="177" formatCode="_(&quot;$&quot;#,##0.00_);\(&quot;$&quot;#,##0.00\);_(&quot;-&quot;_);_)@_)"/>
    <numFmt numFmtId="178" formatCode="_(&quot;$&quot;#,##0_);\(&quot;$&quot;#,##0\);_(&quot;-&quot;_);_)@_)"/>
    <numFmt numFmtId="179" formatCode="_(&quot;$&quot;* #,##0_);_(&quot;$&quot;* \(#,##0\);_(&quot;$&quot;* &quot;-&quot;??_);_(@_)"/>
    <numFmt numFmtId="180" formatCode="_(#,##0.0000_);\(#,##0.0000\);_(&quot;-&quot;_);_)@_)"/>
    <numFmt numFmtId="181" formatCode="_(#,##0.000%_);\(#,##0.000%\);_(&quot;-&quot;_);_)@_)"/>
  </numFmts>
  <fonts count="46" x14ac:knownFonts="1">
    <font>
      <sz val="10"/>
      <name val="Calibri"/>
      <family val="2"/>
      <scheme val="minor"/>
    </font>
    <font>
      <sz val="10"/>
      <name val="Tahoma"/>
      <family val="2"/>
    </font>
    <font>
      <b/>
      <sz val="18"/>
      <name val="Calibri"/>
      <family val="2"/>
      <scheme val="major"/>
    </font>
    <font>
      <b/>
      <sz val="16"/>
      <name val="Calibri"/>
      <family val="2"/>
      <scheme val="major"/>
    </font>
    <font>
      <b/>
      <sz val="14"/>
      <name val="Calibri"/>
      <family val="2"/>
      <scheme val="major"/>
    </font>
    <font>
      <b/>
      <sz val="12"/>
      <name val="Calibri"/>
      <family val="2"/>
      <scheme val="major"/>
    </font>
    <font>
      <b/>
      <sz val="11"/>
      <name val="Calibri"/>
      <family val="2"/>
      <scheme val="major"/>
    </font>
    <font>
      <b/>
      <sz val="10"/>
      <name val="Calibri"/>
      <family val="2"/>
      <scheme val="major"/>
    </font>
    <font>
      <sz val="10"/>
      <name val="Calibri"/>
      <family val="2"/>
      <scheme val="major"/>
    </font>
    <font>
      <sz val="10"/>
      <name val="Calibri"/>
      <family val="2"/>
      <scheme val="minor"/>
    </font>
    <font>
      <b/>
      <sz val="10"/>
      <name val="Calibri"/>
      <family val="2"/>
      <scheme val="minor"/>
    </font>
    <font>
      <b/>
      <u/>
      <sz val="10"/>
      <color indexed="56"/>
      <name val="Calibri"/>
      <family val="2"/>
      <scheme val="minor"/>
    </font>
    <font>
      <b/>
      <sz val="10"/>
      <color indexed="56"/>
      <name val="Wingdings"/>
      <charset val="2"/>
    </font>
    <font>
      <b/>
      <u/>
      <sz val="11"/>
      <color indexed="56"/>
      <name val="Calibri"/>
      <family val="2"/>
      <scheme val="minor"/>
    </font>
    <font>
      <sz val="10"/>
      <color indexed="56"/>
      <name val="Calibri"/>
      <family val="2"/>
      <scheme val="minor"/>
    </font>
    <font>
      <b/>
      <sz val="14"/>
      <color indexed="60"/>
      <name val="Calibri"/>
      <family val="2"/>
      <scheme val="major"/>
    </font>
    <font>
      <b/>
      <sz val="18"/>
      <color indexed="60"/>
      <name val="Calibri"/>
      <family val="2"/>
      <scheme val="major"/>
    </font>
    <font>
      <b/>
      <sz val="11"/>
      <color indexed="60"/>
      <name val="Calibri"/>
      <family val="2"/>
      <scheme val="major"/>
    </font>
    <font>
      <b/>
      <sz val="10"/>
      <color indexed="60"/>
      <name val="Calibri"/>
      <family val="2"/>
      <scheme val="major"/>
    </font>
    <font>
      <b/>
      <sz val="16"/>
      <color indexed="60"/>
      <name val="Calibri"/>
      <family val="2"/>
      <scheme val="major"/>
    </font>
    <font>
      <sz val="10"/>
      <color indexed="60"/>
      <name val="Calibri"/>
      <family val="2"/>
      <scheme val="minor"/>
    </font>
    <font>
      <sz val="10"/>
      <color rgb="FFFFFFFF"/>
      <name val="Calibri"/>
      <family val="2"/>
      <scheme val="minor"/>
    </font>
    <font>
      <b/>
      <sz val="12"/>
      <color indexed="60"/>
      <name val="Calibri"/>
      <family val="2"/>
      <scheme val="major"/>
    </font>
    <font>
      <sz val="10"/>
      <color indexed="59"/>
      <name val="Calibri"/>
      <family val="2"/>
      <scheme val="minor"/>
    </font>
    <font>
      <b/>
      <sz val="10"/>
      <color indexed="59"/>
      <name val="Calibri"/>
      <family val="2"/>
      <scheme val="minor"/>
    </font>
    <font>
      <b/>
      <sz val="10"/>
      <color indexed="59"/>
      <name val="Calibri"/>
      <family val="2"/>
      <scheme val="major"/>
    </font>
    <font>
      <b/>
      <sz val="14"/>
      <color indexed="59"/>
      <name val="Calibri"/>
      <family val="2"/>
      <scheme val="major"/>
    </font>
    <font>
      <b/>
      <sz val="10"/>
      <color indexed="60"/>
      <name val="Calibri"/>
      <family val="2"/>
      <scheme val="minor"/>
    </font>
    <font>
      <sz val="10"/>
      <color rgb="FFF0F0F0"/>
      <name val="Calibri"/>
      <family val="2"/>
      <scheme val="minor"/>
    </font>
    <font>
      <u/>
      <sz val="10"/>
      <color theme="10"/>
      <name val="Calibri"/>
      <family val="2"/>
      <scheme val="minor"/>
    </font>
    <font>
      <b/>
      <sz val="11"/>
      <color indexed="59"/>
      <name val="Calibri"/>
      <family val="2"/>
      <scheme val="major"/>
    </font>
    <font>
      <b/>
      <u/>
      <sz val="10"/>
      <color indexed="59"/>
      <name val="Calibri"/>
      <family val="2"/>
      <scheme val="minor"/>
    </font>
    <font>
      <sz val="9"/>
      <color indexed="81"/>
      <name val="Tahoma"/>
      <family val="2"/>
    </font>
    <font>
      <b/>
      <sz val="9"/>
      <color indexed="81"/>
      <name val="Tahoma"/>
      <family val="2"/>
    </font>
    <font>
      <sz val="8"/>
      <color rgb="FF000000"/>
      <name val="Tahoma"/>
      <family val="2"/>
    </font>
    <font>
      <b/>
      <sz val="12"/>
      <color indexed="59"/>
      <name val="Calibri"/>
      <family val="2"/>
      <scheme val="major"/>
    </font>
    <font>
      <sz val="10"/>
      <name val="Arial Black"/>
      <family val="2"/>
    </font>
    <font>
      <sz val="10"/>
      <color theme="0"/>
      <name val="Calibri"/>
      <family val="2"/>
      <scheme val="minor"/>
    </font>
    <font>
      <b/>
      <sz val="10"/>
      <color theme="0"/>
      <name val="Calibri"/>
      <family val="2"/>
      <scheme val="minor"/>
    </font>
    <font>
      <sz val="10"/>
      <color indexed="8"/>
      <name val="Calibri"/>
      <family val="2"/>
      <scheme val="minor"/>
    </font>
    <font>
      <b/>
      <sz val="10"/>
      <color indexed="8"/>
      <name val="Calibri"/>
      <family val="2"/>
      <scheme val="major"/>
    </font>
    <font>
      <b/>
      <sz val="10"/>
      <color indexed="8"/>
      <name val="Calibri"/>
      <family val="2"/>
      <scheme val="minor"/>
    </font>
    <font>
      <sz val="9"/>
      <color rgb="FF203764"/>
      <name val="Calibri"/>
      <family val="2"/>
      <scheme val="major"/>
    </font>
    <font>
      <sz val="9"/>
      <color theme="4" tint="-0.49995422223578601"/>
      <name val="Calibri"/>
      <family val="2"/>
      <scheme val="minor"/>
    </font>
    <font>
      <sz val="9"/>
      <color theme="9" tint="-0.49995422223578601"/>
      <name val="Calibri"/>
      <family val="2"/>
      <scheme val="minor"/>
    </font>
    <font>
      <b/>
      <sz val="11"/>
      <color theme="0"/>
      <name val="Calibri"/>
      <family val="2"/>
      <scheme val="major"/>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65"/>
        <bgColor indexed="64"/>
      </patternFill>
    </fill>
    <fill>
      <patternFill patternType="solid">
        <fgColor rgb="FFFFFFDC"/>
        <bgColor indexed="64"/>
      </patternFill>
    </fill>
    <fill>
      <patternFill patternType="solid">
        <fgColor theme="5" tint="0.79998168889431442"/>
        <bgColor indexed="64"/>
      </patternFill>
    </fill>
    <fill>
      <patternFill patternType="solid">
        <fgColor rgb="FFF0F0F0"/>
        <bgColor indexed="64"/>
      </patternFill>
    </fill>
    <fill>
      <patternFill patternType="solid">
        <fgColor theme="0"/>
        <bgColor indexed="64"/>
      </patternFill>
    </fill>
    <fill>
      <patternFill patternType="solid">
        <fgColor rgb="FFFF0000"/>
        <bgColor indexed="64"/>
      </patternFill>
    </fill>
    <fill>
      <patternFill patternType="solid">
        <fgColor theme="4"/>
        <bgColor indexed="64"/>
      </patternFill>
    </fill>
  </fills>
  <borders count="41">
    <border>
      <left/>
      <right/>
      <top/>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ashed">
        <color indexed="64"/>
      </left>
      <right/>
      <top style="thin">
        <color indexed="64"/>
      </top>
      <bottom style="dashed">
        <color indexed="64"/>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right/>
      <top style="thin">
        <color indexed="18"/>
      </top>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18"/>
      </left>
      <right/>
      <top style="thin">
        <color indexed="18"/>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18"/>
      </left>
      <right style="thin">
        <color indexed="64"/>
      </right>
      <top style="thin">
        <color indexed="18"/>
      </top>
      <bottom style="thin">
        <color indexed="64"/>
      </bottom>
      <diagonal/>
    </border>
    <border>
      <left/>
      <right/>
      <top style="thin">
        <color indexed="18"/>
      </top>
      <bottom style="thin">
        <color indexed="18"/>
      </bottom>
      <diagonal/>
    </border>
    <border>
      <left/>
      <right/>
      <top/>
      <bottom style="thin">
        <color indexed="18"/>
      </bottom>
      <diagonal/>
    </border>
    <border>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18"/>
      </left>
      <right style="thin">
        <color indexed="18"/>
      </right>
      <top/>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
        <color indexed="64"/>
      </bottom>
      <diagonal/>
    </border>
    <border>
      <left/>
      <right style="medium">
        <color indexed="64"/>
      </right>
      <top/>
      <bottom style="medium">
        <color indexed="64"/>
      </bottom>
      <diagonal/>
    </border>
    <border>
      <left style="thin">
        <color indexed="18"/>
      </left>
      <right style="thin">
        <color indexed="18"/>
      </right>
      <top style="thin">
        <color indexed="18"/>
      </top>
      <bottom/>
      <diagonal/>
    </border>
    <border>
      <left style="thin">
        <color indexed="64"/>
      </left>
      <right/>
      <top/>
      <bottom style="thin">
        <color indexed="64"/>
      </bottom>
      <diagonal/>
    </border>
    <border>
      <left/>
      <right style="thin">
        <color indexed="18"/>
      </right>
      <top/>
      <bottom/>
      <diagonal/>
    </border>
    <border>
      <left style="thin">
        <color indexed="64"/>
      </left>
      <right/>
      <top style="thin">
        <color indexed="18"/>
      </top>
      <bottom style="thin">
        <color indexed="64"/>
      </bottom>
      <diagonal/>
    </border>
  </borders>
  <cellStyleXfs count="60">
    <xf numFmtId="0" fontId="0" fillId="0" borderId="0" applyBorder="0">
      <alignment vertical="center"/>
    </xf>
    <xf numFmtId="0" fontId="2" fillId="0" borderId="0" applyFill="0" applyBorder="0">
      <alignment vertical="center"/>
    </xf>
    <xf numFmtId="0" fontId="3" fillId="0" borderId="0" applyFill="0" applyBorder="0">
      <alignment vertical="center"/>
    </xf>
    <xf numFmtId="0" fontId="4" fillId="0" borderId="0" applyFill="0" applyBorder="0">
      <alignment vertical="center"/>
    </xf>
    <xf numFmtId="0" fontId="4" fillId="0" borderId="0" applyFill="0" applyBorder="0">
      <alignment vertical="center"/>
    </xf>
    <xf numFmtId="0" fontId="5" fillId="0" borderId="0" applyFill="0" applyBorder="0">
      <alignment vertical="center"/>
    </xf>
    <xf numFmtId="0" fontId="6" fillId="0" borderId="0" applyFill="0" applyBorder="0">
      <alignment vertical="center"/>
    </xf>
    <xf numFmtId="0" fontId="7" fillId="0" borderId="0" applyFill="0" applyBorder="0">
      <alignment vertical="center"/>
    </xf>
    <xf numFmtId="0" fontId="8" fillId="0" borderId="0" applyFill="0" applyBorder="0">
      <alignment vertical="center"/>
      <protection locked="0"/>
    </xf>
    <xf numFmtId="0" fontId="9" fillId="2" borderId="1">
      <alignment vertical="center"/>
      <protection locked="0"/>
    </xf>
    <xf numFmtId="164" fontId="9" fillId="2" borderId="1">
      <alignment vertical="center"/>
      <protection locked="0"/>
    </xf>
    <xf numFmtId="165" fontId="9" fillId="2" borderId="1">
      <alignment vertical="center"/>
      <protection locked="0"/>
    </xf>
    <xf numFmtId="166" fontId="9" fillId="2" borderId="1">
      <alignment vertical="center"/>
      <protection locked="0"/>
    </xf>
    <xf numFmtId="167" fontId="9" fillId="2" borderId="1">
      <alignment vertical="center"/>
      <protection locked="0"/>
    </xf>
    <xf numFmtId="168" fontId="9" fillId="2" borderId="1">
      <alignment vertical="center"/>
      <protection locked="0"/>
    </xf>
    <xf numFmtId="169" fontId="9" fillId="2" borderId="1">
      <alignment vertical="center"/>
      <protection locked="0"/>
    </xf>
    <xf numFmtId="0" fontId="1" fillId="0" borderId="0" applyNumberFormat="0" applyFont="0" applyFill="0" applyBorder="0">
      <alignment horizontal="center" vertical="center"/>
      <protection locked="0"/>
    </xf>
    <xf numFmtId="164" fontId="9" fillId="0" borderId="0" applyFill="0" applyBorder="0">
      <alignment vertical="center"/>
    </xf>
    <xf numFmtId="165" fontId="9" fillId="0" borderId="0" applyFill="0" applyBorder="0">
      <alignment vertical="center"/>
    </xf>
    <xf numFmtId="166" fontId="9" fillId="0" borderId="0" applyFill="0" applyBorder="0">
      <alignment vertical="center"/>
    </xf>
    <xf numFmtId="167" fontId="9" fillId="0" borderId="0" applyFill="0" applyBorder="0">
      <alignment vertical="center"/>
    </xf>
    <xf numFmtId="168" fontId="9" fillId="0" borderId="0" applyFill="0" applyBorder="0">
      <alignment vertical="center"/>
    </xf>
    <xf numFmtId="169" fontId="9" fillId="0" borderId="0" applyFill="0" applyBorder="0">
      <alignment vertical="center"/>
    </xf>
    <xf numFmtId="0" fontId="10" fillId="0" borderId="0" applyFill="0" applyBorder="0">
      <alignment vertical="center"/>
    </xf>
    <xf numFmtId="0" fontId="10" fillId="0" borderId="3" applyFill="0">
      <alignment horizontal="center" vertical="center"/>
    </xf>
    <xf numFmtId="170" fontId="9" fillId="0" borderId="3" applyFill="0">
      <alignment horizontal="center" vertical="center"/>
    </xf>
    <xf numFmtId="0" fontId="9" fillId="0" borderId="3" applyFill="0">
      <alignment horizontal="center" vertical="center"/>
    </xf>
    <xf numFmtId="0" fontId="11" fillId="0" borderId="0" applyFill="0" applyBorder="0">
      <alignment vertical="center"/>
    </xf>
    <xf numFmtId="0" fontId="12" fillId="0" borderId="0" applyFill="0" applyBorder="0">
      <alignment horizontal="center" vertical="center"/>
    </xf>
    <xf numFmtId="0" fontId="12" fillId="0" borderId="0" applyFill="0" applyBorder="0">
      <alignment horizontal="center" vertical="center"/>
    </xf>
    <xf numFmtId="0" fontId="11" fillId="0" borderId="0" applyFill="0" applyBorder="0">
      <alignment vertical="center"/>
    </xf>
    <xf numFmtId="0" fontId="13" fillId="0" borderId="0" applyFill="0" applyBorder="0">
      <alignment vertical="center"/>
    </xf>
    <xf numFmtId="0" fontId="14" fillId="0" borderId="0" applyFill="0" applyBorder="0">
      <alignment vertical="center"/>
    </xf>
    <xf numFmtId="0" fontId="14" fillId="0" borderId="0" applyFill="0" applyBorder="0">
      <alignment vertical="center"/>
    </xf>
    <xf numFmtId="0" fontId="2" fillId="0" borderId="0" applyFill="0" applyBorder="0">
      <alignment vertical="center"/>
    </xf>
    <xf numFmtId="0" fontId="3" fillId="0" borderId="0" applyFill="0" applyBorder="0">
      <alignment vertical="center"/>
    </xf>
    <xf numFmtId="0" fontId="4" fillId="0" borderId="0" applyFill="0" applyBorder="0">
      <alignment vertical="center"/>
    </xf>
    <xf numFmtId="0" fontId="5" fillId="0" borderId="0" applyFill="0" applyBorder="0">
      <alignment vertical="center"/>
    </xf>
    <xf numFmtId="0" fontId="6" fillId="0" borderId="0" applyFill="0" applyBorder="0">
      <alignment vertical="center"/>
    </xf>
    <xf numFmtId="0" fontId="7" fillId="0" borderId="0" applyFill="0" applyBorder="0">
      <alignment vertical="center"/>
    </xf>
    <xf numFmtId="0" fontId="8" fillId="0" borderId="0" applyFill="0" applyBorder="0">
      <alignment vertical="center"/>
    </xf>
    <xf numFmtId="0" fontId="8" fillId="0" borderId="0" applyFill="0" applyBorder="0">
      <alignment vertical="center"/>
      <protection locked="0"/>
    </xf>
    <xf numFmtId="166" fontId="9" fillId="0" borderId="0" applyFill="0" applyBorder="0">
      <alignment vertical="center"/>
    </xf>
    <xf numFmtId="167" fontId="9" fillId="0" borderId="0" applyFill="0" applyBorder="0">
      <alignment vertical="center"/>
    </xf>
    <xf numFmtId="168" fontId="9" fillId="0" borderId="0" applyFill="0" applyBorder="0">
      <alignment vertical="center"/>
    </xf>
    <xf numFmtId="169" fontId="9" fillId="0" borderId="0" applyFill="0" applyBorder="0">
      <alignment vertical="center"/>
    </xf>
    <xf numFmtId="164" fontId="9" fillId="0" borderId="0" applyFill="0" applyBorder="0">
      <alignment vertical="center"/>
    </xf>
    <xf numFmtId="165" fontId="9" fillId="0" borderId="0" applyFill="0" applyBorder="0">
      <alignment vertical="center"/>
    </xf>
    <xf numFmtId="0" fontId="10" fillId="0" borderId="0" applyFill="0" applyBorder="0">
      <alignment vertical="center"/>
    </xf>
    <xf numFmtId="0" fontId="11" fillId="0" borderId="0" applyFill="0" applyBorder="0">
      <alignment vertical="center"/>
    </xf>
    <xf numFmtId="0" fontId="12" fillId="0" borderId="0" applyFill="0" applyBorder="0">
      <alignment horizontal="center" vertical="center"/>
    </xf>
    <xf numFmtId="0" fontId="12" fillId="0" borderId="0" applyFill="0" applyBorder="0">
      <alignment horizontal="center" vertical="center"/>
    </xf>
    <xf numFmtId="0" fontId="11" fillId="0" borderId="0" applyFill="0" applyBorder="0">
      <alignment vertical="center"/>
    </xf>
    <xf numFmtId="0" fontId="13" fillId="0" borderId="0" applyFill="0" applyBorder="0">
      <alignment vertical="center"/>
    </xf>
    <xf numFmtId="0" fontId="14" fillId="0" borderId="0" applyFill="0" applyBorder="0">
      <alignment vertical="center"/>
    </xf>
    <xf numFmtId="0" fontId="14" fillId="0" borderId="0" applyFill="0" applyBorder="0">
      <alignment vertical="center"/>
    </xf>
    <xf numFmtId="0" fontId="9" fillId="0" borderId="0" applyFill="0" applyBorder="0">
      <alignment vertical="center"/>
    </xf>
    <xf numFmtId="0" fontId="29" fillId="0" borderId="0" applyNumberFormat="0" applyFill="0" applyBorder="0" applyAlignment="0" applyProtection="0">
      <alignment vertical="center"/>
    </xf>
    <xf numFmtId="44" fontId="9" fillId="0" borderId="0" applyFont="0" applyFill="0" applyBorder="0" applyAlignment="0" applyProtection="0"/>
    <xf numFmtId="9" fontId="9" fillId="0" borderId="0" applyFont="0" applyFill="0" applyBorder="0" applyAlignment="0" applyProtection="0"/>
  </cellStyleXfs>
  <cellXfs count="446">
    <xf numFmtId="0" fontId="0" fillId="0" borderId="0" xfId="0">
      <alignment vertical="center"/>
    </xf>
    <xf numFmtId="0" fontId="15" fillId="0" borderId="0" xfId="4" applyFont="1" applyAlignment="1">
      <alignment horizontal="left" vertical="center"/>
    </xf>
    <xf numFmtId="0" fontId="16" fillId="0" borderId="0" xfId="1" applyFont="1">
      <alignment vertical="center"/>
    </xf>
    <xf numFmtId="0" fontId="17" fillId="0" borderId="0" xfId="6" applyFont="1" applyAlignment="1">
      <alignment horizontal="left" vertical="center"/>
    </xf>
    <xf numFmtId="0" fontId="18" fillId="0" borderId="0" xfId="7" applyFont="1" applyAlignment="1">
      <alignment horizontal="left" vertical="center"/>
    </xf>
    <xf numFmtId="0" fontId="11" fillId="0" borderId="0" xfId="27">
      <alignment vertical="center"/>
    </xf>
    <xf numFmtId="0" fontId="4" fillId="0" borderId="0" xfId="3">
      <alignment vertical="center"/>
    </xf>
    <xf numFmtId="0" fontId="12" fillId="0" borderId="0" xfId="28">
      <alignment horizontal="center" vertical="center"/>
    </xf>
    <xf numFmtId="0" fontId="12" fillId="0" borderId="0" xfId="28" applyAlignment="1">
      <alignment horizontal="right" vertical="center"/>
    </xf>
    <xf numFmtId="0" fontId="12" fillId="0" borderId="0" xfId="28" applyAlignment="1">
      <alignment horizontal="left" vertical="center"/>
    </xf>
    <xf numFmtId="0" fontId="19" fillId="0" borderId="0" xfId="2" applyFont="1">
      <alignment vertical="center"/>
    </xf>
    <xf numFmtId="0" fontId="21" fillId="0" borderId="0" xfId="16" applyFont="1">
      <alignment horizontal="center" vertical="center"/>
      <protection locked="0"/>
    </xf>
    <xf numFmtId="0" fontId="22" fillId="0" borderId="0" xfId="5" applyFont="1" applyAlignment="1">
      <alignment horizontal="left" vertical="center"/>
    </xf>
    <xf numFmtId="0" fontId="17" fillId="0" borderId="4" xfId="6" applyFont="1" applyBorder="1" applyAlignment="1">
      <alignment horizontal="left" vertical="center"/>
    </xf>
    <xf numFmtId="0" fontId="0" fillId="0" borderId="4" xfId="0" applyBorder="1">
      <alignment vertical="center"/>
    </xf>
    <xf numFmtId="0" fontId="17" fillId="0" borderId="4" xfId="6" applyFont="1" applyBorder="1" applyAlignment="1">
      <alignment horizontal="center" vertical="center"/>
    </xf>
    <xf numFmtId="171" fontId="24" fillId="0" borderId="3" xfId="19" applyNumberFormat="1" applyFont="1" applyBorder="1" applyAlignment="1">
      <alignment horizontal="center" vertical="center"/>
    </xf>
    <xf numFmtId="0" fontId="6" fillId="0" borderId="0" xfId="6" applyAlignment="1">
      <alignment horizontal="left" vertical="center"/>
    </xf>
    <xf numFmtId="171" fontId="10" fillId="0" borderId="2" xfId="19" applyNumberFormat="1" applyFont="1" applyBorder="1" applyAlignment="1">
      <alignment horizontal="center" vertical="center"/>
    </xf>
    <xf numFmtId="171" fontId="17" fillId="0" borderId="0" xfId="6" applyNumberFormat="1" applyFont="1" applyAlignment="1">
      <alignment horizontal="left" vertical="center"/>
    </xf>
    <xf numFmtId="171" fontId="25" fillId="0" borderId="5" xfId="7" applyNumberFormat="1" applyFont="1" applyBorder="1" applyAlignment="1">
      <alignment horizontal="left" vertical="center"/>
    </xf>
    <xf numFmtId="0" fontId="26" fillId="0" borderId="0" xfId="3" applyFont="1">
      <alignment vertical="center"/>
    </xf>
    <xf numFmtId="0" fontId="0" fillId="3" borderId="0" xfId="0" applyFill="1">
      <alignment vertical="center"/>
    </xf>
    <xf numFmtId="0" fontId="4" fillId="3" borderId="0" xfId="3" applyFill="1">
      <alignment vertical="center"/>
    </xf>
    <xf numFmtId="0" fontId="16" fillId="3" borderId="0" xfId="1" applyFont="1" applyFill="1">
      <alignment vertical="center"/>
    </xf>
    <xf numFmtId="0" fontId="12" fillId="3" borderId="0" xfId="28" applyFill="1">
      <alignment horizontal="center" vertical="center"/>
    </xf>
    <xf numFmtId="0" fontId="12" fillId="3" borderId="0" xfId="28" applyFill="1" applyAlignment="1">
      <alignment horizontal="right" vertical="center"/>
    </xf>
    <xf numFmtId="0" fontId="12" fillId="3" borderId="0" xfId="28" applyFill="1" applyAlignment="1">
      <alignment horizontal="left" vertical="center"/>
    </xf>
    <xf numFmtId="0" fontId="12" fillId="3" borderId="0" xfId="29" applyFill="1" applyAlignment="1">
      <alignment horizontal="right" vertical="center"/>
    </xf>
    <xf numFmtId="0" fontId="12" fillId="3" borderId="0" xfId="29" applyFill="1" applyAlignment="1">
      <alignment horizontal="left" vertical="center"/>
    </xf>
    <xf numFmtId="0" fontId="0" fillId="0" borderId="3" xfId="26" applyFont="1">
      <alignment horizontal="center" vertical="center"/>
    </xf>
    <xf numFmtId="0" fontId="4" fillId="3" borderId="0" xfId="4" applyFill="1">
      <alignment vertical="center"/>
    </xf>
    <xf numFmtId="0" fontId="28" fillId="3" borderId="0" xfId="16" applyFont="1" applyFill="1">
      <alignment horizontal="center" vertical="center"/>
      <protection locked="0"/>
    </xf>
    <xf numFmtId="0" fontId="18" fillId="0" borderId="0" xfId="7" quotePrefix="1" applyFont="1">
      <alignment vertical="center"/>
    </xf>
    <xf numFmtId="0" fontId="12" fillId="0" borderId="0" xfId="28" applyBorder="1">
      <alignment horizontal="center" vertical="center"/>
    </xf>
    <xf numFmtId="0" fontId="15" fillId="0" borderId="0" xfId="4" applyFont="1" applyBorder="1" applyAlignment="1">
      <alignment horizontal="left" vertical="center"/>
    </xf>
    <xf numFmtId="0" fontId="0" fillId="0" borderId="0" xfId="0" applyBorder="1">
      <alignment vertical="center"/>
    </xf>
    <xf numFmtId="0" fontId="14" fillId="0" borderId="0" xfId="33" applyAlignment="1">
      <alignment horizontal="center" vertical="center"/>
    </xf>
    <xf numFmtId="0" fontId="12" fillId="0" borderId="0" xfId="29" applyAlignment="1">
      <alignment horizontal="right" vertical="center"/>
    </xf>
    <xf numFmtId="0" fontId="12" fillId="0" borderId="0" xfId="29" applyAlignment="1">
      <alignment horizontal="left" vertical="center"/>
    </xf>
    <xf numFmtId="166" fontId="0" fillId="3" borderId="0" xfId="19" applyFont="1" applyFill="1">
      <alignment vertical="center"/>
    </xf>
    <xf numFmtId="0" fontId="18" fillId="3" borderId="0" xfId="7" applyFont="1" applyFill="1" applyAlignment="1">
      <alignment horizontal="right" vertical="center"/>
    </xf>
    <xf numFmtId="0" fontId="18" fillId="3" borderId="0" xfId="7" applyFont="1" applyFill="1" applyAlignment="1">
      <alignment horizontal="center" vertical="center" wrapText="1"/>
    </xf>
    <xf numFmtId="0" fontId="6" fillId="3" borderId="0" xfId="6" applyFill="1">
      <alignment vertical="center"/>
    </xf>
    <xf numFmtId="0" fontId="25" fillId="3" borderId="0" xfId="7" applyFont="1" applyFill="1" applyAlignment="1">
      <alignment horizontal="center" vertical="center" wrapText="1"/>
    </xf>
    <xf numFmtId="171" fontId="0" fillId="3" borderId="0" xfId="19" applyNumberFormat="1" applyFont="1" applyFill="1">
      <alignment vertical="center"/>
    </xf>
    <xf numFmtId="171" fontId="10" fillId="3" borderId="10" xfId="19" applyNumberFormat="1" applyFont="1" applyFill="1" applyBorder="1">
      <alignment vertical="center"/>
    </xf>
    <xf numFmtId="171" fontId="24" fillId="3" borderId="10" xfId="19" applyNumberFormat="1" applyFont="1" applyFill="1" applyBorder="1">
      <alignment vertical="center"/>
    </xf>
    <xf numFmtId="166" fontId="20" fillId="2" borderId="1" xfId="12" applyFont="1">
      <alignment vertical="center"/>
      <protection locked="0"/>
    </xf>
    <xf numFmtId="0" fontId="15" fillId="0" borderId="0" xfId="4" applyFont="1" applyFill="1">
      <alignment vertical="center"/>
    </xf>
    <xf numFmtId="0" fontId="6" fillId="0" borderId="0" xfId="6" applyFill="1">
      <alignment vertical="center"/>
    </xf>
    <xf numFmtId="0" fontId="25" fillId="0" borderId="0" xfId="7" applyFont="1" applyFill="1" applyAlignment="1">
      <alignment horizontal="center" vertical="center" wrapText="1"/>
    </xf>
    <xf numFmtId="0" fontId="7" fillId="0" borderId="0" xfId="7" applyFill="1">
      <alignment vertical="center"/>
    </xf>
    <xf numFmtId="171" fontId="0" fillId="0" borderId="0" xfId="19" applyNumberFormat="1" applyFont="1" applyFill="1">
      <alignment vertical="center"/>
    </xf>
    <xf numFmtId="171" fontId="23" fillId="0" borderId="0" xfId="19" applyNumberFormat="1" applyFont="1" applyFill="1">
      <alignment vertical="center"/>
    </xf>
    <xf numFmtId="0" fontId="25" fillId="0" borderId="10" xfId="7" applyFont="1" applyFill="1" applyBorder="1">
      <alignment vertical="center"/>
    </xf>
    <xf numFmtId="171" fontId="10" fillId="0" borderId="10" xfId="19" applyNumberFormat="1" applyFont="1" applyFill="1" applyBorder="1">
      <alignment vertical="center"/>
    </xf>
    <xf numFmtId="0" fontId="22" fillId="0" borderId="0" xfId="5" applyFont="1" applyFill="1">
      <alignment vertical="center"/>
    </xf>
    <xf numFmtId="0" fontId="27" fillId="0" borderId="3" xfId="24" applyFont="1" applyFill="1">
      <alignment horizontal="center" vertical="center"/>
    </xf>
    <xf numFmtId="0" fontId="18" fillId="0" borderId="0" xfId="7" applyFont="1" applyFill="1">
      <alignment vertical="center"/>
    </xf>
    <xf numFmtId="0" fontId="0" fillId="0" borderId="3" xfId="26" applyFont="1" applyFill="1">
      <alignment horizontal="center" vertical="center"/>
    </xf>
    <xf numFmtId="0" fontId="18" fillId="0" borderId="0" xfId="7" quotePrefix="1" applyFont="1" applyFill="1">
      <alignment vertical="center"/>
    </xf>
    <xf numFmtId="165" fontId="0" fillId="3" borderId="0" xfId="18" applyFont="1" applyFill="1">
      <alignment vertical="center"/>
    </xf>
    <xf numFmtId="0" fontId="24" fillId="3" borderId="4" xfId="23" applyFont="1" applyFill="1" applyBorder="1">
      <alignment vertical="center"/>
    </xf>
    <xf numFmtId="0" fontId="0" fillId="3" borderId="4" xfId="0" applyFill="1" applyBorder="1">
      <alignment vertical="center"/>
    </xf>
    <xf numFmtId="164" fontId="10" fillId="3" borderId="4" xfId="23" applyNumberFormat="1" applyFill="1" applyBorder="1" applyAlignment="1">
      <alignment horizontal="right" vertical="center"/>
    </xf>
    <xf numFmtId="0" fontId="18" fillId="3" borderId="4" xfId="7" applyFont="1" applyFill="1" applyBorder="1">
      <alignment vertical="center"/>
    </xf>
    <xf numFmtId="164" fontId="0" fillId="3" borderId="4" xfId="17" applyFont="1" applyFill="1" applyBorder="1">
      <alignment vertical="center"/>
    </xf>
    <xf numFmtId="0" fontId="20" fillId="2" borderId="1" xfId="9" applyFont="1" applyAlignment="1">
      <alignment horizontal="center" vertical="center"/>
      <protection locked="0"/>
    </xf>
    <xf numFmtId="0" fontId="11" fillId="3" borderId="0" xfId="27" applyFill="1">
      <alignment vertical="center"/>
    </xf>
    <xf numFmtId="0" fontId="29" fillId="0" borderId="0" xfId="57">
      <alignment vertical="center"/>
    </xf>
    <xf numFmtId="173" fontId="0" fillId="3" borderId="0" xfId="19" applyNumberFormat="1" applyFont="1" applyFill="1" applyAlignment="1">
      <alignment horizontal="center" vertical="center"/>
    </xf>
    <xf numFmtId="0" fontId="23" fillId="3" borderId="0" xfId="0" applyFont="1" applyFill="1">
      <alignment vertical="center"/>
    </xf>
    <xf numFmtId="166" fontId="20" fillId="3" borderId="0" xfId="19" applyFont="1" applyFill="1">
      <alignment vertical="center"/>
    </xf>
    <xf numFmtId="171" fontId="0" fillId="3" borderId="0" xfId="19" applyNumberFormat="1" applyFont="1" applyFill="1" applyAlignment="1">
      <alignment horizontal="right" vertical="center"/>
    </xf>
    <xf numFmtId="171" fontId="10" fillId="3" borderId="0" xfId="19" applyNumberFormat="1" applyFont="1" applyFill="1">
      <alignment vertical="center"/>
    </xf>
    <xf numFmtId="171" fontId="0" fillId="3" borderId="4" xfId="19" applyNumberFormat="1" applyFont="1" applyFill="1" applyBorder="1">
      <alignment vertical="center"/>
    </xf>
    <xf numFmtId="0" fontId="17" fillId="3" borderId="14" xfId="6" applyFont="1" applyFill="1" applyBorder="1">
      <alignment vertical="center"/>
    </xf>
    <xf numFmtId="0" fontId="17" fillId="3" borderId="16" xfId="6" applyFont="1" applyFill="1" applyBorder="1">
      <alignment vertical="center"/>
    </xf>
    <xf numFmtId="0" fontId="17" fillId="0" borderId="0" xfId="6" applyFont="1" applyBorder="1" applyAlignment="1">
      <alignment horizontal="left" vertical="center"/>
    </xf>
    <xf numFmtId="0" fontId="17" fillId="0" borderId="0" xfId="6" applyFont="1" applyBorder="1" applyAlignment="1">
      <alignment horizontal="center" vertical="center"/>
    </xf>
    <xf numFmtId="171" fontId="0" fillId="0" borderId="0" xfId="19" applyNumberFormat="1" applyFont="1" applyAlignment="1">
      <alignment horizontal="center" vertical="center"/>
    </xf>
    <xf numFmtId="0" fontId="20" fillId="0" borderId="0" xfId="16" applyFont="1">
      <alignment horizontal="center" vertical="center"/>
      <protection locked="0"/>
    </xf>
    <xf numFmtId="171" fontId="23" fillId="0" borderId="0" xfId="19" applyNumberFormat="1" applyFont="1" applyAlignment="1">
      <alignment horizontal="center" vertical="center"/>
    </xf>
    <xf numFmtId="171" fontId="20" fillId="2" borderId="1" xfId="12" applyNumberFormat="1" applyFont="1" applyAlignment="1">
      <alignment horizontal="center" vertical="center"/>
      <protection locked="0"/>
    </xf>
    <xf numFmtId="173" fontId="20" fillId="2" borderId="1" xfId="12" applyNumberFormat="1" applyFont="1" applyAlignment="1">
      <alignment horizontal="right" vertical="center"/>
      <protection locked="0"/>
    </xf>
    <xf numFmtId="173" fontId="20" fillId="2" borderId="1" xfId="12" applyNumberFormat="1" applyFont="1">
      <alignment vertical="center"/>
      <protection locked="0"/>
    </xf>
    <xf numFmtId="0" fontId="20" fillId="2" borderId="1" xfId="9" applyFont="1" applyAlignment="1">
      <alignment horizontal="center" vertical="center" wrapText="1"/>
      <protection locked="0"/>
    </xf>
    <xf numFmtId="0" fontId="18" fillId="3" borderId="0" xfId="7" applyFont="1" applyFill="1" applyAlignment="1">
      <alignment horizontal="center" vertical="center"/>
    </xf>
    <xf numFmtId="0" fontId="7" fillId="3" borderId="0" xfId="7" applyFill="1">
      <alignment vertical="center"/>
    </xf>
    <xf numFmtId="0" fontId="17" fillId="3" borderId="0" xfId="6" applyFont="1" applyFill="1">
      <alignment vertical="center"/>
    </xf>
    <xf numFmtId="0" fontId="18" fillId="3" borderId="0" xfId="7" applyFont="1" applyFill="1">
      <alignment vertical="center"/>
    </xf>
    <xf numFmtId="0" fontId="22" fillId="3" borderId="0" xfId="5" applyFont="1" applyFill="1">
      <alignment vertical="center"/>
    </xf>
    <xf numFmtId="0" fontId="20" fillId="2" borderId="12" xfId="9" applyFont="1" applyBorder="1" applyAlignment="1">
      <alignment horizontal="center" vertical="center" wrapText="1"/>
      <protection locked="0"/>
    </xf>
    <xf numFmtId="0" fontId="20" fillId="2" borderId="17" xfId="9" applyFont="1" applyBorder="1" applyAlignment="1">
      <alignment horizontal="center" vertical="center" wrapText="1"/>
      <protection locked="0"/>
    </xf>
    <xf numFmtId="0" fontId="7" fillId="3" borderId="4" xfId="7" applyFill="1" applyBorder="1" applyAlignment="1">
      <alignment vertical="center" wrapText="1"/>
    </xf>
    <xf numFmtId="0" fontId="7" fillId="3" borderId="20" xfId="7" applyFill="1" applyBorder="1" applyAlignment="1">
      <alignment vertical="center" wrapText="1"/>
    </xf>
    <xf numFmtId="167" fontId="20" fillId="2" borderId="1" xfId="13" applyFont="1">
      <alignment vertical="center"/>
      <protection locked="0"/>
    </xf>
    <xf numFmtId="174" fontId="20" fillId="2" borderId="1" xfId="13" applyNumberFormat="1" applyFont="1">
      <alignment vertical="center"/>
      <protection locked="0"/>
    </xf>
    <xf numFmtId="0" fontId="15" fillId="3" borderId="0" xfId="4" applyFont="1" applyFill="1">
      <alignment vertical="center"/>
    </xf>
    <xf numFmtId="0" fontId="18" fillId="0" borderId="0" xfId="7" applyFont="1" applyFill="1" applyAlignment="1">
      <alignment horizontal="center" vertical="center"/>
    </xf>
    <xf numFmtId="0" fontId="17" fillId="0" borderId="0" xfId="6" applyFont="1" applyFill="1">
      <alignment vertical="center"/>
    </xf>
    <xf numFmtId="166" fontId="0" fillId="0" borderId="0" xfId="19" applyFont="1" applyFill="1">
      <alignment vertical="center"/>
    </xf>
    <xf numFmtId="0" fontId="23" fillId="0" borderId="3" xfId="26" applyFont="1" applyFill="1">
      <alignment horizontal="center" vertical="center"/>
    </xf>
    <xf numFmtId="0" fontId="20" fillId="0" borderId="3" xfId="26" applyFont="1" applyFill="1">
      <alignment horizontal="center" vertical="center"/>
    </xf>
    <xf numFmtId="170" fontId="20" fillId="0" borderId="3" xfId="25" applyFont="1" applyFill="1">
      <alignment horizontal="center" vertical="center"/>
    </xf>
    <xf numFmtId="0" fontId="25" fillId="3" borderId="0" xfId="7" applyFont="1" applyFill="1">
      <alignment vertical="center"/>
    </xf>
    <xf numFmtId="0" fontId="0" fillId="3" borderId="0" xfId="0" applyFill="1" applyAlignment="1">
      <alignment vertical="center" wrapText="1"/>
    </xf>
    <xf numFmtId="166" fontId="0" fillId="3" borderId="0" xfId="19" applyFont="1" applyFill="1" applyAlignment="1">
      <alignment horizontal="center" vertical="center"/>
    </xf>
    <xf numFmtId="0" fontId="17" fillId="3" borderId="22" xfId="6" applyFont="1" applyFill="1" applyBorder="1">
      <alignment vertical="center"/>
    </xf>
    <xf numFmtId="0" fontId="17" fillId="3" borderId="24" xfId="6" applyFont="1" applyFill="1" applyBorder="1">
      <alignment vertical="center"/>
    </xf>
    <xf numFmtId="0" fontId="7" fillId="3" borderId="26" xfId="7" applyFill="1" applyBorder="1" applyAlignment="1">
      <alignment vertical="center" wrapText="1"/>
    </xf>
    <xf numFmtId="0" fontId="7" fillId="3" borderId="27" xfId="7" applyFill="1" applyBorder="1" applyAlignment="1">
      <alignment vertical="center" wrapText="1"/>
    </xf>
    <xf numFmtId="0" fontId="20" fillId="0" borderId="3" xfId="26" applyFont="1">
      <alignment horizontal="center" vertical="center"/>
    </xf>
    <xf numFmtId="0" fontId="5" fillId="0" borderId="0" xfId="5">
      <alignment vertical="center"/>
    </xf>
    <xf numFmtId="0" fontId="22" fillId="0" borderId="0" xfId="5" applyFont="1">
      <alignment vertical="center"/>
    </xf>
    <xf numFmtId="0" fontId="27" fillId="0" borderId="3" xfId="24" applyFont="1">
      <alignment horizontal="center" vertical="center"/>
    </xf>
    <xf numFmtId="0" fontId="7" fillId="0" borderId="0" xfId="7">
      <alignment vertical="center"/>
    </xf>
    <xf numFmtId="171" fontId="20" fillId="2" borderId="1" xfId="12" applyNumberFormat="1" applyFont="1">
      <alignment vertical="center"/>
      <protection locked="0"/>
    </xf>
    <xf numFmtId="0" fontId="18" fillId="0" borderId="0" xfId="7" applyFont="1">
      <alignment vertical="center"/>
    </xf>
    <xf numFmtId="166" fontId="10" fillId="3" borderId="0" xfId="19" applyFont="1" applyFill="1" applyAlignment="1">
      <alignment horizontal="center" vertical="center"/>
    </xf>
    <xf numFmtId="0" fontId="15" fillId="0" borderId="0" xfId="4" applyFont="1">
      <alignment vertical="center"/>
    </xf>
    <xf numFmtId="0" fontId="25" fillId="0" borderId="0" xfId="7" applyFont="1">
      <alignment vertical="center"/>
    </xf>
    <xf numFmtId="171" fontId="0" fillId="0" borderId="0" xfId="0" applyNumberFormat="1">
      <alignment vertical="center"/>
    </xf>
    <xf numFmtId="171" fontId="10" fillId="0" borderId="0" xfId="19" applyNumberFormat="1" applyFont="1">
      <alignment vertical="center"/>
    </xf>
    <xf numFmtId="0" fontId="17" fillId="0" borderId="0" xfId="6" applyFont="1">
      <alignment vertical="center"/>
    </xf>
    <xf numFmtId="164" fontId="10" fillId="3" borderId="0" xfId="23" applyNumberFormat="1" applyFill="1">
      <alignment vertical="center"/>
    </xf>
    <xf numFmtId="0" fontId="5" fillId="3" borderId="24" xfId="5" applyFill="1" applyBorder="1">
      <alignment vertical="center"/>
    </xf>
    <xf numFmtId="165" fontId="0" fillId="0" borderId="0" xfId="18" applyFont="1" applyFill="1">
      <alignment vertical="center"/>
    </xf>
    <xf numFmtId="0" fontId="24" fillId="0" borderId="4" xfId="23" applyFont="1" applyFill="1" applyBorder="1">
      <alignment vertical="center"/>
    </xf>
    <xf numFmtId="164" fontId="10" fillId="0" borderId="4" xfId="23" applyNumberFormat="1" applyFill="1" applyBorder="1" applyAlignment="1">
      <alignment horizontal="right" vertical="center"/>
    </xf>
    <xf numFmtId="0" fontId="18" fillId="0" borderId="4" xfId="7" applyFont="1" applyFill="1" applyBorder="1">
      <alignment vertical="center"/>
    </xf>
    <xf numFmtId="164" fontId="0" fillId="0" borderId="4" xfId="17" applyFont="1" applyFill="1" applyBorder="1">
      <alignment vertical="center"/>
    </xf>
    <xf numFmtId="166" fontId="20" fillId="5" borderId="1" xfId="12" applyFont="1" applyFill="1">
      <alignment vertical="center"/>
      <protection locked="0"/>
    </xf>
    <xf numFmtId="167" fontId="0" fillId="0" borderId="0" xfId="20" applyFont="1" applyFill="1">
      <alignment vertical="center"/>
    </xf>
    <xf numFmtId="171" fontId="20" fillId="5" borderId="1" xfId="12" applyNumberFormat="1" applyFont="1" applyFill="1">
      <alignment vertical="center"/>
      <protection locked="0"/>
    </xf>
    <xf numFmtId="171" fontId="10" fillId="0" borderId="0" xfId="19" applyNumberFormat="1" applyFont="1" applyFill="1">
      <alignment vertical="center"/>
    </xf>
    <xf numFmtId="166" fontId="20" fillId="0" borderId="0" xfId="19" applyFont="1" applyFill="1">
      <alignment vertical="center"/>
    </xf>
    <xf numFmtId="175" fontId="20" fillId="2" borderId="1" xfId="13" applyNumberFormat="1" applyFont="1">
      <alignment vertical="center"/>
      <protection locked="0"/>
    </xf>
    <xf numFmtId="166" fontId="10" fillId="3" borderId="0" xfId="19" applyFont="1" applyFill="1">
      <alignment vertical="center"/>
    </xf>
    <xf numFmtId="171" fontId="10" fillId="3" borderId="0" xfId="20" applyNumberFormat="1" applyFont="1" applyFill="1">
      <alignment vertical="center"/>
    </xf>
    <xf numFmtId="0" fontId="35" fillId="3" borderId="0" xfId="5" applyFont="1" applyFill="1">
      <alignment vertical="center"/>
    </xf>
    <xf numFmtId="173" fontId="20" fillId="2" borderId="6" xfId="12" applyNumberFormat="1" applyFont="1" applyBorder="1">
      <alignment vertical="center"/>
      <protection locked="0"/>
    </xf>
    <xf numFmtId="173" fontId="0" fillId="3" borderId="28" xfId="19" applyNumberFormat="1" applyFont="1" applyFill="1" applyBorder="1">
      <alignment vertical="center"/>
    </xf>
    <xf numFmtId="173" fontId="0" fillId="3" borderId="3" xfId="19" applyNumberFormat="1" applyFont="1" applyFill="1" applyBorder="1">
      <alignment vertical="center"/>
    </xf>
    <xf numFmtId="171" fontId="0" fillId="3" borderId="9" xfId="19" applyNumberFormat="1" applyFont="1" applyFill="1" applyBorder="1">
      <alignment vertical="center"/>
    </xf>
    <xf numFmtId="0" fontId="7" fillId="3" borderId="0" xfId="7" applyFill="1" applyAlignment="1">
      <alignment horizontal="center" vertical="center"/>
    </xf>
    <xf numFmtId="167" fontId="10" fillId="3" borderId="0" xfId="20" applyFont="1" applyFill="1">
      <alignment vertical="center"/>
    </xf>
    <xf numFmtId="171" fontId="0" fillId="2" borderId="1" xfId="12" applyNumberFormat="1" applyFont="1">
      <alignment vertical="center"/>
      <protection locked="0"/>
    </xf>
    <xf numFmtId="0" fontId="0" fillId="3" borderId="30" xfId="0" applyFill="1" applyBorder="1">
      <alignment vertical="center"/>
    </xf>
    <xf numFmtId="0" fontId="10" fillId="0" borderId="0" xfId="0" applyFont="1">
      <alignment vertical="center"/>
    </xf>
    <xf numFmtId="0" fontId="30" fillId="0" borderId="0" xfId="6" applyFont="1" applyFill="1">
      <alignment vertical="center"/>
    </xf>
    <xf numFmtId="0" fontId="10" fillId="3" borderId="0" xfId="0" applyFont="1" applyFill="1" applyAlignment="1">
      <alignment horizontal="center" vertical="center"/>
    </xf>
    <xf numFmtId="0" fontId="25" fillId="0" borderId="0" xfId="7" applyFont="1" applyFill="1">
      <alignment vertical="center"/>
    </xf>
    <xf numFmtId="173" fontId="0" fillId="0" borderId="0" xfId="19" applyNumberFormat="1" applyFont="1" applyFill="1">
      <alignment vertical="center"/>
    </xf>
    <xf numFmtId="0" fontId="26" fillId="3" borderId="0" xfId="4" applyFont="1" applyFill="1">
      <alignment vertical="center"/>
    </xf>
    <xf numFmtId="171" fontId="9" fillId="3" borderId="0" xfId="19" applyNumberFormat="1" applyFill="1">
      <alignment vertical="center"/>
    </xf>
    <xf numFmtId="0" fontId="25" fillId="3" borderId="0" xfId="7" applyFont="1" applyFill="1" applyAlignment="1">
      <alignment horizontal="right" vertical="center"/>
    </xf>
    <xf numFmtId="171" fontId="10" fillId="3" borderId="9" xfId="19" applyNumberFormat="1" applyFont="1" applyFill="1" applyBorder="1">
      <alignment vertical="center"/>
    </xf>
    <xf numFmtId="0" fontId="22" fillId="3" borderId="9" xfId="5" applyFont="1" applyFill="1" applyBorder="1">
      <alignment vertical="center"/>
    </xf>
    <xf numFmtId="0" fontId="25" fillId="3" borderId="10" xfId="7" applyFont="1" applyFill="1" applyBorder="1">
      <alignment vertical="center"/>
    </xf>
    <xf numFmtId="0" fontId="0" fillId="3" borderId="10" xfId="0" applyFill="1" applyBorder="1">
      <alignment vertical="center"/>
    </xf>
    <xf numFmtId="173" fontId="9" fillId="0" borderId="9" xfId="19" applyNumberFormat="1" applyFill="1" applyBorder="1">
      <alignment vertical="center"/>
    </xf>
    <xf numFmtId="0" fontId="25" fillId="0" borderId="9" xfId="7" applyFont="1" applyFill="1" applyBorder="1">
      <alignment vertical="center"/>
    </xf>
    <xf numFmtId="171" fontId="9" fillId="0" borderId="9" xfId="19" applyNumberFormat="1" applyFill="1" applyBorder="1">
      <alignment vertical="center"/>
    </xf>
    <xf numFmtId="171" fontId="9" fillId="0" borderId="10" xfId="19" applyNumberFormat="1" applyFill="1" applyBorder="1">
      <alignment vertical="center"/>
    </xf>
    <xf numFmtId="177" fontId="0" fillId="0" borderId="0" xfId="22" applyNumberFormat="1" applyFont="1">
      <alignment vertical="center"/>
    </xf>
    <xf numFmtId="171" fontId="0" fillId="0" borderId="9" xfId="0" applyNumberFormat="1" applyBorder="1">
      <alignment vertical="center"/>
    </xf>
    <xf numFmtId="0" fontId="0" fillId="0" borderId="9" xfId="0" applyBorder="1">
      <alignment vertical="center"/>
    </xf>
    <xf numFmtId="178" fontId="0" fillId="0" borderId="9" xfId="22" applyNumberFormat="1" applyFont="1" applyBorder="1">
      <alignment vertical="center"/>
    </xf>
    <xf numFmtId="177" fontId="0" fillId="0" borderId="0" xfId="0" applyNumberFormat="1">
      <alignment vertical="center"/>
    </xf>
    <xf numFmtId="0" fontId="0" fillId="0" borderId="10" xfId="0" applyBorder="1">
      <alignment vertical="center"/>
    </xf>
    <xf numFmtId="171" fontId="10" fillId="0" borderId="10" xfId="0" applyNumberFormat="1" applyFont="1" applyBorder="1">
      <alignment vertical="center"/>
    </xf>
    <xf numFmtId="0" fontId="10" fillId="0" borderId="10" xfId="0" applyFont="1" applyBorder="1">
      <alignment vertical="center"/>
    </xf>
    <xf numFmtId="178" fontId="10" fillId="0" borderId="10" xfId="0" applyNumberFormat="1" applyFont="1" applyBorder="1">
      <alignment vertical="center"/>
    </xf>
    <xf numFmtId="171" fontId="0" fillId="0" borderId="0" xfId="0" applyNumberFormat="1" applyBorder="1">
      <alignment vertical="center"/>
    </xf>
    <xf numFmtId="178" fontId="0" fillId="0" borderId="0" xfId="22" applyNumberFormat="1" applyFont="1" applyBorder="1">
      <alignment vertical="center"/>
    </xf>
    <xf numFmtId="0" fontId="0" fillId="0" borderId="0" xfId="0" applyAlignment="1"/>
    <xf numFmtId="171" fontId="0" fillId="0" borderId="0" xfId="0" applyNumberFormat="1" applyAlignment="1"/>
    <xf numFmtId="177" fontId="0" fillId="0" borderId="0" xfId="0" applyNumberFormat="1" applyAlignment="1"/>
    <xf numFmtId="171" fontId="0" fillId="0" borderId="11" xfId="0" applyNumberFormat="1" applyBorder="1">
      <alignment vertical="center"/>
    </xf>
    <xf numFmtId="0" fontId="0" fillId="0" borderId="11" xfId="0" applyBorder="1">
      <alignment vertical="center"/>
    </xf>
    <xf numFmtId="178" fontId="0" fillId="0" borderId="11" xfId="22" applyNumberFormat="1" applyFont="1" applyBorder="1">
      <alignment vertical="center"/>
    </xf>
    <xf numFmtId="44" fontId="0" fillId="0" borderId="0" xfId="58" applyFont="1" applyAlignment="1">
      <alignment vertical="center"/>
    </xf>
    <xf numFmtId="177" fontId="0" fillId="0" borderId="9" xfId="22" applyNumberFormat="1" applyFont="1" applyBorder="1">
      <alignment vertical="center"/>
    </xf>
    <xf numFmtId="178" fontId="10" fillId="0" borderId="10" xfId="58" applyNumberFormat="1" applyFont="1" applyBorder="1" applyAlignment="1">
      <alignment vertical="center"/>
    </xf>
    <xf numFmtId="179" fontId="10" fillId="0" borderId="10" xfId="58" applyNumberFormat="1" applyFont="1" applyBorder="1" applyAlignment="1">
      <alignment vertical="center"/>
    </xf>
    <xf numFmtId="179" fontId="0" fillId="0" borderId="0" xfId="58" applyNumberFormat="1" applyFont="1" applyAlignment="1">
      <alignment vertical="center"/>
    </xf>
    <xf numFmtId="0" fontId="27" fillId="0" borderId="0" xfId="0" applyFont="1">
      <alignment vertical="center"/>
    </xf>
    <xf numFmtId="0" fontId="9" fillId="0" borderId="0" xfId="56">
      <alignment vertical="center"/>
    </xf>
    <xf numFmtId="0" fontId="4" fillId="0" borderId="0" xfId="36">
      <alignment vertical="center"/>
    </xf>
    <xf numFmtId="0" fontId="2" fillId="0" borderId="0" xfId="34">
      <alignment vertical="center"/>
    </xf>
    <xf numFmtId="0" fontId="12" fillId="0" borderId="0" xfId="50">
      <alignment horizontal="center" vertical="center"/>
    </xf>
    <xf numFmtId="0" fontId="12" fillId="0" borderId="0" xfId="50" applyAlignment="1">
      <alignment horizontal="right" vertical="center"/>
    </xf>
    <xf numFmtId="0" fontId="12" fillId="0" borderId="0" xfId="50" applyAlignment="1">
      <alignment horizontal="left" vertical="center"/>
    </xf>
    <xf numFmtId="0" fontId="12" fillId="0" borderId="0" xfId="51" applyAlignment="1">
      <alignment horizontal="right" vertical="center"/>
    </xf>
    <xf numFmtId="0" fontId="12" fillId="0" borderId="0" xfId="51" applyAlignment="1">
      <alignment horizontal="left" vertical="center"/>
    </xf>
    <xf numFmtId="0" fontId="24" fillId="0" borderId="0" xfId="56" applyFont="1" applyAlignment="1">
      <alignment horizontal="center" vertical="center" wrapText="1"/>
    </xf>
    <xf numFmtId="0" fontId="10" fillId="0" borderId="10" xfId="56" applyFont="1" applyBorder="1">
      <alignment vertical="center"/>
    </xf>
    <xf numFmtId="171" fontId="10" fillId="0" borderId="10" xfId="56" applyNumberFormat="1" applyFont="1" applyBorder="1">
      <alignment vertical="center"/>
    </xf>
    <xf numFmtId="0" fontId="9" fillId="0" borderId="21" xfId="56" applyBorder="1">
      <alignment vertical="center"/>
    </xf>
    <xf numFmtId="0" fontId="24" fillId="0" borderId="21" xfId="56" applyFont="1" applyBorder="1" applyAlignment="1">
      <alignment horizontal="center" vertical="center" wrapText="1"/>
    </xf>
    <xf numFmtId="0" fontId="24" fillId="0" borderId="25" xfId="56" applyFont="1" applyBorder="1" applyAlignment="1">
      <alignment horizontal="center" vertical="center" wrapText="1"/>
    </xf>
    <xf numFmtId="0" fontId="9" fillId="0" borderId="31" xfId="56" applyBorder="1">
      <alignment vertical="center"/>
    </xf>
    <xf numFmtId="0" fontId="9" fillId="0" borderId="0" xfId="56" applyBorder="1">
      <alignment vertical="center"/>
    </xf>
    <xf numFmtId="171" fontId="9" fillId="0" borderId="0" xfId="56" applyNumberFormat="1" applyBorder="1">
      <alignment vertical="center"/>
    </xf>
    <xf numFmtId="178" fontId="0" fillId="0" borderId="32" xfId="22" applyNumberFormat="1" applyFont="1" applyBorder="1">
      <alignment vertical="center"/>
    </xf>
    <xf numFmtId="0" fontId="10" fillId="0" borderId="33" xfId="56" applyFont="1" applyBorder="1">
      <alignment vertical="center"/>
    </xf>
    <xf numFmtId="179" fontId="10" fillId="0" borderId="34" xfId="58" applyNumberFormat="1" applyFont="1" applyBorder="1" applyAlignment="1">
      <alignment vertical="center"/>
    </xf>
    <xf numFmtId="0" fontId="9" fillId="0" borderId="26" xfId="56" applyBorder="1">
      <alignment vertical="center"/>
    </xf>
    <xf numFmtId="0" fontId="9" fillId="0" borderId="35" xfId="56" applyBorder="1">
      <alignment vertical="center"/>
    </xf>
    <xf numFmtId="0" fontId="9" fillId="0" borderId="36" xfId="56" applyBorder="1">
      <alignment vertical="center"/>
    </xf>
    <xf numFmtId="166" fontId="0" fillId="0" borderId="0" xfId="19" applyFont="1">
      <alignment vertical="center"/>
    </xf>
    <xf numFmtId="171" fontId="0" fillId="0" borderId="0" xfId="19" applyNumberFormat="1" applyFont="1">
      <alignment vertical="center"/>
    </xf>
    <xf numFmtId="0" fontId="6" fillId="0" borderId="0" xfId="6">
      <alignment vertical="center"/>
    </xf>
    <xf numFmtId="0" fontId="25" fillId="0" borderId="0" xfId="7" applyFont="1" applyAlignment="1">
      <alignment horizontal="center" vertical="center" wrapText="1"/>
    </xf>
    <xf numFmtId="171" fontId="23" fillId="0" borderId="0" xfId="19" applyNumberFormat="1" applyFont="1">
      <alignment vertical="center"/>
    </xf>
    <xf numFmtId="0" fontId="30" fillId="0" borderId="0" xfId="6" applyFont="1">
      <alignment vertical="center"/>
    </xf>
    <xf numFmtId="171" fontId="9" fillId="0" borderId="9" xfId="19" applyNumberFormat="1" applyBorder="1">
      <alignment vertical="center"/>
    </xf>
    <xf numFmtId="171" fontId="10" fillId="0" borderId="10" xfId="19" applyNumberFormat="1" applyFont="1" applyBorder="1">
      <alignment vertical="center"/>
    </xf>
    <xf numFmtId="173" fontId="0" fillId="3" borderId="0" xfId="0" applyNumberFormat="1" applyFill="1">
      <alignment vertical="center"/>
    </xf>
    <xf numFmtId="180" fontId="0" fillId="3" borderId="0" xfId="19" applyNumberFormat="1" applyFont="1" applyFill="1">
      <alignment vertical="center"/>
    </xf>
    <xf numFmtId="171" fontId="0" fillId="3" borderId="0" xfId="19" applyNumberFormat="1" applyFont="1" applyFill="1" applyAlignment="1">
      <alignment horizontal="center" vertical="center"/>
    </xf>
    <xf numFmtId="166" fontId="23" fillId="3" borderId="0" xfId="19" applyFont="1" applyFill="1">
      <alignment vertical="center"/>
    </xf>
    <xf numFmtId="0" fontId="20" fillId="4" borderId="1" xfId="9" applyFont="1" applyFill="1" applyAlignment="1">
      <alignment horizontal="center" vertical="center"/>
      <protection locked="0"/>
    </xf>
    <xf numFmtId="167" fontId="20" fillId="6" borderId="1" xfId="13" applyFont="1" applyFill="1">
      <alignment vertical="center"/>
      <protection locked="0"/>
    </xf>
    <xf numFmtId="171" fontId="20" fillId="6" borderId="29" xfId="12" applyNumberFormat="1" applyFont="1" applyFill="1" applyBorder="1">
      <alignment vertical="center"/>
      <protection locked="0"/>
    </xf>
    <xf numFmtId="0" fontId="25" fillId="3" borderId="11" xfId="7" applyFont="1" applyFill="1" applyBorder="1" applyAlignment="1">
      <alignment horizontal="center" vertical="center" wrapText="1"/>
    </xf>
    <xf numFmtId="0" fontId="30" fillId="3" borderId="0" xfId="6" applyFont="1" applyFill="1">
      <alignment vertical="center"/>
    </xf>
    <xf numFmtId="178" fontId="10" fillId="0" borderId="10" xfId="22" applyNumberFormat="1" applyFont="1" applyBorder="1">
      <alignment vertical="center"/>
    </xf>
    <xf numFmtId="171" fontId="10" fillId="0" borderId="11" xfId="0" applyNumberFormat="1" applyFont="1" applyBorder="1">
      <alignment vertical="center"/>
    </xf>
    <xf numFmtId="178" fontId="10" fillId="0" borderId="11" xfId="22" applyNumberFormat="1" applyFont="1" applyBorder="1">
      <alignment vertical="center"/>
    </xf>
    <xf numFmtId="178" fontId="10" fillId="0" borderId="11" xfId="0" applyNumberFormat="1" applyFont="1" applyBorder="1">
      <alignment vertical="center"/>
    </xf>
    <xf numFmtId="0" fontId="0" fillId="0" borderId="0" xfId="56" applyFont="1">
      <alignment vertical="center"/>
    </xf>
    <xf numFmtId="0" fontId="36" fillId="0" borderId="0" xfId="0" applyFont="1">
      <alignment vertical="center"/>
    </xf>
    <xf numFmtId="0" fontId="9" fillId="0" borderId="0" xfId="56" applyAlignment="1">
      <alignment vertical="center" wrapText="1"/>
    </xf>
    <xf numFmtId="0" fontId="9" fillId="0" borderId="11" xfId="56" applyBorder="1">
      <alignment vertical="center"/>
    </xf>
    <xf numFmtId="0" fontId="10" fillId="0" borderId="11" xfId="56" applyFont="1" applyBorder="1" applyAlignment="1">
      <alignment horizontal="center" vertical="center" wrapText="1"/>
    </xf>
    <xf numFmtId="0" fontId="10" fillId="0" borderId="15" xfId="56" applyFont="1" applyBorder="1" applyAlignment="1">
      <alignment horizontal="center" vertical="center" wrapText="1"/>
    </xf>
    <xf numFmtId="171" fontId="9" fillId="0" borderId="0" xfId="56" applyNumberFormat="1" applyBorder="1" applyAlignment="1">
      <alignment vertical="center" wrapText="1"/>
    </xf>
    <xf numFmtId="0" fontId="9" fillId="0" borderId="0" xfId="56" applyBorder="1" applyAlignment="1">
      <alignment vertical="center" wrapText="1"/>
    </xf>
    <xf numFmtId="177" fontId="9" fillId="0" borderId="0" xfId="56" applyNumberFormat="1" applyBorder="1" applyAlignment="1">
      <alignment vertical="center" wrapText="1"/>
    </xf>
    <xf numFmtId="171" fontId="9" fillId="0" borderId="4" xfId="56" applyNumberFormat="1" applyBorder="1" applyAlignment="1">
      <alignment vertical="center" wrapText="1"/>
    </xf>
    <xf numFmtId="0" fontId="9" fillId="0" borderId="4" xfId="56" applyBorder="1" applyAlignment="1">
      <alignment vertical="center" wrapText="1"/>
    </xf>
    <xf numFmtId="177" fontId="9" fillId="0" borderId="4" xfId="56" applyNumberFormat="1" applyBorder="1" applyAlignment="1">
      <alignment vertical="center" wrapText="1"/>
    </xf>
    <xf numFmtId="0" fontId="15" fillId="0" borderId="23" xfId="4" applyFont="1" applyBorder="1">
      <alignment vertical="center"/>
    </xf>
    <xf numFmtId="0" fontId="15" fillId="0" borderId="13" xfId="4" applyFont="1" applyBorder="1">
      <alignment vertical="center"/>
    </xf>
    <xf numFmtId="0" fontId="4" fillId="0" borderId="0" xfId="4">
      <alignment vertical="center"/>
    </xf>
    <xf numFmtId="0" fontId="27" fillId="3" borderId="0" xfId="0" applyFont="1" applyFill="1" applyAlignment="1">
      <alignment horizontal="center" vertical="center"/>
    </xf>
    <xf numFmtId="0" fontId="20" fillId="5" borderId="1" xfId="9" applyFont="1" applyFill="1" applyAlignment="1">
      <alignment horizontal="center" vertical="center"/>
      <protection locked="0"/>
    </xf>
    <xf numFmtId="171" fontId="20" fillId="5" borderId="1" xfId="12" applyNumberFormat="1" applyFont="1" applyFill="1" applyAlignment="1">
      <alignment horizontal="center" vertical="center"/>
      <protection locked="0"/>
    </xf>
    <xf numFmtId="0" fontId="18" fillId="7" borderId="0" xfId="7" applyFont="1" applyFill="1" applyAlignment="1">
      <alignment horizontal="center" vertical="center"/>
    </xf>
    <xf numFmtId="178" fontId="0" fillId="0" borderId="0" xfId="0" applyNumberFormat="1" applyBorder="1">
      <alignment vertical="center"/>
    </xf>
    <xf numFmtId="178" fontId="0" fillId="0" borderId="0" xfId="0" applyNumberFormat="1">
      <alignment vertical="center"/>
    </xf>
    <xf numFmtId="0" fontId="20" fillId="0" borderId="0" xfId="0" applyFont="1">
      <alignment vertical="center"/>
    </xf>
    <xf numFmtId="0" fontId="20" fillId="3" borderId="0" xfId="0" applyFont="1" applyFill="1">
      <alignment vertical="center"/>
    </xf>
    <xf numFmtId="0" fontId="27" fillId="0" borderId="0" xfId="0" applyFont="1" applyAlignment="1">
      <alignment horizontal="center" vertical="center"/>
    </xf>
    <xf numFmtId="0" fontId="20" fillId="0" borderId="0" xfId="0" applyFont="1" applyAlignment="1">
      <alignment horizontal="center" vertical="center"/>
    </xf>
    <xf numFmtId="0" fontId="35" fillId="0" borderId="0" xfId="5" applyFont="1">
      <alignment vertical="center"/>
    </xf>
    <xf numFmtId="171" fontId="23" fillId="0" borderId="0" xfId="0" applyNumberFormat="1" applyFont="1" applyAlignment="1"/>
    <xf numFmtId="171" fontId="23" fillId="0" borderId="0" xfId="0" applyNumberFormat="1" applyFont="1">
      <alignment vertical="center"/>
    </xf>
    <xf numFmtId="166" fontId="20" fillId="0" borderId="0" xfId="19" applyFont="1">
      <alignment vertical="center"/>
    </xf>
    <xf numFmtId="173" fontId="0" fillId="7" borderId="0" xfId="19" applyNumberFormat="1" applyFont="1" applyFill="1">
      <alignment vertical="center"/>
    </xf>
    <xf numFmtId="0" fontId="37" fillId="0" borderId="0" xfId="56" applyFont="1">
      <alignment vertical="center"/>
    </xf>
    <xf numFmtId="9" fontId="37" fillId="0" borderId="0" xfId="59" applyFont="1" applyAlignment="1">
      <alignment vertical="center"/>
    </xf>
    <xf numFmtId="0" fontId="27" fillId="8" borderId="1" xfId="9" applyFont="1" applyFill="1">
      <alignment vertical="center"/>
      <protection locked="0"/>
    </xf>
    <xf numFmtId="0" fontId="18" fillId="7" borderId="0" xfId="7" applyFont="1" applyFill="1">
      <alignment vertical="center"/>
    </xf>
    <xf numFmtId="180" fontId="20" fillId="6" borderId="1" xfId="12" applyNumberFormat="1" applyFont="1" applyFill="1">
      <alignment vertical="center"/>
      <protection locked="0"/>
    </xf>
    <xf numFmtId="180" fontId="27" fillId="5" borderId="1" xfId="12" applyNumberFormat="1" applyFont="1" applyFill="1">
      <alignment vertical="center"/>
      <protection locked="0"/>
    </xf>
    <xf numFmtId="176" fontId="20" fillId="5" borderId="1" xfId="12" applyNumberFormat="1" applyFont="1" applyFill="1">
      <alignment vertical="center"/>
      <protection locked="0"/>
    </xf>
    <xf numFmtId="0" fontId="38" fillId="9" borderId="0" xfId="0" applyFont="1" applyFill="1">
      <alignment vertical="center"/>
    </xf>
    <xf numFmtId="0" fontId="0" fillId="0" borderId="0" xfId="0" quotePrefix="1">
      <alignment vertical="center"/>
    </xf>
    <xf numFmtId="0" fontId="27" fillId="4" borderId="1" xfId="9" applyFont="1" applyFill="1">
      <alignment vertical="center"/>
      <protection locked="0"/>
    </xf>
    <xf numFmtId="171" fontId="20" fillId="2" borderId="37" xfId="12" applyNumberFormat="1" applyFont="1" applyBorder="1">
      <alignment vertical="center"/>
      <protection locked="0"/>
    </xf>
    <xf numFmtId="0" fontId="16" fillId="0" borderId="0" xfId="1" quotePrefix="1" applyFont="1">
      <alignment vertical="center"/>
    </xf>
    <xf numFmtId="0" fontId="16" fillId="3" borderId="0" xfId="1" quotePrefix="1" applyFont="1" applyFill="1">
      <alignment vertical="center"/>
    </xf>
    <xf numFmtId="0" fontId="20" fillId="2" borderId="1" xfId="9" applyFont="1">
      <alignment vertical="center"/>
      <protection locked="0"/>
    </xf>
    <xf numFmtId="0" fontId="0" fillId="7" borderId="0" xfId="0" applyFill="1">
      <alignment vertical="center"/>
    </xf>
    <xf numFmtId="0" fontId="20" fillId="2" borderId="40" xfId="9" applyFont="1" applyBorder="1" applyAlignment="1">
      <alignment horizontal="center" vertical="center" wrapText="1"/>
      <protection locked="0"/>
    </xf>
    <xf numFmtId="166" fontId="39" fillId="7" borderId="0" xfId="19" applyFont="1" applyFill="1">
      <alignment vertical="center"/>
    </xf>
    <xf numFmtId="173" fontId="39" fillId="7" borderId="0" xfId="19" applyNumberFormat="1" applyFont="1" applyFill="1">
      <alignment vertical="center"/>
    </xf>
    <xf numFmtId="173" fontId="39" fillId="7" borderId="0" xfId="19" applyNumberFormat="1" applyFont="1" applyFill="1" applyAlignment="1">
      <alignment horizontal="center" vertical="center"/>
    </xf>
    <xf numFmtId="0" fontId="39" fillId="0" borderId="3" xfId="26" applyFont="1">
      <alignment horizontal="center" vertical="center"/>
    </xf>
    <xf numFmtId="0" fontId="40" fillId="7" borderId="0" xfId="7" applyFont="1" applyFill="1">
      <alignment vertical="center"/>
    </xf>
    <xf numFmtId="176" fontId="39" fillId="7" borderId="0" xfId="19" applyNumberFormat="1" applyFont="1" applyFill="1">
      <alignment vertical="center"/>
    </xf>
    <xf numFmtId="0" fontId="25" fillId="7" borderId="0" xfId="7" applyFont="1" applyFill="1">
      <alignment vertical="center"/>
    </xf>
    <xf numFmtId="166" fontId="20" fillId="7" borderId="0" xfId="19" applyFont="1" applyFill="1">
      <alignment vertical="center"/>
    </xf>
    <xf numFmtId="166" fontId="39" fillId="7" borderId="0" xfId="19" applyFont="1" applyFill="1" applyAlignment="1">
      <alignment horizontal="center" vertical="center"/>
    </xf>
    <xf numFmtId="171" fontId="39" fillId="7" borderId="0" xfId="19" applyNumberFormat="1" applyFont="1" applyFill="1" applyAlignment="1">
      <alignment horizontal="center" vertical="center"/>
    </xf>
    <xf numFmtId="0" fontId="40" fillId="3" borderId="0" xfId="7" applyFont="1" applyFill="1">
      <alignment vertical="center"/>
    </xf>
    <xf numFmtId="166" fontId="39" fillId="3" borderId="0" xfId="19" applyFont="1" applyFill="1">
      <alignment vertical="center"/>
    </xf>
    <xf numFmtId="171" fontId="39" fillId="7" borderId="0" xfId="19" applyNumberFormat="1" applyFont="1" applyFill="1" applyAlignment="1">
      <alignment horizontal="right" vertical="center"/>
    </xf>
    <xf numFmtId="166" fontId="23" fillId="7" borderId="0" xfId="19" applyFont="1" applyFill="1">
      <alignment vertical="center"/>
    </xf>
    <xf numFmtId="166" fontId="39" fillId="7" borderId="0" xfId="19" applyFont="1" applyFill="1" applyBorder="1">
      <alignment vertical="center"/>
    </xf>
    <xf numFmtId="166" fontId="41" fillId="7" borderId="9" xfId="19" applyFont="1" applyFill="1" applyBorder="1">
      <alignment vertical="center"/>
    </xf>
    <xf numFmtId="166" fontId="39" fillId="7" borderId="0" xfId="19" applyFont="1" applyFill="1" applyBorder="1" applyAlignment="1">
      <alignment horizontal="center" vertical="center"/>
    </xf>
    <xf numFmtId="166" fontId="41" fillId="7" borderId="9" xfId="19" applyFont="1" applyFill="1" applyBorder="1" applyAlignment="1">
      <alignment horizontal="center" vertical="center"/>
    </xf>
    <xf numFmtId="0" fontId="23" fillId="7" borderId="0" xfId="0" applyFont="1" applyFill="1">
      <alignment vertical="center"/>
    </xf>
    <xf numFmtId="0" fontId="9" fillId="2" borderId="1" xfId="9">
      <alignment vertical="center"/>
      <protection locked="0"/>
    </xf>
    <xf numFmtId="171" fontId="39" fillId="7" borderId="0" xfId="19" applyNumberFormat="1" applyFont="1" applyFill="1">
      <alignment vertical="center"/>
    </xf>
    <xf numFmtId="171" fontId="9" fillId="0" borderId="0" xfId="56" applyNumberFormat="1" applyFill="1" applyBorder="1" applyAlignment="1">
      <alignment vertical="center" wrapText="1"/>
    </xf>
    <xf numFmtId="171" fontId="9" fillId="0" borderId="4" xfId="56" applyNumberFormat="1" applyFill="1" applyBorder="1" applyAlignment="1">
      <alignment vertical="center" wrapText="1"/>
    </xf>
    <xf numFmtId="177" fontId="9" fillId="0" borderId="0" xfId="56" applyNumberFormat="1" applyFill="1" applyBorder="1" applyAlignment="1">
      <alignment vertical="center" wrapText="1"/>
    </xf>
    <xf numFmtId="177" fontId="9" fillId="0" borderId="4" xfId="56" applyNumberFormat="1" applyFill="1" applyBorder="1" applyAlignment="1">
      <alignment vertical="center" wrapText="1"/>
    </xf>
    <xf numFmtId="177" fontId="9" fillId="0" borderId="16" xfId="56" applyNumberFormat="1" applyFill="1" applyBorder="1" applyAlignment="1">
      <alignment vertical="center" wrapText="1"/>
    </xf>
    <xf numFmtId="177" fontId="9" fillId="0" borderId="20" xfId="56" applyNumberFormat="1" applyFill="1" applyBorder="1" applyAlignment="1">
      <alignment vertical="center" wrapText="1"/>
    </xf>
    <xf numFmtId="171" fontId="40" fillId="0" borderId="0" xfId="8" applyNumberFormat="1" applyFont="1">
      <alignment vertical="center"/>
      <protection locked="0"/>
    </xf>
    <xf numFmtId="0" fontId="42" fillId="0" borderId="0" xfId="7" applyFont="1" applyAlignment="1">
      <alignment horizontal="left" vertical="top"/>
    </xf>
    <xf numFmtId="0" fontId="44" fillId="0" borderId="0" xfId="0" applyFont="1">
      <alignment vertical="center"/>
    </xf>
    <xf numFmtId="14" fontId="0" fillId="0" borderId="0" xfId="0" applyNumberFormat="1">
      <alignment vertical="center"/>
    </xf>
    <xf numFmtId="167" fontId="39" fillId="0" borderId="0" xfId="20" applyFont="1" applyFill="1">
      <alignment vertical="center"/>
    </xf>
    <xf numFmtId="171" fontId="41" fillId="0" borderId="0" xfId="19" applyNumberFormat="1" applyFont="1">
      <alignment vertical="center"/>
    </xf>
    <xf numFmtId="167" fontId="41" fillId="0" borderId="0" xfId="20" applyFont="1">
      <alignment vertical="center"/>
    </xf>
    <xf numFmtId="175" fontId="41" fillId="0" borderId="0" xfId="20" applyNumberFormat="1" applyFont="1">
      <alignment vertical="center"/>
    </xf>
    <xf numFmtId="171" fontId="39" fillId="0" borderId="0" xfId="19" applyNumberFormat="1" applyFont="1" applyFill="1">
      <alignment vertical="center"/>
    </xf>
    <xf numFmtId="171" fontId="41" fillId="0" borderId="0" xfId="19" applyNumberFormat="1" applyFont="1" applyFill="1">
      <alignment vertical="center"/>
    </xf>
    <xf numFmtId="167" fontId="41" fillId="0" borderId="0" xfId="20" applyFont="1" applyFill="1">
      <alignment vertical="center"/>
    </xf>
    <xf numFmtId="181" fontId="39" fillId="0" borderId="0" xfId="19" applyNumberFormat="1" applyFont="1" applyFill="1">
      <alignment vertical="center"/>
    </xf>
    <xf numFmtId="166" fontId="39" fillId="0" borderId="0" xfId="19" applyFont="1" applyFill="1">
      <alignment vertical="center"/>
    </xf>
    <xf numFmtId="166" fontId="39" fillId="0" borderId="9" xfId="19" applyFont="1" applyFill="1" applyBorder="1">
      <alignment vertical="center"/>
    </xf>
    <xf numFmtId="176" fontId="39" fillId="3" borderId="0" xfId="19" applyNumberFormat="1" applyFont="1" applyFill="1">
      <alignment vertical="center"/>
    </xf>
    <xf numFmtId="173" fontId="39" fillId="3" borderId="0" xfId="19" applyNumberFormat="1" applyFont="1" applyFill="1">
      <alignment vertical="center"/>
    </xf>
    <xf numFmtId="177" fontId="24" fillId="0" borderId="9" xfId="22" applyNumberFormat="1" applyFont="1" applyFill="1" applyBorder="1">
      <alignment vertical="center"/>
    </xf>
    <xf numFmtId="171" fontId="24" fillId="0" borderId="9" xfId="0" applyNumberFormat="1" applyFont="1" applyBorder="1">
      <alignment vertical="center"/>
    </xf>
    <xf numFmtId="171" fontId="24" fillId="0" borderId="9" xfId="19" applyNumberFormat="1" applyFont="1" applyFill="1" applyBorder="1">
      <alignment vertical="center"/>
    </xf>
    <xf numFmtId="171" fontId="24" fillId="7" borderId="10" xfId="19" applyNumberFormat="1" applyFont="1" applyFill="1" applyBorder="1">
      <alignment vertical="center"/>
    </xf>
    <xf numFmtId="175" fontId="39" fillId="3" borderId="0" xfId="19" applyNumberFormat="1" applyFont="1" applyFill="1">
      <alignment vertical="center"/>
    </xf>
    <xf numFmtId="171" fontId="39" fillId="3" borderId="0" xfId="19" applyNumberFormat="1" applyFont="1" applyFill="1">
      <alignment vertical="center"/>
    </xf>
    <xf numFmtId="171" fontId="41" fillId="3" borderId="10" xfId="19" applyNumberFormat="1" applyFont="1" applyFill="1" applyBorder="1">
      <alignment vertical="center"/>
    </xf>
    <xf numFmtId="180" fontId="39" fillId="3" borderId="0" xfId="19" applyNumberFormat="1" applyFont="1" applyFill="1">
      <alignment vertical="center"/>
    </xf>
    <xf numFmtId="14" fontId="43" fillId="0" borderId="0" xfId="0" applyNumberFormat="1" applyFont="1">
      <alignment vertical="center"/>
    </xf>
    <xf numFmtId="0" fontId="11" fillId="0" borderId="0" xfId="27">
      <alignment vertical="center"/>
    </xf>
    <xf numFmtId="0" fontId="11" fillId="0" borderId="0" xfId="27" applyAlignment="1">
      <alignment horizontal="center" vertical="center"/>
    </xf>
    <xf numFmtId="0" fontId="17" fillId="0" borderId="0" xfId="6" applyFont="1" applyAlignment="1">
      <alignment horizontal="center" vertical="center"/>
    </xf>
    <xf numFmtId="0" fontId="45" fillId="10" borderId="0" xfId="4" applyFont="1" applyFill="1">
      <alignment vertical="center"/>
    </xf>
    <xf numFmtId="172" fontId="11" fillId="0" borderId="0" xfId="30" applyNumberFormat="1" applyAlignment="1">
      <alignment horizontal="right" vertical="center"/>
    </xf>
    <xf numFmtId="0" fontId="11" fillId="0" borderId="0" xfId="30">
      <alignment vertical="center"/>
    </xf>
    <xf numFmtId="0" fontId="14" fillId="0" borderId="0" xfId="33">
      <alignment vertical="center"/>
    </xf>
    <xf numFmtId="0" fontId="14" fillId="0" borderId="0" xfId="32" quotePrefix="1" applyAlignment="1">
      <alignment horizontal="right" vertical="center"/>
    </xf>
    <xf numFmtId="0" fontId="14" fillId="0" borderId="0" xfId="32">
      <alignment vertical="center"/>
    </xf>
    <xf numFmtId="0" fontId="11" fillId="0" borderId="0" xfId="27" quotePrefix="1">
      <alignment vertical="center"/>
    </xf>
    <xf numFmtId="171" fontId="20" fillId="2" borderId="6" xfId="12" applyNumberFormat="1" applyFont="1" applyBorder="1" applyAlignment="1">
      <alignment horizontal="center" vertical="center"/>
      <protection locked="0"/>
    </xf>
    <xf numFmtId="171" fontId="20" fillId="2" borderId="7" xfId="12" applyNumberFormat="1" applyFont="1" applyBorder="1" applyAlignment="1">
      <alignment horizontal="center" vertical="center"/>
      <protection locked="0"/>
    </xf>
    <xf numFmtId="165" fontId="0" fillId="3" borderId="8" xfId="18" applyFont="1" applyFill="1" applyBorder="1" applyAlignment="1">
      <alignment horizontal="center" vertical="center"/>
    </xf>
    <xf numFmtId="165" fontId="0" fillId="4" borderId="8" xfId="18" applyFont="1" applyFill="1" applyBorder="1" applyAlignment="1">
      <alignment horizontal="center" vertical="center"/>
    </xf>
    <xf numFmtId="165" fontId="0" fillId="3" borderId="0" xfId="18" applyFont="1" applyFill="1" applyAlignment="1">
      <alignment horizontal="center" vertical="center"/>
    </xf>
    <xf numFmtId="165" fontId="0" fillId="4" borderId="0" xfId="18" applyFont="1" applyFill="1" applyAlignment="1">
      <alignment horizontal="center" vertical="center"/>
    </xf>
    <xf numFmtId="171" fontId="0" fillId="3" borderId="0" xfId="19" applyNumberFormat="1" applyFont="1" applyFill="1" applyAlignment="1">
      <alignment horizontal="center" vertical="center"/>
    </xf>
    <xf numFmtId="171" fontId="0" fillId="4" borderId="0" xfId="19" applyNumberFormat="1" applyFont="1" applyFill="1" applyAlignment="1">
      <alignment horizontal="center" vertical="center"/>
    </xf>
    <xf numFmtId="0" fontId="11" fillId="3" borderId="0" xfId="27" applyFill="1">
      <alignment vertical="center"/>
    </xf>
    <xf numFmtId="0" fontId="18" fillId="3" borderId="0" xfId="7" applyFont="1" applyFill="1" applyAlignment="1">
      <alignment horizontal="center" vertical="center"/>
    </xf>
    <xf numFmtId="0" fontId="18" fillId="4" borderId="0" xfId="7" applyFont="1" applyFill="1" applyAlignment="1">
      <alignment horizontal="center" vertical="center"/>
    </xf>
    <xf numFmtId="164" fontId="20" fillId="2" borderId="6" xfId="10" applyFont="1" applyBorder="1" applyAlignment="1">
      <alignment horizontal="center" vertical="center"/>
      <protection locked="0"/>
    </xf>
    <xf numFmtId="164" fontId="20" fillId="2" borderId="7" xfId="10" applyFont="1" applyBorder="1" applyAlignment="1">
      <alignment horizontal="center" vertical="center"/>
      <protection locked="0"/>
    </xf>
    <xf numFmtId="0" fontId="22" fillId="3" borderId="0" xfId="5" applyFont="1" applyFill="1">
      <alignment vertical="center"/>
    </xf>
    <xf numFmtId="0" fontId="22" fillId="4" borderId="0" xfId="5" applyFont="1" applyFill="1">
      <alignment vertical="center"/>
    </xf>
    <xf numFmtId="0" fontId="20" fillId="2" borderId="1" xfId="9" applyFont="1">
      <alignment vertical="center"/>
      <protection locked="0"/>
    </xf>
    <xf numFmtId="0" fontId="20" fillId="2" borderId="6" xfId="9" applyFont="1" applyBorder="1" applyAlignment="1">
      <alignment vertical="center" wrapText="1"/>
      <protection locked="0"/>
    </xf>
    <xf numFmtId="0" fontId="20" fillId="2" borderId="18" xfId="9" applyFont="1" applyBorder="1" applyAlignment="1">
      <alignment vertical="center" wrapText="1"/>
      <protection locked="0"/>
    </xf>
    <xf numFmtId="0" fontId="20" fillId="2" borderId="7" xfId="9" applyFont="1" applyBorder="1" applyAlignment="1">
      <alignment vertical="center" wrapText="1"/>
      <protection locked="0"/>
    </xf>
    <xf numFmtId="0" fontId="22" fillId="3" borderId="0" xfId="5" applyFont="1" applyFill="1" applyAlignment="1">
      <alignment vertical="center" wrapText="1"/>
    </xf>
    <xf numFmtId="0" fontId="22" fillId="4" borderId="0" xfId="5" applyFont="1" applyFill="1" applyAlignment="1">
      <alignment vertical="center" wrapText="1"/>
    </xf>
    <xf numFmtId="0" fontId="17" fillId="3" borderId="13" xfId="6" applyFont="1" applyFill="1" applyBorder="1" applyAlignment="1">
      <alignment horizontal="center" vertical="center"/>
    </xf>
    <xf numFmtId="0" fontId="17" fillId="4" borderId="11" xfId="6" applyFont="1" applyFill="1" applyBorder="1" applyAlignment="1">
      <alignment horizontal="center" vertical="center"/>
    </xf>
    <xf numFmtId="0" fontId="17" fillId="4" borderId="15" xfId="6" applyFont="1" applyFill="1" applyBorder="1" applyAlignment="1">
      <alignment horizontal="center" vertical="center"/>
    </xf>
    <xf numFmtId="0" fontId="7" fillId="3" borderId="0" xfId="7" applyFill="1">
      <alignment vertical="center"/>
    </xf>
    <xf numFmtId="0" fontId="7" fillId="4" borderId="0" xfId="7" applyFill="1">
      <alignment vertical="center"/>
    </xf>
    <xf numFmtId="0" fontId="18" fillId="3" borderId="19" xfId="7" applyFont="1" applyFill="1" applyBorder="1" applyAlignment="1">
      <alignment horizontal="center" vertical="center"/>
    </xf>
    <xf numFmtId="0" fontId="18" fillId="4" borderId="19" xfId="7" applyFont="1" applyFill="1" applyBorder="1" applyAlignment="1">
      <alignment horizontal="center" vertical="center"/>
    </xf>
    <xf numFmtId="0" fontId="20" fillId="2" borderId="6" xfId="9" applyFont="1" applyBorder="1">
      <alignment vertical="center"/>
      <protection locked="0"/>
    </xf>
    <xf numFmtId="0" fontId="0" fillId="0" borderId="18" xfId="0" applyBorder="1">
      <alignment vertical="center"/>
    </xf>
    <xf numFmtId="0" fontId="0" fillId="0" borderId="7" xfId="0" applyBorder="1">
      <alignment vertical="center"/>
    </xf>
    <xf numFmtId="166" fontId="23" fillId="3" borderId="0" xfId="19" applyFont="1" applyFill="1">
      <alignment vertical="center"/>
    </xf>
    <xf numFmtId="166" fontId="0" fillId="4" borderId="0" xfId="19" applyFont="1" applyFill="1">
      <alignment vertical="center"/>
    </xf>
    <xf numFmtId="0" fontId="11" fillId="4" borderId="0" xfId="27" applyFill="1">
      <alignment vertical="center"/>
    </xf>
    <xf numFmtId="0" fontId="17" fillId="3" borderId="8" xfId="6" applyFont="1" applyFill="1" applyBorder="1">
      <alignment vertical="center"/>
    </xf>
    <xf numFmtId="0" fontId="17" fillId="4" borderId="8" xfId="6" applyFont="1" applyFill="1" applyBorder="1">
      <alignment vertical="center"/>
    </xf>
    <xf numFmtId="166" fontId="23" fillId="0" borderId="0" xfId="19" applyFont="1">
      <alignment vertical="center"/>
    </xf>
    <xf numFmtId="0" fontId="0" fillId="0" borderId="39" xfId="0" applyBorder="1">
      <alignment vertical="center"/>
    </xf>
    <xf numFmtId="0" fontId="18" fillId="3" borderId="0" xfId="7" applyFont="1" applyFill="1">
      <alignment vertical="center"/>
    </xf>
    <xf numFmtId="0" fontId="18" fillId="4" borderId="0" xfId="7" applyFont="1" applyFill="1">
      <alignment vertical="center"/>
    </xf>
    <xf numFmtId="0" fontId="18" fillId="3" borderId="19" xfId="7" applyFont="1" applyFill="1" applyBorder="1">
      <alignment vertical="center"/>
    </xf>
    <xf numFmtId="0" fontId="18" fillId="4" borderId="19" xfId="7" applyFont="1" applyFill="1" applyBorder="1">
      <alignment vertical="center"/>
    </xf>
    <xf numFmtId="0" fontId="20" fillId="3" borderId="0" xfId="0" applyFont="1" applyFill="1" applyAlignment="1">
      <alignment horizontal="center" vertical="center"/>
    </xf>
    <xf numFmtId="0" fontId="20" fillId="4" borderId="0" xfId="0" applyFont="1" applyFill="1" applyAlignment="1">
      <alignment horizontal="center" vertical="center"/>
    </xf>
    <xf numFmtId="0" fontId="9" fillId="2" borderId="1" xfId="9">
      <alignment vertical="center"/>
      <protection locked="0"/>
    </xf>
    <xf numFmtId="0" fontId="9" fillId="2" borderId="1" xfId="9" applyAlignment="1">
      <alignment horizontal="left" vertical="center"/>
      <protection locked="0"/>
    </xf>
    <xf numFmtId="0" fontId="20" fillId="5" borderId="1" xfId="9" applyFont="1" applyFill="1" applyAlignment="1">
      <alignment vertical="center" wrapText="1"/>
      <protection locked="0"/>
    </xf>
    <xf numFmtId="0" fontId="20" fillId="5" borderId="1" xfId="9" applyFont="1" applyFill="1">
      <alignment vertical="center"/>
      <protection locked="0"/>
    </xf>
    <xf numFmtId="0" fontId="0" fillId="4" borderId="18" xfId="0" applyFill="1" applyBorder="1">
      <alignment vertical="center"/>
    </xf>
    <xf numFmtId="0" fontId="0" fillId="4" borderId="7" xfId="0" applyFill="1" applyBorder="1">
      <alignment vertical="center"/>
    </xf>
    <xf numFmtId="0" fontId="20" fillId="4" borderId="18" xfId="0" applyFont="1" applyFill="1" applyBorder="1">
      <alignment vertical="center"/>
    </xf>
    <xf numFmtId="0" fontId="20" fillId="4" borderId="7" xfId="0" applyFont="1" applyFill="1" applyBorder="1">
      <alignment vertical="center"/>
    </xf>
    <xf numFmtId="0" fontId="20" fillId="2" borderId="1" xfId="9" applyFont="1" applyAlignment="1">
      <alignment horizontal="left" vertical="center"/>
      <protection locked="0"/>
    </xf>
    <xf numFmtId="0" fontId="18" fillId="3" borderId="23" xfId="7" applyFont="1" applyFill="1" applyBorder="1" applyAlignment="1">
      <alignment horizontal="center" vertical="center"/>
    </xf>
    <xf numFmtId="0" fontId="18" fillId="4" borderId="21" xfId="7" applyFont="1" applyFill="1" applyBorder="1" applyAlignment="1">
      <alignment horizontal="center" vertical="center"/>
    </xf>
    <xf numFmtId="0" fontId="18" fillId="4" borderId="25" xfId="7" applyFont="1" applyFill="1" applyBorder="1" applyAlignment="1">
      <alignment horizontal="center" vertical="center"/>
    </xf>
    <xf numFmtId="0" fontId="27" fillId="3" borderId="19" xfId="0" applyFont="1" applyFill="1" applyBorder="1" applyAlignment="1">
      <alignment horizontal="center" vertical="center"/>
    </xf>
    <xf numFmtId="0" fontId="27" fillId="4" borderId="19" xfId="0" applyFont="1" applyFill="1" applyBorder="1" applyAlignment="1">
      <alignment horizontal="center" vertical="center"/>
    </xf>
    <xf numFmtId="0" fontId="31" fillId="3" borderId="0" xfId="27" applyFont="1" applyFill="1">
      <alignment vertical="center"/>
    </xf>
    <xf numFmtId="0" fontId="31" fillId="4" borderId="0" xfId="27" applyFont="1" applyFill="1">
      <alignment vertical="center"/>
    </xf>
    <xf numFmtId="0" fontId="20" fillId="5" borderId="6" xfId="9" applyFont="1" applyFill="1" applyBorder="1" applyAlignment="1">
      <alignment vertical="center" wrapText="1"/>
      <protection locked="0"/>
    </xf>
    <xf numFmtId="0" fontId="20" fillId="5" borderId="18" xfId="0" applyFont="1" applyFill="1" applyBorder="1" applyAlignment="1">
      <alignment vertical="center" wrapText="1"/>
    </xf>
    <xf numFmtId="0" fontId="20" fillId="5" borderId="7" xfId="0" applyFont="1" applyFill="1" applyBorder="1" applyAlignment="1">
      <alignment vertical="center" wrapText="1"/>
    </xf>
    <xf numFmtId="0" fontId="20" fillId="5" borderId="18" xfId="9" applyFont="1" applyFill="1" applyBorder="1" applyAlignment="1">
      <alignment vertical="center" wrapText="1"/>
      <protection locked="0"/>
    </xf>
    <xf numFmtId="0" fontId="20" fillId="5" borderId="7" xfId="9" applyFont="1" applyFill="1" applyBorder="1" applyAlignment="1">
      <alignment vertical="center" wrapText="1"/>
      <protection locked="0"/>
    </xf>
    <xf numFmtId="0" fontId="17" fillId="3" borderId="19" xfId="6" applyFont="1" applyFill="1" applyBorder="1">
      <alignment vertical="center"/>
    </xf>
    <xf numFmtId="0" fontId="17" fillId="4" borderId="19" xfId="6" applyFont="1" applyFill="1" applyBorder="1">
      <alignment vertical="center"/>
    </xf>
    <xf numFmtId="0" fontId="17" fillId="3" borderId="14" xfId="6" applyFont="1" applyFill="1" applyBorder="1" applyAlignment="1">
      <alignment horizontal="center" vertical="center"/>
    </xf>
    <xf numFmtId="0" fontId="17" fillId="4" borderId="0" xfId="6" applyFont="1" applyFill="1" applyAlignment="1">
      <alignment horizontal="center" vertical="center"/>
    </xf>
    <xf numFmtId="0" fontId="25" fillId="3" borderId="0" xfId="7" applyFont="1" applyFill="1" applyAlignment="1">
      <alignment horizontal="center" vertical="center"/>
    </xf>
    <xf numFmtId="0" fontId="25" fillId="4" borderId="0" xfId="7" applyFont="1" applyFill="1" applyAlignment="1">
      <alignment horizontal="center" vertical="center"/>
    </xf>
    <xf numFmtId="0" fontId="18" fillId="3" borderId="8" xfId="7" applyFont="1" applyFill="1" applyBorder="1">
      <alignment vertical="center"/>
    </xf>
    <xf numFmtId="0" fontId="18" fillId="4" borderId="8" xfId="7" applyFont="1" applyFill="1" applyBorder="1">
      <alignment vertical="center"/>
    </xf>
    <xf numFmtId="0" fontId="27" fillId="3" borderId="0" xfId="0" applyFont="1" applyFill="1" applyAlignment="1">
      <alignment horizontal="center" vertical="center"/>
    </xf>
    <xf numFmtId="0" fontId="27" fillId="4" borderId="0" xfId="0" applyFont="1" applyFill="1" applyAlignment="1">
      <alignment horizontal="center" vertical="center"/>
    </xf>
    <xf numFmtId="0" fontId="27" fillId="3" borderId="0" xfId="0" applyFont="1" applyFill="1">
      <alignment vertical="center"/>
    </xf>
    <xf numFmtId="0" fontId="27" fillId="4" borderId="0" xfId="0" applyFont="1" applyFill="1">
      <alignment vertical="center"/>
    </xf>
    <xf numFmtId="0" fontId="17" fillId="3" borderId="0" xfId="6" applyFont="1" applyFill="1" applyAlignment="1">
      <alignment horizontal="center" vertical="center"/>
    </xf>
    <xf numFmtId="0" fontId="17" fillId="4" borderId="16" xfId="6" applyFont="1" applyFill="1" applyBorder="1" applyAlignment="1">
      <alignment horizontal="center" vertical="center"/>
    </xf>
    <xf numFmtId="0" fontId="17" fillId="3" borderId="0" xfId="6" applyFont="1" applyFill="1">
      <alignment vertical="center"/>
    </xf>
    <xf numFmtId="0" fontId="17" fillId="4" borderId="0" xfId="6" applyFont="1" applyFill="1">
      <alignment vertical="center"/>
    </xf>
    <xf numFmtId="0" fontId="40" fillId="7" borderId="0" xfId="7" applyFont="1" applyFill="1">
      <alignment vertical="center"/>
    </xf>
    <xf numFmtId="0" fontId="40" fillId="0" borderId="0" xfId="7" applyFont="1">
      <alignment vertical="center"/>
    </xf>
    <xf numFmtId="0" fontId="20" fillId="2" borderId="1" xfId="9" applyFont="1" applyAlignment="1">
      <alignment vertical="center" wrapText="1"/>
      <protection locked="0"/>
    </xf>
    <xf numFmtId="0" fontId="18" fillId="0" borderId="0" xfId="7" applyFont="1">
      <alignment vertical="center"/>
    </xf>
    <xf numFmtId="0" fontId="18" fillId="0" borderId="0" xfId="7" applyFont="1" applyAlignment="1">
      <alignment horizontal="center" vertical="center"/>
    </xf>
    <xf numFmtId="0" fontId="17" fillId="0" borderId="0" xfId="6" applyFont="1">
      <alignment vertical="center"/>
    </xf>
    <xf numFmtId="0" fontId="27" fillId="0" borderId="0" xfId="0" applyFont="1" applyAlignment="1">
      <alignment horizontal="center" vertical="center"/>
    </xf>
    <xf numFmtId="0" fontId="7" fillId="0" borderId="0" xfId="7">
      <alignment vertical="center"/>
    </xf>
    <xf numFmtId="0" fontId="18" fillId="0" borderId="19" xfId="7" applyFont="1" applyBorder="1" applyAlignment="1">
      <alignment horizontal="center" vertical="center"/>
    </xf>
    <xf numFmtId="0" fontId="20" fillId="0" borderId="18" xfId="0" applyFont="1" applyBorder="1">
      <alignment vertical="center"/>
    </xf>
    <xf numFmtId="0" fontId="20" fillId="0" borderId="7" xfId="0" applyFont="1" applyBorder="1">
      <alignment vertical="center"/>
    </xf>
    <xf numFmtId="0" fontId="18" fillId="0" borderId="0" xfId="7" applyFont="1" applyFill="1" applyAlignment="1">
      <alignment horizontal="center" vertical="center"/>
    </xf>
    <xf numFmtId="0" fontId="7" fillId="0" borderId="0" xfId="7" applyFill="1">
      <alignment vertical="center"/>
    </xf>
    <xf numFmtId="0" fontId="0" fillId="0" borderId="0" xfId="0">
      <alignment vertical="center"/>
    </xf>
    <xf numFmtId="0" fontId="11" fillId="0" borderId="0" xfId="27" applyFill="1">
      <alignment vertical="center"/>
    </xf>
    <xf numFmtId="0" fontId="11" fillId="0" borderId="4" xfId="27" applyFill="1" applyBorder="1">
      <alignment vertical="center"/>
    </xf>
    <xf numFmtId="0" fontId="11" fillId="0" borderId="4" xfId="27" applyBorder="1">
      <alignment vertical="center"/>
    </xf>
    <xf numFmtId="0" fontId="29" fillId="0" borderId="0" xfId="57">
      <alignment vertical="center"/>
    </xf>
    <xf numFmtId="0" fontId="25" fillId="0" borderId="0" xfId="7" applyFont="1">
      <alignment vertical="center"/>
    </xf>
    <xf numFmtId="0" fontId="0" fillId="0" borderId="14" xfId="56" applyFont="1" applyBorder="1" applyAlignment="1">
      <alignment vertical="center" wrapText="1"/>
    </xf>
    <xf numFmtId="0" fontId="0" fillId="0" borderId="0" xfId="56" applyFont="1" applyBorder="1" applyAlignment="1">
      <alignment vertical="center" wrapText="1"/>
    </xf>
    <xf numFmtId="0" fontId="0" fillId="0" borderId="38" xfId="56" applyFont="1" applyBorder="1" applyAlignment="1">
      <alignment vertical="center" wrapText="1"/>
    </xf>
    <xf numFmtId="0" fontId="0" fillId="0" borderId="4" xfId="56" applyFont="1" applyBorder="1" applyAlignment="1">
      <alignment vertical="center" wrapText="1"/>
    </xf>
    <xf numFmtId="0" fontId="11" fillId="0" borderId="0" xfId="49">
      <alignment vertical="center"/>
    </xf>
  </cellXfs>
  <cellStyles count="60">
    <cellStyle name="Assumption Currency." xfId="15" xr:uid="{00000000-0005-0000-0000-000000000000}"/>
    <cellStyle name="Assumption Date." xfId="11" xr:uid="{00000000-0005-0000-0000-000001000000}"/>
    <cellStyle name="Assumption Heading." xfId="9" xr:uid="{00000000-0005-0000-0000-000002000000}"/>
    <cellStyle name="Assumption Multiple." xfId="14" xr:uid="{00000000-0005-0000-0000-000003000000}"/>
    <cellStyle name="Assumption Number." xfId="12" xr:uid="{00000000-0005-0000-0000-000004000000}"/>
    <cellStyle name="Assumption Percentage." xfId="13" xr:uid="{00000000-0005-0000-0000-000005000000}"/>
    <cellStyle name="Assumption Year." xfId="10" xr:uid="{00000000-0005-0000-0000-000006000000}"/>
    <cellStyle name="Cell Link." xfId="16" xr:uid="{00000000-0005-0000-0000-000007000000}"/>
    <cellStyle name="Currency" xfId="58" builtinId="4"/>
    <cellStyle name="Currency." xfId="22" xr:uid="{00000000-0005-0000-0000-000009000000}"/>
    <cellStyle name="Date." xfId="18" xr:uid="{00000000-0005-0000-0000-00000A000000}"/>
    <cellStyle name="Heading 1." xfId="4" xr:uid="{00000000-0005-0000-0000-00000B000000}"/>
    <cellStyle name="Heading 2." xfId="5" xr:uid="{00000000-0005-0000-0000-00000C000000}"/>
    <cellStyle name="Heading 3." xfId="6" xr:uid="{00000000-0005-0000-0000-00000D000000}"/>
    <cellStyle name="Heading 4." xfId="7" xr:uid="{00000000-0005-0000-0000-00000E000000}"/>
    <cellStyle name="Hyperlink" xfId="57" builtinId="8"/>
    <cellStyle name="Hyperlink Arrow." xfId="28" xr:uid="{00000000-0005-0000-0000-000010000000}"/>
    <cellStyle name="Hyperlink Check." xfId="29" xr:uid="{00000000-0005-0000-0000-000011000000}"/>
    <cellStyle name="Hyperlink Text." xfId="27" xr:uid="{00000000-0005-0000-0000-000012000000}"/>
    <cellStyle name="Hyperlink TOC 1." xfId="30" xr:uid="{00000000-0005-0000-0000-000013000000}"/>
    <cellStyle name="Hyperlink TOC 2." xfId="31" xr:uid="{00000000-0005-0000-0000-000014000000}"/>
    <cellStyle name="Hyperlink TOC 3." xfId="32" xr:uid="{00000000-0005-0000-0000-000015000000}"/>
    <cellStyle name="Hyperlink TOC 4." xfId="33" xr:uid="{00000000-0005-0000-0000-000016000000}"/>
    <cellStyle name="Lookup Table Heading." xfId="24" xr:uid="{00000000-0005-0000-0000-000017000000}"/>
    <cellStyle name="Lookup Table Label." xfId="26" xr:uid="{00000000-0005-0000-0000-000018000000}"/>
    <cellStyle name="Lookup Table Number." xfId="25" xr:uid="{00000000-0005-0000-0000-000019000000}"/>
    <cellStyle name="Model Name." xfId="3" xr:uid="{00000000-0005-0000-0000-00001A000000}"/>
    <cellStyle name="Multiple." xfId="21" xr:uid="{00000000-0005-0000-0000-00001B000000}"/>
    <cellStyle name="Normal" xfId="0" builtinId="0" customBuiltin="1"/>
    <cellStyle name="Number." xfId="19" xr:uid="{00000000-0005-0000-0000-00001D000000}"/>
    <cellStyle name="Percent" xfId="59" builtinId="5"/>
    <cellStyle name="Percentage." xfId="20" xr:uid="{00000000-0005-0000-0000-00001F000000}"/>
    <cellStyle name="Period Title." xfId="23" xr:uid="{00000000-0005-0000-0000-000020000000}"/>
    <cellStyle name="Presentation Currency." xfId="45" xr:uid="{00000000-0005-0000-0000-000021000000}"/>
    <cellStyle name="Presentation Date." xfId="47" xr:uid="{00000000-0005-0000-0000-000022000000}"/>
    <cellStyle name="Presentation Heading 1." xfId="37" xr:uid="{00000000-0005-0000-0000-000023000000}"/>
    <cellStyle name="Presentation Heading 2." xfId="38" xr:uid="{00000000-0005-0000-0000-000024000000}"/>
    <cellStyle name="Presentation Heading 3." xfId="39" xr:uid="{00000000-0005-0000-0000-000025000000}"/>
    <cellStyle name="Presentation Heading 4." xfId="40" xr:uid="{00000000-0005-0000-0000-000026000000}"/>
    <cellStyle name="Presentation Hyperlink Arrow." xfId="50" xr:uid="{00000000-0005-0000-0000-000027000000}"/>
    <cellStyle name="Presentation Hyperlink Check." xfId="51" xr:uid="{00000000-0005-0000-0000-000028000000}"/>
    <cellStyle name="Presentation Hyperlink Text." xfId="49" xr:uid="{00000000-0005-0000-0000-000029000000}"/>
    <cellStyle name="Presentation Model Name." xfId="36" xr:uid="{00000000-0005-0000-0000-00002A000000}"/>
    <cellStyle name="Presentation Multiple." xfId="44" xr:uid="{00000000-0005-0000-0000-00002B000000}"/>
    <cellStyle name="Presentation Normal." xfId="56" xr:uid="{00000000-0005-0000-0000-00002C000000}"/>
    <cellStyle name="Presentation Number." xfId="42" xr:uid="{00000000-0005-0000-0000-00002D000000}"/>
    <cellStyle name="Presentation Percentage." xfId="43" xr:uid="{00000000-0005-0000-0000-00002E000000}"/>
    <cellStyle name="Presentation Period Title." xfId="48" xr:uid="{00000000-0005-0000-0000-00002F000000}"/>
    <cellStyle name="Presentation Section Number." xfId="35" xr:uid="{00000000-0005-0000-0000-000030000000}"/>
    <cellStyle name="Presentation Sheet Title." xfId="34" xr:uid="{00000000-0005-0000-0000-000031000000}"/>
    <cellStyle name="Presentation Sub Total." xfId="41" xr:uid="{00000000-0005-0000-0000-000032000000}"/>
    <cellStyle name="Presentation TOC 1." xfId="52" xr:uid="{00000000-0005-0000-0000-000033000000}"/>
    <cellStyle name="Presentation TOC 2." xfId="53" xr:uid="{00000000-0005-0000-0000-000034000000}"/>
    <cellStyle name="Presentation TOC 3." xfId="54" xr:uid="{00000000-0005-0000-0000-000035000000}"/>
    <cellStyle name="Presentation TOC 4." xfId="55" xr:uid="{00000000-0005-0000-0000-000036000000}"/>
    <cellStyle name="Presentation Year." xfId="46" xr:uid="{00000000-0005-0000-0000-000037000000}"/>
    <cellStyle name="Section Number." xfId="2" xr:uid="{00000000-0005-0000-0000-000038000000}"/>
    <cellStyle name="Sheet Title." xfId="1" xr:uid="{00000000-0005-0000-0000-000039000000}"/>
    <cellStyle name="Sub Total." xfId="8" xr:uid="{00000000-0005-0000-0000-00003A000000}"/>
    <cellStyle name="Year." xfId="17" xr:uid="{00000000-0005-0000-0000-00003B000000}"/>
  </cellStyles>
  <dxfs count="9">
    <dxf>
      <font>
        <b/>
        <i val="0"/>
        <color indexed="58"/>
      </font>
    </dxf>
    <dxf>
      <font>
        <b/>
        <i/>
        <color indexed="58"/>
      </font>
    </dxf>
    <dxf>
      <font>
        <b/>
        <i val="0"/>
        <color indexed="58"/>
      </font>
    </dxf>
    <dxf>
      <font>
        <b/>
        <i/>
        <color indexed="58"/>
      </font>
    </dxf>
    <dxf>
      <font>
        <b/>
        <i/>
        <color indexed="58"/>
      </font>
    </dxf>
    <dxf>
      <font>
        <b/>
        <i val="0"/>
        <color indexed="58"/>
      </font>
    </dxf>
    <dxf>
      <font>
        <b/>
        <i val="0"/>
        <color indexed="58"/>
      </font>
    </dxf>
    <dxf>
      <font>
        <b/>
        <i/>
        <color indexed="58"/>
      </font>
    </dxf>
    <dxf>
      <font>
        <b/>
        <i val="0"/>
        <color indexed="58"/>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DC"/>
      <rgbColor rgb="00FF00FF"/>
      <rgbColor rgb="0000FFFF"/>
      <rgbColor rgb="00800000"/>
      <rgbColor rgb="00008000"/>
      <rgbColor rgb="00C0C0C0"/>
      <rgbColor rgb="00808000"/>
      <rgbColor rgb="00800080"/>
      <rgbColor rgb="00008080"/>
      <rgbColor rgb="00F0F0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2A5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79"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Summary_BO!$K$164</c:f>
              <c:strCache>
                <c:ptCount val="1"/>
                <c:pt idx="0">
                  <c:v>ECONOMIC COST (GOZ)</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Summary_BO!$K$165:$K$172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A04-4840-B146-D30DB9CA55E1}"/>
            </c:ext>
          </c:extLst>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6"/>
          <c:order val="0"/>
          <c:tx>
            <c:strRef>
              <c:f>Summary_BO!$O$164</c:f>
              <c:strCache>
                <c:ptCount val="1"/>
                <c:pt idx="0">
                  <c:v>ECONOMIC COST (USD)</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Summary_BO!$O$165:$O$172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D32-40C6-BF38-99587CDDE311}"/>
            </c:ext>
          </c:extLst>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7"/>
          <c:order val="7"/>
          <c:tx>
            <c:strRef>
              <c:f>Summary_BO!$I$164</c:f>
              <c:strCache>
                <c:ptCount val="1"/>
                <c:pt idx="0">
                  <c:v>FINANCIAL COST (GOZ)</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Summary_BO!$I$165:$I$172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E78C-4A34-9859-35DDF028A699}"/>
            </c:ext>
          </c:extLst>
        </c:ser>
        <c:ser>
          <c:idx val="8"/>
          <c:order val="8"/>
          <c:tx>
            <c:strRef>
              <c:f>Summary_BO!$J$164</c:f>
              <c:strCache>
                <c:ptCount val="1"/>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Summary_BO!$J$165:$J$172</c:f>
              <c:numCache>
                <c:formatCode>General</c:formatCode>
                <c:ptCount val="8"/>
              </c:numCache>
            </c:numRef>
          </c:val>
          <c:extLst>
            <c:ext xmlns:c16="http://schemas.microsoft.com/office/drawing/2014/chart" uri="{C3380CC4-5D6E-409C-BE32-E72D297353CC}">
              <c16:uniqueId val="{00000001-E78C-4A34-9859-35DDF028A699}"/>
            </c:ext>
          </c:extLst>
        </c:ser>
        <c:ser>
          <c:idx val="9"/>
          <c:order val="9"/>
          <c:tx>
            <c:strRef>
              <c:f>Summary_BO!$K$164</c:f>
              <c:strCache>
                <c:ptCount val="1"/>
                <c:pt idx="0">
                  <c:v>ECONOMIC COST (GOZ)</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Summary_BO!$K$165:$K$172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E78C-4A34-9859-35DDF028A699}"/>
            </c:ext>
          </c:extLst>
        </c:ser>
        <c:ser>
          <c:idx val="10"/>
          <c:order val="10"/>
          <c:tx>
            <c:strRef>
              <c:f>Summary_BO!$L$164</c:f>
              <c:strCache>
                <c:ptCount val="1"/>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Summary_BO!$L$165:$L$172</c:f>
              <c:numCache>
                <c:formatCode>_(#,##0_);\(#,##0\);_("-"_);_)@_)</c:formatCode>
                <c:ptCount val="8"/>
              </c:numCache>
            </c:numRef>
          </c:val>
          <c:extLst>
            <c:ext xmlns:c16="http://schemas.microsoft.com/office/drawing/2014/chart" uri="{C3380CC4-5D6E-409C-BE32-E72D297353CC}">
              <c16:uniqueId val="{00000003-E78C-4A34-9859-35DDF028A699}"/>
            </c:ext>
          </c:extLst>
        </c:ser>
        <c:ser>
          <c:idx val="11"/>
          <c:order val="11"/>
          <c:tx>
            <c:strRef>
              <c:f>Summary_BO!$M$164</c:f>
              <c:strCache>
                <c:ptCount val="1"/>
                <c:pt idx="0">
                  <c:v>FINANCIAL COST (USD)</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Summary_BO!$M$165:$M$172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E78C-4A34-9859-35DDF028A699}"/>
            </c:ext>
          </c:extLst>
        </c:ser>
        <c:ser>
          <c:idx val="12"/>
          <c:order val="12"/>
          <c:tx>
            <c:strRef>
              <c:f>Summary_BO!$N$164</c:f>
              <c:strCache>
                <c:ptCount val="1"/>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Summary_BO!$N$165:$N$172</c:f>
              <c:numCache>
                <c:formatCode>General</c:formatCode>
                <c:ptCount val="8"/>
              </c:numCache>
            </c:numRef>
          </c:val>
          <c:extLst>
            <c:ext xmlns:c16="http://schemas.microsoft.com/office/drawing/2014/chart" uri="{C3380CC4-5D6E-409C-BE32-E72D297353CC}">
              <c16:uniqueId val="{00000005-E78C-4A34-9859-35DDF028A699}"/>
            </c:ext>
          </c:extLst>
        </c:ser>
        <c:ser>
          <c:idx val="13"/>
          <c:order val="13"/>
          <c:tx>
            <c:strRef>
              <c:f>Summary_BO!$O$164</c:f>
              <c:strCache>
                <c:ptCount val="1"/>
                <c:pt idx="0">
                  <c:v>ECONOMIC COST (USD)</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Summary_BO!$O$165:$O$172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E78C-4A34-9859-35DDF028A699}"/>
            </c:ext>
          </c:extLst>
        </c:ser>
        <c:ser>
          <c:idx val="0"/>
          <c:order val="0"/>
          <c:tx>
            <c:strRef>
              <c:f>Summary_BO!$I$164</c:f>
              <c:strCache>
                <c:ptCount val="1"/>
                <c:pt idx="0">
                  <c:v>FINANCIAL COST (GOZ)</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Summary_BO!$I$165:$I$172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E78C-4A34-9859-35DDF028A699}"/>
            </c:ext>
          </c:extLst>
        </c:ser>
        <c:ser>
          <c:idx val="1"/>
          <c:order val="1"/>
          <c:tx>
            <c:strRef>
              <c:f>Summary_BO!$J$164</c:f>
              <c:strCache>
                <c:ptCount val="1"/>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Summary_BO!$J$165:$J$172</c:f>
              <c:numCache>
                <c:formatCode>General</c:formatCode>
                <c:ptCount val="8"/>
              </c:numCache>
            </c:numRef>
          </c:val>
          <c:extLst>
            <c:ext xmlns:c16="http://schemas.microsoft.com/office/drawing/2014/chart" uri="{C3380CC4-5D6E-409C-BE32-E72D297353CC}">
              <c16:uniqueId val="{00000008-E78C-4A34-9859-35DDF028A699}"/>
            </c:ext>
          </c:extLst>
        </c:ser>
        <c:ser>
          <c:idx val="2"/>
          <c:order val="2"/>
          <c:tx>
            <c:strRef>
              <c:f>Summary_BO!$K$164</c:f>
              <c:strCache>
                <c:ptCount val="1"/>
                <c:pt idx="0">
                  <c:v>ECONOMIC COST (GOZ)</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Summary_BO!$K$165:$K$172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E78C-4A34-9859-35DDF028A699}"/>
            </c:ext>
          </c:extLst>
        </c:ser>
        <c:ser>
          <c:idx val="3"/>
          <c:order val="3"/>
          <c:tx>
            <c:strRef>
              <c:f>Summary_BO!$L$164</c:f>
              <c:strCache>
                <c:ptCount val="1"/>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Summary_BO!$L$165:$L$172</c:f>
              <c:numCache>
                <c:formatCode>_(#,##0_);\(#,##0\);_("-"_);_)@_)</c:formatCode>
                <c:ptCount val="8"/>
              </c:numCache>
            </c:numRef>
          </c:val>
          <c:extLst>
            <c:ext xmlns:c16="http://schemas.microsoft.com/office/drawing/2014/chart" uri="{C3380CC4-5D6E-409C-BE32-E72D297353CC}">
              <c16:uniqueId val="{0000000A-E78C-4A34-9859-35DDF028A699}"/>
            </c:ext>
          </c:extLst>
        </c:ser>
        <c:ser>
          <c:idx val="4"/>
          <c:order val="4"/>
          <c:tx>
            <c:strRef>
              <c:f>Summary_BO!$M$164</c:f>
              <c:strCache>
                <c:ptCount val="1"/>
                <c:pt idx="0">
                  <c:v>FINANCIAL COST (USD)</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Summary_BO!$M$165:$M$172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E78C-4A34-9859-35DDF028A699}"/>
            </c:ext>
          </c:extLst>
        </c:ser>
        <c:ser>
          <c:idx val="5"/>
          <c:order val="5"/>
          <c:tx>
            <c:strRef>
              <c:f>Summary_BO!$N$164</c:f>
              <c:strCache>
                <c:ptCount val="1"/>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Summary_BO!$N$165:$N$172</c:f>
              <c:numCache>
                <c:formatCode>General</c:formatCode>
                <c:ptCount val="8"/>
              </c:numCache>
            </c:numRef>
          </c:val>
          <c:extLst>
            <c:ext xmlns:c16="http://schemas.microsoft.com/office/drawing/2014/chart" uri="{C3380CC4-5D6E-409C-BE32-E72D297353CC}">
              <c16:uniqueId val="{0000000C-E78C-4A34-9859-35DDF028A699}"/>
            </c:ext>
          </c:extLst>
        </c:ser>
        <c:ser>
          <c:idx val="6"/>
          <c:order val="6"/>
          <c:tx>
            <c:strRef>
              <c:f>Summary_BO!$O$164</c:f>
              <c:strCache>
                <c:ptCount val="1"/>
                <c:pt idx="0">
                  <c:v>ECONOMIC COST (USD)</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Summary_BO!$O$165:$O$172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D-E78C-4A34-9859-35DDF028A699}"/>
            </c:ext>
          </c:extLst>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4"/>
          <c:order val="0"/>
          <c:tx>
            <c:strRef>
              <c:f>Summary_BO!$M$164</c:f>
              <c:strCache>
                <c:ptCount val="1"/>
                <c:pt idx="0">
                  <c:v>FINANCIAL COST (USD)</c:v>
                </c:pt>
              </c:strCache>
            </c:strRef>
          </c:tx>
          <c:cat>
            <c:strRef>
              <c:f>Summary_BO!$C$165:$H$172</c:f>
              <c:strCache>
                <c:ptCount val="8"/>
                <c:pt idx="0">
                  <c:v>Vaccine Procurement and Shipment</c:v>
                </c:pt>
                <c:pt idx="1">
                  <c:v>Microplanning</c:v>
                </c:pt>
                <c:pt idx="2">
                  <c:v>Sensitisation</c:v>
                </c:pt>
                <c:pt idx="3">
                  <c:v>Communication Materials</c:v>
                </c:pt>
                <c:pt idx="4">
                  <c:v>Training</c:v>
                </c:pt>
                <c:pt idx="5">
                  <c:v>Social Mobilisation</c:v>
                </c:pt>
                <c:pt idx="6">
                  <c:v>Vaccination - Round 1</c:v>
                </c:pt>
                <c:pt idx="7">
                  <c:v>Vaccination - Round 2</c:v>
                </c:pt>
              </c:strCache>
            </c:strRef>
          </c:cat>
          <c:val>
            <c:numRef>
              <c:f>Summary_BO!$M$165:$M$172</c:f>
              <c:numCache>
                <c:formatCode>_("$"#,##0_);\("$"#,##0\);_("-"_);_)@_)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F5F-4CC9-807B-62BFA40C4C2B}"/>
            </c:ext>
          </c:extLst>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12" dropStyle="combo" dx="23" fmlaLink="DD_TS_Fin_Yr_End_Mth" fmlaRange="LU_TS_Mth_Names" noThreeD="1" sel="12" val="0"/>
</file>

<file path=xl/ctrlProps/ctrlProp10.xml><?xml version="1.0" encoding="utf-8"?>
<formControlPr xmlns="http://schemas.microsoft.com/office/spreadsheetml/2009/9/main" objectType="Drop" dropLines="2" dropStyle="combo" dx="23" fmlaLink="DD_ACT_19_Meet1_Curr" fmlaRange="LU_ACT_19_Meet_Curr" noThreeD="1" sel="2" val="0"/>
</file>

<file path=xl/ctrlProps/ctrlProp11.xml><?xml version="1.0" encoding="utf-8"?>
<formControlPr xmlns="http://schemas.microsoft.com/office/spreadsheetml/2009/9/main" objectType="Drop" dropLines="2" dropStyle="combo" dx="23" fmlaLink="DD_ACT_20_Meet1_Curr" fmlaRange="LU_ACT_20_Meet_Curr" noThreeD="1" sel="2" val="0"/>
</file>

<file path=xl/ctrlProps/ctrlProp12.xml><?xml version="1.0" encoding="utf-8"?>
<formControlPr xmlns="http://schemas.microsoft.com/office/spreadsheetml/2009/9/main" objectType="Drop" dropLines="2" dropStyle="combo" dx="23" fmlaLink="DD_ACT_25_Meet1_Curr" fmlaRange="LU_ACT_25_Meet_Curr" noThreeD="1" sel="1" val="0"/>
</file>

<file path=xl/ctrlProps/ctrlProp13.xml><?xml version="1.0" encoding="utf-8"?>
<formControlPr xmlns="http://schemas.microsoft.com/office/spreadsheetml/2009/9/main" objectType="Drop" dropLines="2" dropStyle="combo" dx="23" fmlaLink="DD_ACT_3_Meet1_Curr" fmlaRange="LU_ACT_3_Meet_Curr" noThreeD="1" sel="2" val="0"/>
</file>

<file path=xl/ctrlProps/ctrlProp14.xml><?xml version="1.0" encoding="utf-8"?>
<formControlPr xmlns="http://schemas.microsoft.com/office/spreadsheetml/2009/9/main" objectType="Drop" dropLines="2" dropStyle="combo" dx="23" fmlaLink="DD_ACT_4_Meet1_Curr" fmlaRange="LU_ACT_4_Meet_Curr" noThreeD="1" sel="2" val="0"/>
</file>

<file path=xl/ctrlProps/ctrlProp15.xml><?xml version="1.0" encoding="utf-8"?>
<formControlPr xmlns="http://schemas.microsoft.com/office/spreadsheetml/2009/9/main" objectType="Drop" dropLines="2" dropStyle="combo" dx="23" fmlaLink="DD_ACT_5_Meet1_Curr" fmlaRange="LU_ACT_5_Meet_Curr" noThreeD="1" sel="2" val="0"/>
</file>

<file path=xl/ctrlProps/ctrlProp16.xml><?xml version="1.0" encoding="utf-8"?>
<formControlPr xmlns="http://schemas.microsoft.com/office/spreadsheetml/2009/9/main" objectType="Drop" dropLines="2" dropStyle="combo" dx="23" fmlaLink="DD_ACT_7_Meet1_Curr" fmlaRange="LU_ACT_7_Meet_Curr" noThreeD="1" sel="2" val="0"/>
</file>

<file path=xl/ctrlProps/ctrlProp17.xml><?xml version="1.0" encoding="utf-8"?>
<formControlPr xmlns="http://schemas.microsoft.com/office/spreadsheetml/2009/9/main" objectType="Drop" dropLines="2" dropStyle="combo" dx="23" fmlaLink="DD_ACT_8_Meet1_Curr" fmlaRange="LU_ACT_8_Meet_Curr" noThreeD="1" sel="2" val="0"/>
</file>

<file path=xl/ctrlProps/ctrlProp18.xml><?xml version="1.0" encoding="utf-8"?>
<formControlPr xmlns="http://schemas.microsoft.com/office/spreadsheetml/2009/9/main" objectType="Drop" dropLines="2" dropStyle="combo" dx="23" fmlaLink="DD_ACT_9_Meet1_Curr" fmlaRange="LU_ACT_9_Meet_Curr" noThreeD="1" sel="2" val="0"/>
</file>

<file path=xl/ctrlProps/ctrlProp19.xml><?xml version="1.0" encoding="utf-8"?>
<formControlPr xmlns="http://schemas.microsoft.com/office/spreadsheetml/2009/9/main" objectType="Drop" dropLines="2" dropStyle="combo" dx="23" fmlaLink="DD_ACT_10_Meet1_Curr" fmlaRange="LU_ACT_10_Meet_Curr" noThreeD="1" sel="2" val="0"/>
</file>

<file path=xl/ctrlProps/ctrlProp2.xml><?xml version="1.0" encoding="utf-8"?>
<formControlPr xmlns="http://schemas.microsoft.com/office/spreadsheetml/2009/9/main" objectType="Drop" dropLines="4" dropStyle="combo" dx="23" fmlaLink="DD_TS_Denom" fmlaRange="LU_TS_Denom" noThreeD="1" sel="1" val="0"/>
</file>

<file path=xl/ctrlProps/ctrlProp20.xml><?xml version="1.0" encoding="utf-8"?>
<formControlPr xmlns="http://schemas.microsoft.com/office/spreadsheetml/2009/9/main" objectType="Drop" dropLines="2" dropStyle="combo" dx="23" fmlaLink="DD_ACT_11_Meet1_Curr" fmlaRange="LU_ACT_11_Meet_Curr" noThreeD="1" sel="2" val="0"/>
</file>

<file path=xl/ctrlProps/ctrlProp21.xml><?xml version="1.0" encoding="utf-8"?>
<formControlPr xmlns="http://schemas.microsoft.com/office/spreadsheetml/2009/9/main" objectType="Drop" dropLines="2" dropStyle="combo" dx="23" fmlaLink="DD_ACT_12_Meet1_Curr" fmlaRange="LU_ACT_12_Meet_Curr" noThreeD="1" sel="2" val="0"/>
</file>

<file path=xl/ctrlProps/ctrlProp22.xml><?xml version="1.0" encoding="utf-8"?>
<formControlPr xmlns="http://schemas.microsoft.com/office/spreadsheetml/2009/9/main" objectType="Drop" dropLines="2" dropStyle="combo" dx="23" fmlaLink="DD_ACT_13_Meet1_Curr" fmlaRange="LU_ACT_13_Meet_Curr" noThreeD="1" sel="2" val="0"/>
</file>

<file path=xl/ctrlProps/ctrlProp23.xml><?xml version="1.0" encoding="utf-8"?>
<formControlPr xmlns="http://schemas.microsoft.com/office/spreadsheetml/2009/9/main" objectType="Drop" dropLines="2" dropStyle="combo" dx="23" fmlaLink="DD_ACT_23_Meet1_Curr" fmlaRange="LU_ACT_23_Meet_Curr" noThreeD="1" sel="2" val="0"/>
</file>

<file path=xl/ctrlProps/ctrlProp24.xml><?xml version="1.0" encoding="utf-8"?>
<formControlPr xmlns="http://schemas.microsoft.com/office/spreadsheetml/2009/9/main" objectType="Drop" dropLines="2" dropStyle="combo" dx="23" fmlaLink="DD_ACT_26_Meet1_Curr" fmlaRange="LU_ACT_26_Meet_Curr" noThreeD="1" sel="2" val="0"/>
</file>

<file path=xl/ctrlProps/ctrlProp25.xml><?xml version="1.0" encoding="utf-8"?>
<formControlPr xmlns="http://schemas.microsoft.com/office/spreadsheetml/2009/9/main" objectType="Drop" dropLines="2" dropStyle="combo" dx="23" fmlaLink="DD_ACT_14_Meet1_Curr" fmlaRange="LU_ACT_14_Meet_Curr" noThreeD="1" sel="2" val="0"/>
</file>

<file path=xl/ctrlProps/ctrlProp26.xml><?xml version="1.0" encoding="utf-8"?>
<formControlPr xmlns="http://schemas.microsoft.com/office/spreadsheetml/2009/9/main" objectType="Drop" dropLines="2" dropStyle="combo" dx="23" fmlaLink="DD_ACT_15_Meet1_Curr" fmlaRange="LU_ACT_15_Meet_Curr" noThreeD="1" sel="2" val="0"/>
</file>

<file path=xl/ctrlProps/ctrlProp27.xml><?xml version="1.0" encoding="utf-8"?>
<formControlPr xmlns="http://schemas.microsoft.com/office/spreadsheetml/2009/9/main" objectType="Drop" dropLines="2" dropStyle="combo" dx="23" fmlaLink="DD_ACT_16_Meet1_Curr" fmlaRange="LU_ACT_16_Meet_Curr" noThreeD="1" sel="2" val="0"/>
</file>

<file path=xl/ctrlProps/ctrlProp28.xml><?xml version="1.0" encoding="utf-8"?>
<formControlPr xmlns="http://schemas.microsoft.com/office/spreadsheetml/2009/9/main" objectType="Drop" dropLines="2" dropStyle="combo" dx="23" fmlaLink="DD_ACT_24_Meet1_Curr" fmlaRange="LU_ACT_24_Meet_Curr" noThreeD="1" sel="2" val="0"/>
</file>

<file path=xl/ctrlProps/ctrlProp29.xml><?xml version="1.0" encoding="utf-8"?>
<formControlPr xmlns="http://schemas.microsoft.com/office/spreadsheetml/2009/9/main" objectType="CheckBox" checked="Checked" fmlaLink="CB_Err_Chks_Show_Msg" lockText="1" noThreeD="1"/>
</file>

<file path=xl/ctrlProps/ctrlProp3.xml><?xml version="1.0" encoding="utf-8"?>
<formControlPr xmlns="http://schemas.microsoft.com/office/spreadsheetml/2009/9/main" objectType="Drop" dropLines="2" dropStyle="combo" dx="23" fmlaLink="DD_ACT_Meet1_Curr" fmlaRange="LU_ACT_Meet_Curr" noThreeD="1" sel="2" val="0"/>
</file>

<file path=xl/ctrlProps/ctrlProp30.xml><?xml version="1.0" encoding="utf-8"?>
<formControlPr xmlns="http://schemas.microsoft.com/office/spreadsheetml/2009/9/main" objectType="CheckBox" checked="Checked" fmlaLink="CB_Alt_Chks_Show_Msg" lockText="1" noThreeD="1"/>
</file>

<file path=xl/ctrlProps/ctrlProp4.xml><?xml version="1.0" encoding="utf-8"?>
<formControlPr xmlns="http://schemas.microsoft.com/office/spreadsheetml/2009/9/main" objectType="Drop" dropLines="2" dropStyle="combo" dx="23" fmlaLink="DD_ACT_2_Meet1_Curr" fmlaRange="LU_ACT_2_Meet_Curr" noThreeD="1" sel="2" val="0"/>
</file>

<file path=xl/ctrlProps/ctrlProp5.xml><?xml version="1.0" encoding="utf-8"?>
<formControlPr xmlns="http://schemas.microsoft.com/office/spreadsheetml/2009/9/main" objectType="Drop" dropLines="2" dropStyle="combo" dx="23" fmlaLink="DD_ACT_6_Meet1_Curr" fmlaRange="LU_ACT_6_Meet_Curr" noThreeD="1" sel="2" val="0"/>
</file>

<file path=xl/ctrlProps/ctrlProp6.xml><?xml version="1.0" encoding="utf-8"?>
<formControlPr xmlns="http://schemas.microsoft.com/office/spreadsheetml/2009/9/main" objectType="Drop" dropLines="2" dropStyle="combo" dx="23" fmlaLink="DD_ACT_21_Meet1_Curr" fmlaRange="LU_ACT_21_Meet_Curr" noThreeD="1" sel="2" val="0"/>
</file>

<file path=xl/ctrlProps/ctrlProp7.xml><?xml version="1.0" encoding="utf-8"?>
<formControlPr xmlns="http://schemas.microsoft.com/office/spreadsheetml/2009/9/main" objectType="Drop" dropLines="2" dropStyle="combo" dx="23" fmlaLink="DD_ACT_22_Meet1_Curr" fmlaRange="LU_ACT_22_Meet_Curr" noThreeD="1" sel="2" val="0"/>
</file>

<file path=xl/ctrlProps/ctrlProp8.xml><?xml version="1.0" encoding="utf-8"?>
<formControlPr xmlns="http://schemas.microsoft.com/office/spreadsheetml/2009/9/main" objectType="Drop" dropLines="2" dropStyle="combo" dx="23" fmlaLink="DD_ACT_17_Meet1_Curr" fmlaRange="LU_ACT_17_Meet_Curr" noThreeD="1" sel="2" val="0"/>
</file>

<file path=xl/ctrlProps/ctrlProp9.xml><?xml version="1.0" encoding="utf-8"?>
<formControlPr xmlns="http://schemas.microsoft.com/office/spreadsheetml/2009/9/main" objectType="Drop" dropLines="2" dropStyle="combo" dx="23" fmlaLink="DD_ACT_18_Meet1_Curr" fmlaRange="LU_ACT_18_Meet_Curr"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641351</xdr:colOff>
      <xdr:row>12</xdr:row>
      <xdr:rowOff>25400</xdr:rowOff>
    </xdr:from>
    <xdr:to>
      <xdr:col>8</xdr:col>
      <xdr:colOff>260351</xdr:colOff>
      <xdr:row>16</xdr:row>
      <xdr:rowOff>137049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4301" y="2209800"/>
          <a:ext cx="3549650" cy="772049"/>
        </a:xfrm>
        <a:prstGeom prst="rect">
          <a:avLst/>
        </a:prstGeom>
      </xdr:spPr>
    </xdr:pic>
    <xdr:clientData/>
  </xdr:twoCellAnchor>
  <xdr:twoCellAnchor editAs="oneCell">
    <xdr:from>
      <xdr:col>0</xdr:col>
      <xdr:colOff>50800</xdr:colOff>
      <xdr:row>1</xdr:row>
      <xdr:rowOff>12701</xdr:rowOff>
    </xdr:from>
    <xdr:to>
      <xdr:col>1</xdr:col>
      <xdr:colOff>520700</xdr:colOff>
      <xdr:row>8</xdr:row>
      <xdr:rowOff>1788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50800" y="177801"/>
          <a:ext cx="1212850" cy="1262262"/>
        </a:xfrm>
        <a:prstGeom prst="rect">
          <a:avLst/>
        </a:prstGeom>
      </xdr:spPr>
    </xdr:pic>
    <xdr:clientData/>
  </xdr:twoCellAnchor>
  <xdr:twoCellAnchor>
    <xdr:from>
      <xdr:col>12</xdr:col>
      <xdr:colOff>355090</xdr:colOff>
      <xdr:row>4</xdr:row>
      <xdr:rowOff>73025</xdr:rowOff>
    </xdr:from>
    <xdr:to>
      <xdr:col>16</xdr:col>
      <xdr:colOff>488950</xdr:colOff>
      <xdr:row>14</xdr:row>
      <xdr:rowOff>152400</xdr:rowOff>
    </xdr:to>
    <xdr:sp macro="" textlink="">
      <xdr:nvSpPr>
        <xdr:cNvPr id="26" name="Rectangle 25">
          <a:extLst>
            <a:ext uri="{FF2B5EF4-FFF2-40B4-BE49-F238E27FC236}">
              <a16:creationId xmlns:a16="http://schemas.microsoft.com/office/drawing/2014/main" id="{00000000-0008-0000-0000-00001A000000}"/>
            </a:ext>
          </a:extLst>
        </xdr:cNvPr>
        <xdr:cNvSpPr/>
      </xdr:nvSpPr>
      <xdr:spPr>
        <a:xfrm>
          <a:off x="7594090" y="825500"/>
          <a:ext cx="3258060" cy="2012950"/>
        </a:xfrm>
        <a:prstGeom prst="rect">
          <a:avLst/>
        </a:prstGeom>
        <a:solidFill>
          <a:schemeClr val="bg2"/>
        </a:solidFill>
        <a:ln w="38100"/>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clientData/>
  </xdr:twoCellAnchor>
  <xdr:twoCellAnchor>
    <xdr:from>
      <xdr:col>14</xdr:col>
      <xdr:colOff>635000</xdr:colOff>
      <xdr:row>5</xdr:row>
      <xdr:rowOff>38100</xdr:rowOff>
    </xdr:from>
    <xdr:to>
      <xdr:col>16</xdr:col>
      <xdr:colOff>426096</xdr:colOff>
      <xdr:row>11</xdr:row>
      <xdr:rowOff>96112</xdr:rowOff>
    </xdr:to>
    <xdr:grpSp>
      <xdr:nvGrpSpPr>
        <xdr:cNvPr id="9" name="Graphic5">
          <a:extLst>
            <a:ext uri="{FF2B5EF4-FFF2-40B4-BE49-F238E27FC236}">
              <a16:creationId xmlns:a16="http://schemas.microsoft.com/office/drawing/2014/main" id="{00000000-0008-0000-0000-000009000000}"/>
            </a:ext>
          </a:extLst>
        </xdr:cNvPr>
        <xdr:cNvGrpSpPr/>
      </xdr:nvGrpSpPr>
      <xdr:grpSpPr>
        <a:xfrm>
          <a:off x="10464800" y="1005840"/>
          <a:ext cx="1391296" cy="1345792"/>
          <a:chOff x="1603443" y="3571013"/>
          <a:chExt cx="2045516" cy="2094655"/>
        </a:xfrm>
      </xdr:grpSpPr>
      <xdr:sp macro="" textlink="">
        <xdr:nvSpPr>
          <xdr:cNvPr id="10" name="Chord 9">
            <a:extLst>
              <a:ext uri="{FF2B5EF4-FFF2-40B4-BE49-F238E27FC236}">
                <a16:creationId xmlns:a16="http://schemas.microsoft.com/office/drawing/2014/main" id="{00000000-0008-0000-0000-00000A000000}"/>
              </a:ext>
            </a:extLst>
          </xdr:cNvPr>
          <xdr:cNvSpPr/>
        </xdr:nvSpPr>
        <xdr:spPr>
          <a:xfrm rot="5229915">
            <a:off x="1613574" y="3639827"/>
            <a:ext cx="2022861" cy="2028821"/>
          </a:xfrm>
          <a:prstGeom prst="chord">
            <a:avLst>
              <a:gd name="adj1" fmla="val 5730325"/>
              <a:gd name="adj2" fmla="val 16200000"/>
            </a:avLst>
          </a:prstGeom>
          <a:solidFill>
            <a:srgbClr val="00B05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1" name="Chord 10">
            <a:extLst>
              <a:ext uri="{FF2B5EF4-FFF2-40B4-BE49-F238E27FC236}">
                <a16:creationId xmlns:a16="http://schemas.microsoft.com/office/drawing/2014/main" id="{00000000-0008-0000-0000-00000B000000}"/>
              </a:ext>
            </a:extLst>
          </xdr:cNvPr>
          <xdr:cNvSpPr/>
        </xdr:nvSpPr>
        <xdr:spPr>
          <a:xfrm rot="16013712">
            <a:off x="1614770" y="3559686"/>
            <a:ext cx="2022861" cy="2045516"/>
          </a:xfrm>
          <a:prstGeom prst="chord">
            <a:avLst>
              <a:gd name="adj1" fmla="val 5756268"/>
              <a:gd name="adj2" fmla="val 16200000"/>
            </a:avLst>
          </a:prstGeom>
          <a:solidFill>
            <a:srgbClr val="2A504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O156">
        <xdr:nvSpPr>
          <xdr:cNvPr id="12" name="TextBox 11">
            <a:extLst>
              <a:ext uri="{FF2B5EF4-FFF2-40B4-BE49-F238E27FC236}">
                <a16:creationId xmlns:a16="http://schemas.microsoft.com/office/drawing/2014/main" id="{00000000-0008-0000-0000-00000C000000}"/>
              </a:ext>
            </a:extLst>
          </xdr:cNvPr>
          <xdr:cNvSpPr txBox="1"/>
        </xdr:nvSpPr>
        <xdr:spPr>
          <a:xfrm>
            <a:off x="1924185" y="3803912"/>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301BFB0-9B06-4EB1-A80F-AD761BBE08E7}"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O157">
        <xdr:nvSpPr>
          <xdr:cNvPr id="14" name="TextBox 13">
            <a:extLst>
              <a:ext uri="{FF2B5EF4-FFF2-40B4-BE49-F238E27FC236}">
                <a16:creationId xmlns:a16="http://schemas.microsoft.com/office/drawing/2014/main" id="{00000000-0008-0000-0000-00000E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FA00C97-EF9C-4E71-B5C4-EDBDAB4121B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clientData/>
  </xdr:twoCellAnchor>
  <xdr:twoCellAnchor>
    <xdr:from>
      <xdr:col>12</xdr:col>
      <xdr:colOff>565150</xdr:colOff>
      <xdr:row>5</xdr:row>
      <xdr:rowOff>69850</xdr:rowOff>
    </xdr:from>
    <xdr:to>
      <xdr:col>14</xdr:col>
      <xdr:colOff>356246</xdr:colOff>
      <xdr:row>11</xdr:row>
      <xdr:rowOff>127862</xdr:rowOff>
    </xdr:to>
    <xdr:grpSp>
      <xdr:nvGrpSpPr>
        <xdr:cNvPr id="16" name="Graphic5">
          <a:extLst>
            <a:ext uri="{FF2B5EF4-FFF2-40B4-BE49-F238E27FC236}">
              <a16:creationId xmlns:a16="http://schemas.microsoft.com/office/drawing/2014/main" id="{00000000-0008-0000-0000-000010000000}"/>
            </a:ext>
          </a:extLst>
        </xdr:cNvPr>
        <xdr:cNvGrpSpPr/>
      </xdr:nvGrpSpPr>
      <xdr:grpSpPr>
        <a:xfrm>
          <a:off x="8794750" y="1037590"/>
          <a:ext cx="1391296" cy="1345792"/>
          <a:chOff x="1603443" y="3571013"/>
          <a:chExt cx="2045516" cy="2094655"/>
        </a:xfrm>
      </xdr:grpSpPr>
      <xdr:sp macro="" textlink="">
        <xdr:nvSpPr>
          <xdr:cNvPr id="17" name="Chord 16">
            <a:extLst>
              <a:ext uri="{FF2B5EF4-FFF2-40B4-BE49-F238E27FC236}">
                <a16:creationId xmlns:a16="http://schemas.microsoft.com/office/drawing/2014/main" id="{00000000-0008-0000-0000-000011000000}"/>
              </a:ext>
            </a:extLst>
          </xdr:cNvPr>
          <xdr:cNvSpPr/>
        </xdr:nvSpPr>
        <xdr:spPr>
          <a:xfrm rot="5229915">
            <a:off x="1613574" y="3639827"/>
            <a:ext cx="2022861" cy="2028821"/>
          </a:xfrm>
          <a:prstGeom prst="chord">
            <a:avLst>
              <a:gd name="adj1" fmla="val 5730325"/>
              <a:gd name="adj2" fmla="val 16200000"/>
            </a:avLst>
          </a:prstGeom>
          <a:solidFill>
            <a:schemeClr val="tx2">
              <a:lumMod val="60000"/>
              <a:lumOff val="4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8" name="Chord 17">
            <a:extLst>
              <a:ext uri="{FF2B5EF4-FFF2-40B4-BE49-F238E27FC236}">
                <a16:creationId xmlns:a16="http://schemas.microsoft.com/office/drawing/2014/main" id="{00000000-0008-0000-0000-000012000000}"/>
              </a:ext>
            </a:extLst>
          </xdr:cNvPr>
          <xdr:cNvSpPr/>
        </xdr:nvSpPr>
        <xdr:spPr>
          <a:xfrm rot="16013712">
            <a:off x="1614770" y="3559686"/>
            <a:ext cx="2022861" cy="2045516"/>
          </a:xfrm>
          <a:prstGeom prst="chord">
            <a:avLst>
              <a:gd name="adj1" fmla="val 5756268"/>
              <a:gd name="adj2" fmla="val 16200000"/>
            </a:avLst>
          </a:prstGeom>
          <a:solidFill>
            <a:srgbClr val="00206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M156">
        <xdr:nvSpPr>
          <xdr:cNvPr id="19" name="TextBox 18">
            <a:extLst>
              <a:ext uri="{FF2B5EF4-FFF2-40B4-BE49-F238E27FC236}">
                <a16:creationId xmlns:a16="http://schemas.microsoft.com/office/drawing/2014/main" id="{00000000-0008-0000-0000-000013000000}"/>
              </a:ext>
            </a:extLst>
          </xdr:cNvPr>
          <xdr:cNvSpPr txBox="1"/>
        </xdr:nvSpPr>
        <xdr:spPr>
          <a:xfrm>
            <a:off x="1924185" y="3813928"/>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F2FA77E-F82A-42A6-97DC-070048539D6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M157">
        <xdr:nvSpPr>
          <xdr:cNvPr id="21" name="TextBox 20">
            <a:extLst>
              <a:ext uri="{FF2B5EF4-FFF2-40B4-BE49-F238E27FC236}">
                <a16:creationId xmlns:a16="http://schemas.microsoft.com/office/drawing/2014/main" id="{00000000-0008-0000-0000-000015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8093E3F-642E-425E-807E-EED6B35FC71C}"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clientData/>
  </xdr:twoCellAnchor>
  <xdr:twoCellAnchor editAs="oneCell">
    <xdr:from>
      <xdr:col>8</xdr:col>
      <xdr:colOff>650875</xdr:colOff>
      <xdr:row>28</xdr:row>
      <xdr:rowOff>90776</xdr:rowOff>
    </xdr:from>
    <xdr:to>
      <xdr:col>11</xdr:col>
      <xdr:colOff>536575</xdr:colOff>
      <xdr:row>32</xdr:row>
      <xdr:rowOff>85724</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5346700" y="5129501"/>
          <a:ext cx="2228850" cy="642648"/>
        </a:xfrm>
        <a:prstGeom prst="rect">
          <a:avLst/>
        </a:prstGeom>
      </xdr:spPr>
    </xdr:pic>
    <xdr:clientData/>
  </xdr:twoCellAnchor>
  <xdr:twoCellAnchor editAs="oneCell">
    <xdr:from>
      <xdr:col>12</xdr:col>
      <xdr:colOff>368300</xdr:colOff>
      <xdr:row>28</xdr:row>
      <xdr:rowOff>98425</xdr:rowOff>
    </xdr:from>
    <xdr:to>
      <xdr:col>14</xdr:col>
      <xdr:colOff>304873</xdr:colOff>
      <xdr:row>31</xdr:row>
      <xdr:rowOff>66699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8325" y="5137150"/>
          <a:ext cx="1498673" cy="4540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74753" name="bpmDropDownACT_7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355</xdr:row>
          <xdr:rowOff>0</xdr:rowOff>
        </xdr:from>
        <xdr:to>
          <xdr:col>9</xdr:col>
          <xdr:colOff>0</xdr:colOff>
          <xdr:row>356</xdr:row>
          <xdr:rowOff>0</xdr:rowOff>
        </xdr:to>
        <xdr:sp macro="" textlink="">
          <xdr:nvSpPr>
            <xdr:cNvPr id="74754" name="bpmDropDownACT_81" hidden="1">
              <a:extLst>
                <a:ext uri="{63B3BB69-23CF-44E3-9099-C40C66FF867C}">
                  <a14:compatExt spid="_x0000_s74754"/>
                </a:ext>
                <a:ext uri="{FF2B5EF4-FFF2-40B4-BE49-F238E27FC236}">
                  <a16:creationId xmlns:a16="http://schemas.microsoft.com/office/drawing/2014/main" id="{00000000-0008-0000-1200-0000022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703</xdr:row>
          <xdr:rowOff>0</xdr:rowOff>
        </xdr:from>
        <xdr:to>
          <xdr:col>9</xdr:col>
          <xdr:colOff>0</xdr:colOff>
          <xdr:row>704</xdr:row>
          <xdr:rowOff>0</xdr:rowOff>
        </xdr:to>
        <xdr:sp macro="" textlink="">
          <xdr:nvSpPr>
            <xdr:cNvPr id="74755" name="bpmDropDownACT_91" hidden="1">
              <a:extLst>
                <a:ext uri="{63B3BB69-23CF-44E3-9099-C40C66FF867C}">
                  <a14:compatExt spid="_x0000_s74755"/>
                </a:ext>
                <a:ext uri="{FF2B5EF4-FFF2-40B4-BE49-F238E27FC236}">
                  <a16:creationId xmlns:a16="http://schemas.microsoft.com/office/drawing/2014/main" id="{00000000-0008-0000-1200-0000032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1052</xdr:row>
          <xdr:rowOff>0</xdr:rowOff>
        </xdr:from>
        <xdr:to>
          <xdr:col>9</xdr:col>
          <xdr:colOff>0</xdr:colOff>
          <xdr:row>1053</xdr:row>
          <xdr:rowOff>0</xdr:rowOff>
        </xdr:to>
        <xdr:sp macro="" textlink="">
          <xdr:nvSpPr>
            <xdr:cNvPr id="74756" name="bpmDropDownACT_101" hidden="1">
              <a:extLst>
                <a:ext uri="{63B3BB69-23CF-44E3-9099-C40C66FF867C}">
                  <a14:compatExt spid="_x0000_s74756"/>
                </a:ext>
                <a:ext uri="{FF2B5EF4-FFF2-40B4-BE49-F238E27FC236}">
                  <a16:creationId xmlns:a16="http://schemas.microsoft.com/office/drawing/2014/main" id="{00000000-0008-0000-1200-0000042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75777" name="bpmDropDownACT_111" hidden="1">
              <a:extLst>
                <a:ext uri="{63B3BB69-23CF-44E3-9099-C40C66FF867C}">
                  <a14:compatExt spid="_x0000_s75777"/>
                </a:ext>
                <a:ext uri="{FF2B5EF4-FFF2-40B4-BE49-F238E27FC236}">
                  <a16:creationId xmlns:a16="http://schemas.microsoft.com/office/drawing/2014/main" id="{00000000-0008-0000-1300-000001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357</xdr:row>
          <xdr:rowOff>0</xdr:rowOff>
        </xdr:from>
        <xdr:to>
          <xdr:col>9</xdr:col>
          <xdr:colOff>0</xdr:colOff>
          <xdr:row>358</xdr:row>
          <xdr:rowOff>0</xdr:rowOff>
        </xdr:to>
        <xdr:sp macro="" textlink="">
          <xdr:nvSpPr>
            <xdr:cNvPr id="75778" name="bpmDropDownACT_121" hidden="1">
              <a:extLst>
                <a:ext uri="{63B3BB69-23CF-44E3-9099-C40C66FF867C}">
                  <a14:compatExt spid="_x0000_s75778"/>
                </a:ext>
                <a:ext uri="{FF2B5EF4-FFF2-40B4-BE49-F238E27FC236}">
                  <a16:creationId xmlns:a16="http://schemas.microsoft.com/office/drawing/2014/main" id="{00000000-0008-0000-1300-000002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1055</xdr:row>
          <xdr:rowOff>0</xdr:rowOff>
        </xdr:from>
        <xdr:to>
          <xdr:col>9</xdr:col>
          <xdr:colOff>0</xdr:colOff>
          <xdr:row>1056</xdr:row>
          <xdr:rowOff>0</xdr:rowOff>
        </xdr:to>
        <xdr:sp macro="" textlink="">
          <xdr:nvSpPr>
            <xdr:cNvPr id="75779" name="bpmDropDownACT_131" hidden="1">
              <a:extLst>
                <a:ext uri="{63B3BB69-23CF-44E3-9099-C40C66FF867C}">
                  <a14:compatExt spid="_x0000_s75779"/>
                </a:ext>
                <a:ext uri="{FF2B5EF4-FFF2-40B4-BE49-F238E27FC236}">
                  <a16:creationId xmlns:a16="http://schemas.microsoft.com/office/drawing/2014/main" id="{00000000-0008-0000-1300-000003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1404</xdr:row>
          <xdr:rowOff>0</xdr:rowOff>
        </xdr:from>
        <xdr:to>
          <xdr:col>9</xdr:col>
          <xdr:colOff>0</xdr:colOff>
          <xdr:row>1405</xdr:row>
          <xdr:rowOff>0</xdr:rowOff>
        </xdr:to>
        <xdr:sp macro="" textlink="">
          <xdr:nvSpPr>
            <xdr:cNvPr id="75784" name="bpmDropDownACT_231" hidden="1">
              <a:extLst>
                <a:ext uri="{63B3BB69-23CF-44E3-9099-C40C66FF867C}">
                  <a14:compatExt spid="_x0000_s75784"/>
                </a:ext>
                <a:ext uri="{FF2B5EF4-FFF2-40B4-BE49-F238E27FC236}">
                  <a16:creationId xmlns:a16="http://schemas.microsoft.com/office/drawing/2014/main" id="{00000000-0008-0000-1300-000008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706</xdr:row>
          <xdr:rowOff>0</xdr:rowOff>
        </xdr:from>
        <xdr:to>
          <xdr:col>9</xdr:col>
          <xdr:colOff>0</xdr:colOff>
          <xdr:row>707</xdr:row>
          <xdr:rowOff>0</xdr:rowOff>
        </xdr:to>
        <xdr:sp macro="" textlink="">
          <xdr:nvSpPr>
            <xdr:cNvPr id="75789" name="bpmDropDownACT_261" hidden="1">
              <a:extLst>
                <a:ext uri="{63B3BB69-23CF-44E3-9099-C40C66FF867C}">
                  <a14:compatExt spid="_x0000_s75789"/>
                </a:ext>
                <a:ext uri="{FF2B5EF4-FFF2-40B4-BE49-F238E27FC236}">
                  <a16:creationId xmlns:a16="http://schemas.microsoft.com/office/drawing/2014/main" id="{00000000-0008-0000-1300-00000D2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76801" name="bpmDropDownACT_141" hidden="1">
              <a:extLst>
                <a:ext uri="{63B3BB69-23CF-44E3-9099-C40C66FF867C}">
                  <a14:compatExt spid="_x0000_s76801"/>
                </a:ext>
                <a:ext uri="{FF2B5EF4-FFF2-40B4-BE49-F238E27FC236}">
                  <a16:creationId xmlns:a16="http://schemas.microsoft.com/office/drawing/2014/main" id="{00000000-0008-0000-1400-00000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357</xdr:row>
          <xdr:rowOff>0</xdr:rowOff>
        </xdr:from>
        <xdr:to>
          <xdr:col>9</xdr:col>
          <xdr:colOff>0</xdr:colOff>
          <xdr:row>358</xdr:row>
          <xdr:rowOff>0</xdr:rowOff>
        </xdr:to>
        <xdr:sp macro="" textlink="">
          <xdr:nvSpPr>
            <xdr:cNvPr id="76802" name="bpmDropDownACT_151" hidden="1">
              <a:extLst>
                <a:ext uri="{63B3BB69-23CF-44E3-9099-C40C66FF867C}">
                  <a14:compatExt spid="_x0000_s76802"/>
                </a:ext>
                <a:ext uri="{FF2B5EF4-FFF2-40B4-BE49-F238E27FC236}">
                  <a16:creationId xmlns:a16="http://schemas.microsoft.com/office/drawing/2014/main" id="{00000000-0008-0000-1400-000002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706</xdr:row>
          <xdr:rowOff>0</xdr:rowOff>
        </xdr:from>
        <xdr:to>
          <xdr:col>9</xdr:col>
          <xdr:colOff>0</xdr:colOff>
          <xdr:row>707</xdr:row>
          <xdr:rowOff>0</xdr:rowOff>
        </xdr:to>
        <xdr:sp macro="" textlink="">
          <xdr:nvSpPr>
            <xdr:cNvPr id="76803" name="bpmDropDownACT_161" hidden="1">
              <a:extLst>
                <a:ext uri="{63B3BB69-23CF-44E3-9099-C40C66FF867C}">
                  <a14:compatExt spid="_x0000_s76803"/>
                </a:ext>
                <a:ext uri="{FF2B5EF4-FFF2-40B4-BE49-F238E27FC236}">
                  <a16:creationId xmlns:a16="http://schemas.microsoft.com/office/drawing/2014/main" id="{00000000-0008-0000-1400-000003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1055</xdr:row>
          <xdr:rowOff>0</xdr:rowOff>
        </xdr:from>
        <xdr:to>
          <xdr:col>9</xdr:col>
          <xdr:colOff>0</xdr:colOff>
          <xdr:row>1056</xdr:row>
          <xdr:rowOff>0</xdr:rowOff>
        </xdr:to>
        <xdr:sp macro="" textlink="">
          <xdr:nvSpPr>
            <xdr:cNvPr id="76804" name="bpmDropDownACT_241" hidden="1">
              <a:extLst>
                <a:ext uri="{63B3BB69-23CF-44E3-9099-C40C66FF867C}">
                  <a14:compatExt spid="_x0000_s76804"/>
                </a:ext>
                <a:ext uri="{FF2B5EF4-FFF2-40B4-BE49-F238E27FC236}">
                  <a16:creationId xmlns:a16="http://schemas.microsoft.com/office/drawing/2014/main" id="{00000000-0008-0000-1400-000004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330708</xdr:colOff>
      <xdr:row>0</xdr:row>
      <xdr:rowOff>159321</xdr:rowOff>
    </xdr:from>
    <xdr:to>
      <xdr:col>1</xdr:col>
      <xdr:colOff>425450</xdr:colOff>
      <xdr:row>2</xdr:row>
      <xdr:rowOff>11319</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330708" y="159321"/>
          <a:ext cx="837692" cy="182198"/>
        </a:xfrm>
        <a:prstGeom prst="rect">
          <a:avLst/>
        </a:prstGeom>
      </xdr:spPr>
    </xdr:pic>
    <xdr:clientData/>
  </xdr:twoCellAnchor>
  <xdr:twoCellAnchor>
    <xdr:from>
      <xdr:col>12</xdr:col>
      <xdr:colOff>495300</xdr:colOff>
      <xdr:row>4</xdr:row>
      <xdr:rowOff>57150</xdr:rowOff>
    </xdr:from>
    <xdr:to>
      <xdr:col>16</xdr:col>
      <xdr:colOff>647700</xdr:colOff>
      <xdr:row>14</xdr:row>
      <xdr:rowOff>146050</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7901940" y="773430"/>
          <a:ext cx="3352800" cy="2108200"/>
          <a:chOff x="7473950" y="603250"/>
          <a:chExt cx="3124200" cy="2044700"/>
        </a:xfrm>
      </xdr:grpSpPr>
      <xdr:grpSp>
        <xdr:nvGrpSpPr>
          <xdr:cNvPr id="4" name="Canvas1">
            <a:extLst>
              <a:ext uri="{FF2B5EF4-FFF2-40B4-BE49-F238E27FC236}">
                <a16:creationId xmlns:a16="http://schemas.microsoft.com/office/drawing/2014/main" id="{00000000-0008-0000-1500-000004000000}"/>
              </a:ext>
            </a:extLst>
          </xdr:cNvPr>
          <xdr:cNvGrpSpPr/>
        </xdr:nvGrpSpPr>
        <xdr:grpSpPr>
          <a:xfrm>
            <a:off x="7473950" y="603250"/>
            <a:ext cx="3124200" cy="2044700"/>
            <a:chOff x="4271989" y="91431"/>
            <a:chExt cx="2024036" cy="1861194"/>
          </a:xfrm>
        </xdr:grpSpPr>
        <xdr:sp macro="" textlink="">
          <xdr:nvSpPr>
            <xdr:cNvPr id="19" name="Flowchart: Manual Input 18">
              <a:extLst>
                <a:ext uri="{FF2B5EF4-FFF2-40B4-BE49-F238E27FC236}">
                  <a16:creationId xmlns:a16="http://schemas.microsoft.com/office/drawing/2014/main" id="{00000000-0008-0000-1500-000013000000}"/>
                </a:ext>
              </a:extLst>
            </xdr:cNvPr>
            <xdr:cNvSpPr/>
          </xdr:nvSpPr>
          <xdr:spPr>
            <a:xfrm rot="10800000" flipH="1">
              <a:off x="5806519" y="1445406"/>
              <a:ext cx="475488"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20" name="Flowchart: Manual Input 19">
              <a:extLst>
                <a:ext uri="{FF2B5EF4-FFF2-40B4-BE49-F238E27FC236}">
                  <a16:creationId xmlns:a16="http://schemas.microsoft.com/office/drawing/2014/main" id="{00000000-0008-0000-1500-000014000000}"/>
                </a:ext>
              </a:extLst>
            </xdr:cNvPr>
            <xdr:cNvSpPr/>
          </xdr:nvSpPr>
          <xdr:spPr>
            <a:xfrm rot="10800000">
              <a:off x="4292817" y="1445405"/>
              <a:ext cx="472897"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21" name="Rectangle 20">
              <a:extLst>
                <a:ext uri="{FF2B5EF4-FFF2-40B4-BE49-F238E27FC236}">
                  <a16:creationId xmlns:a16="http://schemas.microsoft.com/office/drawing/2014/main" id="{00000000-0008-0000-1500-000015000000}"/>
                </a:ext>
              </a:extLst>
            </xdr:cNvPr>
            <xdr:cNvSpPr/>
          </xdr:nvSpPr>
          <xdr:spPr>
            <a:xfrm>
              <a:off x="4271989" y="91431"/>
              <a:ext cx="2024036" cy="1861194"/>
            </a:xfrm>
            <a:prstGeom prst="rect">
              <a:avLst/>
            </a:prstGeom>
            <a:solidFill>
              <a:schemeClr val="bg2"/>
            </a:solidFill>
            <a:ln w="38100"/>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grpSp>
      <xdr:grpSp>
        <xdr:nvGrpSpPr>
          <xdr:cNvPr id="5" name="Graphic5">
            <a:extLst>
              <a:ext uri="{FF2B5EF4-FFF2-40B4-BE49-F238E27FC236}">
                <a16:creationId xmlns:a16="http://schemas.microsoft.com/office/drawing/2014/main" id="{00000000-0008-0000-1500-000005000000}"/>
              </a:ext>
            </a:extLst>
          </xdr:cNvPr>
          <xdr:cNvGrpSpPr/>
        </xdr:nvGrpSpPr>
        <xdr:grpSpPr>
          <a:xfrm>
            <a:off x="9169400" y="946150"/>
            <a:ext cx="1276996" cy="1328012"/>
            <a:chOff x="1603443" y="3571013"/>
            <a:chExt cx="2045516" cy="2094655"/>
          </a:xfrm>
        </xdr:grpSpPr>
        <xdr:sp macro="" textlink="">
          <xdr:nvSpPr>
            <xdr:cNvPr id="13" name="Chord 12">
              <a:extLst>
                <a:ext uri="{FF2B5EF4-FFF2-40B4-BE49-F238E27FC236}">
                  <a16:creationId xmlns:a16="http://schemas.microsoft.com/office/drawing/2014/main" id="{00000000-0008-0000-1500-00000D000000}"/>
                </a:ext>
              </a:extLst>
            </xdr:cNvPr>
            <xdr:cNvSpPr/>
          </xdr:nvSpPr>
          <xdr:spPr>
            <a:xfrm rot="5229915">
              <a:off x="1613574" y="3639827"/>
              <a:ext cx="2022861" cy="2028821"/>
            </a:xfrm>
            <a:prstGeom prst="chord">
              <a:avLst>
                <a:gd name="adj1" fmla="val 5730325"/>
                <a:gd name="adj2" fmla="val 16200000"/>
              </a:avLst>
            </a:prstGeom>
            <a:solidFill>
              <a:srgbClr val="00B05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4" name="Chord 13">
              <a:extLst>
                <a:ext uri="{FF2B5EF4-FFF2-40B4-BE49-F238E27FC236}">
                  <a16:creationId xmlns:a16="http://schemas.microsoft.com/office/drawing/2014/main" id="{00000000-0008-0000-1500-00000E000000}"/>
                </a:ext>
              </a:extLst>
            </xdr:cNvPr>
            <xdr:cNvSpPr/>
          </xdr:nvSpPr>
          <xdr:spPr>
            <a:xfrm rot="16013712">
              <a:off x="1614770" y="3559686"/>
              <a:ext cx="2022861" cy="2045516"/>
            </a:xfrm>
            <a:prstGeom prst="chord">
              <a:avLst>
                <a:gd name="adj1" fmla="val 5756268"/>
                <a:gd name="adj2" fmla="val 16200000"/>
              </a:avLst>
            </a:prstGeom>
            <a:solidFill>
              <a:srgbClr val="2A504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O156">
          <xdr:nvSpPr>
            <xdr:cNvPr id="15" name="TextBox 14">
              <a:extLst>
                <a:ext uri="{FF2B5EF4-FFF2-40B4-BE49-F238E27FC236}">
                  <a16:creationId xmlns:a16="http://schemas.microsoft.com/office/drawing/2014/main" id="{00000000-0008-0000-1500-00000F000000}"/>
                </a:ext>
              </a:extLst>
            </xdr:cNvPr>
            <xdr:cNvSpPr txBox="1"/>
          </xdr:nvSpPr>
          <xdr:spPr>
            <a:xfrm>
              <a:off x="1924185" y="3803912"/>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301BFB0-9B06-4EB1-A80F-AD761BBE08E7}"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O157">
          <xdr:nvSpPr>
            <xdr:cNvPr id="17" name="TextBox 16">
              <a:extLst>
                <a:ext uri="{FF2B5EF4-FFF2-40B4-BE49-F238E27FC236}">
                  <a16:creationId xmlns:a16="http://schemas.microsoft.com/office/drawing/2014/main" id="{00000000-0008-0000-1500-000011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FA00C97-EF9C-4E71-B5C4-EDBDAB4121B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nvGrpSpPr>
          <xdr:cNvPr id="6" name="Graphic5">
            <a:extLst>
              <a:ext uri="{FF2B5EF4-FFF2-40B4-BE49-F238E27FC236}">
                <a16:creationId xmlns:a16="http://schemas.microsoft.com/office/drawing/2014/main" id="{00000000-0008-0000-1500-000006000000}"/>
              </a:ext>
            </a:extLst>
          </xdr:cNvPr>
          <xdr:cNvGrpSpPr/>
        </xdr:nvGrpSpPr>
        <xdr:grpSpPr>
          <a:xfrm>
            <a:off x="7639050" y="927100"/>
            <a:ext cx="1276996" cy="1328012"/>
            <a:chOff x="1603443" y="3571013"/>
            <a:chExt cx="2045516" cy="2094655"/>
          </a:xfrm>
        </xdr:grpSpPr>
        <xdr:sp macro="" textlink="">
          <xdr:nvSpPr>
            <xdr:cNvPr id="7" name="Chord 6">
              <a:extLst>
                <a:ext uri="{FF2B5EF4-FFF2-40B4-BE49-F238E27FC236}">
                  <a16:creationId xmlns:a16="http://schemas.microsoft.com/office/drawing/2014/main" id="{00000000-0008-0000-1500-000007000000}"/>
                </a:ext>
              </a:extLst>
            </xdr:cNvPr>
            <xdr:cNvSpPr/>
          </xdr:nvSpPr>
          <xdr:spPr>
            <a:xfrm rot="5229915">
              <a:off x="1613574" y="3639827"/>
              <a:ext cx="2022861" cy="2028821"/>
            </a:xfrm>
            <a:prstGeom prst="chord">
              <a:avLst>
                <a:gd name="adj1" fmla="val 5730325"/>
                <a:gd name="adj2" fmla="val 16200000"/>
              </a:avLst>
            </a:prstGeom>
            <a:solidFill>
              <a:schemeClr val="tx2">
                <a:lumMod val="60000"/>
                <a:lumOff val="4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8" name="Chord 7">
              <a:extLst>
                <a:ext uri="{FF2B5EF4-FFF2-40B4-BE49-F238E27FC236}">
                  <a16:creationId xmlns:a16="http://schemas.microsoft.com/office/drawing/2014/main" id="{00000000-0008-0000-1500-000008000000}"/>
                </a:ext>
              </a:extLst>
            </xdr:cNvPr>
            <xdr:cNvSpPr/>
          </xdr:nvSpPr>
          <xdr:spPr>
            <a:xfrm rot="16013712">
              <a:off x="1614770" y="3559686"/>
              <a:ext cx="2022861" cy="2045516"/>
            </a:xfrm>
            <a:prstGeom prst="chord">
              <a:avLst>
                <a:gd name="adj1" fmla="val 5756268"/>
                <a:gd name="adj2" fmla="val 16200000"/>
              </a:avLst>
            </a:prstGeom>
            <a:solidFill>
              <a:srgbClr val="00206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M156">
          <xdr:nvSpPr>
            <xdr:cNvPr id="9" name="TextBox 8">
              <a:extLst>
                <a:ext uri="{FF2B5EF4-FFF2-40B4-BE49-F238E27FC236}">
                  <a16:creationId xmlns:a16="http://schemas.microsoft.com/office/drawing/2014/main" id="{00000000-0008-0000-1500-000009000000}"/>
                </a:ext>
              </a:extLst>
            </xdr:cNvPr>
            <xdr:cNvSpPr txBox="1"/>
          </xdr:nvSpPr>
          <xdr:spPr>
            <a:xfrm>
              <a:off x="1924185" y="3813928"/>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F2FA77E-F82A-42A6-97DC-070048539D6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M157">
          <xdr:nvSpPr>
            <xdr:cNvPr id="11" name="TextBox 10">
              <a:extLst>
                <a:ext uri="{FF2B5EF4-FFF2-40B4-BE49-F238E27FC236}">
                  <a16:creationId xmlns:a16="http://schemas.microsoft.com/office/drawing/2014/main" id="{00000000-0008-0000-1500-00000B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8093E3F-642E-425E-807E-EED6B35FC71C}"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clientData/>
  </xdr:twoCellAnchor>
  <xdr:twoCellAnchor editAs="oneCell">
    <xdr:from>
      <xdr:col>1</xdr:col>
      <xdr:colOff>704850</xdr:colOff>
      <xdr:row>3</xdr:row>
      <xdr:rowOff>107950</xdr:rowOff>
    </xdr:from>
    <xdr:to>
      <xdr:col>9</xdr:col>
      <xdr:colOff>139700</xdr:colOff>
      <xdr:row>7</xdr:row>
      <xdr:rowOff>156353</xdr:rowOff>
    </xdr:to>
    <xdr:pic>
      <xdr:nvPicPr>
        <xdr:cNvPr id="42" name="Picture 41">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7800" y="622300"/>
          <a:ext cx="3346450" cy="7278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558800</xdr:colOff>
      <xdr:row>5</xdr:row>
      <xdr:rowOff>25400</xdr:rowOff>
    </xdr:from>
    <xdr:to>
      <xdr:col>16</xdr:col>
      <xdr:colOff>711200</xdr:colOff>
      <xdr:row>15</xdr:row>
      <xdr:rowOff>114300</xdr:rowOff>
    </xdr:to>
    <xdr:grpSp>
      <xdr:nvGrpSpPr>
        <xdr:cNvPr id="3" name="Group 2">
          <a:extLst>
            <a:ext uri="{FF2B5EF4-FFF2-40B4-BE49-F238E27FC236}">
              <a16:creationId xmlns:a16="http://schemas.microsoft.com/office/drawing/2014/main" id="{00000000-0008-0000-4000-000003000000}"/>
            </a:ext>
          </a:extLst>
        </xdr:cNvPr>
        <xdr:cNvGrpSpPr/>
      </xdr:nvGrpSpPr>
      <xdr:grpSpPr>
        <a:xfrm>
          <a:off x="7965440" y="916940"/>
          <a:ext cx="3352800" cy="2108200"/>
          <a:chOff x="7473950" y="603250"/>
          <a:chExt cx="3124200" cy="2044700"/>
        </a:xfrm>
      </xdr:grpSpPr>
      <xdr:grpSp>
        <xdr:nvGrpSpPr>
          <xdr:cNvPr id="4" name="Canvas1">
            <a:extLst>
              <a:ext uri="{FF2B5EF4-FFF2-40B4-BE49-F238E27FC236}">
                <a16:creationId xmlns:a16="http://schemas.microsoft.com/office/drawing/2014/main" id="{00000000-0008-0000-4000-000004000000}"/>
              </a:ext>
            </a:extLst>
          </xdr:cNvPr>
          <xdr:cNvGrpSpPr/>
        </xdr:nvGrpSpPr>
        <xdr:grpSpPr>
          <a:xfrm>
            <a:off x="7473950" y="603250"/>
            <a:ext cx="3124200" cy="2044700"/>
            <a:chOff x="4271989" y="91431"/>
            <a:chExt cx="2024036" cy="1861194"/>
          </a:xfrm>
        </xdr:grpSpPr>
        <xdr:sp macro="" textlink="">
          <xdr:nvSpPr>
            <xdr:cNvPr id="19" name="Flowchart: Manual Input 18">
              <a:extLst>
                <a:ext uri="{FF2B5EF4-FFF2-40B4-BE49-F238E27FC236}">
                  <a16:creationId xmlns:a16="http://schemas.microsoft.com/office/drawing/2014/main" id="{00000000-0008-0000-4000-000013000000}"/>
                </a:ext>
              </a:extLst>
            </xdr:cNvPr>
            <xdr:cNvSpPr/>
          </xdr:nvSpPr>
          <xdr:spPr>
            <a:xfrm rot="10800000" flipH="1">
              <a:off x="5806519" y="1445406"/>
              <a:ext cx="475488"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20" name="Flowchart: Manual Input 19">
              <a:extLst>
                <a:ext uri="{FF2B5EF4-FFF2-40B4-BE49-F238E27FC236}">
                  <a16:creationId xmlns:a16="http://schemas.microsoft.com/office/drawing/2014/main" id="{00000000-0008-0000-4000-000014000000}"/>
                </a:ext>
              </a:extLst>
            </xdr:cNvPr>
            <xdr:cNvSpPr/>
          </xdr:nvSpPr>
          <xdr:spPr>
            <a:xfrm rot="10800000">
              <a:off x="4292817" y="1445405"/>
              <a:ext cx="472897"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21" name="Rectangle 20">
              <a:extLst>
                <a:ext uri="{FF2B5EF4-FFF2-40B4-BE49-F238E27FC236}">
                  <a16:creationId xmlns:a16="http://schemas.microsoft.com/office/drawing/2014/main" id="{00000000-0008-0000-4000-000015000000}"/>
                </a:ext>
              </a:extLst>
            </xdr:cNvPr>
            <xdr:cNvSpPr/>
          </xdr:nvSpPr>
          <xdr:spPr>
            <a:xfrm>
              <a:off x="4271989" y="91431"/>
              <a:ext cx="2024036" cy="1861194"/>
            </a:xfrm>
            <a:prstGeom prst="rect">
              <a:avLst/>
            </a:prstGeom>
            <a:solidFill>
              <a:schemeClr val="bg2"/>
            </a:solidFill>
            <a:ln w="38100"/>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grpSp>
      <xdr:grpSp>
        <xdr:nvGrpSpPr>
          <xdr:cNvPr id="5" name="Graphic5">
            <a:extLst>
              <a:ext uri="{FF2B5EF4-FFF2-40B4-BE49-F238E27FC236}">
                <a16:creationId xmlns:a16="http://schemas.microsoft.com/office/drawing/2014/main" id="{00000000-0008-0000-4000-000005000000}"/>
              </a:ext>
            </a:extLst>
          </xdr:cNvPr>
          <xdr:cNvGrpSpPr/>
        </xdr:nvGrpSpPr>
        <xdr:grpSpPr>
          <a:xfrm>
            <a:off x="9169400" y="946150"/>
            <a:ext cx="1276996" cy="1328012"/>
            <a:chOff x="1603443" y="3571013"/>
            <a:chExt cx="2045516" cy="2094655"/>
          </a:xfrm>
        </xdr:grpSpPr>
        <xdr:sp macro="" textlink="">
          <xdr:nvSpPr>
            <xdr:cNvPr id="13" name="Chord 12">
              <a:extLst>
                <a:ext uri="{FF2B5EF4-FFF2-40B4-BE49-F238E27FC236}">
                  <a16:creationId xmlns:a16="http://schemas.microsoft.com/office/drawing/2014/main" id="{00000000-0008-0000-4000-00000D000000}"/>
                </a:ext>
              </a:extLst>
            </xdr:cNvPr>
            <xdr:cNvSpPr/>
          </xdr:nvSpPr>
          <xdr:spPr>
            <a:xfrm rot="5229915">
              <a:off x="1613574" y="3639827"/>
              <a:ext cx="2022861" cy="2028821"/>
            </a:xfrm>
            <a:prstGeom prst="chord">
              <a:avLst>
                <a:gd name="adj1" fmla="val 5730325"/>
                <a:gd name="adj2" fmla="val 16200000"/>
              </a:avLst>
            </a:prstGeom>
            <a:solidFill>
              <a:srgbClr val="00B05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4" name="Chord 13">
              <a:extLst>
                <a:ext uri="{FF2B5EF4-FFF2-40B4-BE49-F238E27FC236}">
                  <a16:creationId xmlns:a16="http://schemas.microsoft.com/office/drawing/2014/main" id="{00000000-0008-0000-4000-00000E000000}"/>
                </a:ext>
              </a:extLst>
            </xdr:cNvPr>
            <xdr:cNvSpPr/>
          </xdr:nvSpPr>
          <xdr:spPr>
            <a:xfrm rot="16013712">
              <a:off x="1614770" y="3559686"/>
              <a:ext cx="2022861" cy="2045516"/>
            </a:xfrm>
            <a:prstGeom prst="chord">
              <a:avLst>
                <a:gd name="adj1" fmla="val 5756268"/>
                <a:gd name="adj2" fmla="val 16200000"/>
              </a:avLst>
            </a:prstGeom>
            <a:solidFill>
              <a:srgbClr val="2A504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O156">
          <xdr:nvSpPr>
            <xdr:cNvPr id="15" name="TextBox 14">
              <a:extLst>
                <a:ext uri="{FF2B5EF4-FFF2-40B4-BE49-F238E27FC236}">
                  <a16:creationId xmlns:a16="http://schemas.microsoft.com/office/drawing/2014/main" id="{00000000-0008-0000-4000-00000F000000}"/>
                </a:ext>
              </a:extLst>
            </xdr:cNvPr>
            <xdr:cNvSpPr txBox="1"/>
          </xdr:nvSpPr>
          <xdr:spPr>
            <a:xfrm>
              <a:off x="1924185" y="3803912"/>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301BFB0-9B06-4EB1-A80F-AD761BBE08E7}"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16" name="TextBox 15">
              <a:extLst>
                <a:ext uri="{FF2B5EF4-FFF2-40B4-BE49-F238E27FC236}">
                  <a16:creationId xmlns:a16="http://schemas.microsoft.com/office/drawing/2014/main" id="{00000000-0008-0000-4000-000010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O157">
          <xdr:nvSpPr>
            <xdr:cNvPr id="17" name="TextBox 16">
              <a:extLst>
                <a:ext uri="{FF2B5EF4-FFF2-40B4-BE49-F238E27FC236}">
                  <a16:creationId xmlns:a16="http://schemas.microsoft.com/office/drawing/2014/main" id="{00000000-0008-0000-4000-000011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FA00C97-EF9C-4E71-B5C4-EDBDAB4121B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18" name="TextBox 17">
              <a:extLst>
                <a:ext uri="{FF2B5EF4-FFF2-40B4-BE49-F238E27FC236}">
                  <a16:creationId xmlns:a16="http://schemas.microsoft.com/office/drawing/2014/main" id="{00000000-0008-0000-4000-000012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nvGrpSpPr>
          <xdr:cNvPr id="6" name="Graphic5">
            <a:extLst>
              <a:ext uri="{FF2B5EF4-FFF2-40B4-BE49-F238E27FC236}">
                <a16:creationId xmlns:a16="http://schemas.microsoft.com/office/drawing/2014/main" id="{00000000-0008-0000-4000-000006000000}"/>
              </a:ext>
            </a:extLst>
          </xdr:cNvPr>
          <xdr:cNvGrpSpPr/>
        </xdr:nvGrpSpPr>
        <xdr:grpSpPr>
          <a:xfrm>
            <a:off x="7639050" y="927100"/>
            <a:ext cx="1276996" cy="1328012"/>
            <a:chOff x="1603443" y="3571013"/>
            <a:chExt cx="2045516" cy="2094655"/>
          </a:xfrm>
        </xdr:grpSpPr>
        <xdr:sp macro="" textlink="">
          <xdr:nvSpPr>
            <xdr:cNvPr id="7" name="Chord 6">
              <a:extLst>
                <a:ext uri="{FF2B5EF4-FFF2-40B4-BE49-F238E27FC236}">
                  <a16:creationId xmlns:a16="http://schemas.microsoft.com/office/drawing/2014/main" id="{00000000-0008-0000-4000-000007000000}"/>
                </a:ext>
              </a:extLst>
            </xdr:cNvPr>
            <xdr:cNvSpPr/>
          </xdr:nvSpPr>
          <xdr:spPr>
            <a:xfrm rot="5229915">
              <a:off x="1613574" y="3639827"/>
              <a:ext cx="2022861" cy="2028821"/>
            </a:xfrm>
            <a:prstGeom prst="chord">
              <a:avLst>
                <a:gd name="adj1" fmla="val 5730325"/>
                <a:gd name="adj2" fmla="val 16200000"/>
              </a:avLst>
            </a:prstGeom>
            <a:solidFill>
              <a:schemeClr val="tx2">
                <a:lumMod val="60000"/>
                <a:lumOff val="4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8" name="Chord 7">
              <a:extLst>
                <a:ext uri="{FF2B5EF4-FFF2-40B4-BE49-F238E27FC236}">
                  <a16:creationId xmlns:a16="http://schemas.microsoft.com/office/drawing/2014/main" id="{00000000-0008-0000-4000-000008000000}"/>
                </a:ext>
              </a:extLst>
            </xdr:cNvPr>
            <xdr:cNvSpPr/>
          </xdr:nvSpPr>
          <xdr:spPr>
            <a:xfrm rot="16013712">
              <a:off x="1614770" y="3559686"/>
              <a:ext cx="2022861" cy="2045516"/>
            </a:xfrm>
            <a:prstGeom prst="chord">
              <a:avLst>
                <a:gd name="adj1" fmla="val 5756268"/>
                <a:gd name="adj2" fmla="val 16200000"/>
              </a:avLst>
            </a:prstGeom>
            <a:solidFill>
              <a:srgbClr val="00206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M156">
          <xdr:nvSpPr>
            <xdr:cNvPr id="9" name="TextBox 8">
              <a:extLst>
                <a:ext uri="{FF2B5EF4-FFF2-40B4-BE49-F238E27FC236}">
                  <a16:creationId xmlns:a16="http://schemas.microsoft.com/office/drawing/2014/main" id="{00000000-0008-0000-4000-000009000000}"/>
                </a:ext>
              </a:extLst>
            </xdr:cNvPr>
            <xdr:cNvSpPr txBox="1"/>
          </xdr:nvSpPr>
          <xdr:spPr>
            <a:xfrm>
              <a:off x="1924185" y="3813928"/>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F2FA77E-F82A-42A6-97DC-070048539D6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10" name="TextBox 9">
              <a:extLst>
                <a:ext uri="{FF2B5EF4-FFF2-40B4-BE49-F238E27FC236}">
                  <a16:creationId xmlns:a16="http://schemas.microsoft.com/office/drawing/2014/main" id="{00000000-0008-0000-4000-00000A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M157">
          <xdr:nvSpPr>
            <xdr:cNvPr id="11" name="TextBox 10">
              <a:extLst>
                <a:ext uri="{FF2B5EF4-FFF2-40B4-BE49-F238E27FC236}">
                  <a16:creationId xmlns:a16="http://schemas.microsoft.com/office/drawing/2014/main" id="{00000000-0008-0000-4000-00000B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8093E3F-642E-425E-807E-EED6B35FC71C}"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12" name="TextBox 11">
              <a:extLst>
                <a:ext uri="{FF2B5EF4-FFF2-40B4-BE49-F238E27FC236}">
                  <a16:creationId xmlns:a16="http://schemas.microsoft.com/office/drawing/2014/main" id="{00000000-0008-0000-4000-00000C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clientData/>
  </xdr:twoCellAnchor>
  <xdr:twoCellAnchor editAs="oneCell">
    <xdr:from>
      <xdr:col>2</xdr:col>
      <xdr:colOff>6350</xdr:colOff>
      <xdr:row>3</xdr:row>
      <xdr:rowOff>50800</xdr:rowOff>
    </xdr:from>
    <xdr:to>
      <xdr:col>9</xdr:col>
      <xdr:colOff>184150</xdr:colOff>
      <xdr:row>7</xdr:row>
      <xdr:rowOff>99203</xdr:rowOff>
    </xdr:to>
    <xdr:pic>
      <xdr:nvPicPr>
        <xdr:cNvPr id="24" name="Picture 23">
          <a:extLst>
            <a:ext uri="{FF2B5EF4-FFF2-40B4-BE49-F238E27FC236}">
              <a16:creationId xmlns:a16="http://schemas.microsoft.com/office/drawing/2014/main" id="{00000000-0008-0000-40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250" y="565150"/>
          <a:ext cx="3346450" cy="7278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146049</xdr:colOff>
      <xdr:row>14</xdr:row>
      <xdr:rowOff>38100</xdr:rowOff>
    </xdr:from>
    <xdr:to>
      <xdr:col>7</xdr:col>
      <xdr:colOff>120650</xdr:colOff>
      <xdr:row>27</xdr:row>
      <xdr:rowOff>63500</xdr:rowOff>
    </xdr:to>
    <xdr:grpSp>
      <xdr:nvGrpSpPr>
        <xdr:cNvPr id="19" name="Group 18">
          <a:extLst>
            <a:ext uri="{FF2B5EF4-FFF2-40B4-BE49-F238E27FC236}">
              <a16:creationId xmlns:a16="http://schemas.microsoft.com/office/drawing/2014/main" id="{00000000-0008-0000-4200-000013000000}"/>
            </a:ext>
          </a:extLst>
        </xdr:cNvPr>
        <xdr:cNvGrpSpPr/>
      </xdr:nvGrpSpPr>
      <xdr:grpSpPr>
        <a:xfrm>
          <a:off x="397509" y="2720340"/>
          <a:ext cx="2580641" cy="2303780"/>
          <a:chOff x="444499" y="850900"/>
          <a:chExt cx="2509612" cy="1955800"/>
        </a:xfrm>
      </xdr:grpSpPr>
      <xdr:grpSp>
        <xdr:nvGrpSpPr>
          <xdr:cNvPr id="13" name="Canvas2">
            <a:extLst>
              <a:ext uri="{FF2B5EF4-FFF2-40B4-BE49-F238E27FC236}">
                <a16:creationId xmlns:a16="http://schemas.microsoft.com/office/drawing/2014/main" id="{00000000-0008-0000-4200-00000D000000}"/>
              </a:ext>
            </a:extLst>
          </xdr:cNvPr>
          <xdr:cNvGrpSpPr/>
        </xdr:nvGrpSpPr>
        <xdr:grpSpPr>
          <a:xfrm>
            <a:off x="444499" y="850900"/>
            <a:ext cx="2509612" cy="1955800"/>
            <a:chOff x="3189514" y="2357654"/>
            <a:chExt cx="2478577" cy="1882029"/>
          </a:xfrm>
        </xdr:grpSpPr>
        <xdr:sp macro="" textlink="">
          <xdr:nvSpPr>
            <xdr:cNvPr id="14" name="Rectangle 13">
              <a:extLst>
                <a:ext uri="{FF2B5EF4-FFF2-40B4-BE49-F238E27FC236}">
                  <a16:creationId xmlns:a16="http://schemas.microsoft.com/office/drawing/2014/main" id="{00000000-0008-0000-4200-00000E000000}"/>
                </a:ext>
              </a:extLst>
            </xdr:cNvPr>
            <xdr:cNvSpPr/>
          </xdr:nvSpPr>
          <xdr:spPr>
            <a:xfrm>
              <a:off x="3458290" y="2357654"/>
              <a:ext cx="2209801"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5" name="Isosceles Triangle 14">
              <a:extLst>
                <a:ext uri="{FF2B5EF4-FFF2-40B4-BE49-F238E27FC236}">
                  <a16:creationId xmlns:a16="http://schemas.microsoft.com/office/drawing/2014/main" id="{00000000-0008-0000-4200-00000F000000}"/>
                </a:ext>
              </a:extLst>
            </xdr:cNvPr>
            <xdr:cNvSpPr/>
          </xdr:nvSpPr>
          <xdr:spPr>
            <a:xfrm rot="16200000">
              <a:off x="3199226" y="2846464"/>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6" name="Pentagon 15">
              <a:extLst>
                <a:ext uri="{FF2B5EF4-FFF2-40B4-BE49-F238E27FC236}">
                  <a16:creationId xmlns:a16="http://schemas.microsoft.com/office/drawing/2014/main" id="{00000000-0008-0000-4200-000010000000}"/>
                </a:ext>
              </a:extLst>
            </xdr:cNvPr>
            <xdr:cNvSpPr/>
          </xdr:nvSpPr>
          <xdr:spPr>
            <a:xfrm>
              <a:off x="3189514" y="2573111"/>
              <a:ext cx="2295525" cy="358588"/>
            </a:xfrm>
            <a:prstGeom prst="homePlate">
              <a:avLst/>
            </a:prstGeom>
            <a:solidFill>
              <a:schemeClr val="accent3"/>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Coverage</a:t>
              </a:r>
              <a:r>
                <a:rPr lang="en-US" sz="1400" b="1" baseline="0">
                  <a:solidFill>
                    <a:schemeClr val="lt1"/>
                  </a:solidFill>
                  <a:latin typeface="+mn-lt"/>
                  <a:ea typeface="+mn-ea"/>
                  <a:cs typeface="+mn-cs"/>
                </a:rPr>
                <a:t> Achieved</a:t>
              </a:r>
              <a:endParaRPr lang="en-US" sz="1400" b="1">
                <a:solidFill>
                  <a:schemeClr val="lt1"/>
                </a:solidFill>
                <a:latin typeface="+mn-lt"/>
                <a:ea typeface="+mn-ea"/>
                <a:cs typeface="+mn-cs"/>
              </a:endParaRPr>
            </a:p>
          </xdr:txBody>
        </xdr:sp>
      </xdr:grpSp>
      <xdr:grpSp>
        <xdr:nvGrpSpPr>
          <xdr:cNvPr id="18" name="Group 17">
            <a:extLst>
              <a:ext uri="{FF2B5EF4-FFF2-40B4-BE49-F238E27FC236}">
                <a16:creationId xmlns:a16="http://schemas.microsoft.com/office/drawing/2014/main" id="{00000000-0008-0000-4200-000012000000}"/>
              </a:ext>
            </a:extLst>
          </xdr:cNvPr>
          <xdr:cNvGrpSpPr/>
        </xdr:nvGrpSpPr>
        <xdr:grpSpPr>
          <a:xfrm>
            <a:off x="1143000" y="1422400"/>
            <a:ext cx="1276996" cy="1328012"/>
            <a:chOff x="1143000" y="1422400"/>
            <a:chExt cx="1276996" cy="1328012"/>
          </a:xfrm>
        </xdr:grpSpPr>
        <xdr:sp macro="" textlink="">
          <xdr:nvSpPr>
            <xdr:cNvPr id="7" name="Chord 6">
              <a:extLst>
                <a:ext uri="{FF2B5EF4-FFF2-40B4-BE49-F238E27FC236}">
                  <a16:creationId xmlns:a16="http://schemas.microsoft.com/office/drawing/2014/main" id="{00000000-0008-0000-4200-000007000000}"/>
                </a:ext>
              </a:extLst>
            </xdr:cNvPr>
            <xdr:cNvSpPr/>
          </xdr:nvSpPr>
          <xdr:spPr>
            <a:xfrm rot="5229915">
              <a:off x="1139504" y="1475878"/>
              <a:ext cx="1282495" cy="1266573"/>
            </a:xfrm>
            <a:prstGeom prst="chord">
              <a:avLst>
                <a:gd name="adj1" fmla="val 5730325"/>
                <a:gd name="adj2" fmla="val 16200000"/>
              </a:avLst>
            </a:prstGeom>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8" name="Chord 7">
              <a:extLst>
                <a:ext uri="{FF2B5EF4-FFF2-40B4-BE49-F238E27FC236}">
                  <a16:creationId xmlns:a16="http://schemas.microsoft.com/office/drawing/2014/main" id="{00000000-0008-0000-4200-000008000000}"/>
                </a:ext>
              </a:extLst>
            </xdr:cNvPr>
            <xdr:cNvSpPr/>
          </xdr:nvSpPr>
          <xdr:spPr>
            <a:xfrm rot="16013712">
              <a:off x="1140250" y="1425150"/>
              <a:ext cx="1282495" cy="127699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E$10">
          <xdr:nvSpPr>
            <xdr:cNvPr id="9" name="TextBox 8">
              <a:extLst>
                <a:ext uri="{FF2B5EF4-FFF2-40B4-BE49-F238E27FC236}">
                  <a16:creationId xmlns:a16="http://schemas.microsoft.com/office/drawing/2014/main" id="{00000000-0008-0000-4200-000009000000}"/>
                </a:ext>
              </a:extLst>
            </xdr:cNvPr>
            <xdr:cNvSpPr txBox="1"/>
          </xdr:nvSpPr>
          <xdr:spPr>
            <a:xfrm>
              <a:off x="1335439" y="1525608"/>
              <a:ext cx="954753"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2B12018B-52D8-4FF6-AA27-75ACE89D1F08}" type="TxLink">
                <a:rPr lang="en-US" sz="1800" b="0" i="0" u="none" strike="noStrike">
                  <a:solidFill>
                    <a:schemeClr val="bg1"/>
                  </a:solidFill>
                  <a:latin typeface="Arial Black" panose="020B0A04020102020204" pitchFamily="34" charset="0"/>
                  <a:cs typeface="Utsaah" pitchFamily="34" charset="0"/>
                </a:rPr>
                <a:pPr algn="ctr"/>
                <a:t>#DIV/0!</a:t>
              </a:fld>
              <a:endParaRPr lang="en-US" sz="5400" b="1">
                <a:solidFill>
                  <a:schemeClr val="bg1"/>
                </a:solidFill>
                <a:latin typeface="Arial Black" panose="020B0A04020102020204" pitchFamily="34" charset="0"/>
                <a:cs typeface="Utsaah" pitchFamily="34" charset="0"/>
              </a:endParaRPr>
            </a:p>
          </xdr:txBody>
        </xdr:sp>
        <xdr:sp macro="" textlink="">
          <xdr:nvSpPr>
            <xdr:cNvPr id="10" name="TextBox 9">
              <a:extLst>
                <a:ext uri="{FF2B5EF4-FFF2-40B4-BE49-F238E27FC236}">
                  <a16:creationId xmlns:a16="http://schemas.microsoft.com/office/drawing/2014/main" id="{00000000-0008-0000-4200-00000A000000}"/>
                </a:ext>
              </a:extLst>
            </xdr:cNvPr>
            <xdr:cNvSpPr txBox="1"/>
          </xdr:nvSpPr>
          <xdr:spPr>
            <a:xfrm>
              <a:off x="1174955" y="1803394"/>
              <a:ext cx="1206263"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OCV-1</a:t>
              </a:r>
            </a:p>
          </xdr:txBody>
        </xdr:sp>
        <xdr:sp macro="" textlink="$E$13">
          <xdr:nvSpPr>
            <xdr:cNvPr id="11" name="TextBox 10">
              <a:extLst>
                <a:ext uri="{FF2B5EF4-FFF2-40B4-BE49-F238E27FC236}">
                  <a16:creationId xmlns:a16="http://schemas.microsoft.com/office/drawing/2014/main" id="{00000000-0008-0000-4200-00000B000000}"/>
                </a:ext>
              </a:extLst>
            </xdr:cNvPr>
            <xdr:cNvSpPr txBox="1"/>
          </xdr:nvSpPr>
          <xdr:spPr>
            <a:xfrm>
              <a:off x="1268397" y="2105338"/>
              <a:ext cx="1078841"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A0F2EBF-B49C-4837-BAE6-954AA0A6D27E}" type="TxLink">
                <a:rPr lang="en-US" sz="1800" b="0" i="0" u="none" strike="noStrike">
                  <a:solidFill>
                    <a:schemeClr val="bg1"/>
                  </a:solidFill>
                  <a:latin typeface="Arial Black" panose="020B0A04020102020204" pitchFamily="34" charset="0"/>
                  <a:cs typeface="Utsaah" pitchFamily="34" charset="0"/>
                </a:rPr>
                <a:pPr algn="ctr"/>
                <a:t>#DIV/0!</a:t>
              </a:fld>
              <a:endParaRPr lang="en-US" sz="5400" b="1">
                <a:solidFill>
                  <a:schemeClr val="bg1"/>
                </a:solidFill>
                <a:latin typeface="Arial Black" panose="020B0A04020102020204" pitchFamily="34" charset="0"/>
                <a:cs typeface="Utsaah" pitchFamily="34" charset="0"/>
              </a:endParaRPr>
            </a:p>
          </xdr:txBody>
        </xdr:sp>
        <xdr:sp macro="" textlink="">
          <xdr:nvSpPr>
            <xdr:cNvPr id="12" name="TextBox 11">
              <a:extLst>
                <a:ext uri="{FF2B5EF4-FFF2-40B4-BE49-F238E27FC236}">
                  <a16:creationId xmlns:a16="http://schemas.microsoft.com/office/drawing/2014/main" id="{00000000-0008-0000-4200-00000C000000}"/>
                </a:ext>
              </a:extLst>
            </xdr:cNvPr>
            <xdr:cNvSpPr txBox="1"/>
          </xdr:nvSpPr>
          <xdr:spPr>
            <a:xfrm>
              <a:off x="1309173" y="2383124"/>
              <a:ext cx="925934"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OCV-2</a:t>
              </a:r>
            </a:p>
          </xdr:txBody>
        </xdr:sp>
      </xdr:grpSp>
    </xdr:grpSp>
    <xdr:clientData/>
  </xdr:twoCellAnchor>
  <xdr:oneCellAnchor>
    <xdr:from>
      <xdr:col>5</xdr:col>
      <xdr:colOff>615950</xdr:colOff>
      <xdr:row>11</xdr:row>
      <xdr:rowOff>19050</xdr:rowOff>
    </xdr:from>
    <xdr:ext cx="184731" cy="264560"/>
    <xdr:sp macro="" textlink="">
      <xdr:nvSpPr>
        <xdr:cNvPr id="17" name="TextBox 16">
          <a:extLst>
            <a:ext uri="{FF2B5EF4-FFF2-40B4-BE49-F238E27FC236}">
              <a16:creationId xmlns:a16="http://schemas.microsoft.com/office/drawing/2014/main" id="{00000000-0008-0000-4200-000011000000}"/>
            </a:ext>
          </a:extLst>
        </xdr:cNvPr>
        <xdr:cNvSpPr txBox="1"/>
      </xdr:nvSpPr>
      <xdr:spPr>
        <a:xfrm>
          <a:off x="1790700"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139700</xdr:colOff>
      <xdr:row>88</xdr:row>
      <xdr:rowOff>142875</xdr:rowOff>
    </xdr:from>
    <xdr:to>
      <xdr:col>10</xdr:col>
      <xdr:colOff>292100</xdr:colOff>
      <xdr:row>105</xdr:row>
      <xdr:rowOff>79375</xdr:rowOff>
    </xdr:to>
    <xdr:graphicFrame macro="">
      <xdr:nvGraphicFramePr>
        <xdr:cNvPr id="90" name="Chart 89">
          <a:extLst>
            <a:ext uri="{FF2B5EF4-FFF2-40B4-BE49-F238E27FC236}">
              <a16:creationId xmlns:a16="http://schemas.microsoft.com/office/drawing/2014/main" id="{00000000-0008-0000-4200-00005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165100</xdr:colOff>
      <xdr:row>89</xdr:row>
      <xdr:rowOff>19050</xdr:rowOff>
    </xdr:from>
    <xdr:to>
      <xdr:col>19</xdr:col>
      <xdr:colOff>349250</xdr:colOff>
      <xdr:row>105</xdr:row>
      <xdr:rowOff>120650</xdr:rowOff>
    </xdr:to>
    <xdr:graphicFrame macro="">
      <xdr:nvGraphicFramePr>
        <xdr:cNvPr id="91" name="Chart 90">
          <a:extLst>
            <a:ext uri="{FF2B5EF4-FFF2-40B4-BE49-F238E27FC236}">
              <a16:creationId xmlns:a16="http://schemas.microsoft.com/office/drawing/2014/main" id="{00000000-0008-0000-42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184150</xdr:colOff>
      <xdr:row>69</xdr:row>
      <xdr:rowOff>60325</xdr:rowOff>
    </xdr:from>
    <xdr:to>
      <xdr:col>10</xdr:col>
      <xdr:colOff>336550</xdr:colOff>
      <xdr:row>85</xdr:row>
      <xdr:rowOff>161925</xdr:rowOff>
    </xdr:to>
    <xdr:graphicFrame macro="">
      <xdr:nvGraphicFramePr>
        <xdr:cNvPr id="92" name="Chart 91">
          <a:extLst>
            <a:ext uri="{FF2B5EF4-FFF2-40B4-BE49-F238E27FC236}">
              <a16:creationId xmlns:a16="http://schemas.microsoft.com/office/drawing/2014/main" id="{00000000-0008-0000-4200-00005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76200</xdr:colOff>
      <xdr:row>69</xdr:row>
      <xdr:rowOff>88900</xdr:rowOff>
    </xdr:from>
    <xdr:to>
      <xdr:col>19</xdr:col>
      <xdr:colOff>330200</xdr:colOff>
      <xdr:row>86</xdr:row>
      <xdr:rowOff>25400</xdr:rowOff>
    </xdr:to>
    <xdr:graphicFrame macro="">
      <xdr:nvGraphicFramePr>
        <xdr:cNvPr id="94" name="Chart 93">
          <a:extLst>
            <a:ext uri="{FF2B5EF4-FFF2-40B4-BE49-F238E27FC236}">
              <a16:creationId xmlns:a16="http://schemas.microsoft.com/office/drawing/2014/main" id="{00000000-0008-0000-42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161922</xdr:colOff>
      <xdr:row>4</xdr:row>
      <xdr:rowOff>133350</xdr:rowOff>
    </xdr:from>
    <xdr:to>
      <xdr:col>10</xdr:col>
      <xdr:colOff>327023</xdr:colOff>
      <xdr:row>17</xdr:row>
      <xdr:rowOff>133350</xdr:rowOff>
    </xdr:to>
    <xdr:grpSp>
      <xdr:nvGrpSpPr>
        <xdr:cNvPr id="103" name="Group 102">
          <a:extLst>
            <a:ext uri="{FF2B5EF4-FFF2-40B4-BE49-F238E27FC236}">
              <a16:creationId xmlns:a16="http://schemas.microsoft.com/office/drawing/2014/main" id="{00000000-0008-0000-4200-000067000000}"/>
            </a:ext>
          </a:extLst>
        </xdr:cNvPr>
        <xdr:cNvGrpSpPr/>
      </xdr:nvGrpSpPr>
      <xdr:grpSpPr>
        <a:xfrm>
          <a:off x="3019422" y="1009650"/>
          <a:ext cx="2611121" cy="2331720"/>
          <a:chOff x="444497" y="850900"/>
          <a:chExt cx="2536169" cy="1955800"/>
        </a:xfrm>
      </xdr:grpSpPr>
      <xdr:grpSp>
        <xdr:nvGrpSpPr>
          <xdr:cNvPr id="104" name="Canvas2">
            <a:extLst>
              <a:ext uri="{FF2B5EF4-FFF2-40B4-BE49-F238E27FC236}">
                <a16:creationId xmlns:a16="http://schemas.microsoft.com/office/drawing/2014/main" id="{00000000-0008-0000-4200-000068000000}"/>
              </a:ext>
            </a:extLst>
          </xdr:cNvPr>
          <xdr:cNvGrpSpPr/>
        </xdr:nvGrpSpPr>
        <xdr:grpSpPr>
          <a:xfrm>
            <a:off x="444497" y="850900"/>
            <a:ext cx="2536169" cy="1955800"/>
            <a:chOff x="3189513" y="2357654"/>
            <a:chExt cx="2504806" cy="1882029"/>
          </a:xfrm>
        </xdr:grpSpPr>
        <xdr:sp macro="" textlink="">
          <xdr:nvSpPr>
            <xdr:cNvPr id="112" name="Rectangle 111">
              <a:extLst>
                <a:ext uri="{FF2B5EF4-FFF2-40B4-BE49-F238E27FC236}">
                  <a16:creationId xmlns:a16="http://schemas.microsoft.com/office/drawing/2014/main" id="{00000000-0008-0000-4200-000070000000}"/>
                </a:ext>
              </a:extLst>
            </xdr:cNvPr>
            <xdr:cNvSpPr/>
          </xdr:nvSpPr>
          <xdr:spPr>
            <a:xfrm>
              <a:off x="3458290" y="2357654"/>
              <a:ext cx="2209801"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13" name="Isosceles Triangle 112">
              <a:extLst>
                <a:ext uri="{FF2B5EF4-FFF2-40B4-BE49-F238E27FC236}">
                  <a16:creationId xmlns:a16="http://schemas.microsoft.com/office/drawing/2014/main" id="{00000000-0008-0000-4200-000071000000}"/>
                </a:ext>
              </a:extLst>
            </xdr:cNvPr>
            <xdr:cNvSpPr/>
          </xdr:nvSpPr>
          <xdr:spPr>
            <a:xfrm rot="16200000">
              <a:off x="3199226" y="2846464"/>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14" name="Pentagon 113">
              <a:extLst>
                <a:ext uri="{FF2B5EF4-FFF2-40B4-BE49-F238E27FC236}">
                  <a16:creationId xmlns:a16="http://schemas.microsoft.com/office/drawing/2014/main" id="{00000000-0008-0000-4200-000072000000}"/>
                </a:ext>
              </a:extLst>
            </xdr:cNvPr>
            <xdr:cNvSpPr/>
          </xdr:nvSpPr>
          <xdr:spPr>
            <a:xfrm>
              <a:off x="3189513" y="2357654"/>
              <a:ext cx="2504806" cy="574046"/>
            </a:xfrm>
            <a:prstGeom prst="homePlate">
              <a:avLst/>
            </a:prstGeom>
            <a:solidFill>
              <a:schemeClr val="accent2"/>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 Dose</a:t>
              </a:r>
              <a:r>
                <a:rPr lang="en-US" sz="1400" b="1" baseline="0">
                  <a:solidFill>
                    <a:schemeClr val="lt1"/>
                  </a:solidFill>
                  <a:latin typeface="+mn-lt"/>
                  <a:ea typeface="+mn-ea"/>
                  <a:cs typeface="+mn-cs"/>
                </a:rPr>
                <a:t> Administered (Financial)</a:t>
              </a:r>
              <a:endParaRPr lang="en-US" sz="1400" b="1">
                <a:solidFill>
                  <a:schemeClr val="lt1"/>
                </a:solidFill>
                <a:latin typeface="+mn-lt"/>
                <a:ea typeface="+mn-ea"/>
                <a:cs typeface="+mn-cs"/>
              </a:endParaRPr>
            </a:p>
          </xdr:txBody>
        </xdr:sp>
      </xdr:grpSp>
      <xdr:grpSp>
        <xdr:nvGrpSpPr>
          <xdr:cNvPr id="105" name="Group 104">
            <a:extLst>
              <a:ext uri="{FF2B5EF4-FFF2-40B4-BE49-F238E27FC236}">
                <a16:creationId xmlns:a16="http://schemas.microsoft.com/office/drawing/2014/main" id="{00000000-0008-0000-4200-000069000000}"/>
              </a:ext>
            </a:extLst>
          </xdr:cNvPr>
          <xdr:cNvGrpSpPr/>
        </xdr:nvGrpSpPr>
        <xdr:grpSpPr>
          <a:xfrm>
            <a:off x="1143000" y="1422400"/>
            <a:ext cx="1276996" cy="1328012"/>
            <a:chOff x="1143000" y="1422400"/>
            <a:chExt cx="1276996" cy="1328012"/>
          </a:xfrm>
        </xdr:grpSpPr>
        <xdr:sp macro="" textlink="">
          <xdr:nvSpPr>
            <xdr:cNvPr id="106" name="Chord 105">
              <a:extLst>
                <a:ext uri="{FF2B5EF4-FFF2-40B4-BE49-F238E27FC236}">
                  <a16:creationId xmlns:a16="http://schemas.microsoft.com/office/drawing/2014/main" id="{00000000-0008-0000-4200-00006A000000}"/>
                </a:ext>
              </a:extLst>
            </xdr:cNvPr>
            <xdr:cNvSpPr/>
          </xdr:nvSpPr>
          <xdr:spPr>
            <a:xfrm rot="5229915">
              <a:off x="1139504" y="1475878"/>
              <a:ext cx="1282495" cy="1266573"/>
            </a:xfrm>
            <a:prstGeom prst="chord">
              <a:avLst>
                <a:gd name="adj1" fmla="val 5730325"/>
                <a:gd name="adj2" fmla="val 16200000"/>
              </a:avLst>
            </a:prstGeom>
            <a:solidFill>
              <a:schemeClr val="accent2"/>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07" name="Chord 106">
              <a:extLst>
                <a:ext uri="{FF2B5EF4-FFF2-40B4-BE49-F238E27FC236}">
                  <a16:creationId xmlns:a16="http://schemas.microsoft.com/office/drawing/2014/main" id="{00000000-0008-0000-4200-00006B000000}"/>
                </a:ext>
              </a:extLst>
            </xdr:cNvPr>
            <xdr:cNvSpPr/>
          </xdr:nvSpPr>
          <xdr:spPr>
            <a:xfrm rot="16013712">
              <a:off x="1140250" y="1425150"/>
              <a:ext cx="1282495" cy="127699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I$156">
          <xdr:nvSpPr>
            <xdr:cNvPr id="108" name="TextBox 107">
              <a:extLst>
                <a:ext uri="{FF2B5EF4-FFF2-40B4-BE49-F238E27FC236}">
                  <a16:creationId xmlns:a16="http://schemas.microsoft.com/office/drawing/2014/main" id="{00000000-0008-0000-4200-00006C000000}"/>
                </a:ext>
              </a:extLst>
            </xdr:cNvPr>
            <xdr:cNvSpPr txBox="1"/>
          </xdr:nvSpPr>
          <xdr:spPr>
            <a:xfrm>
              <a:off x="1288965" y="2072986"/>
              <a:ext cx="954753"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18051D2-B727-4783-AC40-1D8D835E218C}" type="TxLink">
                <a:rPr lang="en-US" sz="1600" b="1" i="0" u="none" strike="noStrike">
                  <a:solidFill>
                    <a:schemeClr val="bg1"/>
                  </a:solidFill>
                  <a:latin typeface="Arial Black" panose="020B0A04020102020204" pitchFamily="34" charset="0"/>
                  <a:cs typeface="Utsaah" pitchFamily="34" charset="0"/>
                </a:rPr>
                <a:pPr algn="ctr"/>
                <a:t> </a:t>
              </a:fld>
              <a:endParaRPr lang="en-US" sz="8800" b="1">
                <a:solidFill>
                  <a:schemeClr val="bg1"/>
                </a:solidFill>
                <a:latin typeface="Arial Black" panose="020B0A04020102020204" pitchFamily="34" charset="0"/>
                <a:cs typeface="Utsaah" pitchFamily="34" charset="0"/>
              </a:endParaRPr>
            </a:p>
          </xdr:txBody>
        </xdr:sp>
        <xdr:sp macro="" textlink="RES_Curr_1">
          <xdr:nvSpPr>
            <xdr:cNvPr id="109" name="TextBox 108">
              <a:extLst>
                <a:ext uri="{FF2B5EF4-FFF2-40B4-BE49-F238E27FC236}">
                  <a16:creationId xmlns:a16="http://schemas.microsoft.com/office/drawing/2014/main" id="{00000000-0008-0000-4200-00006D000000}"/>
                </a:ext>
              </a:extLst>
            </xdr:cNvPr>
            <xdr:cNvSpPr txBox="1"/>
          </xdr:nvSpPr>
          <xdr:spPr>
            <a:xfrm>
              <a:off x="1174955" y="1803394"/>
              <a:ext cx="1206263"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2EBF4F9-BC44-45E2-B344-9A851976F070}" type="TxLink">
                <a:rPr lang="en-US" sz="1200" b="0" i="0" u="none" strike="noStrike">
                  <a:solidFill>
                    <a:schemeClr val="bg1"/>
                  </a:solidFill>
                  <a:latin typeface="+mn-lt"/>
                  <a:cs typeface="Utsaah" pitchFamily="34" charset="0"/>
                </a:rPr>
                <a:pPr algn="ctr"/>
                <a:t>USD</a:t>
              </a:fld>
              <a:endParaRPr lang="en-US" sz="2000" b="0">
                <a:solidFill>
                  <a:schemeClr val="bg1"/>
                </a:solidFill>
                <a:latin typeface="+mn-lt"/>
                <a:cs typeface="Utsaah" pitchFamily="34" charset="0"/>
              </a:endParaRPr>
            </a:p>
          </xdr:txBody>
        </xdr:sp>
        <xdr:sp macro="" textlink="Summary_BO!$M$156">
          <xdr:nvSpPr>
            <xdr:cNvPr id="110" name="TextBox 109">
              <a:extLst>
                <a:ext uri="{FF2B5EF4-FFF2-40B4-BE49-F238E27FC236}">
                  <a16:creationId xmlns:a16="http://schemas.microsoft.com/office/drawing/2014/main" id="{00000000-0008-0000-4200-00006E000000}"/>
                </a:ext>
              </a:extLst>
            </xdr:cNvPr>
            <xdr:cNvSpPr txBox="1"/>
          </xdr:nvSpPr>
          <xdr:spPr>
            <a:xfrm>
              <a:off x="1215283" y="1607162"/>
              <a:ext cx="1078841"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B672489-2E03-4B2B-95AC-64D8C8D06A66}" type="TxLink">
                <a:rPr lang="en-US" sz="14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RES_Curr_2">
          <xdr:nvSpPr>
            <xdr:cNvPr id="111" name="TextBox 110">
              <a:extLst>
                <a:ext uri="{FF2B5EF4-FFF2-40B4-BE49-F238E27FC236}">
                  <a16:creationId xmlns:a16="http://schemas.microsoft.com/office/drawing/2014/main" id="{00000000-0008-0000-4200-00006F000000}"/>
                </a:ext>
              </a:extLst>
            </xdr:cNvPr>
            <xdr:cNvSpPr txBox="1"/>
          </xdr:nvSpPr>
          <xdr:spPr>
            <a:xfrm>
              <a:off x="1309173" y="2383124"/>
              <a:ext cx="925934"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92C2620-C759-4CB8-B22F-7FF173E3C26D}" type="TxLink">
                <a:rPr lang="en-US" sz="1100" b="0" i="0" u="none" strike="noStrike">
                  <a:solidFill>
                    <a:schemeClr val="bg1"/>
                  </a:solidFill>
                  <a:latin typeface="Calibri"/>
                  <a:cs typeface="Utsaah" pitchFamily="34" charset="0"/>
                </a:rPr>
                <a:pPr algn="ctr"/>
                <a:t>GOZ</a:t>
              </a:fld>
              <a:endParaRPr lang="en-US" sz="1600">
                <a:solidFill>
                  <a:schemeClr val="bg1"/>
                </a:solidFill>
                <a:latin typeface="Utsaah" pitchFamily="34" charset="0"/>
                <a:cs typeface="Utsaah" pitchFamily="34" charset="0"/>
              </a:endParaRPr>
            </a:p>
          </xdr:txBody>
        </xdr:sp>
      </xdr:grpSp>
    </xdr:grpSp>
    <xdr:clientData/>
  </xdr:twoCellAnchor>
  <xdr:twoCellAnchor>
    <xdr:from>
      <xdr:col>10</xdr:col>
      <xdr:colOff>628648</xdr:colOff>
      <xdr:row>4</xdr:row>
      <xdr:rowOff>114300</xdr:rowOff>
    </xdr:from>
    <xdr:to>
      <xdr:col>13</xdr:col>
      <xdr:colOff>965200</xdr:colOff>
      <xdr:row>17</xdr:row>
      <xdr:rowOff>139700</xdr:rowOff>
    </xdr:to>
    <xdr:grpSp>
      <xdr:nvGrpSpPr>
        <xdr:cNvPr id="115" name="Group 114">
          <a:extLst>
            <a:ext uri="{FF2B5EF4-FFF2-40B4-BE49-F238E27FC236}">
              <a16:creationId xmlns:a16="http://schemas.microsoft.com/office/drawing/2014/main" id="{00000000-0008-0000-4200-000073000000}"/>
            </a:ext>
          </a:extLst>
        </xdr:cNvPr>
        <xdr:cNvGrpSpPr/>
      </xdr:nvGrpSpPr>
      <xdr:grpSpPr>
        <a:xfrm>
          <a:off x="5932168" y="990600"/>
          <a:ext cx="2493012" cy="2357120"/>
          <a:chOff x="444498" y="850900"/>
          <a:chExt cx="2509613" cy="1955800"/>
        </a:xfrm>
      </xdr:grpSpPr>
      <xdr:grpSp>
        <xdr:nvGrpSpPr>
          <xdr:cNvPr id="116" name="Canvas2">
            <a:extLst>
              <a:ext uri="{FF2B5EF4-FFF2-40B4-BE49-F238E27FC236}">
                <a16:creationId xmlns:a16="http://schemas.microsoft.com/office/drawing/2014/main" id="{00000000-0008-0000-4200-000074000000}"/>
              </a:ext>
            </a:extLst>
          </xdr:cNvPr>
          <xdr:cNvGrpSpPr/>
        </xdr:nvGrpSpPr>
        <xdr:grpSpPr>
          <a:xfrm>
            <a:off x="444498" y="850900"/>
            <a:ext cx="2509613" cy="1955800"/>
            <a:chOff x="3189513" y="2357654"/>
            <a:chExt cx="2478578" cy="1882029"/>
          </a:xfrm>
        </xdr:grpSpPr>
        <xdr:sp macro="" textlink="">
          <xdr:nvSpPr>
            <xdr:cNvPr id="124" name="Rectangle 123">
              <a:extLst>
                <a:ext uri="{FF2B5EF4-FFF2-40B4-BE49-F238E27FC236}">
                  <a16:creationId xmlns:a16="http://schemas.microsoft.com/office/drawing/2014/main" id="{00000000-0008-0000-4200-00007C000000}"/>
                </a:ext>
              </a:extLst>
            </xdr:cNvPr>
            <xdr:cNvSpPr/>
          </xdr:nvSpPr>
          <xdr:spPr>
            <a:xfrm>
              <a:off x="3458290" y="2357654"/>
              <a:ext cx="2209801"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25" name="Isosceles Triangle 124">
              <a:extLst>
                <a:ext uri="{FF2B5EF4-FFF2-40B4-BE49-F238E27FC236}">
                  <a16:creationId xmlns:a16="http://schemas.microsoft.com/office/drawing/2014/main" id="{00000000-0008-0000-4200-00007D000000}"/>
                </a:ext>
              </a:extLst>
            </xdr:cNvPr>
            <xdr:cNvSpPr/>
          </xdr:nvSpPr>
          <xdr:spPr>
            <a:xfrm rot="16200000">
              <a:off x="3199226" y="2846464"/>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26" name="Pentagon 125">
              <a:extLst>
                <a:ext uri="{FF2B5EF4-FFF2-40B4-BE49-F238E27FC236}">
                  <a16:creationId xmlns:a16="http://schemas.microsoft.com/office/drawing/2014/main" id="{00000000-0008-0000-4200-00007E000000}"/>
                </a:ext>
              </a:extLst>
            </xdr:cNvPr>
            <xdr:cNvSpPr/>
          </xdr:nvSpPr>
          <xdr:spPr>
            <a:xfrm>
              <a:off x="3189513" y="2366068"/>
              <a:ext cx="2419563" cy="565631"/>
            </a:xfrm>
            <a:prstGeom prst="homePlate">
              <a:avLst/>
            </a:prstGeom>
            <a:solidFill>
              <a:srgbClr val="00B0F0"/>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 Fully Immunised (Financial)</a:t>
              </a:r>
            </a:p>
          </xdr:txBody>
        </xdr:sp>
      </xdr:grpSp>
      <xdr:grpSp>
        <xdr:nvGrpSpPr>
          <xdr:cNvPr id="117" name="Group 116">
            <a:extLst>
              <a:ext uri="{FF2B5EF4-FFF2-40B4-BE49-F238E27FC236}">
                <a16:creationId xmlns:a16="http://schemas.microsoft.com/office/drawing/2014/main" id="{00000000-0008-0000-4200-000075000000}"/>
              </a:ext>
            </a:extLst>
          </xdr:cNvPr>
          <xdr:cNvGrpSpPr/>
        </xdr:nvGrpSpPr>
        <xdr:grpSpPr>
          <a:xfrm>
            <a:off x="1141410" y="1422439"/>
            <a:ext cx="1276996" cy="1327939"/>
            <a:chOff x="1141410" y="1422439"/>
            <a:chExt cx="1276996" cy="1327939"/>
          </a:xfrm>
        </xdr:grpSpPr>
        <xdr:sp macro="" textlink="">
          <xdr:nvSpPr>
            <xdr:cNvPr id="118" name="Chord 117">
              <a:extLst>
                <a:ext uri="{FF2B5EF4-FFF2-40B4-BE49-F238E27FC236}">
                  <a16:creationId xmlns:a16="http://schemas.microsoft.com/office/drawing/2014/main" id="{00000000-0008-0000-4200-000076000000}"/>
                </a:ext>
              </a:extLst>
            </xdr:cNvPr>
            <xdr:cNvSpPr/>
          </xdr:nvSpPr>
          <xdr:spPr>
            <a:xfrm rot="5229915">
              <a:off x="1168562" y="1503377"/>
              <a:ext cx="1227429" cy="1266573"/>
            </a:xfrm>
            <a:prstGeom prst="chord">
              <a:avLst>
                <a:gd name="adj1" fmla="val 5730325"/>
                <a:gd name="adj2" fmla="val 16200000"/>
              </a:avLst>
            </a:prstGeom>
            <a:solidFill>
              <a:srgbClr val="00B0F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19" name="Chord 118">
              <a:extLst>
                <a:ext uri="{FF2B5EF4-FFF2-40B4-BE49-F238E27FC236}">
                  <a16:creationId xmlns:a16="http://schemas.microsoft.com/office/drawing/2014/main" id="{00000000-0008-0000-4200-000077000000}"/>
                </a:ext>
              </a:extLst>
            </xdr:cNvPr>
            <xdr:cNvSpPr/>
          </xdr:nvSpPr>
          <xdr:spPr>
            <a:xfrm rot="16013712">
              <a:off x="1164854" y="1398995"/>
              <a:ext cx="1230108" cy="127699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I$159">
          <xdr:nvSpPr>
            <xdr:cNvPr id="120" name="TextBox 119">
              <a:extLst>
                <a:ext uri="{FF2B5EF4-FFF2-40B4-BE49-F238E27FC236}">
                  <a16:creationId xmlns:a16="http://schemas.microsoft.com/office/drawing/2014/main" id="{00000000-0008-0000-4200-000078000000}"/>
                </a:ext>
              </a:extLst>
            </xdr:cNvPr>
            <xdr:cNvSpPr txBox="1"/>
          </xdr:nvSpPr>
          <xdr:spPr>
            <a:xfrm>
              <a:off x="1288965" y="2072986"/>
              <a:ext cx="954753"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B795434A-3AEA-4278-88F7-6E835E3F6BAF}" type="TxLink">
                <a:rPr lang="en-US" sz="1600" b="1" i="0" u="none" strike="noStrike">
                  <a:solidFill>
                    <a:schemeClr val="bg1"/>
                  </a:solidFill>
                  <a:latin typeface="Arial Black" panose="020B0A04020102020204" pitchFamily="34" charset="0"/>
                  <a:cs typeface="Utsaah" pitchFamily="34" charset="0"/>
                </a:rPr>
                <a:pPr algn="ctr"/>
                <a:t> </a:t>
              </a:fld>
              <a:endParaRPr lang="en-US" sz="19900" b="1">
                <a:solidFill>
                  <a:schemeClr val="bg1"/>
                </a:solidFill>
                <a:latin typeface="Arial Black" panose="020B0A04020102020204" pitchFamily="34" charset="0"/>
                <a:cs typeface="Utsaah" pitchFamily="34" charset="0"/>
              </a:endParaRPr>
            </a:p>
          </xdr:txBody>
        </xdr:sp>
        <xdr:sp macro="" textlink="RES_Curr_1">
          <xdr:nvSpPr>
            <xdr:cNvPr id="121" name="TextBox 120">
              <a:extLst>
                <a:ext uri="{FF2B5EF4-FFF2-40B4-BE49-F238E27FC236}">
                  <a16:creationId xmlns:a16="http://schemas.microsoft.com/office/drawing/2014/main" id="{00000000-0008-0000-4200-000079000000}"/>
                </a:ext>
              </a:extLst>
            </xdr:cNvPr>
            <xdr:cNvSpPr txBox="1"/>
          </xdr:nvSpPr>
          <xdr:spPr>
            <a:xfrm>
              <a:off x="1174955" y="1803394"/>
              <a:ext cx="1206263"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2EBF4F9-BC44-45E2-B344-9A851976F070}" type="TxLink">
                <a:rPr lang="en-US" sz="1200" b="0" i="0" u="none" strike="noStrike">
                  <a:solidFill>
                    <a:schemeClr val="bg1"/>
                  </a:solidFill>
                  <a:latin typeface="+mn-lt"/>
                  <a:cs typeface="Utsaah" pitchFamily="34" charset="0"/>
                </a:rPr>
                <a:pPr algn="ctr"/>
                <a:t>USD</a:t>
              </a:fld>
              <a:endParaRPr lang="en-US" sz="2000" b="0">
                <a:solidFill>
                  <a:schemeClr val="bg1"/>
                </a:solidFill>
                <a:latin typeface="+mn-lt"/>
                <a:cs typeface="Utsaah" pitchFamily="34" charset="0"/>
              </a:endParaRPr>
            </a:p>
          </xdr:txBody>
        </xdr:sp>
        <xdr:sp macro="" textlink="Summary_BO!$M$159">
          <xdr:nvSpPr>
            <xdr:cNvPr id="122" name="TextBox 121">
              <a:extLst>
                <a:ext uri="{FF2B5EF4-FFF2-40B4-BE49-F238E27FC236}">
                  <a16:creationId xmlns:a16="http://schemas.microsoft.com/office/drawing/2014/main" id="{00000000-0008-0000-4200-00007A000000}"/>
                </a:ext>
              </a:extLst>
            </xdr:cNvPr>
            <xdr:cNvSpPr txBox="1"/>
          </xdr:nvSpPr>
          <xdr:spPr>
            <a:xfrm>
              <a:off x="1215283" y="1607162"/>
              <a:ext cx="1078841"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2DBA7916-FC2A-425C-BEC9-0D44E98A83A4}" type="TxLink">
                <a:rPr lang="en-US" sz="1400" b="1" i="0" u="none" strike="noStrike">
                  <a:solidFill>
                    <a:schemeClr val="bg1"/>
                  </a:solidFill>
                  <a:latin typeface="Arial Black" panose="020B0A04020102020204" pitchFamily="34" charset="0"/>
                  <a:cs typeface="Utsaah" pitchFamily="34" charset="0"/>
                </a:rPr>
                <a:pPr algn="ctr"/>
                <a:t> </a:t>
              </a:fld>
              <a:endParaRPr lang="en-US" sz="13800" b="1">
                <a:solidFill>
                  <a:schemeClr val="bg1"/>
                </a:solidFill>
                <a:latin typeface="Arial Black" panose="020B0A04020102020204" pitchFamily="34" charset="0"/>
                <a:cs typeface="Utsaah" pitchFamily="34" charset="0"/>
              </a:endParaRPr>
            </a:p>
          </xdr:txBody>
        </xdr:sp>
        <xdr:sp macro="" textlink="RES_Curr_2">
          <xdr:nvSpPr>
            <xdr:cNvPr id="123" name="TextBox 122">
              <a:extLst>
                <a:ext uri="{FF2B5EF4-FFF2-40B4-BE49-F238E27FC236}">
                  <a16:creationId xmlns:a16="http://schemas.microsoft.com/office/drawing/2014/main" id="{00000000-0008-0000-4200-00007B000000}"/>
                </a:ext>
              </a:extLst>
            </xdr:cNvPr>
            <xdr:cNvSpPr txBox="1"/>
          </xdr:nvSpPr>
          <xdr:spPr>
            <a:xfrm>
              <a:off x="1309173" y="2383124"/>
              <a:ext cx="925934"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92C2620-C759-4CB8-B22F-7FF173E3C26D}" type="TxLink">
                <a:rPr lang="en-US" sz="1100" b="0" i="0" u="none" strike="noStrike">
                  <a:solidFill>
                    <a:schemeClr val="bg1"/>
                  </a:solidFill>
                  <a:latin typeface="Calibri"/>
                  <a:cs typeface="Utsaah" pitchFamily="34" charset="0"/>
                </a:rPr>
                <a:pPr algn="ctr"/>
                <a:t>GOZ</a:t>
              </a:fld>
              <a:endParaRPr lang="en-US" sz="1600">
                <a:solidFill>
                  <a:schemeClr val="bg1"/>
                </a:solidFill>
                <a:latin typeface="Utsaah" pitchFamily="34" charset="0"/>
                <a:cs typeface="Utsaah" pitchFamily="34" charset="0"/>
              </a:endParaRPr>
            </a:p>
          </xdr:txBody>
        </xdr:sp>
      </xdr:grpSp>
    </xdr:grpSp>
    <xdr:clientData/>
  </xdr:twoCellAnchor>
  <xdr:twoCellAnchor>
    <xdr:from>
      <xdr:col>7</xdr:col>
      <xdr:colOff>542925</xdr:colOff>
      <xdr:row>21</xdr:row>
      <xdr:rowOff>28575</xdr:rowOff>
    </xdr:from>
    <xdr:to>
      <xdr:col>10</xdr:col>
      <xdr:colOff>244475</xdr:colOff>
      <xdr:row>21</xdr:row>
      <xdr:rowOff>42428</xdr:rowOff>
    </xdr:to>
    <xdr:cxnSp macro="">
      <xdr:nvCxnSpPr>
        <xdr:cNvPr id="43" name="Graphic6">
          <a:extLst>
            <a:ext uri="{FF2B5EF4-FFF2-40B4-BE49-F238E27FC236}">
              <a16:creationId xmlns:a16="http://schemas.microsoft.com/office/drawing/2014/main" id="{00000000-0008-0000-4200-00002B000000}"/>
            </a:ext>
          </a:extLst>
        </xdr:cNvPr>
        <xdr:cNvCxnSpPr/>
      </xdr:nvCxnSpPr>
      <xdr:spPr>
        <a:xfrm>
          <a:off x="3343275" y="3638550"/>
          <a:ext cx="2082800" cy="13853"/>
        </a:xfrm>
        <a:prstGeom prst="line">
          <a:avLst/>
        </a:prstGeom>
        <a:ln w="190500" cap="rnd">
          <a:solidFill>
            <a:schemeClr val="tx1">
              <a:lumMod val="65000"/>
              <a:lumOff val="3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70486</xdr:colOff>
      <xdr:row>4</xdr:row>
      <xdr:rowOff>133350</xdr:rowOff>
    </xdr:from>
    <xdr:to>
      <xdr:col>19</xdr:col>
      <xdr:colOff>252186</xdr:colOff>
      <xdr:row>17</xdr:row>
      <xdr:rowOff>101600</xdr:rowOff>
    </xdr:to>
    <xdr:grpSp>
      <xdr:nvGrpSpPr>
        <xdr:cNvPr id="44" name="Canvas2">
          <a:extLst>
            <a:ext uri="{FF2B5EF4-FFF2-40B4-BE49-F238E27FC236}">
              <a16:creationId xmlns:a16="http://schemas.microsoft.com/office/drawing/2014/main" id="{00000000-0008-0000-4200-00002C000000}"/>
            </a:ext>
          </a:extLst>
        </xdr:cNvPr>
        <xdr:cNvGrpSpPr/>
      </xdr:nvGrpSpPr>
      <xdr:grpSpPr>
        <a:xfrm>
          <a:off x="8803006" y="1009650"/>
          <a:ext cx="2582000" cy="2299970"/>
          <a:chOff x="3205373" y="2344511"/>
          <a:chExt cx="2374916" cy="1882029"/>
        </a:xfrm>
      </xdr:grpSpPr>
      <xdr:sp macro="" textlink="">
        <xdr:nvSpPr>
          <xdr:cNvPr id="45" name="Rectangle 44">
            <a:extLst>
              <a:ext uri="{FF2B5EF4-FFF2-40B4-BE49-F238E27FC236}">
                <a16:creationId xmlns:a16="http://schemas.microsoft.com/office/drawing/2014/main" id="{00000000-0008-0000-4200-00002D000000}"/>
              </a:ext>
            </a:extLst>
          </xdr:cNvPr>
          <xdr:cNvSpPr/>
        </xdr:nvSpPr>
        <xdr:spPr>
          <a:xfrm>
            <a:off x="3370489" y="2344511"/>
            <a:ext cx="2209800"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46" name="Isosceles Triangle 45">
            <a:extLst>
              <a:ext uri="{FF2B5EF4-FFF2-40B4-BE49-F238E27FC236}">
                <a16:creationId xmlns:a16="http://schemas.microsoft.com/office/drawing/2014/main" id="{00000000-0008-0000-4200-00002E000000}"/>
              </a:ext>
            </a:extLst>
          </xdr:cNvPr>
          <xdr:cNvSpPr/>
        </xdr:nvSpPr>
        <xdr:spPr>
          <a:xfrm rot="16200000">
            <a:off x="3208185" y="2785939"/>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47" name="Pentagon 46">
            <a:extLst>
              <a:ext uri="{FF2B5EF4-FFF2-40B4-BE49-F238E27FC236}">
                <a16:creationId xmlns:a16="http://schemas.microsoft.com/office/drawing/2014/main" id="{00000000-0008-0000-4200-00002F000000}"/>
              </a:ext>
            </a:extLst>
          </xdr:cNvPr>
          <xdr:cNvSpPr/>
        </xdr:nvSpPr>
        <xdr:spPr>
          <a:xfrm>
            <a:off x="3220871" y="2344511"/>
            <a:ext cx="2295525" cy="507992"/>
          </a:xfrm>
          <a:prstGeom prst="homePlate">
            <a:avLst/>
          </a:prstGeom>
          <a:solidFill>
            <a:schemeClr val="accent3"/>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 Dose</a:t>
            </a:r>
            <a:r>
              <a:rPr lang="en-US" sz="1400" b="1" baseline="0">
                <a:solidFill>
                  <a:schemeClr val="lt1"/>
                </a:solidFill>
                <a:latin typeface="+mn-lt"/>
                <a:ea typeface="+mn-ea"/>
                <a:cs typeface="+mn-cs"/>
              </a:rPr>
              <a:t> Administered-w/out vaccine (Financial)</a:t>
            </a:r>
            <a:endParaRPr lang="en-US" sz="1400" b="1">
              <a:solidFill>
                <a:schemeClr val="lt1"/>
              </a:solidFill>
              <a:latin typeface="+mn-lt"/>
              <a:ea typeface="+mn-ea"/>
              <a:cs typeface="+mn-cs"/>
            </a:endParaRPr>
          </a:p>
        </xdr:txBody>
      </xdr:sp>
    </xdr:grpSp>
    <xdr:clientData/>
  </xdr:twoCellAnchor>
  <xdr:twoCellAnchor>
    <xdr:from>
      <xdr:col>19</xdr:col>
      <xdr:colOff>722209</xdr:colOff>
      <xdr:row>4</xdr:row>
      <xdr:rowOff>104775</xdr:rowOff>
    </xdr:from>
    <xdr:to>
      <xdr:col>23</xdr:col>
      <xdr:colOff>115661</xdr:colOff>
      <xdr:row>17</xdr:row>
      <xdr:rowOff>111125</xdr:rowOff>
    </xdr:to>
    <xdr:grpSp>
      <xdr:nvGrpSpPr>
        <xdr:cNvPr id="48" name="Canvas2">
          <a:extLst>
            <a:ext uri="{FF2B5EF4-FFF2-40B4-BE49-F238E27FC236}">
              <a16:creationId xmlns:a16="http://schemas.microsoft.com/office/drawing/2014/main" id="{00000000-0008-0000-4200-000030000000}"/>
            </a:ext>
          </a:extLst>
        </xdr:cNvPr>
        <xdr:cNvGrpSpPr/>
      </xdr:nvGrpSpPr>
      <xdr:grpSpPr>
        <a:xfrm>
          <a:off x="11855029" y="981075"/>
          <a:ext cx="2593852" cy="2338070"/>
          <a:chOff x="3196414" y="2344511"/>
          <a:chExt cx="2383875" cy="1882029"/>
        </a:xfrm>
      </xdr:grpSpPr>
      <xdr:sp macro="" textlink="">
        <xdr:nvSpPr>
          <xdr:cNvPr id="49" name="Rectangle 48">
            <a:extLst>
              <a:ext uri="{FF2B5EF4-FFF2-40B4-BE49-F238E27FC236}">
                <a16:creationId xmlns:a16="http://schemas.microsoft.com/office/drawing/2014/main" id="{00000000-0008-0000-4200-000031000000}"/>
              </a:ext>
            </a:extLst>
          </xdr:cNvPr>
          <xdr:cNvSpPr/>
        </xdr:nvSpPr>
        <xdr:spPr>
          <a:xfrm>
            <a:off x="3370489" y="2344511"/>
            <a:ext cx="2209800"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50" name="Isosceles Triangle 49">
            <a:extLst>
              <a:ext uri="{FF2B5EF4-FFF2-40B4-BE49-F238E27FC236}">
                <a16:creationId xmlns:a16="http://schemas.microsoft.com/office/drawing/2014/main" id="{00000000-0008-0000-4200-000032000000}"/>
              </a:ext>
            </a:extLst>
          </xdr:cNvPr>
          <xdr:cNvSpPr/>
        </xdr:nvSpPr>
        <xdr:spPr>
          <a:xfrm rot="16200000">
            <a:off x="3199226" y="2787032"/>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51" name="Pentagon 50">
            <a:extLst>
              <a:ext uri="{FF2B5EF4-FFF2-40B4-BE49-F238E27FC236}">
                <a16:creationId xmlns:a16="http://schemas.microsoft.com/office/drawing/2014/main" id="{00000000-0008-0000-4200-000033000000}"/>
              </a:ext>
            </a:extLst>
          </xdr:cNvPr>
          <xdr:cNvSpPr/>
        </xdr:nvSpPr>
        <xdr:spPr>
          <a:xfrm>
            <a:off x="3240102" y="2353001"/>
            <a:ext cx="2295525" cy="492566"/>
          </a:xfrm>
          <a:prstGeom prst="homePlate">
            <a:avLst/>
          </a:prstGeom>
          <a:solidFill>
            <a:schemeClr val="accent1">
              <a:lumMod val="50000"/>
            </a:schemeClr>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a:t>
            </a:r>
            <a:r>
              <a:rPr lang="en-US" sz="1400" b="1" baseline="0">
                <a:solidFill>
                  <a:schemeClr val="lt1"/>
                </a:solidFill>
                <a:latin typeface="+mn-lt"/>
                <a:ea typeface="+mn-ea"/>
                <a:cs typeface="+mn-cs"/>
              </a:rPr>
              <a:t> Fully Immunised - w/out vaccine (Financial)</a:t>
            </a:r>
            <a:endParaRPr lang="en-US" sz="1400" b="1">
              <a:solidFill>
                <a:schemeClr val="lt1"/>
              </a:solidFill>
              <a:latin typeface="+mn-lt"/>
              <a:ea typeface="+mn-ea"/>
              <a:cs typeface="+mn-cs"/>
            </a:endParaRPr>
          </a:p>
        </xdr:txBody>
      </xdr:sp>
    </xdr:grpSp>
    <xdr:clientData/>
  </xdr:twoCellAnchor>
  <xdr:twoCellAnchor>
    <xdr:from>
      <xdr:col>15</xdr:col>
      <xdr:colOff>498475</xdr:colOff>
      <xdr:row>9</xdr:row>
      <xdr:rowOff>111125</xdr:rowOff>
    </xdr:from>
    <xdr:to>
      <xdr:col>17</xdr:col>
      <xdr:colOff>861071</xdr:colOff>
      <xdr:row>17</xdr:row>
      <xdr:rowOff>118337</xdr:rowOff>
    </xdr:to>
    <xdr:grpSp>
      <xdr:nvGrpSpPr>
        <xdr:cNvPr id="52" name="Graphic5">
          <a:extLst>
            <a:ext uri="{FF2B5EF4-FFF2-40B4-BE49-F238E27FC236}">
              <a16:creationId xmlns:a16="http://schemas.microsoft.com/office/drawing/2014/main" id="{00000000-0008-0000-4200-000034000000}"/>
            </a:ext>
          </a:extLst>
        </xdr:cNvPr>
        <xdr:cNvGrpSpPr/>
      </xdr:nvGrpSpPr>
      <xdr:grpSpPr>
        <a:xfrm>
          <a:off x="9375775" y="1917065"/>
          <a:ext cx="1337956" cy="1409292"/>
          <a:chOff x="1603443" y="3571013"/>
          <a:chExt cx="2045516" cy="2094655"/>
        </a:xfrm>
      </xdr:grpSpPr>
      <xdr:sp macro="" textlink="">
        <xdr:nvSpPr>
          <xdr:cNvPr id="53" name="Chord 52">
            <a:extLst>
              <a:ext uri="{FF2B5EF4-FFF2-40B4-BE49-F238E27FC236}">
                <a16:creationId xmlns:a16="http://schemas.microsoft.com/office/drawing/2014/main" id="{00000000-0008-0000-4200-000035000000}"/>
              </a:ext>
            </a:extLst>
          </xdr:cNvPr>
          <xdr:cNvSpPr/>
        </xdr:nvSpPr>
        <xdr:spPr>
          <a:xfrm rot="5229915">
            <a:off x="1613574" y="3639827"/>
            <a:ext cx="2022861" cy="2028821"/>
          </a:xfrm>
          <a:prstGeom prst="chord">
            <a:avLst>
              <a:gd name="adj1" fmla="val 5730325"/>
              <a:gd name="adj2" fmla="val 16200000"/>
            </a:avLst>
          </a:prstGeom>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54" name="Chord 53">
            <a:extLst>
              <a:ext uri="{FF2B5EF4-FFF2-40B4-BE49-F238E27FC236}">
                <a16:creationId xmlns:a16="http://schemas.microsoft.com/office/drawing/2014/main" id="{00000000-0008-0000-4200-000036000000}"/>
              </a:ext>
            </a:extLst>
          </xdr:cNvPr>
          <xdr:cNvSpPr/>
        </xdr:nvSpPr>
        <xdr:spPr>
          <a:xfrm rot="16013712">
            <a:off x="1614770" y="3559686"/>
            <a:ext cx="2022861" cy="204551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L$55">
        <xdr:nvSpPr>
          <xdr:cNvPr id="55" name="TextBox 54">
            <a:extLst>
              <a:ext uri="{FF2B5EF4-FFF2-40B4-BE49-F238E27FC236}">
                <a16:creationId xmlns:a16="http://schemas.microsoft.com/office/drawing/2014/main" id="{00000000-0008-0000-4200-000037000000}"/>
              </a:ext>
            </a:extLst>
          </xdr:cNvPr>
          <xdr:cNvSpPr txBox="1"/>
        </xdr:nvSpPr>
        <xdr:spPr>
          <a:xfrm>
            <a:off x="1964871" y="3733801"/>
            <a:ext cx="1401535"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617FA35-FA7A-4955-A2E3-C22745692831}" type="TxLink">
              <a:rPr lang="en-US" sz="1400" b="0" i="0" u="none" strike="noStrike">
                <a:solidFill>
                  <a:schemeClr val="bg1"/>
                </a:solidFill>
                <a:latin typeface="Arial Black" panose="020B0A04020102020204" pitchFamily="34" charset="0"/>
                <a:cs typeface="Utsaah" pitchFamily="34" charset="0"/>
              </a:rPr>
              <a:pPr algn="ctr"/>
              <a:t> </a:t>
            </a:fld>
            <a:endParaRPr lang="en-US" sz="1400" b="1">
              <a:solidFill>
                <a:schemeClr val="bg1"/>
              </a:solidFill>
              <a:latin typeface="Arial Black" panose="020B0A04020102020204" pitchFamily="34" charset="0"/>
              <a:cs typeface="Utsaah" pitchFamily="34" charset="0"/>
            </a:endParaRPr>
          </a:p>
        </xdr:txBody>
      </xdr:sp>
      <xdr:sp macro="" textlink="RES_Curr_1">
        <xdr:nvSpPr>
          <xdr:cNvPr id="56" name="TextBox 55">
            <a:extLst>
              <a:ext uri="{FF2B5EF4-FFF2-40B4-BE49-F238E27FC236}">
                <a16:creationId xmlns:a16="http://schemas.microsoft.com/office/drawing/2014/main" id="{00000000-0008-0000-4200-000038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A4E391B-5ED5-495B-BBCB-2C69AB3BB969}" type="TxLink">
              <a:rPr lang="en-US" sz="1200" b="0" i="0" u="none" strike="noStrike">
                <a:solidFill>
                  <a:schemeClr val="bg1"/>
                </a:solidFill>
                <a:latin typeface="Calibri"/>
                <a:cs typeface="Utsaah" pitchFamily="34" charset="0"/>
              </a:rPr>
              <a:pPr algn="ctr"/>
              <a:t>USD</a:t>
            </a:fld>
            <a:endParaRPr lang="en-US" sz="1800" b="0">
              <a:solidFill>
                <a:schemeClr val="bg1"/>
              </a:solidFill>
              <a:latin typeface="+mn-lt"/>
              <a:cs typeface="Utsaah" pitchFamily="34" charset="0"/>
            </a:endParaRPr>
          </a:p>
        </xdr:txBody>
      </xdr:sp>
      <xdr:sp macro="" textlink="$H$55">
        <xdr:nvSpPr>
          <xdr:cNvPr id="57" name="TextBox 56">
            <a:extLst>
              <a:ext uri="{FF2B5EF4-FFF2-40B4-BE49-F238E27FC236}">
                <a16:creationId xmlns:a16="http://schemas.microsoft.com/office/drawing/2014/main" id="{00000000-0008-0000-4200-000039000000}"/>
              </a:ext>
            </a:extLst>
          </xdr:cNvPr>
          <xdr:cNvSpPr txBox="1"/>
        </xdr:nvSpPr>
        <xdr:spPr>
          <a:xfrm>
            <a:off x="1700600" y="4617567"/>
            <a:ext cx="1728108"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980624-1B0B-4C83-A8DB-0ACB2FD0EB01}" type="TxLink">
              <a:rPr lang="en-US" sz="1600" b="0"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10;RES_Curr_2">
        <xdr:nvSpPr>
          <xdr:cNvPr id="58" name="TextBox 57">
            <a:extLst>
              <a:ext uri="{FF2B5EF4-FFF2-40B4-BE49-F238E27FC236}">
                <a16:creationId xmlns:a16="http://schemas.microsoft.com/office/drawing/2014/main" id="{00000000-0008-0000-4200-00003A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05FA7D9-C2C8-4DE9-9BF9-822A476E4D17}" type="TxLink">
              <a:rPr lang="en-US" sz="1200" b="0" i="0" u="none" strike="noStrike">
                <a:solidFill>
                  <a:schemeClr val="bg1"/>
                </a:solidFill>
                <a:latin typeface="+mn-lt"/>
                <a:cs typeface="Utsaah" pitchFamily="34" charset="0"/>
              </a:rPr>
              <a:pPr algn="ctr"/>
              <a:t>GOZ</a:t>
            </a:fld>
            <a:endParaRPr lang="en-US" sz="1800">
              <a:solidFill>
                <a:schemeClr val="bg1"/>
              </a:solidFill>
              <a:latin typeface="+mn-lt"/>
              <a:cs typeface="Utsaah" pitchFamily="34" charset="0"/>
            </a:endParaRPr>
          </a:p>
        </xdr:txBody>
      </xdr:sp>
    </xdr:grpSp>
    <xdr:clientData/>
  </xdr:twoCellAnchor>
  <xdr:twoCellAnchor>
    <xdr:from>
      <xdr:col>20</xdr:col>
      <xdr:colOff>377825</xdr:colOff>
      <xdr:row>9</xdr:row>
      <xdr:rowOff>63500</xdr:rowOff>
    </xdr:from>
    <xdr:to>
      <xdr:col>22</xdr:col>
      <xdr:colOff>159396</xdr:colOff>
      <xdr:row>17</xdr:row>
      <xdr:rowOff>70712</xdr:rowOff>
    </xdr:to>
    <xdr:grpSp>
      <xdr:nvGrpSpPr>
        <xdr:cNvPr id="59" name="Graphic5">
          <a:extLst>
            <a:ext uri="{FF2B5EF4-FFF2-40B4-BE49-F238E27FC236}">
              <a16:creationId xmlns:a16="http://schemas.microsoft.com/office/drawing/2014/main" id="{00000000-0008-0000-4200-00003B000000}"/>
            </a:ext>
          </a:extLst>
        </xdr:cNvPr>
        <xdr:cNvGrpSpPr/>
      </xdr:nvGrpSpPr>
      <xdr:grpSpPr>
        <a:xfrm>
          <a:off x="12310745" y="1869440"/>
          <a:ext cx="1381771" cy="1409292"/>
          <a:chOff x="1603443" y="3571013"/>
          <a:chExt cx="2045516" cy="2094655"/>
        </a:xfrm>
      </xdr:grpSpPr>
      <xdr:sp macro="" textlink="">
        <xdr:nvSpPr>
          <xdr:cNvPr id="60" name="Chord 59">
            <a:extLst>
              <a:ext uri="{FF2B5EF4-FFF2-40B4-BE49-F238E27FC236}">
                <a16:creationId xmlns:a16="http://schemas.microsoft.com/office/drawing/2014/main" id="{00000000-0008-0000-4200-00003C000000}"/>
              </a:ext>
            </a:extLst>
          </xdr:cNvPr>
          <xdr:cNvSpPr/>
        </xdr:nvSpPr>
        <xdr:spPr>
          <a:xfrm rot="5229915">
            <a:off x="1613574" y="3639827"/>
            <a:ext cx="2022861" cy="2028821"/>
          </a:xfrm>
          <a:prstGeom prst="chord">
            <a:avLst>
              <a:gd name="adj1" fmla="val 5730325"/>
              <a:gd name="adj2" fmla="val 16200000"/>
            </a:avLst>
          </a:prstGeom>
          <a:solidFill>
            <a:schemeClr val="accent1">
              <a:lumMod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61" name="Chord 60">
            <a:extLst>
              <a:ext uri="{FF2B5EF4-FFF2-40B4-BE49-F238E27FC236}">
                <a16:creationId xmlns:a16="http://schemas.microsoft.com/office/drawing/2014/main" id="{00000000-0008-0000-4200-00003D000000}"/>
              </a:ext>
            </a:extLst>
          </xdr:cNvPr>
          <xdr:cNvSpPr/>
        </xdr:nvSpPr>
        <xdr:spPr>
          <a:xfrm rot="16013712">
            <a:off x="1614770" y="3559686"/>
            <a:ext cx="2022861" cy="204551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L$58">
        <xdr:nvSpPr>
          <xdr:cNvPr id="62" name="TextBox 61">
            <a:extLst>
              <a:ext uri="{FF2B5EF4-FFF2-40B4-BE49-F238E27FC236}">
                <a16:creationId xmlns:a16="http://schemas.microsoft.com/office/drawing/2014/main" id="{00000000-0008-0000-4200-00003E000000}"/>
              </a:ext>
            </a:extLst>
          </xdr:cNvPr>
          <xdr:cNvSpPr txBox="1"/>
        </xdr:nvSpPr>
        <xdr:spPr>
          <a:xfrm>
            <a:off x="1964871" y="3733801"/>
            <a:ext cx="1401535"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7A816A0-93DC-4CC6-A020-C3AE04C536CD}" type="TxLink">
              <a:rPr lang="en-US" sz="1600" b="0" i="0" u="none" strike="noStrike">
                <a:solidFill>
                  <a:schemeClr val="bg1"/>
                </a:solidFill>
                <a:latin typeface="Arial Black" panose="020B0A04020102020204" pitchFamily="34" charset="0"/>
                <a:cs typeface="Utsaah" pitchFamily="34" charset="0"/>
              </a:rPr>
              <a:pPr algn="ctr"/>
              <a:t> </a:t>
            </a:fld>
            <a:endParaRPr lang="en-US" sz="1600" b="1">
              <a:solidFill>
                <a:schemeClr val="bg1"/>
              </a:solidFill>
              <a:latin typeface="Arial Black" panose="020B0A04020102020204" pitchFamily="34" charset="0"/>
              <a:cs typeface="Utsaah" pitchFamily="34" charset="0"/>
            </a:endParaRPr>
          </a:p>
        </xdr:txBody>
      </xdr:sp>
      <xdr:sp macro="" textlink="RES_Curr_1">
        <xdr:nvSpPr>
          <xdr:cNvPr id="63" name="TextBox 62">
            <a:extLst>
              <a:ext uri="{FF2B5EF4-FFF2-40B4-BE49-F238E27FC236}">
                <a16:creationId xmlns:a16="http://schemas.microsoft.com/office/drawing/2014/main" id="{00000000-0008-0000-4200-00003F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A4AD08D-3015-401D-9C06-44F8A2815B6D}" type="TxLink">
              <a:rPr lang="en-US" sz="1200" b="0" i="0" u="none" strike="noStrike">
                <a:solidFill>
                  <a:schemeClr val="bg1"/>
                </a:solidFill>
                <a:latin typeface="Calibri"/>
                <a:cs typeface="Utsaah" pitchFamily="34" charset="0"/>
              </a:rPr>
              <a:pPr algn="ctr"/>
              <a:t>USD</a:t>
            </a:fld>
            <a:endParaRPr lang="en-US" sz="1800" b="0">
              <a:solidFill>
                <a:schemeClr val="bg1"/>
              </a:solidFill>
              <a:latin typeface="+mn-lt"/>
              <a:cs typeface="Utsaah" pitchFamily="34" charset="0"/>
            </a:endParaRPr>
          </a:p>
        </xdr:txBody>
      </xdr:sp>
      <xdr:sp macro="" textlink="$H$58">
        <xdr:nvSpPr>
          <xdr:cNvPr id="64" name="TextBox 63">
            <a:extLst>
              <a:ext uri="{FF2B5EF4-FFF2-40B4-BE49-F238E27FC236}">
                <a16:creationId xmlns:a16="http://schemas.microsoft.com/office/drawing/2014/main" id="{00000000-0008-0000-4200-000040000000}"/>
              </a:ext>
            </a:extLst>
          </xdr:cNvPr>
          <xdr:cNvSpPr txBox="1"/>
        </xdr:nvSpPr>
        <xdr:spPr>
          <a:xfrm>
            <a:off x="1818808" y="4648200"/>
            <a:ext cx="1728106"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93453B0-CE23-4E90-B633-12423F897C62}" type="TxLink">
              <a:rPr lang="en-US" sz="1600" b="0" i="0" u="none" strike="noStrike">
                <a:solidFill>
                  <a:schemeClr val="bg1"/>
                </a:solidFill>
                <a:latin typeface="Arial Black" panose="020B0A04020102020204" pitchFamily="34" charset="0"/>
                <a:cs typeface="Utsaah" pitchFamily="34" charset="0"/>
              </a:rPr>
              <a:pPr algn="ctr"/>
              <a:t> </a:t>
            </a:fld>
            <a:endParaRPr lang="en-US" sz="3200" b="1">
              <a:solidFill>
                <a:schemeClr val="bg1"/>
              </a:solidFill>
              <a:latin typeface="Arial Black" panose="020B0A04020102020204" pitchFamily="34" charset="0"/>
              <a:cs typeface="Utsaah" pitchFamily="34" charset="0"/>
            </a:endParaRPr>
          </a:p>
        </xdr:txBody>
      </xdr:sp>
      <xdr:sp macro="" textlink="RES_Curr_2">
        <xdr:nvSpPr>
          <xdr:cNvPr id="65" name="TextBox 64">
            <a:extLst>
              <a:ext uri="{FF2B5EF4-FFF2-40B4-BE49-F238E27FC236}">
                <a16:creationId xmlns:a16="http://schemas.microsoft.com/office/drawing/2014/main" id="{00000000-0008-0000-4200-000041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1E5D68BE-3499-405A-9F80-D0F9B305286D}" type="TxLink">
              <a:rPr lang="en-US" sz="1200" b="0" i="0" u="none" strike="noStrike">
                <a:solidFill>
                  <a:schemeClr val="bg1"/>
                </a:solidFill>
                <a:latin typeface="Calibri"/>
                <a:cs typeface="Utsaah" pitchFamily="34" charset="0"/>
              </a:rPr>
              <a:pPr algn="ctr"/>
              <a:t>GOZ</a:t>
            </a:fld>
            <a:endParaRPr lang="en-US" sz="1800">
              <a:solidFill>
                <a:schemeClr val="bg1"/>
              </a:solidFill>
              <a:latin typeface="Utsaah" pitchFamily="34" charset="0"/>
              <a:cs typeface="Utsaah" pitchFamily="34" charset="0"/>
            </a:endParaRPr>
          </a:p>
        </xdr:txBody>
      </xdr:sp>
    </xdr:grpSp>
    <xdr:clientData/>
  </xdr:twoCellAnchor>
  <xdr:twoCellAnchor>
    <xdr:from>
      <xdr:col>7</xdr:col>
      <xdr:colOff>190500</xdr:colOff>
      <xdr:row>22</xdr:row>
      <xdr:rowOff>142875</xdr:rowOff>
    </xdr:from>
    <xdr:to>
      <xdr:col>10</xdr:col>
      <xdr:colOff>355601</xdr:colOff>
      <xdr:row>35</xdr:row>
      <xdr:rowOff>142875</xdr:rowOff>
    </xdr:to>
    <xdr:grpSp>
      <xdr:nvGrpSpPr>
        <xdr:cNvPr id="66" name="Group 65">
          <a:extLst>
            <a:ext uri="{FF2B5EF4-FFF2-40B4-BE49-F238E27FC236}">
              <a16:creationId xmlns:a16="http://schemas.microsoft.com/office/drawing/2014/main" id="{00000000-0008-0000-4200-000042000000}"/>
            </a:ext>
          </a:extLst>
        </xdr:cNvPr>
        <xdr:cNvGrpSpPr/>
      </xdr:nvGrpSpPr>
      <xdr:grpSpPr>
        <a:xfrm>
          <a:off x="3048000" y="4227195"/>
          <a:ext cx="2611121" cy="2278380"/>
          <a:chOff x="444497" y="850900"/>
          <a:chExt cx="2536169" cy="1955800"/>
        </a:xfrm>
      </xdr:grpSpPr>
      <xdr:grpSp>
        <xdr:nvGrpSpPr>
          <xdr:cNvPr id="67" name="Canvas2">
            <a:extLst>
              <a:ext uri="{FF2B5EF4-FFF2-40B4-BE49-F238E27FC236}">
                <a16:creationId xmlns:a16="http://schemas.microsoft.com/office/drawing/2014/main" id="{00000000-0008-0000-4200-000043000000}"/>
              </a:ext>
            </a:extLst>
          </xdr:cNvPr>
          <xdr:cNvGrpSpPr/>
        </xdr:nvGrpSpPr>
        <xdr:grpSpPr>
          <a:xfrm>
            <a:off x="444497" y="850900"/>
            <a:ext cx="2536169" cy="1955800"/>
            <a:chOff x="3189513" y="2357654"/>
            <a:chExt cx="2504806" cy="1882029"/>
          </a:xfrm>
        </xdr:grpSpPr>
        <xdr:sp macro="" textlink="">
          <xdr:nvSpPr>
            <xdr:cNvPr id="75" name="Rectangle 74">
              <a:extLst>
                <a:ext uri="{FF2B5EF4-FFF2-40B4-BE49-F238E27FC236}">
                  <a16:creationId xmlns:a16="http://schemas.microsoft.com/office/drawing/2014/main" id="{00000000-0008-0000-4200-00004B000000}"/>
                </a:ext>
              </a:extLst>
            </xdr:cNvPr>
            <xdr:cNvSpPr/>
          </xdr:nvSpPr>
          <xdr:spPr>
            <a:xfrm>
              <a:off x="3458290" y="2357654"/>
              <a:ext cx="2209801"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76" name="Isosceles Triangle 75">
              <a:extLst>
                <a:ext uri="{FF2B5EF4-FFF2-40B4-BE49-F238E27FC236}">
                  <a16:creationId xmlns:a16="http://schemas.microsoft.com/office/drawing/2014/main" id="{00000000-0008-0000-4200-00004C000000}"/>
                </a:ext>
              </a:extLst>
            </xdr:cNvPr>
            <xdr:cNvSpPr/>
          </xdr:nvSpPr>
          <xdr:spPr>
            <a:xfrm rot="16200000">
              <a:off x="3199226" y="2846464"/>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77" name="Pentagon 76">
              <a:extLst>
                <a:ext uri="{FF2B5EF4-FFF2-40B4-BE49-F238E27FC236}">
                  <a16:creationId xmlns:a16="http://schemas.microsoft.com/office/drawing/2014/main" id="{00000000-0008-0000-4200-00004D000000}"/>
                </a:ext>
              </a:extLst>
            </xdr:cNvPr>
            <xdr:cNvSpPr/>
          </xdr:nvSpPr>
          <xdr:spPr>
            <a:xfrm>
              <a:off x="3189513" y="2357654"/>
              <a:ext cx="2504806" cy="574046"/>
            </a:xfrm>
            <a:prstGeom prst="homePlate">
              <a:avLst/>
            </a:prstGeom>
            <a:solidFill>
              <a:srgbClr val="C00000"/>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 Dose</a:t>
              </a:r>
              <a:r>
                <a:rPr lang="en-US" sz="1400" b="1" baseline="0">
                  <a:solidFill>
                    <a:schemeClr val="lt1"/>
                  </a:solidFill>
                  <a:latin typeface="+mn-lt"/>
                  <a:ea typeface="+mn-ea"/>
                  <a:cs typeface="+mn-cs"/>
                </a:rPr>
                <a:t> Administered (Economic)</a:t>
              </a:r>
              <a:endParaRPr lang="en-US" sz="1400" b="1">
                <a:solidFill>
                  <a:schemeClr val="lt1"/>
                </a:solidFill>
                <a:latin typeface="+mn-lt"/>
                <a:ea typeface="+mn-ea"/>
                <a:cs typeface="+mn-cs"/>
              </a:endParaRPr>
            </a:p>
          </xdr:txBody>
        </xdr:sp>
      </xdr:grpSp>
      <xdr:grpSp>
        <xdr:nvGrpSpPr>
          <xdr:cNvPr id="68" name="Group 67">
            <a:extLst>
              <a:ext uri="{FF2B5EF4-FFF2-40B4-BE49-F238E27FC236}">
                <a16:creationId xmlns:a16="http://schemas.microsoft.com/office/drawing/2014/main" id="{00000000-0008-0000-4200-000044000000}"/>
              </a:ext>
            </a:extLst>
          </xdr:cNvPr>
          <xdr:cNvGrpSpPr/>
        </xdr:nvGrpSpPr>
        <xdr:grpSpPr>
          <a:xfrm>
            <a:off x="1143000" y="1422400"/>
            <a:ext cx="1276996" cy="1328012"/>
            <a:chOff x="1143000" y="1422400"/>
            <a:chExt cx="1276996" cy="1328012"/>
          </a:xfrm>
        </xdr:grpSpPr>
        <xdr:sp macro="" textlink="">
          <xdr:nvSpPr>
            <xdr:cNvPr id="69" name="Chord 68">
              <a:extLst>
                <a:ext uri="{FF2B5EF4-FFF2-40B4-BE49-F238E27FC236}">
                  <a16:creationId xmlns:a16="http://schemas.microsoft.com/office/drawing/2014/main" id="{00000000-0008-0000-4200-000045000000}"/>
                </a:ext>
              </a:extLst>
            </xdr:cNvPr>
            <xdr:cNvSpPr/>
          </xdr:nvSpPr>
          <xdr:spPr>
            <a:xfrm rot="5229915">
              <a:off x="1139504" y="1475878"/>
              <a:ext cx="1282495" cy="1266573"/>
            </a:xfrm>
            <a:prstGeom prst="chord">
              <a:avLst>
                <a:gd name="adj1" fmla="val 5730325"/>
                <a:gd name="adj2" fmla="val 16200000"/>
              </a:avLst>
            </a:prstGeom>
            <a:solidFill>
              <a:schemeClr val="accent2"/>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70" name="Chord 69">
              <a:extLst>
                <a:ext uri="{FF2B5EF4-FFF2-40B4-BE49-F238E27FC236}">
                  <a16:creationId xmlns:a16="http://schemas.microsoft.com/office/drawing/2014/main" id="{00000000-0008-0000-4200-000046000000}"/>
                </a:ext>
              </a:extLst>
            </xdr:cNvPr>
            <xdr:cNvSpPr/>
          </xdr:nvSpPr>
          <xdr:spPr>
            <a:xfrm rot="16013712">
              <a:off x="1140250" y="1425150"/>
              <a:ext cx="1282495" cy="127699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I$156">
          <xdr:nvSpPr>
            <xdr:cNvPr id="71" name="TextBox 70">
              <a:extLst>
                <a:ext uri="{FF2B5EF4-FFF2-40B4-BE49-F238E27FC236}">
                  <a16:creationId xmlns:a16="http://schemas.microsoft.com/office/drawing/2014/main" id="{00000000-0008-0000-4200-000047000000}"/>
                </a:ext>
              </a:extLst>
            </xdr:cNvPr>
            <xdr:cNvSpPr txBox="1"/>
          </xdr:nvSpPr>
          <xdr:spPr>
            <a:xfrm>
              <a:off x="1288965" y="2072986"/>
              <a:ext cx="954753"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18051D2-B727-4783-AC40-1D8D835E218C}" type="TxLink">
                <a:rPr lang="en-US" sz="1600" b="1" i="0" u="none" strike="noStrike">
                  <a:solidFill>
                    <a:schemeClr val="bg1"/>
                  </a:solidFill>
                  <a:latin typeface="Arial Black" panose="020B0A04020102020204" pitchFamily="34" charset="0"/>
                  <a:cs typeface="Utsaah" pitchFamily="34" charset="0"/>
                </a:rPr>
                <a:pPr algn="ctr"/>
                <a:t> </a:t>
              </a:fld>
              <a:endParaRPr lang="en-US" sz="8800" b="1">
                <a:solidFill>
                  <a:schemeClr val="bg1"/>
                </a:solidFill>
                <a:latin typeface="Arial Black" panose="020B0A04020102020204" pitchFamily="34" charset="0"/>
                <a:cs typeface="Utsaah" pitchFamily="34" charset="0"/>
              </a:endParaRPr>
            </a:p>
          </xdr:txBody>
        </xdr:sp>
        <xdr:sp macro="" textlink="RES_Curr_1">
          <xdr:nvSpPr>
            <xdr:cNvPr id="72" name="TextBox 71">
              <a:extLst>
                <a:ext uri="{FF2B5EF4-FFF2-40B4-BE49-F238E27FC236}">
                  <a16:creationId xmlns:a16="http://schemas.microsoft.com/office/drawing/2014/main" id="{00000000-0008-0000-4200-000048000000}"/>
                </a:ext>
              </a:extLst>
            </xdr:cNvPr>
            <xdr:cNvSpPr txBox="1"/>
          </xdr:nvSpPr>
          <xdr:spPr>
            <a:xfrm>
              <a:off x="1174955" y="1803394"/>
              <a:ext cx="1206263"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2EBF4F9-BC44-45E2-B344-9A851976F070}" type="TxLink">
                <a:rPr lang="en-US" sz="1200" b="0" i="0" u="none" strike="noStrike">
                  <a:solidFill>
                    <a:schemeClr val="bg1"/>
                  </a:solidFill>
                  <a:latin typeface="+mn-lt"/>
                  <a:cs typeface="Utsaah" pitchFamily="34" charset="0"/>
                </a:rPr>
                <a:pPr algn="ctr"/>
                <a:t>USD</a:t>
              </a:fld>
              <a:endParaRPr lang="en-US" sz="2000" b="0">
                <a:solidFill>
                  <a:schemeClr val="bg1"/>
                </a:solidFill>
                <a:latin typeface="+mn-lt"/>
                <a:cs typeface="Utsaah" pitchFamily="34" charset="0"/>
              </a:endParaRPr>
            </a:p>
          </xdr:txBody>
        </xdr:sp>
        <xdr:sp macro="" textlink="Summary_BO!$M$156">
          <xdr:nvSpPr>
            <xdr:cNvPr id="73" name="TextBox 72">
              <a:extLst>
                <a:ext uri="{FF2B5EF4-FFF2-40B4-BE49-F238E27FC236}">
                  <a16:creationId xmlns:a16="http://schemas.microsoft.com/office/drawing/2014/main" id="{00000000-0008-0000-4200-000049000000}"/>
                </a:ext>
              </a:extLst>
            </xdr:cNvPr>
            <xdr:cNvSpPr txBox="1"/>
          </xdr:nvSpPr>
          <xdr:spPr>
            <a:xfrm>
              <a:off x="1215283" y="1607162"/>
              <a:ext cx="1078841"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B672489-2E03-4B2B-95AC-64D8C8D06A66}" type="TxLink">
                <a:rPr lang="en-US" sz="14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RES_Curr_2">
          <xdr:nvSpPr>
            <xdr:cNvPr id="74" name="TextBox 73">
              <a:extLst>
                <a:ext uri="{FF2B5EF4-FFF2-40B4-BE49-F238E27FC236}">
                  <a16:creationId xmlns:a16="http://schemas.microsoft.com/office/drawing/2014/main" id="{00000000-0008-0000-4200-00004A000000}"/>
                </a:ext>
              </a:extLst>
            </xdr:cNvPr>
            <xdr:cNvSpPr txBox="1"/>
          </xdr:nvSpPr>
          <xdr:spPr>
            <a:xfrm>
              <a:off x="1309173" y="2383124"/>
              <a:ext cx="925934"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92C2620-C759-4CB8-B22F-7FF173E3C26D}" type="TxLink">
                <a:rPr lang="en-US" sz="1100" b="0" i="0" u="none" strike="noStrike">
                  <a:solidFill>
                    <a:schemeClr val="bg1"/>
                  </a:solidFill>
                  <a:latin typeface="Calibri"/>
                  <a:cs typeface="Utsaah" pitchFamily="34" charset="0"/>
                </a:rPr>
                <a:pPr algn="ctr"/>
                <a:t>GOZ</a:t>
              </a:fld>
              <a:endParaRPr lang="en-US" sz="1600">
                <a:solidFill>
                  <a:schemeClr val="bg1"/>
                </a:solidFill>
                <a:latin typeface="Utsaah" pitchFamily="34" charset="0"/>
                <a:cs typeface="Utsaah" pitchFamily="34" charset="0"/>
              </a:endParaRPr>
            </a:p>
          </xdr:txBody>
        </xdr:sp>
      </xdr:grpSp>
    </xdr:grpSp>
    <xdr:clientData/>
  </xdr:twoCellAnchor>
  <xdr:twoCellAnchor>
    <xdr:from>
      <xdr:col>10</xdr:col>
      <xdr:colOff>695325</xdr:colOff>
      <xdr:row>22</xdr:row>
      <xdr:rowOff>142875</xdr:rowOff>
    </xdr:from>
    <xdr:to>
      <xdr:col>13</xdr:col>
      <xdr:colOff>1031877</xdr:colOff>
      <xdr:row>36</xdr:row>
      <xdr:rowOff>6350</xdr:rowOff>
    </xdr:to>
    <xdr:grpSp>
      <xdr:nvGrpSpPr>
        <xdr:cNvPr id="78" name="Group 77">
          <a:extLst>
            <a:ext uri="{FF2B5EF4-FFF2-40B4-BE49-F238E27FC236}">
              <a16:creationId xmlns:a16="http://schemas.microsoft.com/office/drawing/2014/main" id="{00000000-0008-0000-4200-00004E000000}"/>
            </a:ext>
          </a:extLst>
        </xdr:cNvPr>
        <xdr:cNvGrpSpPr/>
      </xdr:nvGrpSpPr>
      <xdr:grpSpPr>
        <a:xfrm>
          <a:off x="5998845" y="4227195"/>
          <a:ext cx="2493012" cy="2317115"/>
          <a:chOff x="444498" y="850900"/>
          <a:chExt cx="2509613" cy="1955800"/>
        </a:xfrm>
      </xdr:grpSpPr>
      <xdr:grpSp>
        <xdr:nvGrpSpPr>
          <xdr:cNvPr id="79" name="Canvas2">
            <a:extLst>
              <a:ext uri="{FF2B5EF4-FFF2-40B4-BE49-F238E27FC236}">
                <a16:creationId xmlns:a16="http://schemas.microsoft.com/office/drawing/2014/main" id="{00000000-0008-0000-4200-00004F000000}"/>
              </a:ext>
            </a:extLst>
          </xdr:cNvPr>
          <xdr:cNvGrpSpPr/>
        </xdr:nvGrpSpPr>
        <xdr:grpSpPr>
          <a:xfrm>
            <a:off x="444498" y="850900"/>
            <a:ext cx="2509613" cy="1955800"/>
            <a:chOff x="3189513" y="2357654"/>
            <a:chExt cx="2478578" cy="1882029"/>
          </a:xfrm>
        </xdr:grpSpPr>
        <xdr:sp macro="" textlink="">
          <xdr:nvSpPr>
            <xdr:cNvPr id="87" name="Rectangle 86">
              <a:extLst>
                <a:ext uri="{FF2B5EF4-FFF2-40B4-BE49-F238E27FC236}">
                  <a16:creationId xmlns:a16="http://schemas.microsoft.com/office/drawing/2014/main" id="{00000000-0008-0000-4200-000057000000}"/>
                </a:ext>
              </a:extLst>
            </xdr:cNvPr>
            <xdr:cNvSpPr/>
          </xdr:nvSpPr>
          <xdr:spPr>
            <a:xfrm>
              <a:off x="3458290" y="2357654"/>
              <a:ext cx="2209801"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88" name="Isosceles Triangle 87">
              <a:extLst>
                <a:ext uri="{FF2B5EF4-FFF2-40B4-BE49-F238E27FC236}">
                  <a16:creationId xmlns:a16="http://schemas.microsoft.com/office/drawing/2014/main" id="{00000000-0008-0000-4200-000058000000}"/>
                </a:ext>
              </a:extLst>
            </xdr:cNvPr>
            <xdr:cNvSpPr/>
          </xdr:nvSpPr>
          <xdr:spPr>
            <a:xfrm rot="16200000">
              <a:off x="3199226" y="2846464"/>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89" name="Pentagon 88">
              <a:extLst>
                <a:ext uri="{FF2B5EF4-FFF2-40B4-BE49-F238E27FC236}">
                  <a16:creationId xmlns:a16="http://schemas.microsoft.com/office/drawing/2014/main" id="{00000000-0008-0000-4200-000059000000}"/>
                </a:ext>
              </a:extLst>
            </xdr:cNvPr>
            <xdr:cNvSpPr/>
          </xdr:nvSpPr>
          <xdr:spPr>
            <a:xfrm>
              <a:off x="3189513" y="2366068"/>
              <a:ext cx="2419563" cy="565631"/>
            </a:xfrm>
            <a:prstGeom prst="homePlate">
              <a:avLst/>
            </a:prstGeom>
            <a:solidFill>
              <a:srgbClr val="00B0F0"/>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 Fully Immunised (Economic)</a:t>
              </a:r>
            </a:p>
          </xdr:txBody>
        </xdr:sp>
      </xdr:grpSp>
      <xdr:grpSp>
        <xdr:nvGrpSpPr>
          <xdr:cNvPr id="80" name="Group 79">
            <a:extLst>
              <a:ext uri="{FF2B5EF4-FFF2-40B4-BE49-F238E27FC236}">
                <a16:creationId xmlns:a16="http://schemas.microsoft.com/office/drawing/2014/main" id="{00000000-0008-0000-4200-000050000000}"/>
              </a:ext>
            </a:extLst>
          </xdr:cNvPr>
          <xdr:cNvGrpSpPr/>
        </xdr:nvGrpSpPr>
        <xdr:grpSpPr>
          <a:xfrm>
            <a:off x="1141410" y="1422439"/>
            <a:ext cx="1276996" cy="1327939"/>
            <a:chOff x="1141410" y="1422439"/>
            <a:chExt cx="1276996" cy="1327939"/>
          </a:xfrm>
        </xdr:grpSpPr>
        <xdr:sp macro="" textlink="">
          <xdr:nvSpPr>
            <xdr:cNvPr id="81" name="Chord 80">
              <a:extLst>
                <a:ext uri="{FF2B5EF4-FFF2-40B4-BE49-F238E27FC236}">
                  <a16:creationId xmlns:a16="http://schemas.microsoft.com/office/drawing/2014/main" id="{00000000-0008-0000-4200-000051000000}"/>
                </a:ext>
              </a:extLst>
            </xdr:cNvPr>
            <xdr:cNvSpPr/>
          </xdr:nvSpPr>
          <xdr:spPr>
            <a:xfrm rot="5229915">
              <a:off x="1168562" y="1503377"/>
              <a:ext cx="1227429" cy="1266573"/>
            </a:xfrm>
            <a:prstGeom prst="chord">
              <a:avLst>
                <a:gd name="adj1" fmla="val 5730325"/>
                <a:gd name="adj2" fmla="val 16200000"/>
              </a:avLst>
            </a:prstGeom>
            <a:solidFill>
              <a:srgbClr val="00B0F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82" name="Chord 81">
              <a:extLst>
                <a:ext uri="{FF2B5EF4-FFF2-40B4-BE49-F238E27FC236}">
                  <a16:creationId xmlns:a16="http://schemas.microsoft.com/office/drawing/2014/main" id="{00000000-0008-0000-4200-000052000000}"/>
                </a:ext>
              </a:extLst>
            </xdr:cNvPr>
            <xdr:cNvSpPr/>
          </xdr:nvSpPr>
          <xdr:spPr>
            <a:xfrm rot="16013712">
              <a:off x="1164854" y="1398995"/>
              <a:ext cx="1230108" cy="127699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I$159">
          <xdr:nvSpPr>
            <xdr:cNvPr id="83" name="TextBox 82">
              <a:extLst>
                <a:ext uri="{FF2B5EF4-FFF2-40B4-BE49-F238E27FC236}">
                  <a16:creationId xmlns:a16="http://schemas.microsoft.com/office/drawing/2014/main" id="{00000000-0008-0000-4200-000053000000}"/>
                </a:ext>
              </a:extLst>
            </xdr:cNvPr>
            <xdr:cNvSpPr txBox="1"/>
          </xdr:nvSpPr>
          <xdr:spPr>
            <a:xfrm>
              <a:off x="1288965" y="2072986"/>
              <a:ext cx="954753"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B795434A-3AEA-4278-88F7-6E835E3F6BAF}" type="TxLink">
                <a:rPr lang="en-US" sz="1600" b="1" i="0" u="none" strike="noStrike">
                  <a:solidFill>
                    <a:schemeClr val="bg1"/>
                  </a:solidFill>
                  <a:latin typeface="Arial Black" panose="020B0A04020102020204" pitchFamily="34" charset="0"/>
                  <a:cs typeface="Utsaah" pitchFamily="34" charset="0"/>
                </a:rPr>
                <a:pPr algn="ctr"/>
                <a:t> </a:t>
              </a:fld>
              <a:endParaRPr lang="en-US" sz="19900" b="1">
                <a:solidFill>
                  <a:schemeClr val="bg1"/>
                </a:solidFill>
                <a:latin typeface="Arial Black" panose="020B0A04020102020204" pitchFamily="34" charset="0"/>
                <a:cs typeface="Utsaah" pitchFamily="34" charset="0"/>
              </a:endParaRPr>
            </a:p>
          </xdr:txBody>
        </xdr:sp>
        <xdr:sp macro="" textlink="RES_Curr_1">
          <xdr:nvSpPr>
            <xdr:cNvPr id="84" name="TextBox 83">
              <a:extLst>
                <a:ext uri="{FF2B5EF4-FFF2-40B4-BE49-F238E27FC236}">
                  <a16:creationId xmlns:a16="http://schemas.microsoft.com/office/drawing/2014/main" id="{00000000-0008-0000-4200-000054000000}"/>
                </a:ext>
              </a:extLst>
            </xdr:cNvPr>
            <xdr:cNvSpPr txBox="1"/>
          </xdr:nvSpPr>
          <xdr:spPr>
            <a:xfrm>
              <a:off x="1174955" y="1803394"/>
              <a:ext cx="1206263"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2EBF4F9-BC44-45E2-B344-9A851976F070}" type="TxLink">
                <a:rPr lang="en-US" sz="1200" b="0" i="0" u="none" strike="noStrike">
                  <a:solidFill>
                    <a:schemeClr val="bg1"/>
                  </a:solidFill>
                  <a:latin typeface="+mn-lt"/>
                  <a:cs typeface="Utsaah" pitchFamily="34" charset="0"/>
                </a:rPr>
                <a:pPr algn="ctr"/>
                <a:t>USD</a:t>
              </a:fld>
              <a:endParaRPr lang="en-US" sz="2000" b="0">
                <a:solidFill>
                  <a:schemeClr val="bg1"/>
                </a:solidFill>
                <a:latin typeface="+mn-lt"/>
                <a:cs typeface="Utsaah" pitchFamily="34" charset="0"/>
              </a:endParaRPr>
            </a:p>
          </xdr:txBody>
        </xdr:sp>
        <xdr:sp macro="" textlink="Summary_BO!$M$159">
          <xdr:nvSpPr>
            <xdr:cNvPr id="85" name="TextBox 84">
              <a:extLst>
                <a:ext uri="{FF2B5EF4-FFF2-40B4-BE49-F238E27FC236}">
                  <a16:creationId xmlns:a16="http://schemas.microsoft.com/office/drawing/2014/main" id="{00000000-0008-0000-4200-000055000000}"/>
                </a:ext>
              </a:extLst>
            </xdr:cNvPr>
            <xdr:cNvSpPr txBox="1"/>
          </xdr:nvSpPr>
          <xdr:spPr>
            <a:xfrm>
              <a:off x="1215283" y="1607162"/>
              <a:ext cx="1078841" cy="3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2DBA7916-FC2A-425C-BEC9-0D44E98A83A4}" type="TxLink">
                <a:rPr lang="en-US" sz="1400" b="1" i="0" u="none" strike="noStrike">
                  <a:solidFill>
                    <a:schemeClr val="bg1"/>
                  </a:solidFill>
                  <a:latin typeface="Arial Black" panose="020B0A04020102020204" pitchFamily="34" charset="0"/>
                  <a:cs typeface="Utsaah" pitchFamily="34" charset="0"/>
                </a:rPr>
                <a:pPr algn="ctr"/>
                <a:t> </a:t>
              </a:fld>
              <a:endParaRPr lang="en-US" sz="13800" b="1">
                <a:solidFill>
                  <a:schemeClr val="bg1"/>
                </a:solidFill>
                <a:latin typeface="Arial Black" panose="020B0A04020102020204" pitchFamily="34" charset="0"/>
                <a:cs typeface="Utsaah" pitchFamily="34" charset="0"/>
              </a:endParaRPr>
            </a:p>
          </xdr:txBody>
        </xdr:sp>
        <xdr:sp macro="" textlink="RES_Curr_2">
          <xdr:nvSpPr>
            <xdr:cNvPr id="86" name="TextBox 85">
              <a:extLst>
                <a:ext uri="{FF2B5EF4-FFF2-40B4-BE49-F238E27FC236}">
                  <a16:creationId xmlns:a16="http://schemas.microsoft.com/office/drawing/2014/main" id="{00000000-0008-0000-4200-000056000000}"/>
                </a:ext>
              </a:extLst>
            </xdr:cNvPr>
            <xdr:cNvSpPr txBox="1"/>
          </xdr:nvSpPr>
          <xdr:spPr>
            <a:xfrm>
              <a:off x="1309173" y="2383124"/>
              <a:ext cx="925934" cy="253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A92C2620-C759-4CB8-B22F-7FF173E3C26D}" type="TxLink">
                <a:rPr lang="en-US" sz="1100" b="0" i="0" u="none" strike="noStrike">
                  <a:solidFill>
                    <a:schemeClr val="bg1"/>
                  </a:solidFill>
                  <a:latin typeface="Calibri"/>
                  <a:cs typeface="Utsaah" pitchFamily="34" charset="0"/>
                </a:rPr>
                <a:pPr algn="ctr"/>
                <a:t>GOZ</a:t>
              </a:fld>
              <a:endParaRPr lang="en-US" sz="1600">
                <a:solidFill>
                  <a:schemeClr val="bg1"/>
                </a:solidFill>
                <a:latin typeface="Utsaah" pitchFamily="34" charset="0"/>
                <a:cs typeface="Utsaah" pitchFamily="34" charset="0"/>
              </a:endParaRPr>
            </a:p>
          </xdr:txBody>
        </xdr:sp>
      </xdr:grpSp>
    </xdr:grpSp>
    <xdr:clientData/>
  </xdr:twoCellAnchor>
  <xdr:twoCellAnchor>
    <xdr:from>
      <xdr:col>14</xdr:col>
      <xdr:colOff>123825</xdr:colOff>
      <xdr:row>22</xdr:row>
      <xdr:rowOff>142875</xdr:rowOff>
    </xdr:from>
    <xdr:to>
      <xdr:col>19</xdr:col>
      <xdr:colOff>305525</xdr:colOff>
      <xdr:row>35</xdr:row>
      <xdr:rowOff>111125</xdr:rowOff>
    </xdr:to>
    <xdr:grpSp>
      <xdr:nvGrpSpPr>
        <xdr:cNvPr id="98" name="Canvas2">
          <a:extLst>
            <a:ext uri="{FF2B5EF4-FFF2-40B4-BE49-F238E27FC236}">
              <a16:creationId xmlns:a16="http://schemas.microsoft.com/office/drawing/2014/main" id="{00000000-0008-0000-4200-000062000000}"/>
            </a:ext>
          </a:extLst>
        </xdr:cNvPr>
        <xdr:cNvGrpSpPr/>
      </xdr:nvGrpSpPr>
      <xdr:grpSpPr>
        <a:xfrm>
          <a:off x="8856345" y="4227195"/>
          <a:ext cx="2582000" cy="2246630"/>
          <a:chOff x="3205373" y="2344511"/>
          <a:chExt cx="2374916" cy="1882029"/>
        </a:xfrm>
      </xdr:grpSpPr>
      <xdr:sp macro="" textlink="">
        <xdr:nvSpPr>
          <xdr:cNvPr id="99" name="Rectangle 98">
            <a:extLst>
              <a:ext uri="{FF2B5EF4-FFF2-40B4-BE49-F238E27FC236}">
                <a16:creationId xmlns:a16="http://schemas.microsoft.com/office/drawing/2014/main" id="{00000000-0008-0000-4200-000063000000}"/>
              </a:ext>
            </a:extLst>
          </xdr:cNvPr>
          <xdr:cNvSpPr/>
        </xdr:nvSpPr>
        <xdr:spPr>
          <a:xfrm>
            <a:off x="3370489" y="2344511"/>
            <a:ext cx="2209800"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00" name="Isosceles Triangle 99">
            <a:extLst>
              <a:ext uri="{FF2B5EF4-FFF2-40B4-BE49-F238E27FC236}">
                <a16:creationId xmlns:a16="http://schemas.microsoft.com/office/drawing/2014/main" id="{00000000-0008-0000-4200-000064000000}"/>
              </a:ext>
            </a:extLst>
          </xdr:cNvPr>
          <xdr:cNvSpPr/>
        </xdr:nvSpPr>
        <xdr:spPr>
          <a:xfrm rot="16200000">
            <a:off x="3208185" y="2785939"/>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01" name="Pentagon 100">
            <a:extLst>
              <a:ext uri="{FF2B5EF4-FFF2-40B4-BE49-F238E27FC236}">
                <a16:creationId xmlns:a16="http://schemas.microsoft.com/office/drawing/2014/main" id="{00000000-0008-0000-4200-000065000000}"/>
              </a:ext>
            </a:extLst>
          </xdr:cNvPr>
          <xdr:cNvSpPr/>
        </xdr:nvSpPr>
        <xdr:spPr>
          <a:xfrm>
            <a:off x="3220871" y="2344511"/>
            <a:ext cx="2295525" cy="507992"/>
          </a:xfrm>
          <a:prstGeom prst="homePlate">
            <a:avLst/>
          </a:prstGeom>
          <a:solidFill>
            <a:schemeClr val="accent3"/>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 Dose</a:t>
            </a:r>
            <a:r>
              <a:rPr lang="en-US" sz="1400" b="1" baseline="0">
                <a:solidFill>
                  <a:schemeClr val="lt1"/>
                </a:solidFill>
                <a:latin typeface="+mn-lt"/>
                <a:ea typeface="+mn-ea"/>
                <a:cs typeface="+mn-cs"/>
              </a:rPr>
              <a:t> Administered-w/out vaccine (Economic)</a:t>
            </a:r>
            <a:endParaRPr lang="en-US" sz="1400" b="1">
              <a:solidFill>
                <a:schemeClr val="lt1"/>
              </a:solidFill>
              <a:latin typeface="+mn-lt"/>
              <a:ea typeface="+mn-ea"/>
              <a:cs typeface="+mn-cs"/>
            </a:endParaRPr>
          </a:p>
        </xdr:txBody>
      </xdr:sp>
    </xdr:grpSp>
    <xdr:clientData/>
  </xdr:twoCellAnchor>
  <xdr:twoCellAnchor>
    <xdr:from>
      <xdr:col>15</xdr:col>
      <xdr:colOff>590550</xdr:colOff>
      <xdr:row>26</xdr:row>
      <xdr:rowOff>123825</xdr:rowOff>
    </xdr:from>
    <xdr:to>
      <xdr:col>18</xdr:col>
      <xdr:colOff>19696</xdr:colOff>
      <xdr:row>34</xdr:row>
      <xdr:rowOff>131037</xdr:rowOff>
    </xdr:to>
    <xdr:grpSp>
      <xdr:nvGrpSpPr>
        <xdr:cNvPr id="102" name="Graphic5">
          <a:extLst>
            <a:ext uri="{FF2B5EF4-FFF2-40B4-BE49-F238E27FC236}">
              <a16:creationId xmlns:a16="http://schemas.microsoft.com/office/drawing/2014/main" id="{00000000-0008-0000-4200-000066000000}"/>
            </a:ext>
          </a:extLst>
        </xdr:cNvPr>
        <xdr:cNvGrpSpPr/>
      </xdr:nvGrpSpPr>
      <xdr:grpSpPr>
        <a:xfrm>
          <a:off x="9467850" y="4909185"/>
          <a:ext cx="1364626" cy="1409292"/>
          <a:chOff x="1603443" y="3571013"/>
          <a:chExt cx="2045516" cy="2094655"/>
        </a:xfrm>
      </xdr:grpSpPr>
      <xdr:sp macro="" textlink="">
        <xdr:nvSpPr>
          <xdr:cNvPr id="127" name="Chord 126">
            <a:extLst>
              <a:ext uri="{FF2B5EF4-FFF2-40B4-BE49-F238E27FC236}">
                <a16:creationId xmlns:a16="http://schemas.microsoft.com/office/drawing/2014/main" id="{00000000-0008-0000-4200-00007F000000}"/>
              </a:ext>
            </a:extLst>
          </xdr:cNvPr>
          <xdr:cNvSpPr/>
        </xdr:nvSpPr>
        <xdr:spPr>
          <a:xfrm rot="5229915">
            <a:off x="1613574" y="3639827"/>
            <a:ext cx="2022861" cy="2028821"/>
          </a:xfrm>
          <a:prstGeom prst="chord">
            <a:avLst>
              <a:gd name="adj1" fmla="val 5730325"/>
              <a:gd name="adj2" fmla="val 16200000"/>
            </a:avLst>
          </a:prstGeom>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28" name="Chord 127">
            <a:extLst>
              <a:ext uri="{FF2B5EF4-FFF2-40B4-BE49-F238E27FC236}">
                <a16:creationId xmlns:a16="http://schemas.microsoft.com/office/drawing/2014/main" id="{00000000-0008-0000-4200-000080000000}"/>
              </a:ext>
            </a:extLst>
          </xdr:cNvPr>
          <xdr:cNvSpPr/>
        </xdr:nvSpPr>
        <xdr:spPr>
          <a:xfrm rot="16013712">
            <a:off x="1614770" y="3559686"/>
            <a:ext cx="2022861" cy="204551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L$55">
        <xdr:nvSpPr>
          <xdr:cNvPr id="129" name="TextBox 128">
            <a:extLst>
              <a:ext uri="{FF2B5EF4-FFF2-40B4-BE49-F238E27FC236}">
                <a16:creationId xmlns:a16="http://schemas.microsoft.com/office/drawing/2014/main" id="{00000000-0008-0000-4200-000081000000}"/>
              </a:ext>
            </a:extLst>
          </xdr:cNvPr>
          <xdr:cNvSpPr txBox="1"/>
        </xdr:nvSpPr>
        <xdr:spPr>
          <a:xfrm>
            <a:off x="1964871" y="3733801"/>
            <a:ext cx="1401535"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617FA35-FA7A-4955-A2E3-C22745692831}" type="TxLink">
              <a:rPr lang="en-US" sz="1400" b="0" i="0" u="none" strike="noStrike">
                <a:solidFill>
                  <a:schemeClr val="bg1"/>
                </a:solidFill>
                <a:latin typeface="Arial Black" panose="020B0A04020102020204" pitchFamily="34" charset="0"/>
                <a:cs typeface="Utsaah" pitchFamily="34" charset="0"/>
              </a:rPr>
              <a:pPr algn="ctr"/>
              <a:t> </a:t>
            </a:fld>
            <a:endParaRPr lang="en-US" sz="1400" b="1">
              <a:solidFill>
                <a:schemeClr val="bg1"/>
              </a:solidFill>
              <a:latin typeface="Arial Black" panose="020B0A04020102020204" pitchFamily="34" charset="0"/>
              <a:cs typeface="Utsaah" pitchFamily="34" charset="0"/>
            </a:endParaRPr>
          </a:p>
        </xdr:txBody>
      </xdr:sp>
      <xdr:sp macro="" textlink="RES_Curr_1">
        <xdr:nvSpPr>
          <xdr:cNvPr id="130" name="TextBox 129">
            <a:extLst>
              <a:ext uri="{FF2B5EF4-FFF2-40B4-BE49-F238E27FC236}">
                <a16:creationId xmlns:a16="http://schemas.microsoft.com/office/drawing/2014/main" id="{00000000-0008-0000-4200-000082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A4E391B-5ED5-495B-BBCB-2C69AB3BB969}" type="TxLink">
              <a:rPr lang="en-US" sz="1200" b="0" i="0" u="none" strike="noStrike">
                <a:solidFill>
                  <a:schemeClr val="bg1"/>
                </a:solidFill>
                <a:latin typeface="Calibri"/>
                <a:cs typeface="Utsaah" pitchFamily="34" charset="0"/>
              </a:rPr>
              <a:pPr algn="ctr"/>
              <a:t>USD</a:t>
            </a:fld>
            <a:endParaRPr lang="en-US" sz="1800" b="0">
              <a:solidFill>
                <a:schemeClr val="bg1"/>
              </a:solidFill>
              <a:latin typeface="+mn-lt"/>
              <a:cs typeface="Utsaah" pitchFamily="34" charset="0"/>
            </a:endParaRPr>
          </a:p>
        </xdr:txBody>
      </xdr:sp>
      <xdr:sp macro="" textlink="$H$55">
        <xdr:nvSpPr>
          <xdr:cNvPr id="131" name="TextBox 130">
            <a:extLst>
              <a:ext uri="{FF2B5EF4-FFF2-40B4-BE49-F238E27FC236}">
                <a16:creationId xmlns:a16="http://schemas.microsoft.com/office/drawing/2014/main" id="{00000000-0008-0000-4200-000083000000}"/>
              </a:ext>
            </a:extLst>
          </xdr:cNvPr>
          <xdr:cNvSpPr txBox="1"/>
        </xdr:nvSpPr>
        <xdr:spPr>
          <a:xfrm>
            <a:off x="1700600" y="4617567"/>
            <a:ext cx="1728108"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980624-1B0B-4C83-A8DB-0ACB2FD0EB01}" type="TxLink">
              <a:rPr lang="en-US" sz="1600" b="0"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10;RES_Curr_2">
        <xdr:nvSpPr>
          <xdr:cNvPr id="132" name="TextBox 131">
            <a:extLst>
              <a:ext uri="{FF2B5EF4-FFF2-40B4-BE49-F238E27FC236}">
                <a16:creationId xmlns:a16="http://schemas.microsoft.com/office/drawing/2014/main" id="{00000000-0008-0000-4200-000084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05FA7D9-C2C8-4DE9-9BF9-822A476E4D17}" type="TxLink">
              <a:rPr lang="en-US" sz="1200" b="0" i="0" u="none" strike="noStrike">
                <a:solidFill>
                  <a:schemeClr val="bg1"/>
                </a:solidFill>
                <a:latin typeface="+mn-lt"/>
                <a:cs typeface="Utsaah" pitchFamily="34" charset="0"/>
              </a:rPr>
              <a:pPr algn="ctr"/>
              <a:t>GOZ</a:t>
            </a:fld>
            <a:endParaRPr lang="en-US" sz="1800">
              <a:solidFill>
                <a:schemeClr val="bg1"/>
              </a:solidFill>
              <a:latin typeface="+mn-lt"/>
              <a:cs typeface="Utsaah" pitchFamily="34" charset="0"/>
            </a:endParaRPr>
          </a:p>
        </xdr:txBody>
      </xdr:sp>
    </xdr:grpSp>
    <xdr:clientData/>
  </xdr:twoCellAnchor>
  <xdr:twoCellAnchor>
    <xdr:from>
      <xdr:col>19</xdr:col>
      <xdr:colOff>762000</xdr:colOff>
      <xdr:row>23</xdr:row>
      <xdr:rowOff>9525</xdr:rowOff>
    </xdr:from>
    <xdr:to>
      <xdr:col>23</xdr:col>
      <xdr:colOff>155452</xdr:colOff>
      <xdr:row>36</xdr:row>
      <xdr:rowOff>15875</xdr:rowOff>
    </xdr:to>
    <xdr:grpSp>
      <xdr:nvGrpSpPr>
        <xdr:cNvPr id="133" name="Canvas2">
          <a:extLst>
            <a:ext uri="{FF2B5EF4-FFF2-40B4-BE49-F238E27FC236}">
              <a16:creationId xmlns:a16="http://schemas.microsoft.com/office/drawing/2014/main" id="{00000000-0008-0000-4200-000085000000}"/>
            </a:ext>
          </a:extLst>
        </xdr:cNvPr>
        <xdr:cNvGrpSpPr/>
      </xdr:nvGrpSpPr>
      <xdr:grpSpPr>
        <a:xfrm>
          <a:off x="11894820" y="4269105"/>
          <a:ext cx="2593852" cy="2284730"/>
          <a:chOff x="3196414" y="2344511"/>
          <a:chExt cx="2383875" cy="1882029"/>
        </a:xfrm>
      </xdr:grpSpPr>
      <xdr:sp macro="" textlink="">
        <xdr:nvSpPr>
          <xdr:cNvPr id="134" name="Rectangle 133">
            <a:extLst>
              <a:ext uri="{FF2B5EF4-FFF2-40B4-BE49-F238E27FC236}">
                <a16:creationId xmlns:a16="http://schemas.microsoft.com/office/drawing/2014/main" id="{00000000-0008-0000-4200-000086000000}"/>
              </a:ext>
            </a:extLst>
          </xdr:cNvPr>
          <xdr:cNvSpPr/>
        </xdr:nvSpPr>
        <xdr:spPr>
          <a:xfrm>
            <a:off x="3370489" y="2344511"/>
            <a:ext cx="2209800" cy="1882029"/>
          </a:xfrm>
          <a:prstGeom prst="rect">
            <a:avLst/>
          </a:prstGeom>
          <a:solidFill>
            <a:schemeClr val="bg2"/>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35" name="Isosceles Triangle 134">
            <a:extLst>
              <a:ext uri="{FF2B5EF4-FFF2-40B4-BE49-F238E27FC236}">
                <a16:creationId xmlns:a16="http://schemas.microsoft.com/office/drawing/2014/main" id="{00000000-0008-0000-4200-000087000000}"/>
              </a:ext>
            </a:extLst>
          </xdr:cNvPr>
          <xdr:cNvSpPr/>
        </xdr:nvSpPr>
        <xdr:spPr>
          <a:xfrm rot="16200000">
            <a:off x="3199226" y="2787032"/>
            <a:ext cx="161738" cy="167362"/>
          </a:xfrm>
          <a:prstGeom prst="triangl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36" name="Pentagon 135">
            <a:extLst>
              <a:ext uri="{FF2B5EF4-FFF2-40B4-BE49-F238E27FC236}">
                <a16:creationId xmlns:a16="http://schemas.microsoft.com/office/drawing/2014/main" id="{00000000-0008-0000-4200-000088000000}"/>
              </a:ext>
            </a:extLst>
          </xdr:cNvPr>
          <xdr:cNvSpPr/>
        </xdr:nvSpPr>
        <xdr:spPr>
          <a:xfrm>
            <a:off x="3240102" y="2353001"/>
            <a:ext cx="2295525" cy="492566"/>
          </a:xfrm>
          <a:prstGeom prst="homePlate">
            <a:avLst/>
          </a:prstGeom>
          <a:solidFill>
            <a:schemeClr val="accent1">
              <a:lumMod val="50000"/>
            </a:schemeClr>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indent="0" algn="l"/>
            <a:r>
              <a:rPr lang="en-US" sz="1400" b="1">
                <a:solidFill>
                  <a:schemeClr val="lt1"/>
                </a:solidFill>
                <a:latin typeface="+mn-lt"/>
                <a:ea typeface="+mn-ea"/>
                <a:cs typeface="+mn-cs"/>
              </a:rPr>
              <a:t>Cost per</a:t>
            </a:r>
            <a:r>
              <a:rPr lang="en-US" sz="1400" b="1" baseline="0">
                <a:solidFill>
                  <a:schemeClr val="lt1"/>
                </a:solidFill>
                <a:latin typeface="+mn-lt"/>
                <a:ea typeface="+mn-ea"/>
                <a:cs typeface="+mn-cs"/>
              </a:rPr>
              <a:t> Fully Immunised - w/out vaccine (Economic)</a:t>
            </a:r>
            <a:endParaRPr lang="en-US" sz="1400" b="1">
              <a:solidFill>
                <a:schemeClr val="lt1"/>
              </a:solidFill>
              <a:latin typeface="+mn-lt"/>
              <a:ea typeface="+mn-ea"/>
              <a:cs typeface="+mn-cs"/>
            </a:endParaRPr>
          </a:p>
        </xdr:txBody>
      </xdr:sp>
    </xdr:grpSp>
    <xdr:clientData/>
  </xdr:twoCellAnchor>
  <xdr:twoCellAnchor>
    <xdr:from>
      <xdr:col>20</xdr:col>
      <xdr:colOff>542925</xdr:colOff>
      <xdr:row>27</xdr:row>
      <xdr:rowOff>28575</xdr:rowOff>
    </xdr:from>
    <xdr:to>
      <xdr:col>22</xdr:col>
      <xdr:colOff>324496</xdr:colOff>
      <xdr:row>35</xdr:row>
      <xdr:rowOff>35787</xdr:rowOff>
    </xdr:to>
    <xdr:grpSp>
      <xdr:nvGrpSpPr>
        <xdr:cNvPr id="137" name="Graphic5">
          <a:extLst>
            <a:ext uri="{FF2B5EF4-FFF2-40B4-BE49-F238E27FC236}">
              <a16:creationId xmlns:a16="http://schemas.microsoft.com/office/drawing/2014/main" id="{00000000-0008-0000-4200-000089000000}"/>
            </a:ext>
          </a:extLst>
        </xdr:cNvPr>
        <xdr:cNvGrpSpPr/>
      </xdr:nvGrpSpPr>
      <xdr:grpSpPr>
        <a:xfrm>
          <a:off x="12475845" y="4989195"/>
          <a:ext cx="1381771" cy="1409292"/>
          <a:chOff x="1603443" y="3571013"/>
          <a:chExt cx="2045516" cy="2094655"/>
        </a:xfrm>
      </xdr:grpSpPr>
      <xdr:sp macro="" textlink="">
        <xdr:nvSpPr>
          <xdr:cNvPr id="138" name="Chord 137">
            <a:extLst>
              <a:ext uri="{FF2B5EF4-FFF2-40B4-BE49-F238E27FC236}">
                <a16:creationId xmlns:a16="http://schemas.microsoft.com/office/drawing/2014/main" id="{00000000-0008-0000-4200-00008A000000}"/>
              </a:ext>
            </a:extLst>
          </xdr:cNvPr>
          <xdr:cNvSpPr/>
        </xdr:nvSpPr>
        <xdr:spPr>
          <a:xfrm rot="5229915">
            <a:off x="1613574" y="3639827"/>
            <a:ext cx="2022861" cy="2028821"/>
          </a:xfrm>
          <a:prstGeom prst="chord">
            <a:avLst>
              <a:gd name="adj1" fmla="val 5730325"/>
              <a:gd name="adj2" fmla="val 16200000"/>
            </a:avLst>
          </a:prstGeom>
          <a:solidFill>
            <a:schemeClr val="accent1">
              <a:lumMod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39" name="Chord 138">
            <a:extLst>
              <a:ext uri="{FF2B5EF4-FFF2-40B4-BE49-F238E27FC236}">
                <a16:creationId xmlns:a16="http://schemas.microsoft.com/office/drawing/2014/main" id="{00000000-0008-0000-4200-00008B000000}"/>
              </a:ext>
            </a:extLst>
          </xdr:cNvPr>
          <xdr:cNvSpPr/>
        </xdr:nvSpPr>
        <xdr:spPr>
          <a:xfrm rot="16013712">
            <a:off x="1614770" y="3559686"/>
            <a:ext cx="2022861" cy="2045516"/>
          </a:xfrm>
          <a:prstGeom prst="chord">
            <a:avLst>
              <a:gd name="adj1" fmla="val 5756268"/>
              <a:gd name="adj2" fmla="val 16200000"/>
            </a:avLst>
          </a:prstGeom>
          <a:solidFill>
            <a:schemeClr val="tx1">
              <a:lumMod val="50000"/>
              <a:lumOff val="5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N$58">
        <xdr:nvSpPr>
          <xdr:cNvPr id="140" name="TextBox 139">
            <a:extLst>
              <a:ext uri="{FF2B5EF4-FFF2-40B4-BE49-F238E27FC236}">
                <a16:creationId xmlns:a16="http://schemas.microsoft.com/office/drawing/2014/main" id="{00000000-0008-0000-4200-00008C000000}"/>
              </a:ext>
            </a:extLst>
          </xdr:cNvPr>
          <xdr:cNvSpPr txBox="1"/>
        </xdr:nvSpPr>
        <xdr:spPr>
          <a:xfrm>
            <a:off x="1964871" y="3733801"/>
            <a:ext cx="1401535"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7E37A51-9256-4C09-B1F3-6F8C752A36FE}" type="TxLink">
              <a:rPr lang="en-US" sz="1400" b="0" i="0" u="none" strike="noStrike">
                <a:solidFill>
                  <a:schemeClr val="bg1"/>
                </a:solidFill>
                <a:latin typeface="Arial Black" panose="020B0A04020102020204" pitchFamily="34" charset="0"/>
                <a:cs typeface="Utsaah" pitchFamily="34" charset="0"/>
              </a:rPr>
              <a:pPr algn="ctr"/>
              <a:t> </a:t>
            </a:fld>
            <a:endParaRPr lang="en-US" sz="2800" b="1">
              <a:solidFill>
                <a:schemeClr val="bg1"/>
              </a:solidFill>
              <a:latin typeface="Arial Black" panose="020B0A04020102020204" pitchFamily="34" charset="0"/>
              <a:cs typeface="Utsaah" pitchFamily="34" charset="0"/>
            </a:endParaRPr>
          </a:p>
        </xdr:txBody>
      </xdr:sp>
      <xdr:sp macro="" textlink="RES_Curr_1">
        <xdr:nvSpPr>
          <xdr:cNvPr id="141" name="TextBox 140">
            <a:extLst>
              <a:ext uri="{FF2B5EF4-FFF2-40B4-BE49-F238E27FC236}">
                <a16:creationId xmlns:a16="http://schemas.microsoft.com/office/drawing/2014/main" id="{00000000-0008-0000-4200-00008D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A4AD08D-3015-401D-9C06-44F8A2815B6D}" type="TxLink">
              <a:rPr lang="en-US" sz="1200" b="0" i="0" u="none" strike="noStrike">
                <a:solidFill>
                  <a:schemeClr val="bg1"/>
                </a:solidFill>
                <a:latin typeface="Calibri"/>
                <a:cs typeface="Utsaah" pitchFamily="34" charset="0"/>
              </a:rPr>
              <a:pPr algn="ctr"/>
              <a:t>USD</a:t>
            </a:fld>
            <a:endParaRPr lang="en-US" sz="1800" b="0">
              <a:solidFill>
                <a:schemeClr val="bg1"/>
              </a:solidFill>
              <a:latin typeface="+mn-lt"/>
              <a:cs typeface="Utsaah" pitchFamily="34" charset="0"/>
            </a:endParaRPr>
          </a:p>
        </xdr:txBody>
      </xdr:sp>
      <xdr:sp macro="" textlink="$J$58">
        <xdr:nvSpPr>
          <xdr:cNvPr id="142" name="TextBox 141">
            <a:extLst>
              <a:ext uri="{FF2B5EF4-FFF2-40B4-BE49-F238E27FC236}">
                <a16:creationId xmlns:a16="http://schemas.microsoft.com/office/drawing/2014/main" id="{00000000-0008-0000-4200-00008E000000}"/>
              </a:ext>
            </a:extLst>
          </xdr:cNvPr>
          <xdr:cNvSpPr txBox="1"/>
        </xdr:nvSpPr>
        <xdr:spPr>
          <a:xfrm>
            <a:off x="1717306" y="4617567"/>
            <a:ext cx="1728106"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A7106B1-9518-4A1A-8C9E-28C5C032FF24}" type="TxLink">
              <a:rPr lang="en-US" sz="1600" b="0" i="0" u="none" strike="noStrike">
                <a:solidFill>
                  <a:schemeClr val="bg1"/>
                </a:solidFill>
                <a:latin typeface="Arial Black" panose="020B0A04020102020204" pitchFamily="34" charset="0"/>
                <a:cs typeface="Utsaah" pitchFamily="34" charset="0"/>
              </a:rPr>
              <a:pPr algn="ctr"/>
              <a:t> </a:t>
            </a:fld>
            <a:endParaRPr lang="en-US" sz="5400" b="1">
              <a:solidFill>
                <a:schemeClr val="bg1"/>
              </a:solidFill>
              <a:latin typeface="Arial Black" panose="020B0A04020102020204" pitchFamily="34" charset="0"/>
              <a:cs typeface="Utsaah" pitchFamily="34" charset="0"/>
            </a:endParaRPr>
          </a:p>
        </xdr:txBody>
      </xdr:sp>
      <xdr:sp macro="" textlink="RES_Curr_2">
        <xdr:nvSpPr>
          <xdr:cNvPr id="143" name="TextBox 142">
            <a:extLst>
              <a:ext uri="{FF2B5EF4-FFF2-40B4-BE49-F238E27FC236}">
                <a16:creationId xmlns:a16="http://schemas.microsoft.com/office/drawing/2014/main" id="{00000000-0008-0000-4200-00008F000000}"/>
              </a:ext>
            </a:extLst>
          </xdr:cNvPr>
          <xdr:cNvSpPr txBox="1"/>
        </xdr:nvSpPr>
        <xdr:spPr>
          <a:xfrm>
            <a:off x="1898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1E5D68BE-3499-405A-9F80-D0F9B305286D}" type="TxLink">
              <a:rPr lang="en-US" sz="1200" b="0" i="0" u="none" strike="noStrike">
                <a:solidFill>
                  <a:schemeClr val="bg1"/>
                </a:solidFill>
                <a:latin typeface="Calibri"/>
                <a:cs typeface="Utsaah" pitchFamily="34" charset="0"/>
              </a:rPr>
              <a:pPr algn="ctr"/>
              <a:t>GOZ</a:t>
            </a:fld>
            <a:endParaRPr lang="en-US" sz="1800">
              <a:solidFill>
                <a:schemeClr val="bg1"/>
              </a:solidFill>
              <a:latin typeface="Utsaah" pitchFamily="34" charset="0"/>
              <a:cs typeface="Utsaah" pitchFamily="34" charset="0"/>
            </a:endParaRPr>
          </a:p>
        </xdr:txBody>
      </xdr:sp>
    </xdr:grpSp>
    <xdr:clientData/>
  </xdr:twoCellAnchor>
  <xdr:twoCellAnchor>
    <xdr:from>
      <xdr:col>11</xdr:col>
      <xdr:colOff>152400</xdr:colOff>
      <xdr:row>21</xdr:row>
      <xdr:rowOff>9525</xdr:rowOff>
    </xdr:from>
    <xdr:to>
      <xdr:col>13</xdr:col>
      <xdr:colOff>911225</xdr:colOff>
      <xdr:row>21</xdr:row>
      <xdr:rowOff>23378</xdr:rowOff>
    </xdr:to>
    <xdr:cxnSp macro="">
      <xdr:nvCxnSpPr>
        <xdr:cNvPr id="144" name="Graphic6">
          <a:extLst>
            <a:ext uri="{FF2B5EF4-FFF2-40B4-BE49-F238E27FC236}">
              <a16:creationId xmlns:a16="http://schemas.microsoft.com/office/drawing/2014/main" id="{00000000-0008-0000-4200-000090000000}"/>
            </a:ext>
          </a:extLst>
        </xdr:cNvPr>
        <xdr:cNvCxnSpPr/>
      </xdr:nvCxnSpPr>
      <xdr:spPr>
        <a:xfrm>
          <a:off x="6115050" y="3619500"/>
          <a:ext cx="2082800" cy="13853"/>
        </a:xfrm>
        <a:prstGeom prst="line">
          <a:avLst/>
        </a:prstGeom>
        <a:ln w="190500" cap="rnd">
          <a:solidFill>
            <a:schemeClr val="tx1">
              <a:lumMod val="65000"/>
              <a:lumOff val="3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314325</xdr:colOff>
      <xdr:row>20</xdr:row>
      <xdr:rowOff>152400</xdr:rowOff>
    </xdr:from>
    <xdr:to>
      <xdr:col>19</xdr:col>
      <xdr:colOff>196850</xdr:colOff>
      <xdr:row>21</xdr:row>
      <xdr:rowOff>4328</xdr:rowOff>
    </xdr:to>
    <xdr:cxnSp macro="">
      <xdr:nvCxnSpPr>
        <xdr:cNvPr id="145" name="Graphic6">
          <a:extLst>
            <a:ext uri="{FF2B5EF4-FFF2-40B4-BE49-F238E27FC236}">
              <a16:creationId xmlns:a16="http://schemas.microsoft.com/office/drawing/2014/main" id="{00000000-0008-0000-4200-000091000000}"/>
            </a:ext>
          </a:extLst>
        </xdr:cNvPr>
        <xdr:cNvCxnSpPr/>
      </xdr:nvCxnSpPr>
      <xdr:spPr>
        <a:xfrm>
          <a:off x="8982075" y="3600450"/>
          <a:ext cx="2082800" cy="13853"/>
        </a:xfrm>
        <a:prstGeom prst="line">
          <a:avLst/>
        </a:prstGeom>
        <a:ln w="190500" cap="rnd">
          <a:solidFill>
            <a:schemeClr val="tx1">
              <a:lumMod val="65000"/>
              <a:lumOff val="3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20</xdr:row>
      <xdr:rowOff>123825</xdr:rowOff>
    </xdr:from>
    <xdr:to>
      <xdr:col>22</xdr:col>
      <xdr:colOff>711200</xdr:colOff>
      <xdr:row>20</xdr:row>
      <xdr:rowOff>137678</xdr:rowOff>
    </xdr:to>
    <xdr:cxnSp macro="">
      <xdr:nvCxnSpPr>
        <xdr:cNvPr id="146" name="Graphic6">
          <a:extLst>
            <a:ext uri="{FF2B5EF4-FFF2-40B4-BE49-F238E27FC236}">
              <a16:creationId xmlns:a16="http://schemas.microsoft.com/office/drawing/2014/main" id="{00000000-0008-0000-4200-000092000000}"/>
            </a:ext>
          </a:extLst>
        </xdr:cNvPr>
        <xdr:cNvCxnSpPr/>
      </xdr:nvCxnSpPr>
      <xdr:spPr>
        <a:xfrm>
          <a:off x="11839575" y="3571875"/>
          <a:ext cx="2082800" cy="13853"/>
        </a:xfrm>
        <a:prstGeom prst="line">
          <a:avLst/>
        </a:prstGeom>
        <a:ln w="190500" cap="rnd">
          <a:solidFill>
            <a:schemeClr val="tx1">
              <a:lumMod val="65000"/>
              <a:lumOff val="3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381000</xdr:colOff>
      <xdr:row>7</xdr:row>
      <xdr:rowOff>111649</xdr:rowOff>
    </xdr:to>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495300"/>
          <a:ext cx="3549650" cy="7720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8</xdr:col>
          <xdr:colOff>0</xdr:colOff>
          <xdr:row>9</xdr:row>
          <xdr:rowOff>0</xdr:rowOff>
        </xdr:to>
        <xdr:sp macro="" textlink="">
          <xdr:nvSpPr>
            <xdr:cNvPr id="1025" name="CB_Err_Chks_Show_Msg" hidden="1">
              <a:extLst>
                <a:ext uri="{63B3BB69-23CF-44E3-9099-C40C66FF867C}">
                  <a14:compatExt spid="_x0000_s1025"/>
                </a:ext>
                <a:ext uri="{FF2B5EF4-FFF2-40B4-BE49-F238E27FC236}">
                  <a16:creationId xmlns:a16="http://schemas.microsoft.com/office/drawing/2014/main" id="{00000000-0008-0000-4400-000001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Include summary in model name?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8</xdr:col>
          <xdr:colOff>0</xdr:colOff>
          <xdr:row>25</xdr:row>
          <xdr:rowOff>0</xdr:rowOff>
        </xdr:to>
        <xdr:sp macro="" textlink="">
          <xdr:nvSpPr>
            <xdr:cNvPr id="1026" name="CB_Alt_Chks_Show_Msg" hidden="1">
              <a:extLst>
                <a:ext uri="{63B3BB69-23CF-44E3-9099-C40C66FF867C}">
                  <a14:compatExt spid="_x0000_s1026"/>
                </a:ext>
                <a:ext uri="{FF2B5EF4-FFF2-40B4-BE49-F238E27FC236}">
                  <a16:creationId xmlns:a16="http://schemas.microsoft.com/office/drawing/2014/main" id="{00000000-0008-0000-4400-000002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Include summary in model name?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3</xdr:row>
      <xdr:rowOff>63246</xdr:rowOff>
    </xdr:from>
    <xdr:to>
      <xdr:col>9</xdr:col>
      <xdr:colOff>203200</xdr:colOff>
      <xdr:row>7</xdr:row>
      <xdr:rowOff>111649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 y="577596"/>
          <a:ext cx="3346450" cy="727853"/>
        </a:xfrm>
        <a:prstGeom prst="rect">
          <a:avLst/>
        </a:prstGeom>
      </xdr:spPr>
    </xdr:pic>
    <xdr:clientData/>
  </xdr:twoCellAnchor>
  <xdr:twoCellAnchor>
    <xdr:from>
      <xdr:col>12</xdr:col>
      <xdr:colOff>666750</xdr:colOff>
      <xdr:row>4</xdr:row>
      <xdr:rowOff>50800</xdr:rowOff>
    </xdr:from>
    <xdr:to>
      <xdr:col>17</xdr:col>
      <xdr:colOff>38100</xdr:colOff>
      <xdr:row>14</xdr:row>
      <xdr:rowOff>158750</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8073390" y="767080"/>
          <a:ext cx="3371850" cy="2127250"/>
          <a:chOff x="7473950" y="603250"/>
          <a:chExt cx="3124200" cy="2044700"/>
        </a:xfrm>
      </xdr:grpSpPr>
      <xdr:grpSp>
        <xdr:nvGrpSpPr>
          <xdr:cNvPr id="8" name="Canvas1">
            <a:extLst>
              <a:ext uri="{FF2B5EF4-FFF2-40B4-BE49-F238E27FC236}">
                <a16:creationId xmlns:a16="http://schemas.microsoft.com/office/drawing/2014/main" id="{00000000-0008-0000-0200-000008000000}"/>
              </a:ext>
            </a:extLst>
          </xdr:cNvPr>
          <xdr:cNvGrpSpPr/>
        </xdr:nvGrpSpPr>
        <xdr:grpSpPr>
          <a:xfrm>
            <a:off x="7473950" y="603250"/>
            <a:ext cx="3124200" cy="2044700"/>
            <a:chOff x="4271989" y="91431"/>
            <a:chExt cx="2024036" cy="1861194"/>
          </a:xfrm>
        </xdr:grpSpPr>
        <xdr:sp macro="" textlink="">
          <xdr:nvSpPr>
            <xdr:cNvPr id="23" name="Flowchart: Manual Input 22">
              <a:extLst>
                <a:ext uri="{FF2B5EF4-FFF2-40B4-BE49-F238E27FC236}">
                  <a16:creationId xmlns:a16="http://schemas.microsoft.com/office/drawing/2014/main" id="{00000000-0008-0000-0200-000017000000}"/>
                </a:ext>
              </a:extLst>
            </xdr:cNvPr>
            <xdr:cNvSpPr/>
          </xdr:nvSpPr>
          <xdr:spPr>
            <a:xfrm rot="10800000" flipH="1">
              <a:off x="5806519" y="1445406"/>
              <a:ext cx="475488"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24" name="Flowchart: Manual Input 23">
              <a:extLst>
                <a:ext uri="{FF2B5EF4-FFF2-40B4-BE49-F238E27FC236}">
                  <a16:creationId xmlns:a16="http://schemas.microsoft.com/office/drawing/2014/main" id="{00000000-0008-0000-0200-000018000000}"/>
                </a:ext>
              </a:extLst>
            </xdr:cNvPr>
            <xdr:cNvSpPr/>
          </xdr:nvSpPr>
          <xdr:spPr>
            <a:xfrm rot="10800000">
              <a:off x="4292817" y="1445405"/>
              <a:ext cx="472897"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25" name="Rectangle 24">
              <a:extLst>
                <a:ext uri="{FF2B5EF4-FFF2-40B4-BE49-F238E27FC236}">
                  <a16:creationId xmlns:a16="http://schemas.microsoft.com/office/drawing/2014/main" id="{00000000-0008-0000-0200-000019000000}"/>
                </a:ext>
              </a:extLst>
            </xdr:cNvPr>
            <xdr:cNvSpPr/>
          </xdr:nvSpPr>
          <xdr:spPr>
            <a:xfrm>
              <a:off x="4271989" y="91431"/>
              <a:ext cx="2024036" cy="1861194"/>
            </a:xfrm>
            <a:prstGeom prst="rect">
              <a:avLst/>
            </a:prstGeom>
            <a:solidFill>
              <a:schemeClr val="bg2"/>
            </a:solidFill>
            <a:ln w="38100"/>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grpSp>
      <xdr:grpSp>
        <xdr:nvGrpSpPr>
          <xdr:cNvPr id="9" name="Graphic5">
            <a:extLst>
              <a:ext uri="{FF2B5EF4-FFF2-40B4-BE49-F238E27FC236}">
                <a16:creationId xmlns:a16="http://schemas.microsoft.com/office/drawing/2014/main" id="{00000000-0008-0000-0200-000009000000}"/>
              </a:ext>
            </a:extLst>
          </xdr:cNvPr>
          <xdr:cNvGrpSpPr/>
        </xdr:nvGrpSpPr>
        <xdr:grpSpPr>
          <a:xfrm>
            <a:off x="9169400" y="946150"/>
            <a:ext cx="1276996" cy="1328012"/>
            <a:chOff x="1603443" y="3571013"/>
            <a:chExt cx="2045516" cy="2094655"/>
          </a:xfrm>
        </xdr:grpSpPr>
        <xdr:sp macro="" textlink="">
          <xdr:nvSpPr>
            <xdr:cNvPr id="17" name="Chord 16">
              <a:extLst>
                <a:ext uri="{FF2B5EF4-FFF2-40B4-BE49-F238E27FC236}">
                  <a16:creationId xmlns:a16="http://schemas.microsoft.com/office/drawing/2014/main" id="{00000000-0008-0000-0200-000011000000}"/>
                </a:ext>
              </a:extLst>
            </xdr:cNvPr>
            <xdr:cNvSpPr/>
          </xdr:nvSpPr>
          <xdr:spPr>
            <a:xfrm rot="5229915">
              <a:off x="1613574" y="3639827"/>
              <a:ext cx="2022861" cy="2028821"/>
            </a:xfrm>
            <a:prstGeom prst="chord">
              <a:avLst>
                <a:gd name="adj1" fmla="val 5730325"/>
                <a:gd name="adj2" fmla="val 16200000"/>
              </a:avLst>
            </a:prstGeom>
            <a:solidFill>
              <a:srgbClr val="00B05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8" name="Chord 17">
              <a:extLst>
                <a:ext uri="{FF2B5EF4-FFF2-40B4-BE49-F238E27FC236}">
                  <a16:creationId xmlns:a16="http://schemas.microsoft.com/office/drawing/2014/main" id="{00000000-0008-0000-0200-000012000000}"/>
                </a:ext>
              </a:extLst>
            </xdr:cNvPr>
            <xdr:cNvSpPr/>
          </xdr:nvSpPr>
          <xdr:spPr>
            <a:xfrm rot="16013712">
              <a:off x="1614770" y="3559686"/>
              <a:ext cx="2022861" cy="2045516"/>
            </a:xfrm>
            <a:prstGeom prst="chord">
              <a:avLst>
                <a:gd name="adj1" fmla="val 5756268"/>
                <a:gd name="adj2" fmla="val 16200000"/>
              </a:avLst>
            </a:prstGeom>
            <a:solidFill>
              <a:srgbClr val="2A504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O156">
          <xdr:nvSpPr>
            <xdr:cNvPr id="19" name="TextBox 18">
              <a:extLst>
                <a:ext uri="{FF2B5EF4-FFF2-40B4-BE49-F238E27FC236}">
                  <a16:creationId xmlns:a16="http://schemas.microsoft.com/office/drawing/2014/main" id="{00000000-0008-0000-0200-000013000000}"/>
                </a:ext>
              </a:extLst>
            </xdr:cNvPr>
            <xdr:cNvSpPr txBox="1"/>
          </xdr:nvSpPr>
          <xdr:spPr>
            <a:xfrm>
              <a:off x="1924185" y="3803912"/>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301BFB0-9B06-4EB1-A80F-AD761BBE08E7}"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O157">
          <xdr:nvSpPr>
            <xdr:cNvPr id="21" name="TextBox 20">
              <a:extLst>
                <a:ext uri="{FF2B5EF4-FFF2-40B4-BE49-F238E27FC236}">
                  <a16:creationId xmlns:a16="http://schemas.microsoft.com/office/drawing/2014/main" id="{00000000-0008-0000-0200-000015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FA00C97-EF9C-4E71-B5C4-EDBDAB4121B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nvGrpSpPr>
          <xdr:cNvPr id="10" name="Graphic5">
            <a:extLst>
              <a:ext uri="{FF2B5EF4-FFF2-40B4-BE49-F238E27FC236}">
                <a16:creationId xmlns:a16="http://schemas.microsoft.com/office/drawing/2014/main" id="{00000000-0008-0000-0200-00000A000000}"/>
              </a:ext>
            </a:extLst>
          </xdr:cNvPr>
          <xdr:cNvGrpSpPr/>
        </xdr:nvGrpSpPr>
        <xdr:grpSpPr>
          <a:xfrm>
            <a:off x="7639050" y="927100"/>
            <a:ext cx="1276996" cy="1328012"/>
            <a:chOff x="1603443" y="3571013"/>
            <a:chExt cx="2045516" cy="2094655"/>
          </a:xfrm>
        </xdr:grpSpPr>
        <xdr:sp macro="" textlink="">
          <xdr:nvSpPr>
            <xdr:cNvPr id="11" name="Chord 10">
              <a:extLst>
                <a:ext uri="{FF2B5EF4-FFF2-40B4-BE49-F238E27FC236}">
                  <a16:creationId xmlns:a16="http://schemas.microsoft.com/office/drawing/2014/main" id="{00000000-0008-0000-0200-00000B000000}"/>
                </a:ext>
              </a:extLst>
            </xdr:cNvPr>
            <xdr:cNvSpPr/>
          </xdr:nvSpPr>
          <xdr:spPr>
            <a:xfrm rot="5229915">
              <a:off x="1613574" y="3639827"/>
              <a:ext cx="2022861" cy="2028821"/>
            </a:xfrm>
            <a:prstGeom prst="chord">
              <a:avLst>
                <a:gd name="adj1" fmla="val 5730325"/>
                <a:gd name="adj2" fmla="val 16200000"/>
              </a:avLst>
            </a:prstGeom>
            <a:solidFill>
              <a:schemeClr val="tx2">
                <a:lumMod val="60000"/>
                <a:lumOff val="4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12" name="Chord 11">
              <a:extLst>
                <a:ext uri="{FF2B5EF4-FFF2-40B4-BE49-F238E27FC236}">
                  <a16:creationId xmlns:a16="http://schemas.microsoft.com/office/drawing/2014/main" id="{00000000-0008-0000-0200-00000C000000}"/>
                </a:ext>
              </a:extLst>
            </xdr:cNvPr>
            <xdr:cNvSpPr/>
          </xdr:nvSpPr>
          <xdr:spPr>
            <a:xfrm rot="16013712">
              <a:off x="1614770" y="3559686"/>
              <a:ext cx="2022861" cy="2045516"/>
            </a:xfrm>
            <a:prstGeom prst="chord">
              <a:avLst>
                <a:gd name="adj1" fmla="val 5756268"/>
                <a:gd name="adj2" fmla="val 16200000"/>
              </a:avLst>
            </a:prstGeom>
            <a:solidFill>
              <a:srgbClr val="00206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M156">
          <xdr:nvSpPr>
            <xdr:cNvPr id="13" name="TextBox 12">
              <a:extLst>
                <a:ext uri="{FF2B5EF4-FFF2-40B4-BE49-F238E27FC236}">
                  <a16:creationId xmlns:a16="http://schemas.microsoft.com/office/drawing/2014/main" id="{00000000-0008-0000-0200-00000D000000}"/>
                </a:ext>
              </a:extLst>
            </xdr:cNvPr>
            <xdr:cNvSpPr txBox="1"/>
          </xdr:nvSpPr>
          <xdr:spPr>
            <a:xfrm>
              <a:off x="1924185" y="3813928"/>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F2FA77E-F82A-42A6-97DC-070048539D6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M157">
          <xdr:nvSpPr>
            <xdr:cNvPr id="15" name="TextBox 14">
              <a:extLst>
                <a:ext uri="{FF2B5EF4-FFF2-40B4-BE49-F238E27FC236}">
                  <a16:creationId xmlns:a16="http://schemas.microsoft.com/office/drawing/2014/main" id="{00000000-0008-0000-0200-00000F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8093E3F-642E-425E-807E-EED6B35FC71C}"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9</xdr:col>
          <xdr:colOff>0</xdr:colOff>
          <xdr:row>10</xdr:row>
          <xdr:rowOff>0</xdr:rowOff>
        </xdr:to>
        <xdr:sp macro="" textlink="">
          <xdr:nvSpPr>
            <xdr:cNvPr id="10241" name="bpmDropDownTS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7620</xdr:rowOff>
        </xdr:from>
        <xdr:to>
          <xdr:col>9</xdr:col>
          <xdr:colOff>0</xdr:colOff>
          <xdr:row>16</xdr:row>
          <xdr:rowOff>7620</xdr:rowOff>
        </xdr:to>
        <xdr:sp macro="" textlink="">
          <xdr:nvSpPr>
            <xdr:cNvPr id="10242" name="bpmDropDownTS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xdr:col>
      <xdr:colOff>158750</xdr:colOff>
      <xdr:row>6</xdr:row>
      <xdr:rowOff>44450</xdr:rowOff>
    </xdr:from>
    <xdr:to>
      <xdr:col>14</xdr:col>
      <xdr:colOff>425450</xdr:colOff>
      <xdr:row>11</xdr:row>
      <xdr:rowOff>76200</xdr:rowOff>
    </xdr:to>
    <xdr:sp macro="" textlink="">
      <xdr:nvSpPr>
        <xdr:cNvPr id="3" name="bpmShapeRES1">
          <a:extLst>
            <a:ext uri="{FF2B5EF4-FFF2-40B4-BE49-F238E27FC236}">
              <a16:creationId xmlns:a16="http://schemas.microsoft.com/office/drawing/2014/main" id="{00000000-0008-0000-0800-000003000000}"/>
            </a:ext>
          </a:extLst>
        </xdr:cNvPr>
        <xdr:cNvSpPr/>
      </xdr:nvSpPr>
      <xdr:spPr>
        <a:xfrm>
          <a:off x="5187950" y="1352550"/>
          <a:ext cx="2667000" cy="908050"/>
        </a:xfrm>
        <a:prstGeom prst="wedgeRoundRectCallout">
          <a:avLst>
            <a:gd name="adj1" fmla="val -78359"/>
            <a:gd name="adj2" fmla="val 1427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PLEASE NOTE: IF YOU CHANGE THIS MASTER APPLIED CURRENCY , YOU WILL NEED </a:t>
          </a:r>
          <a:r>
            <a:rPr lang="en-US" sz="1100" baseline="0"/>
            <a:t>TO </a:t>
          </a:r>
          <a:r>
            <a:rPr lang="en-US" sz="1100"/>
            <a:t>RE-ENTER ALL PRICES IN THAT NEW APPLIED CURRENCY.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676275</xdr:colOff>
      <xdr:row>4</xdr:row>
      <xdr:rowOff>38100</xdr:rowOff>
    </xdr:from>
    <xdr:to>
      <xdr:col>17</xdr:col>
      <xdr:colOff>47625</xdr:colOff>
      <xdr:row>14</xdr:row>
      <xdr:rowOff>146050</xdr:rowOff>
    </xdr:to>
    <xdr:grpSp>
      <xdr:nvGrpSpPr>
        <xdr:cNvPr id="41" name="Group 40">
          <a:extLst>
            <a:ext uri="{FF2B5EF4-FFF2-40B4-BE49-F238E27FC236}">
              <a16:creationId xmlns:a16="http://schemas.microsoft.com/office/drawing/2014/main" id="{00000000-0008-0000-0900-000029000000}"/>
            </a:ext>
          </a:extLst>
        </xdr:cNvPr>
        <xdr:cNvGrpSpPr/>
      </xdr:nvGrpSpPr>
      <xdr:grpSpPr>
        <a:xfrm>
          <a:off x="8082915" y="754380"/>
          <a:ext cx="3371850" cy="2127250"/>
          <a:chOff x="7473950" y="603250"/>
          <a:chExt cx="3124200" cy="2044700"/>
        </a:xfrm>
      </xdr:grpSpPr>
      <xdr:grpSp>
        <xdr:nvGrpSpPr>
          <xdr:cNvPr id="42" name="Canvas1">
            <a:extLst>
              <a:ext uri="{FF2B5EF4-FFF2-40B4-BE49-F238E27FC236}">
                <a16:creationId xmlns:a16="http://schemas.microsoft.com/office/drawing/2014/main" id="{00000000-0008-0000-0900-00002A000000}"/>
              </a:ext>
            </a:extLst>
          </xdr:cNvPr>
          <xdr:cNvGrpSpPr/>
        </xdr:nvGrpSpPr>
        <xdr:grpSpPr>
          <a:xfrm>
            <a:off x="7473950" y="603250"/>
            <a:ext cx="3124200" cy="2044700"/>
            <a:chOff x="4271989" y="91431"/>
            <a:chExt cx="2024036" cy="1861194"/>
          </a:xfrm>
        </xdr:grpSpPr>
        <xdr:sp macro="" textlink="">
          <xdr:nvSpPr>
            <xdr:cNvPr id="57" name="Flowchart: Manual Input 56">
              <a:extLst>
                <a:ext uri="{FF2B5EF4-FFF2-40B4-BE49-F238E27FC236}">
                  <a16:creationId xmlns:a16="http://schemas.microsoft.com/office/drawing/2014/main" id="{00000000-0008-0000-0900-000039000000}"/>
                </a:ext>
              </a:extLst>
            </xdr:cNvPr>
            <xdr:cNvSpPr/>
          </xdr:nvSpPr>
          <xdr:spPr>
            <a:xfrm rot="10800000" flipH="1">
              <a:off x="5806519" y="1445406"/>
              <a:ext cx="475488"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58" name="Flowchart: Manual Input 57">
              <a:extLst>
                <a:ext uri="{FF2B5EF4-FFF2-40B4-BE49-F238E27FC236}">
                  <a16:creationId xmlns:a16="http://schemas.microsoft.com/office/drawing/2014/main" id="{00000000-0008-0000-0900-00003A000000}"/>
                </a:ext>
              </a:extLst>
            </xdr:cNvPr>
            <xdr:cNvSpPr/>
          </xdr:nvSpPr>
          <xdr:spPr>
            <a:xfrm rot="10800000">
              <a:off x="4292817" y="1445405"/>
              <a:ext cx="472897" cy="459594"/>
            </a:xfrm>
            <a:prstGeom prst="flowChartManualInput">
              <a:avLst/>
            </a:prstGeom>
            <a:solidFill>
              <a:schemeClr val="bg2"/>
            </a:solidFill>
            <a:ln w="38100">
              <a:solidFill>
                <a:schemeClr val="tx1"/>
              </a:solidFill>
            </a:ln>
            <a:effectLst>
              <a:outerShdw blurRad="50800" dist="127000" dir="5400000" algn="t" rotWithShape="0">
                <a:schemeClr val="tx1">
                  <a:lumMod val="75000"/>
                  <a:lumOff val="25000"/>
                  <a:alpha val="40000"/>
                </a:scheme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sp macro="" textlink="">
          <xdr:nvSpPr>
            <xdr:cNvPr id="59" name="Rectangle 58">
              <a:extLst>
                <a:ext uri="{FF2B5EF4-FFF2-40B4-BE49-F238E27FC236}">
                  <a16:creationId xmlns:a16="http://schemas.microsoft.com/office/drawing/2014/main" id="{00000000-0008-0000-0900-00003B000000}"/>
                </a:ext>
              </a:extLst>
            </xdr:cNvPr>
            <xdr:cNvSpPr/>
          </xdr:nvSpPr>
          <xdr:spPr>
            <a:xfrm>
              <a:off x="4271989" y="91431"/>
              <a:ext cx="2024036" cy="1861194"/>
            </a:xfrm>
            <a:prstGeom prst="rect">
              <a:avLst/>
            </a:prstGeom>
            <a:solidFill>
              <a:schemeClr val="bg2"/>
            </a:solidFill>
            <a:ln w="38100"/>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marL="0" indent="0" algn="l"/>
              <a:endParaRPr lang="en-US" sz="1100">
                <a:solidFill>
                  <a:schemeClr val="dk1"/>
                </a:solidFill>
                <a:latin typeface="+mn-lt"/>
                <a:ea typeface="+mn-ea"/>
                <a:cs typeface="+mn-cs"/>
              </a:endParaRPr>
            </a:p>
          </xdr:txBody>
        </xdr:sp>
      </xdr:grpSp>
      <xdr:grpSp>
        <xdr:nvGrpSpPr>
          <xdr:cNvPr id="43" name="Graphic5">
            <a:extLst>
              <a:ext uri="{FF2B5EF4-FFF2-40B4-BE49-F238E27FC236}">
                <a16:creationId xmlns:a16="http://schemas.microsoft.com/office/drawing/2014/main" id="{00000000-0008-0000-0900-00002B000000}"/>
              </a:ext>
            </a:extLst>
          </xdr:cNvPr>
          <xdr:cNvGrpSpPr/>
        </xdr:nvGrpSpPr>
        <xdr:grpSpPr>
          <a:xfrm>
            <a:off x="9169400" y="946150"/>
            <a:ext cx="1276996" cy="1328012"/>
            <a:chOff x="1603443" y="3571013"/>
            <a:chExt cx="2045516" cy="2094655"/>
          </a:xfrm>
        </xdr:grpSpPr>
        <xdr:sp macro="" textlink="">
          <xdr:nvSpPr>
            <xdr:cNvPr id="51" name="Chord 50">
              <a:extLst>
                <a:ext uri="{FF2B5EF4-FFF2-40B4-BE49-F238E27FC236}">
                  <a16:creationId xmlns:a16="http://schemas.microsoft.com/office/drawing/2014/main" id="{00000000-0008-0000-0900-000033000000}"/>
                </a:ext>
              </a:extLst>
            </xdr:cNvPr>
            <xdr:cNvSpPr/>
          </xdr:nvSpPr>
          <xdr:spPr>
            <a:xfrm rot="5229915">
              <a:off x="1613574" y="3639827"/>
              <a:ext cx="2022861" cy="2028821"/>
            </a:xfrm>
            <a:prstGeom prst="chord">
              <a:avLst>
                <a:gd name="adj1" fmla="val 5730325"/>
                <a:gd name="adj2" fmla="val 16200000"/>
              </a:avLst>
            </a:prstGeom>
            <a:solidFill>
              <a:srgbClr val="00B05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52" name="Chord 51">
              <a:extLst>
                <a:ext uri="{FF2B5EF4-FFF2-40B4-BE49-F238E27FC236}">
                  <a16:creationId xmlns:a16="http://schemas.microsoft.com/office/drawing/2014/main" id="{00000000-0008-0000-0900-000034000000}"/>
                </a:ext>
              </a:extLst>
            </xdr:cNvPr>
            <xdr:cNvSpPr/>
          </xdr:nvSpPr>
          <xdr:spPr>
            <a:xfrm rot="16013712">
              <a:off x="1614770" y="3559686"/>
              <a:ext cx="2022861" cy="2045516"/>
            </a:xfrm>
            <a:prstGeom prst="chord">
              <a:avLst>
                <a:gd name="adj1" fmla="val 5756268"/>
                <a:gd name="adj2" fmla="val 16200000"/>
              </a:avLst>
            </a:prstGeom>
            <a:solidFill>
              <a:srgbClr val="2A504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O156">
          <xdr:nvSpPr>
            <xdr:cNvPr id="53" name="TextBox 52">
              <a:extLst>
                <a:ext uri="{FF2B5EF4-FFF2-40B4-BE49-F238E27FC236}">
                  <a16:creationId xmlns:a16="http://schemas.microsoft.com/office/drawing/2014/main" id="{00000000-0008-0000-0900-000035000000}"/>
                </a:ext>
              </a:extLst>
            </xdr:cNvPr>
            <xdr:cNvSpPr txBox="1"/>
          </xdr:nvSpPr>
          <xdr:spPr>
            <a:xfrm>
              <a:off x="1924185" y="3803912"/>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301BFB0-9B06-4EB1-A80F-AD761BBE08E7}"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O157">
          <xdr:nvSpPr>
            <xdr:cNvPr id="55" name="TextBox 54">
              <a:extLst>
                <a:ext uri="{FF2B5EF4-FFF2-40B4-BE49-F238E27FC236}">
                  <a16:creationId xmlns:a16="http://schemas.microsoft.com/office/drawing/2014/main" id="{00000000-0008-0000-0900-000037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8FA00C97-EF9C-4E71-B5C4-EDBDAB4121B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nvGrpSpPr>
          <xdr:cNvPr id="44" name="Graphic5">
            <a:extLst>
              <a:ext uri="{FF2B5EF4-FFF2-40B4-BE49-F238E27FC236}">
                <a16:creationId xmlns:a16="http://schemas.microsoft.com/office/drawing/2014/main" id="{00000000-0008-0000-0900-00002C000000}"/>
              </a:ext>
            </a:extLst>
          </xdr:cNvPr>
          <xdr:cNvGrpSpPr/>
        </xdr:nvGrpSpPr>
        <xdr:grpSpPr>
          <a:xfrm>
            <a:off x="7639050" y="927100"/>
            <a:ext cx="1276996" cy="1328012"/>
            <a:chOff x="1603443" y="3571013"/>
            <a:chExt cx="2045516" cy="2094655"/>
          </a:xfrm>
        </xdr:grpSpPr>
        <xdr:sp macro="" textlink="">
          <xdr:nvSpPr>
            <xdr:cNvPr id="45" name="Chord 44">
              <a:extLst>
                <a:ext uri="{FF2B5EF4-FFF2-40B4-BE49-F238E27FC236}">
                  <a16:creationId xmlns:a16="http://schemas.microsoft.com/office/drawing/2014/main" id="{00000000-0008-0000-0900-00002D000000}"/>
                </a:ext>
              </a:extLst>
            </xdr:cNvPr>
            <xdr:cNvSpPr/>
          </xdr:nvSpPr>
          <xdr:spPr>
            <a:xfrm rot="5229915">
              <a:off x="1613574" y="3639827"/>
              <a:ext cx="2022861" cy="2028821"/>
            </a:xfrm>
            <a:prstGeom prst="chord">
              <a:avLst>
                <a:gd name="adj1" fmla="val 5730325"/>
                <a:gd name="adj2" fmla="val 16200000"/>
              </a:avLst>
            </a:prstGeom>
            <a:solidFill>
              <a:schemeClr val="tx2">
                <a:lumMod val="60000"/>
                <a:lumOff val="40000"/>
              </a:schemeClr>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
          <xdr:nvSpPr>
            <xdr:cNvPr id="46" name="Chord 45">
              <a:extLst>
                <a:ext uri="{FF2B5EF4-FFF2-40B4-BE49-F238E27FC236}">
                  <a16:creationId xmlns:a16="http://schemas.microsoft.com/office/drawing/2014/main" id="{00000000-0008-0000-0900-00002E000000}"/>
                </a:ext>
              </a:extLst>
            </xdr:cNvPr>
            <xdr:cNvSpPr/>
          </xdr:nvSpPr>
          <xdr:spPr>
            <a:xfrm rot="16013712">
              <a:off x="1614770" y="3559686"/>
              <a:ext cx="2022861" cy="2045516"/>
            </a:xfrm>
            <a:prstGeom prst="chord">
              <a:avLst>
                <a:gd name="adj1" fmla="val 5756268"/>
                <a:gd name="adj2" fmla="val 16200000"/>
              </a:avLst>
            </a:prstGeom>
            <a:solidFill>
              <a:srgbClr val="002060"/>
            </a:solidFill>
            <a:ln/>
            <a:effectLst/>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marL="0" indent="0" algn="l"/>
              <a:endParaRPr lang="en-US" sz="1000">
                <a:solidFill>
                  <a:schemeClr val="lt1"/>
                </a:solidFill>
                <a:latin typeface="+mn-lt"/>
                <a:ea typeface="+mn-ea"/>
                <a:cs typeface="+mn-cs"/>
              </a:endParaRPr>
            </a:p>
          </xdr:txBody>
        </xdr:sp>
        <xdr:sp macro="" textlink="Summary_BO!M156">
          <xdr:nvSpPr>
            <xdr:cNvPr id="47" name="TextBox 46">
              <a:extLst>
                <a:ext uri="{FF2B5EF4-FFF2-40B4-BE49-F238E27FC236}">
                  <a16:creationId xmlns:a16="http://schemas.microsoft.com/office/drawing/2014/main" id="{00000000-0008-0000-0900-00002F000000}"/>
                </a:ext>
              </a:extLst>
            </xdr:cNvPr>
            <xdr:cNvSpPr txBox="1"/>
          </xdr:nvSpPr>
          <xdr:spPr>
            <a:xfrm>
              <a:off x="1924185" y="3813928"/>
              <a:ext cx="1401535"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0F2FA77E-F82A-42A6-97DC-070048539D60}" type="TxLink">
                <a:rPr lang="en-US" sz="1600" b="1" i="0" u="none" strike="noStrike">
                  <a:solidFill>
                    <a:schemeClr val="bg1"/>
                  </a:solidFill>
                  <a:latin typeface="Arial Black" panose="020B0A04020102020204" pitchFamily="34" charset="0"/>
                  <a:cs typeface="Utsaah" pitchFamily="34" charset="0"/>
                </a:rPr>
                <a:pPr algn="ctr"/>
                <a:t> </a:t>
              </a:fld>
              <a:endParaRPr lang="en-US" sz="8000" b="1">
                <a:solidFill>
                  <a:schemeClr val="bg1"/>
                </a:solidFill>
                <a:latin typeface="Arial Black" panose="020B0A04020102020204" pitchFamily="34" charset="0"/>
                <a:cs typeface="Utsaah" pitchFamily="34" charset="0"/>
              </a:endParaRPr>
            </a:p>
          </xdr:txBody>
        </xdr:sp>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1654629" y="4171950"/>
              <a:ext cx="1932214"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0">
                  <a:solidFill>
                    <a:schemeClr val="bg1"/>
                  </a:solidFill>
                  <a:latin typeface="Utsaah" pitchFamily="34" charset="0"/>
                  <a:cs typeface="Utsaah" pitchFamily="34" charset="0"/>
                </a:rPr>
                <a:t>with</a:t>
              </a:r>
              <a:r>
                <a:rPr lang="en-US" sz="1400" b="0" baseline="0">
                  <a:solidFill>
                    <a:schemeClr val="bg1"/>
                  </a:solidFill>
                  <a:latin typeface="Utsaah" pitchFamily="34" charset="0"/>
                  <a:cs typeface="Utsaah" pitchFamily="34" charset="0"/>
                </a:rPr>
                <a:t> vaccine</a:t>
              </a:r>
              <a:endParaRPr lang="en-US" sz="1400" b="0">
                <a:solidFill>
                  <a:schemeClr val="bg1"/>
                </a:solidFill>
                <a:latin typeface="Utsaah" pitchFamily="34" charset="0"/>
                <a:cs typeface="Utsaah" pitchFamily="34" charset="0"/>
              </a:endParaRPr>
            </a:p>
          </xdr:txBody>
        </xdr:sp>
        <xdr:sp macro="" textlink="Summary_BO!M157">
          <xdr:nvSpPr>
            <xdr:cNvPr id="49" name="TextBox 48">
              <a:extLst>
                <a:ext uri="{FF2B5EF4-FFF2-40B4-BE49-F238E27FC236}">
                  <a16:creationId xmlns:a16="http://schemas.microsoft.com/office/drawing/2014/main" id="{00000000-0008-0000-0900-000031000000}"/>
                </a:ext>
              </a:extLst>
            </xdr:cNvPr>
            <xdr:cNvSpPr txBox="1"/>
          </xdr:nvSpPr>
          <xdr:spPr>
            <a:xfrm>
              <a:off x="1804307" y="4648201"/>
              <a:ext cx="1728107"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8093E3F-642E-425E-807E-EED6B35FC71C}" type="TxLink">
                <a:rPr lang="en-US" sz="1600" b="1" i="0" u="none" strike="noStrike">
                  <a:solidFill>
                    <a:schemeClr val="bg1"/>
                  </a:solidFill>
                  <a:latin typeface="Arial Black" panose="020B0A04020102020204" pitchFamily="34" charset="0"/>
                  <a:cs typeface="Utsaah" pitchFamily="34" charset="0"/>
                </a:rPr>
                <a:pPr algn="ctr"/>
                <a:t> </a:t>
              </a:fld>
              <a:endParaRPr lang="en-US" sz="4800" b="1">
                <a:solidFill>
                  <a:schemeClr val="bg1"/>
                </a:solidFill>
                <a:latin typeface="Arial Black" panose="020B0A04020102020204" pitchFamily="34" charset="0"/>
                <a:cs typeface="Utsaah" pitchFamily="34" charset="0"/>
              </a:endParaRPr>
            </a:p>
          </xdr:txBody>
        </xdr:sp>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1869622" y="5086350"/>
              <a:ext cx="148317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solidFill>
                    <a:schemeClr val="bg1"/>
                  </a:solidFill>
                  <a:latin typeface="Utsaah" pitchFamily="34" charset="0"/>
                  <a:cs typeface="Utsaah" pitchFamily="34" charset="0"/>
                </a:rPr>
                <a:t>w/out vaccine</a:t>
              </a:r>
            </a:p>
          </xdr:txBody>
        </xdr:sp>
      </xdr:grpSp>
    </xdr:grpSp>
    <xdr:clientData/>
  </xdr:twoCellAnchor>
  <xdr:twoCellAnchor editAs="oneCell">
    <xdr:from>
      <xdr:col>1</xdr:col>
      <xdr:colOff>704850</xdr:colOff>
      <xdr:row>3</xdr:row>
      <xdr:rowOff>19050</xdr:rowOff>
    </xdr:from>
    <xdr:to>
      <xdr:col>9</xdr:col>
      <xdr:colOff>341430</xdr:colOff>
      <xdr:row>7</xdr:row>
      <xdr:rowOff>113859</xdr:rowOff>
    </xdr:to>
    <xdr:pic>
      <xdr:nvPicPr>
        <xdr:cNvPr id="103" name="Picture 102">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
        <a:stretch>
          <a:fillRect/>
        </a:stretch>
      </xdr:blipFill>
      <xdr:spPr>
        <a:xfrm>
          <a:off x="1447800" y="533400"/>
          <a:ext cx="3548180" cy="7742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51201" name="bpmDropDownACT1" hidden="1">
              <a:extLst>
                <a:ext uri="{63B3BB69-23CF-44E3-9099-C40C66FF867C}">
                  <a14:compatExt spid="_x0000_s51201"/>
                </a:ext>
                <a:ext uri="{FF2B5EF4-FFF2-40B4-BE49-F238E27FC236}">
                  <a16:creationId xmlns:a16="http://schemas.microsoft.com/office/drawing/2014/main" id="{00000000-0008-0000-0C00-000001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359</xdr:row>
          <xdr:rowOff>0</xdr:rowOff>
        </xdr:from>
        <xdr:to>
          <xdr:col>9</xdr:col>
          <xdr:colOff>0</xdr:colOff>
          <xdr:row>360</xdr:row>
          <xdr:rowOff>0</xdr:rowOff>
        </xdr:to>
        <xdr:sp macro="" textlink="">
          <xdr:nvSpPr>
            <xdr:cNvPr id="51202" name="bpmDropDownACT_21" hidden="1">
              <a:extLst>
                <a:ext uri="{63B3BB69-23CF-44E3-9099-C40C66FF867C}">
                  <a14:compatExt spid="_x0000_s51202"/>
                </a:ext>
                <a:ext uri="{FF2B5EF4-FFF2-40B4-BE49-F238E27FC236}">
                  <a16:creationId xmlns:a16="http://schemas.microsoft.com/office/drawing/2014/main" id="{00000000-0008-0000-0C00-000002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77825" name="bpmDropDownACT_61" hidden="1">
              <a:extLst>
                <a:ext uri="{63B3BB69-23CF-44E3-9099-C40C66FF867C}">
                  <a14:compatExt spid="_x0000_s77825"/>
                </a:ext>
                <a:ext uri="{FF2B5EF4-FFF2-40B4-BE49-F238E27FC236}">
                  <a16:creationId xmlns:a16="http://schemas.microsoft.com/office/drawing/2014/main" id="{00000000-0008-0000-0E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355</xdr:row>
          <xdr:rowOff>0</xdr:rowOff>
        </xdr:from>
        <xdr:to>
          <xdr:col>9</xdr:col>
          <xdr:colOff>0</xdr:colOff>
          <xdr:row>356</xdr:row>
          <xdr:rowOff>0</xdr:rowOff>
        </xdr:to>
        <xdr:sp macro="" textlink="">
          <xdr:nvSpPr>
            <xdr:cNvPr id="77829" name="bpmDropDownACT_211" hidden="1">
              <a:extLst>
                <a:ext uri="{63B3BB69-23CF-44E3-9099-C40C66FF867C}">
                  <a14:compatExt spid="_x0000_s77829"/>
                </a:ext>
                <a:ext uri="{FF2B5EF4-FFF2-40B4-BE49-F238E27FC236}">
                  <a16:creationId xmlns:a16="http://schemas.microsoft.com/office/drawing/2014/main" id="{00000000-0008-0000-0E00-000005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704</xdr:row>
          <xdr:rowOff>0</xdr:rowOff>
        </xdr:from>
        <xdr:to>
          <xdr:col>9</xdr:col>
          <xdr:colOff>0</xdr:colOff>
          <xdr:row>705</xdr:row>
          <xdr:rowOff>0</xdr:rowOff>
        </xdr:to>
        <xdr:sp macro="" textlink="">
          <xdr:nvSpPr>
            <xdr:cNvPr id="77834" name="bpmDropDownACT_221" hidden="1">
              <a:extLst>
                <a:ext uri="{63B3BB69-23CF-44E3-9099-C40C66FF867C}">
                  <a14:compatExt spid="_x0000_s77834"/>
                </a:ext>
                <a:ext uri="{FF2B5EF4-FFF2-40B4-BE49-F238E27FC236}">
                  <a16:creationId xmlns:a16="http://schemas.microsoft.com/office/drawing/2014/main" id="{00000000-0008-0000-0E00-00000A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73729" name="bpmDropDownACT_171" hidden="1">
              <a:extLst>
                <a:ext uri="{63B3BB69-23CF-44E3-9099-C40C66FF867C}">
                  <a14:compatExt spid="_x0000_s73729"/>
                </a:ext>
                <a:ext uri="{FF2B5EF4-FFF2-40B4-BE49-F238E27FC236}">
                  <a16:creationId xmlns:a16="http://schemas.microsoft.com/office/drawing/2014/main" id="{00000000-0008-0000-1000-00000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358</xdr:row>
          <xdr:rowOff>0</xdr:rowOff>
        </xdr:from>
        <xdr:to>
          <xdr:col>9</xdr:col>
          <xdr:colOff>0</xdr:colOff>
          <xdr:row>359</xdr:row>
          <xdr:rowOff>0</xdr:rowOff>
        </xdr:to>
        <xdr:sp macro="" textlink="">
          <xdr:nvSpPr>
            <xdr:cNvPr id="73730" name="bpmDropDownACT_181" hidden="1">
              <a:extLst>
                <a:ext uri="{63B3BB69-23CF-44E3-9099-C40C66FF867C}">
                  <a14:compatExt spid="_x0000_s73730"/>
                </a:ext>
                <a:ext uri="{FF2B5EF4-FFF2-40B4-BE49-F238E27FC236}">
                  <a16:creationId xmlns:a16="http://schemas.microsoft.com/office/drawing/2014/main" id="{00000000-0008-0000-1000-00000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707</xdr:row>
          <xdr:rowOff>0</xdr:rowOff>
        </xdr:from>
        <xdr:to>
          <xdr:col>9</xdr:col>
          <xdr:colOff>0</xdr:colOff>
          <xdr:row>708</xdr:row>
          <xdr:rowOff>0</xdr:rowOff>
        </xdr:to>
        <xdr:sp macro="" textlink="">
          <xdr:nvSpPr>
            <xdr:cNvPr id="73731" name="bpmDropDownACT_191" hidden="1">
              <a:extLst>
                <a:ext uri="{63B3BB69-23CF-44E3-9099-C40C66FF867C}">
                  <a14:compatExt spid="_x0000_s73731"/>
                </a:ext>
                <a:ext uri="{FF2B5EF4-FFF2-40B4-BE49-F238E27FC236}">
                  <a16:creationId xmlns:a16="http://schemas.microsoft.com/office/drawing/2014/main" id="{00000000-0008-0000-1000-00000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1056</xdr:row>
          <xdr:rowOff>0</xdr:rowOff>
        </xdr:from>
        <xdr:to>
          <xdr:col>9</xdr:col>
          <xdr:colOff>0</xdr:colOff>
          <xdr:row>1057</xdr:row>
          <xdr:rowOff>0</xdr:rowOff>
        </xdr:to>
        <xdr:sp macro="" textlink="">
          <xdr:nvSpPr>
            <xdr:cNvPr id="73732" name="bpmDropDownACT_201" hidden="1">
              <a:extLst>
                <a:ext uri="{63B3BB69-23CF-44E3-9099-C40C66FF867C}">
                  <a14:compatExt spid="_x0000_s73732"/>
                </a:ext>
                <a:ext uri="{FF2B5EF4-FFF2-40B4-BE49-F238E27FC236}">
                  <a16:creationId xmlns:a16="http://schemas.microsoft.com/office/drawing/2014/main" id="{00000000-0008-0000-1000-00000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1405</xdr:row>
          <xdr:rowOff>0</xdr:rowOff>
        </xdr:from>
        <xdr:to>
          <xdr:col>9</xdr:col>
          <xdr:colOff>0</xdr:colOff>
          <xdr:row>1406</xdr:row>
          <xdr:rowOff>0</xdr:rowOff>
        </xdr:to>
        <xdr:sp macro="" textlink="">
          <xdr:nvSpPr>
            <xdr:cNvPr id="73733" name="bpmDropDownACT_251" hidden="1">
              <a:extLst>
                <a:ext uri="{63B3BB69-23CF-44E3-9099-C40C66FF867C}">
                  <a14:compatExt spid="_x0000_s73733"/>
                </a:ext>
                <a:ext uri="{FF2B5EF4-FFF2-40B4-BE49-F238E27FC236}">
                  <a16:creationId xmlns:a16="http://schemas.microsoft.com/office/drawing/2014/main" id="{00000000-0008-0000-1000-00000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9</xdr:row>
          <xdr:rowOff>0</xdr:rowOff>
        </xdr:to>
        <xdr:sp macro="" textlink="">
          <xdr:nvSpPr>
            <xdr:cNvPr id="56321" name="bpmDropDownACT_3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357</xdr:row>
          <xdr:rowOff>0</xdr:rowOff>
        </xdr:from>
        <xdr:to>
          <xdr:col>9</xdr:col>
          <xdr:colOff>0</xdr:colOff>
          <xdr:row>358</xdr:row>
          <xdr:rowOff>0</xdr:rowOff>
        </xdr:to>
        <xdr:sp macro="" textlink="">
          <xdr:nvSpPr>
            <xdr:cNvPr id="56323" name="bpmDropDownACT_41"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706</xdr:row>
          <xdr:rowOff>0</xdr:rowOff>
        </xdr:from>
        <xdr:to>
          <xdr:col>9</xdr:col>
          <xdr:colOff>0</xdr:colOff>
          <xdr:row>707</xdr:row>
          <xdr:rowOff>0</xdr:rowOff>
        </xdr:to>
        <xdr:sp macro="" textlink="">
          <xdr:nvSpPr>
            <xdr:cNvPr id="56324" name="bpmDropDownACT_51"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Calibri"/>
        <a:cs typeface="Calibri"/>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Calibri"/>
        <a:cs typeface="Calibri"/>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finsburysolutions.com/exchecker-advanced-validation/"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17.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8.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9.xml"/><Relationship Id="rId2" Type="http://schemas.openxmlformats.org/officeDocument/2006/relationships/drawing" Target="../drawings/drawing10.xml"/><Relationship Id="rId1" Type="http://schemas.openxmlformats.org/officeDocument/2006/relationships/printerSettings" Target="../printerSettings/printerSettings1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8.vml"/><Relationship Id="rId7" Type="http://schemas.openxmlformats.org/officeDocument/2006/relationships/ctrlProp" Target="../ctrlProps/ctrlProp23.xml"/><Relationship Id="rId2" Type="http://schemas.openxmlformats.org/officeDocument/2006/relationships/drawing" Target="../drawings/drawing11.xml"/><Relationship Id="rId1" Type="http://schemas.openxmlformats.org/officeDocument/2006/relationships/printerSettings" Target="../printerSettings/printerSettings20.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28.xml"/><Relationship Id="rId2" Type="http://schemas.openxmlformats.org/officeDocument/2006/relationships/drawing" Target="../drawings/drawing12.xml"/><Relationship Id="rId1" Type="http://schemas.openxmlformats.org/officeDocument/2006/relationships/printerSettings" Target="../printerSettings/printerSettings21.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69.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pageSetUpPr autoPageBreaks="0" fitToPage="1"/>
  </sheetPr>
  <dimension ref="C3:R29"/>
  <sheetViews>
    <sheetView showGridLines="0" zoomScaleNormal="100" workbookViewId="0">
      <selection activeCell="B19" sqref="B19"/>
    </sheetView>
  </sheetViews>
  <sheetFormatPr defaultColWidth="11.6640625" defaultRowHeight="13.8" x14ac:dyDescent="0.3"/>
  <cols>
    <col min="3" max="6" width="3.6640625" customWidth="1"/>
    <col min="8" max="8" width="23.6640625" customWidth="1"/>
  </cols>
  <sheetData>
    <row r="3" spans="3:18" ht="18" x14ac:dyDescent="0.3">
      <c r="N3" s="333" t="s">
        <v>621</v>
      </c>
      <c r="O3" s="333"/>
      <c r="P3" s="333"/>
      <c r="R3" s="247"/>
    </row>
    <row r="4" spans="3:18" ht="14.4" x14ac:dyDescent="0.3">
      <c r="N4" s="125" t="s">
        <v>606</v>
      </c>
      <c r="P4" s="125" t="s">
        <v>605</v>
      </c>
    </row>
    <row r="5" spans="3:18" ht="16.2" x14ac:dyDescent="0.3">
      <c r="N5" s="234"/>
      <c r="P5" s="234"/>
    </row>
    <row r="9" spans="3:18" ht="23.4" x14ac:dyDescent="0.3">
      <c r="C9" s="2" t="str">
        <f>Lbl_Country</f>
        <v>Default Country Label [Change under Lbl_BA]</v>
      </c>
    </row>
    <row r="10" spans="3:18" ht="18" x14ac:dyDescent="0.3">
      <c r="C10" s="21" t="str">
        <f>"Oral Cholera Vaccine Activity-Based Costing"&amp;Err_Chks_Msg&amp;Alt_Chks_Msg</f>
        <v>Oral Cholera Vaccine Activity-Based Costing</v>
      </c>
    </row>
    <row r="11" spans="3:18" ht="18.899999999999999" customHeight="1" x14ac:dyDescent="0.3">
      <c r="C11" s="331" t="s">
        <v>598</v>
      </c>
      <c r="D11" s="331"/>
      <c r="E11" s="331"/>
      <c r="F11" s="331"/>
      <c r="G11" s="331"/>
    </row>
    <row r="16" spans="3:18" x14ac:dyDescent="0.3">
      <c r="N16" s="332" t="str">
        <f>"Go to "&amp;HL_Cost_per_Statistics</f>
        <v>Go to Cost per Statistics</v>
      </c>
      <c r="O16" s="332"/>
      <c r="P16" s="332"/>
    </row>
    <row r="19" spans="3:15" ht="14.4" x14ac:dyDescent="0.3">
      <c r="C19" s="3" t="s">
        <v>522</v>
      </c>
    </row>
    <row r="21" spans="3:15" ht="14.4" x14ac:dyDescent="0.3">
      <c r="C21" s="3" t="s">
        <v>1</v>
      </c>
    </row>
    <row r="22" spans="3:15" x14ac:dyDescent="0.3">
      <c r="C22" s="4" t="s">
        <v>1018</v>
      </c>
    </row>
    <row r="23" spans="3:15" x14ac:dyDescent="0.3">
      <c r="C23" s="307" t="s">
        <v>1014</v>
      </c>
      <c r="H23" s="330">
        <v>45238</v>
      </c>
    </row>
    <row r="24" spans="3:15" x14ac:dyDescent="0.3">
      <c r="C24" s="307" t="s">
        <v>1015</v>
      </c>
      <c r="H24" s="308" t="str">
        <f ca="1">IF(ISERROR(MID(CELL("filename",$C$12),FIND("[",CELL("filename",$C$12))+1,FIND("]",CELL("filename",$C$12))-FIND("[",CELL("filename",$C$12))-1)),"FILE NOT SAVED",MID(CELL("filename",$C$12),FIND("[",CELL("filename",$C$12))+1,FIND("]",CELL("filename",$C$12))-FIND("[",CELL("filename",$C$12))-1))</f>
        <v>CHOLTOOL_MASTER_v1.2_NOV_2023_For_Distribution.xlsx</v>
      </c>
    </row>
    <row r="25" spans="3:15" x14ac:dyDescent="0.3">
      <c r="C25" s="307" t="s">
        <v>1016</v>
      </c>
      <c r="H25" s="309">
        <f ca="1">TODAY()</f>
        <v>45246</v>
      </c>
    </row>
    <row r="26" spans="3:15" x14ac:dyDescent="0.3">
      <c r="C26" s="4" t="s">
        <v>523</v>
      </c>
    </row>
    <row r="27" spans="3:15" x14ac:dyDescent="0.3">
      <c r="C27" s="4" t="s">
        <v>558</v>
      </c>
    </row>
    <row r="28" spans="3:15" ht="14.4" x14ac:dyDescent="0.3">
      <c r="C28" s="334" t="s">
        <v>1017</v>
      </c>
      <c r="D28" s="334"/>
      <c r="E28" s="334"/>
      <c r="F28" s="334"/>
      <c r="G28" s="334"/>
      <c r="H28" s="334"/>
      <c r="I28" s="334"/>
      <c r="J28" s="334"/>
      <c r="K28" s="334"/>
      <c r="L28" s="334"/>
      <c r="M28" s="334"/>
      <c r="N28" s="334"/>
      <c r="O28" s="334"/>
    </row>
    <row r="29" spans="3:15" x14ac:dyDescent="0.3">
      <c r="C29" t="s">
        <v>1022</v>
      </c>
      <c r="G29" s="70" t="s">
        <v>1023</v>
      </c>
    </row>
  </sheetData>
  <mergeCells count="4">
    <mergeCell ref="C11:G11"/>
    <mergeCell ref="N16:P16"/>
    <mergeCell ref="N3:P3"/>
    <mergeCell ref="C28:O28"/>
  </mergeCells>
  <hyperlinks>
    <hyperlink ref="C11" location="HL_Home" tooltip="Go to Table of Contents" display="HL_Home" xr:uid="{00000000-0004-0000-0000-000000000000}"/>
    <hyperlink ref="N16" location="HL_Cost_per_Statistics" tooltip="Go to Cost per Statistics" display="HL_Cost_per_Statistics" xr:uid="{00000000-0004-0000-0000-000001000000}"/>
    <hyperlink ref="G29" r:id="rId1" xr:uid="{214E3EDC-1FE4-4247-9F55-73CFF9A1E1F6}"/>
  </hyperlinks>
  <pageMargins left="0.7" right="0.7" top="0.75" bottom="0.75" header="0.3" footer="0.3"/>
  <pageSetup scale="82" orientation="landscape" horizontalDpi="0" verticalDpi="0" r:id="rId2"/>
  <customProperties>
    <customPr name="LastActiv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9"/>
    <pageSetUpPr autoPageBreaks="0" fitToPage="1"/>
  </sheetPr>
  <dimension ref="C3:Q20"/>
  <sheetViews>
    <sheetView showGridLines="0" zoomScaleNormal="100" workbookViewId="0"/>
  </sheetViews>
  <sheetFormatPr defaultColWidth="11.6640625" defaultRowHeight="13.8" x14ac:dyDescent="0.3"/>
  <cols>
    <col min="3" max="6" width="3.6640625" customWidth="1"/>
  </cols>
  <sheetData>
    <row r="3" spans="3:17" ht="14.4" x14ac:dyDescent="0.3">
      <c r="N3" s="333" t="s">
        <v>645</v>
      </c>
      <c r="O3" s="333"/>
      <c r="P3" s="333"/>
      <c r="Q3" s="333"/>
    </row>
    <row r="4" spans="3:17" ht="14.4" x14ac:dyDescent="0.3">
      <c r="N4" s="333" t="s">
        <v>606</v>
      </c>
      <c r="O4" s="333"/>
      <c r="P4" s="333" t="s">
        <v>605</v>
      </c>
      <c r="Q4" s="333"/>
    </row>
    <row r="9" spans="3:17" ht="23.4" x14ac:dyDescent="0.3">
      <c r="C9" s="2" t="s">
        <v>525</v>
      </c>
    </row>
    <row r="10" spans="3:17" ht="21" x14ac:dyDescent="0.3">
      <c r="C10" s="10" t="s">
        <v>67</v>
      </c>
    </row>
    <row r="11" spans="3:17" ht="18" x14ac:dyDescent="0.3">
      <c r="C11" s="6" t="str">
        <f>Model_Name</f>
        <v>Oral Cholera Vaccine Activity-Based Costing</v>
      </c>
    </row>
    <row r="12" spans="3:17" x14ac:dyDescent="0.3">
      <c r="C12" s="331" t="s">
        <v>2</v>
      </c>
      <c r="D12" s="331"/>
      <c r="E12" s="331"/>
      <c r="F12" s="331"/>
      <c r="G12" s="331"/>
    </row>
    <row r="13" spans="3:17" x14ac:dyDescent="0.3">
      <c r="C13" s="8" t="s">
        <v>10</v>
      </c>
      <c r="D13" s="9" t="s">
        <v>11</v>
      </c>
    </row>
    <row r="16" spans="3:17" x14ac:dyDescent="0.3">
      <c r="N16" s="332" t="str">
        <f>"Go to "&amp;HL_Cost_per_Statistics</f>
        <v>Go to Cost per Statistics</v>
      </c>
      <c r="O16" s="332"/>
      <c r="P16" s="332"/>
      <c r="Q16" s="332"/>
    </row>
    <row r="17" spans="3:3" ht="14.4" x14ac:dyDescent="0.3">
      <c r="C17" s="3" t="s">
        <v>6</v>
      </c>
    </row>
    <row r="18" spans="3:3" x14ac:dyDescent="0.3">
      <c r="C18" s="4" t="s">
        <v>648</v>
      </c>
    </row>
    <row r="19" spans="3:3" x14ac:dyDescent="0.3">
      <c r="C19" s="4" t="s">
        <v>649</v>
      </c>
    </row>
    <row r="20" spans="3:3" x14ac:dyDescent="0.3">
      <c r="C20" s="4"/>
    </row>
  </sheetData>
  <mergeCells count="5">
    <mergeCell ref="N3:Q3"/>
    <mergeCell ref="N4:O4"/>
    <mergeCell ref="P4:Q4"/>
    <mergeCell ref="N16:Q16"/>
    <mergeCell ref="C12:G12"/>
  </mergeCells>
  <hyperlinks>
    <hyperlink ref="D13" location="HL_Sheet_Main_49" tooltip="Go to Next Sheet" display="HL_Sheet_Main_49" xr:uid="{00000000-0004-0000-0900-000000000000}"/>
    <hyperlink ref="C13" location="HL_Sheet_Main_9" tooltip="Go to Previous Sheet" display="HL_Sheet_Main_9" xr:uid="{00000000-0004-0000-0900-000001000000}"/>
    <hyperlink ref="N16" location="HL_Cost_per_Statistics" tooltip="Go to Cost per Statistics" display="HL_Cost_per_Statistics" xr:uid="{00000000-0004-0000-0900-000002000000}"/>
    <hyperlink ref="C12" location="HL_Home" tooltip="Go to Table of Contents" display="HL_Home" xr:uid="{00000000-0004-0000-09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8">
    <pageSetUpPr autoPageBreaks="0"/>
  </sheetPr>
  <dimension ref="A1:S113"/>
  <sheetViews>
    <sheetView showGridLines="0" zoomScaleNormal="100" workbookViewId="0">
      <pane xSplit="1" ySplit="4" topLeftCell="B47" activePane="bottomRight" state="frozen"/>
      <selection pane="topRight" activeCell="B1" sqref="B1"/>
      <selection pane="bottomLeft" activeCell="A5" sqref="A5"/>
      <selection pane="bottomRight" activeCell="Q55" sqref="Q55"/>
    </sheetView>
  </sheetViews>
  <sheetFormatPr defaultColWidth="11.6640625" defaultRowHeight="13.8" outlineLevelRow="1" outlineLevelCol="1" x14ac:dyDescent="0.3"/>
  <cols>
    <col min="1" max="5" width="3.6640625" style="22" customWidth="1"/>
    <col min="6" max="7" width="11.6640625" style="22"/>
    <col min="8" max="8" width="18.109375" style="22" customWidth="1"/>
    <col min="9" max="10" width="11.6640625" style="22"/>
    <col min="11" max="11" width="11.6640625" style="22" customWidth="1" outlineLevel="1"/>
    <col min="12" max="12" width="12.88671875" style="22" customWidth="1" outlineLevel="1"/>
    <col min="13" max="13" width="14.88671875" style="22" customWidth="1" outlineLevel="1"/>
    <col min="14" max="16" width="11.6640625" style="22"/>
    <col min="17" max="17" width="12.5546875" style="22" bestFit="1" customWidth="1"/>
    <col min="18" max="18" width="13.6640625" style="22" bestFit="1" customWidth="1"/>
    <col min="19" max="16384" width="11.6640625" style="22"/>
  </cols>
  <sheetData>
    <row r="1" spans="1:17" ht="23.4" x14ac:dyDescent="0.3">
      <c r="B1" s="275" t="s">
        <v>399</v>
      </c>
    </row>
    <row r="2" spans="1:17" ht="18" x14ac:dyDescent="0.3">
      <c r="B2" s="23" t="str">
        <f>Model_Name</f>
        <v>Oral Cholera Vaccine Activity-Based Costing</v>
      </c>
    </row>
    <row r="3" spans="1:17" x14ac:dyDescent="0.3">
      <c r="B3" s="349" t="s">
        <v>2</v>
      </c>
      <c r="C3" s="349"/>
      <c r="D3" s="349"/>
      <c r="E3" s="349"/>
      <c r="F3" s="349"/>
      <c r="Q3" s="220"/>
    </row>
    <row r="4" spans="1:17" x14ac:dyDescent="0.3">
      <c r="A4" s="25" t="s">
        <v>5</v>
      </c>
      <c r="B4" s="26" t="s">
        <v>10</v>
      </c>
      <c r="C4" s="27" t="s">
        <v>11</v>
      </c>
      <c r="D4" s="28" t="s">
        <v>25</v>
      </c>
      <c r="F4" s="29" t="s">
        <v>26</v>
      </c>
    </row>
    <row r="5" spans="1:17" ht="15.6" x14ac:dyDescent="0.3">
      <c r="K5" s="41" t="s">
        <v>575</v>
      </c>
      <c r="L5" s="272" t="s">
        <v>405</v>
      </c>
      <c r="M5" s="92" t="s">
        <v>431</v>
      </c>
    </row>
    <row r="6" spans="1:17" x14ac:dyDescent="0.3">
      <c r="J6" s="91" t="s">
        <v>520</v>
      </c>
    </row>
    <row r="7" spans="1:17" ht="18" x14ac:dyDescent="0.3">
      <c r="B7" s="99" t="s">
        <v>399</v>
      </c>
    </row>
    <row r="8" spans="1:17" ht="14.4" x14ac:dyDescent="0.3">
      <c r="H8" s="418" t="s">
        <v>576</v>
      </c>
      <c r="I8" s="409"/>
      <c r="J8" s="409"/>
      <c r="K8" s="419"/>
      <c r="L8" s="149"/>
      <c r="M8" s="408" t="s">
        <v>577</v>
      </c>
      <c r="N8" s="409"/>
      <c r="O8" s="409"/>
      <c r="P8" s="409"/>
    </row>
    <row r="9" spans="1:17" ht="15.6" x14ac:dyDescent="0.3">
      <c r="C9" s="92" t="s">
        <v>510</v>
      </c>
      <c r="I9" s="414" t="s">
        <v>408</v>
      </c>
      <c r="J9" s="415"/>
      <c r="K9" s="415"/>
      <c r="L9" s="149"/>
      <c r="N9" s="414" t="s">
        <v>409</v>
      </c>
      <c r="O9" s="415"/>
      <c r="P9" s="415"/>
    </row>
    <row r="10" spans="1:17" x14ac:dyDescent="0.3">
      <c r="C10" s="416" t="s">
        <v>406</v>
      </c>
      <c r="D10" s="417"/>
      <c r="E10" s="417"/>
      <c r="F10" s="417"/>
      <c r="G10" s="417"/>
      <c r="H10" s="91" t="s">
        <v>407</v>
      </c>
      <c r="I10" s="88" t="s">
        <v>427</v>
      </c>
      <c r="J10" s="88" t="s">
        <v>428</v>
      </c>
      <c r="K10" s="88" t="s">
        <v>402</v>
      </c>
      <c r="L10" s="149"/>
      <c r="M10" s="91" t="s">
        <v>407</v>
      </c>
      <c r="N10" s="88" t="s">
        <v>425</v>
      </c>
      <c r="O10" s="88" t="s">
        <v>426</v>
      </c>
      <c r="P10" s="88" t="s">
        <v>402</v>
      </c>
    </row>
    <row r="11" spans="1:17" x14ac:dyDescent="0.3">
      <c r="C11" s="89" t="str">
        <f>Count_BA!D9</f>
        <v>Area_Counts Category 1</v>
      </c>
      <c r="H11" s="45">
        <f>Count_BA!I9</f>
        <v>0</v>
      </c>
      <c r="I11" s="225">
        <v>0</v>
      </c>
      <c r="J11" s="225">
        <v>0</v>
      </c>
      <c r="K11" s="45">
        <f t="shared" ref="K11:K35" si="0">($H11*I11)+($H11*J11)</f>
        <v>0</v>
      </c>
      <c r="L11" s="149"/>
      <c r="M11" s="45">
        <f t="shared" ref="M11:M35" si="1">H11</f>
        <v>0</v>
      </c>
      <c r="N11" s="118">
        <v>0</v>
      </c>
      <c r="O11" s="118">
        <v>0</v>
      </c>
      <c r="P11" s="45">
        <f t="shared" ref="P11:P35" si="2">N11+O11</f>
        <v>0</v>
      </c>
    </row>
    <row r="12" spans="1:17" x14ac:dyDescent="0.3">
      <c r="C12" s="89" t="str">
        <f>Count_BA!D10</f>
        <v>Area_Counts Category 2</v>
      </c>
      <c r="H12" s="45">
        <f>Count_BA!I10</f>
        <v>0</v>
      </c>
      <c r="I12" s="225">
        <v>0</v>
      </c>
      <c r="J12" s="225">
        <v>0</v>
      </c>
      <c r="K12" s="45">
        <f t="shared" si="0"/>
        <v>0</v>
      </c>
      <c r="L12" s="149"/>
      <c r="M12" s="45">
        <f t="shared" si="1"/>
        <v>0</v>
      </c>
      <c r="N12" s="118">
        <v>0</v>
      </c>
      <c r="O12" s="118">
        <v>0</v>
      </c>
      <c r="P12" s="45">
        <f t="shared" si="2"/>
        <v>0</v>
      </c>
    </row>
    <row r="13" spans="1:17" x14ac:dyDescent="0.3">
      <c r="C13" s="89" t="str">
        <f>Count_BA!D11</f>
        <v>Area_Counts Category 3</v>
      </c>
      <c r="H13" s="45">
        <f>Count_BA!I11</f>
        <v>0</v>
      </c>
      <c r="I13" s="225">
        <v>0</v>
      </c>
      <c r="J13" s="225">
        <v>0</v>
      </c>
      <c r="K13" s="45">
        <f t="shared" si="0"/>
        <v>0</v>
      </c>
      <c r="L13" s="149"/>
      <c r="M13" s="45">
        <f t="shared" si="1"/>
        <v>0</v>
      </c>
      <c r="N13" s="118">
        <v>0</v>
      </c>
      <c r="O13" s="118">
        <v>0</v>
      </c>
      <c r="P13" s="45">
        <f t="shared" si="2"/>
        <v>0</v>
      </c>
    </row>
    <row r="14" spans="1:17" x14ac:dyDescent="0.3">
      <c r="C14" s="89" t="str">
        <f>Count_BA!D12</f>
        <v>Area_Counts Category 4</v>
      </c>
      <c r="H14" s="45">
        <f>Count_BA!I12</f>
        <v>0</v>
      </c>
      <c r="I14" s="225">
        <v>0</v>
      </c>
      <c r="J14" s="225">
        <v>0</v>
      </c>
      <c r="K14" s="45">
        <f t="shared" si="0"/>
        <v>0</v>
      </c>
      <c r="L14" s="149"/>
      <c r="M14" s="45">
        <f t="shared" si="1"/>
        <v>0</v>
      </c>
      <c r="N14" s="118">
        <v>0</v>
      </c>
      <c r="O14" s="118">
        <v>0</v>
      </c>
      <c r="P14" s="45">
        <f t="shared" si="2"/>
        <v>0</v>
      </c>
    </row>
    <row r="15" spans="1:17" x14ac:dyDescent="0.3">
      <c r="C15" s="89" t="str">
        <f>Count_BA!D13</f>
        <v>Area_Counts Category 5</v>
      </c>
      <c r="H15" s="45">
        <f>Count_BA!I13</f>
        <v>0</v>
      </c>
      <c r="I15" s="225">
        <v>0</v>
      </c>
      <c r="J15" s="225">
        <v>0</v>
      </c>
      <c r="K15" s="45">
        <f t="shared" si="0"/>
        <v>0</v>
      </c>
      <c r="L15" s="149"/>
      <c r="M15" s="45">
        <f t="shared" si="1"/>
        <v>0</v>
      </c>
      <c r="N15" s="118">
        <v>0</v>
      </c>
      <c r="O15" s="118">
        <v>0</v>
      </c>
      <c r="P15" s="45">
        <f t="shared" si="2"/>
        <v>0</v>
      </c>
    </row>
    <row r="16" spans="1:17" x14ac:dyDescent="0.3">
      <c r="C16" s="89" t="str">
        <f>Count_BA!D14</f>
        <v>Area_Counts Category 6</v>
      </c>
      <c r="H16" s="45">
        <f>Count_BA!I14</f>
        <v>0</v>
      </c>
      <c r="I16" s="225">
        <v>0</v>
      </c>
      <c r="J16" s="225">
        <v>0</v>
      </c>
      <c r="K16" s="45">
        <f t="shared" si="0"/>
        <v>0</v>
      </c>
      <c r="L16" s="149"/>
      <c r="M16" s="45">
        <f t="shared" si="1"/>
        <v>0</v>
      </c>
      <c r="N16" s="118">
        <v>0</v>
      </c>
      <c r="O16" s="118">
        <v>0</v>
      </c>
      <c r="P16" s="45">
        <f t="shared" si="2"/>
        <v>0</v>
      </c>
    </row>
    <row r="17" spans="3:16" x14ac:dyDescent="0.3">
      <c r="C17" s="89" t="str">
        <f>Count_BA!D15</f>
        <v>Area_Counts Category 7</v>
      </c>
      <c r="H17" s="45">
        <f>Count_BA!I15</f>
        <v>0</v>
      </c>
      <c r="I17" s="225">
        <v>0</v>
      </c>
      <c r="J17" s="225">
        <v>0</v>
      </c>
      <c r="K17" s="45">
        <f t="shared" si="0"/>
        <v>0</v>
      </c>
      <c r="L17" s="149"/>
      <c r="M17" s="45">
        <f t="shared" si="1"/>
        <v>0</v>
      </c>
      <c r="N17" s="118">
        <v>0</v>
      </c>
      <c r="O17" s="118">
        <v>0</v>
      </c>
      <c r="P17" s="45">
        <f t="shared" si="2"/>
        <v>0</v>
      </c>
    </row>
    <row r="18" spans="3:16" x14ac:dyDescent="0.3">
      <c r="C18" s="89" t="str">
        <f>Count_BA!D16</f>
        <v>Area_Counts Category 8</v>
      </c>
      <c r="H18" s="45">
        <f>Count_BA!I16</f>
        <v>0</v>
      </c>
      <c r="I18" s="225">
        <v>0</v>
      </c>
      <c r="J18" s="225">
        <v>0</v>
      </c>
      <c r="K18" s="45">
        <f t="shared" si="0"/>
        <v>0</v>
      </c>
      <c r="L18" s="149"/>
      <c r="M18" s="45">
        <f t="shared" si="1"/>
        <v>0</v>
      </c>
      <c r="N18" s="118">
        <v>0</v>
      </c>
      <c r="O18" s="118">
        <v>0</v>
      </c>
      <c r="P18" s="45">
        <f t="shared" si="2"/>
        <v>0</v>
      </c>
    </row>
    <row r="19" spans="3:16" x14ac:dyDescent="0.3">
      <c r="C19" s="89" t="str">
        <f>Count_BA!D17</f>
        <v>Area_Counts Category 9</v>
      </c>
      <c r="H19" s="45">
        <f>Count_BA!I17</f>
        <v>0</v>
      </c>
      <c r="I19" s="225">
        <v>0</v>
      </c>
      <c r="J19" s="225">
        <v>0</v>
      </c>
      <c r="K19" s="45">
        <f t="shared" si="0"/>
        <v>0</v>
      </c>
      <c r="L19" s="149"/>
      <c r="M19" s="45">
        <f t="shared" si="1"/>
        <v>0</v>
      </c>
      <c r="N19" s="118">
        <v>0</v>
      </c>
      <c r="O19" s="118">
        <v>0</v>
      </c>
      <c r="P19" s="45">
        <f t="shared" si="2"/>
        <v>0</v>
      </c>
    </row>
    <row r="20" spans="3:16" x14ac:dyDescent="0.3">
      <c r="C20" s="89" t="str">
        <f>Count_BA!D18</f>
        <v>Area_Counts Category 10</v>
      </c>
      <c r="H20" s="45">
        <f>Count_BA!I18</f>
        <v>0</v>
      </c>
      <c r="I20" s="225">
        <v>0</v>
      </c>
      <c r="J20" s="225">
        <v>0</v>
      </c>
      <c r="K20" s="45">
        <f t="shared" si="0"/>
        <v>0</v>
      </c>
      <c r="L20" s="149"/>
      <c r="M20" s="45">
        <f t="shared" si="1"/>
        <v>0</v>
      </c>
      <c r="N20" s="118">
        <v>0</v>
      </c>
      <c r="O20" s="118">
        <v>0</v>
      </c>
      <c r="P20" s="45">
        <f t="shared" si="2"/>
        <v>0</v>
      </c>
    </row>
    <row r="21" spans="3:16" x14ac:dyDescent="0.3">
      <c r="C21" s="89" t="str">
        <f>Count_BA!D19</f>
        <v>Area_Counts Category 11</v>
      </c>
      <c r="H21" s="45">
        <f>Count_BA!I19</f>
        <v>0</v>
      </c>
      <c r="I21" s="225">
        <v>0</v>
      </c>
      <c r="J21" s="225">
        <v>0</v>
      </c>
      <c r="K21" s="45">
        <f t="shared" si="0"/>
        <v>0</v>
      </c>
      <c r="L21" s="149"/>
      <c r="M21" s="45">
        <f t="shared" si="1"/>
        <v>0</v>
      </c>
      <c r="N21" s="118">
        <v>0</v>
      </c>
      <c r="O21" s="118">
        <v>0</v>
      </c>
      <c r="P21" s="45">
        <f t="shared" si="2"/>
        <v>0</v>
      </c>
    </row>
    <row r="22" spans="3:16" x14ac:dyDescent="0.3">
      <c r="C22" s="89" t="str">
        <f>Count_BA!D20</f>
        <v>Area_Counts Category 12</v>
      </c>
      <c r="H22" s="45">
        <f>Count_BA!I20</f>
        <v>0</v>
      </c>
      <c r="I22" s="225">
        <v>0</v>
      </c>
      <c r="J22" s="225">
        <v>0</v>
      </c>
      <c r="K22" s="45">
        <f t="shared" si="0"/>
        <v>0</v>
      </c>
      <c r="L22" s="149"/>
      <c r="M22" s="45">
        <f t="shared" si="1"/>
        <v>0</v>
      </c>
      <c r="N22" s="118">
        <v>0</v>
      </c>
      <c r="O22" s="118">
        <v>0</v>
      </c>
      <c r="P22" s="45">
        <f t="shared" si="2"/>
        <v>0</v>
      </c>
    </row>
    <row r="23" spans="3:16" x14ac:dyDescent="0.3">
      <c r="C23" s="89" t="str">
        <f>Count_BA!D21</f>
        <v>Area_Counts Category 13</v>
      </c>
      <c r="H23" s="45">
        <f>Count_BA!I21</f>
        <v>0</v>
      </c>
      <c r="I23" s="225">
        <v>0</v>
      </c>
      <c r="J23" s="225">
        <v>0</v>
      </c>
      <c r="K23" s="45">
        <f t="shared" si="0"/>
        <v>0</v>
      </c>
      <c r="L23" s="149"/>
      <c r="M23" s="45">
        <f t="shared" si="1"/>
        <v>0</v>
      </c>
      <c r="N23" s="118">
        <v>0</v>
      </c>
      <c r="O23" s="118">
        <v>0</v>
      </c>
      <c r="P23" s="45">
        <f t="shared" si="2"/>
        <v>0</v>
      </c>
    </row>
    <row r="24" spans="3:16" x14ac:dyDescent="0.3">
      <c r="C24" s="89" t="str">
        <f>Count_BA!D22</f>
        <v>Area_Counts Category 14</v>
      </c>
      <c r="H24" s="45">
        <f>Count_BA!I22</f>
        <v>0</v>
      </c>
      <c r="I24" s="225">
        <v>0</v>
      </c>
      <c r="J24" s="225">
        <v>0</v>
      </c>
      <c r="K24" s="45">
        <f t="shared" si="0"/>
        <v>0</v>
      </c>
      <c r="L24" s="149"/>
      <c r="M24" s="45">
        <f t="shared" si="1"/>
        <v>0</v>
      </c>
      <c r="N24" s="118">
        <v>0</v>
      </c>
      <c r="O24" s="118">
        <v>0</v>
      </c>
      <c r="P24" s="45">
        <f t="shared" si="2"/>
        <v>0</v>
      </c>
    </row>
    <row r="25" spans="3:16" x14ac:dyDescent="0.3">
      <c r="C25" s="89" t="str">
        <f>Count_BA!D23</f>
        <v>Area_Counts Category 15</v>
      </c>
      <c r="H25" s="45">
        <f>Count_BA!I23</f>
        <v>0</v>
      </c>
      <c r="I25" s="225">
        <v>0</v>
      </c>
      <c r="J25" s="225">
        <v>0</v>
      </c>
      <c r="K25" s="45">
        <f t="shared" si="0"/>
        <v>0</v>
      </c>
      <c r="L25" s="149"/>
      <c r="M25" s="45">
        <f t="shared" si="1"/>
        <v>0</v>
      </c>
      <c r="N25" s="118">
        <v>0</v>
      </c>
      <c r="O25" s="118">
        <v>0</v>
      </c>
      <c r="P25" s="45">
        <f t="shared" si="2"/>
        <v>0</v>
      </c>
    </row>
    <row r="26" spans="3:16" x14ac:dyDescent="0.3">
      <c r="C26" s="89" t="str">
        <f>Count_BA!D24</f>
        <v>Area_Counts Category 16</v>
      </c>
      <c r="H26" s="45">
        <f>Count_BA!I24</f>
        <v>0</v>
      </c>
      <c r="I26" s="225">
        <v>0</v>
      </c>
      <c r="J26" s="225">
        <v>0</v>
      </c>
      <c r="K26" s="45">
        <f t="shared" si="0"/>
        <v>0</v>
      </c>
      <c r="L26" s="149"/>
      <c r="M26" s="45">
        <f t="shared" si="1"/>
        <v>0</v>
      </c>
      <c r="N26" s="118">
        <v>0</v>
      </c>
      <c r="O26" s="118">
        <v>0</v>
      </c>
      <c r="P26" s="45">
        <f t="shared" si="2"/>
        <v>0</v>
      </c>
    </row>
    <row r="27" spans="3:16" x14ac:dyDescent="0.3">
      <c r="C27" s="89" t="str">
        <f>Count_BA!D25</f>
        <v>Area_Counts Category 17</v>
      </c>
      <c r="H27" s="45">
        <f>Count_BA!I25</f>
        <v>0</v>
      </c>
      <c r="I27" s="225">
        <v>0</v>
      </c>
      <c r="J27" s="225">
        <v>0</v>
      </c>
      <c r="K27" s="45">
        <f t="shared" si="0"/>
        <v>0</v>
      </c>
      <c r="L27" s="149"/>
      <c r="M27" s="45">
        <f t="shared" si="1"/>
        <v>0</v>
      </c>
      <c r="N27" s="118">
        <v>0</v>
      </c>
      <c r="O27" s="118">
        <v>0</v>
      </c>
      <c r="P27" s="45">
        <f t="shared" si="2"/>
        <v>0</v>
      </c>
    </row>
    <row r="28" spans="3:16" x14ac:dyDescent="0.3">
      <c r="C28" s="89" t="str">
        <f>Count_BA!D26</f>
        <v>Area_Counts Category 18</v>
      </c>
      <c r="H28" s="45">
        <f>Count_BA!I26</f>
        <v>0</v>
      </c>
      <c r="I28" s="225">
        <v>0</v>
      </c>
      <c r="J28" s="225">
        <v>0</v>
      </c>
      <c r="K28" s="45">
        <f t="shared" si="0"/>
        <v>0</v>
      </c>
      <c r="L28" s="149"/>
      <c r="M28" s="45">
        <f t="shared" si="1"/>
        <v>0</v>
      </c>
      <c r="N28" s="118">
        <v>0</v>
      </c>
      <c r="O28" s="118">
        <v>0</v>
      </c>
      <c r="P28" s="45">
        <f t="shared" si="2"/>
        <v>0</v>
      </c>
    </row>
    <row r="29" spans="3:16" x14ac:dyDescent="0.3">
      <c r="C29" s="89" t="str">
        <f>Count_BA!D27</f>
        <v>Area_Counts Category 19</v>
      </c>
      <c r="H29" s="45">
        <f>Count_BA!I27</f>
        <v>0</v>
      </c>
      <c r="I29" s="225">
        <v>0</v>
      </c>
      <c r="J29" s="225">
        <v>0</v>
      </c>
      <c r="K29" s="45">
        <f t="shared" si="0"/>
        <v>0</v>
      </c>
      <c r="L29" s="149"/>
      <c r="M29" s="45">
        <f t="shared" si="1"/>
        <v>0</v>
      </c>
      <c r="N29" s="118">
        <v>0</v>
      </c>
      <c r="O29" s="118">
        <v>0</v>
      </c>
      <c r="P29" s="45">
        <f t="shared" si="2"/>
        <v>0</v>
      </c>
    </row>
    <row r="30" spans="3:16" x14ac:dyDescent="0.3">
      <c r="C30" s="89" t="str">
        <f>Count_BA!D28</f>
        <v>Area_Counts Category 20</v>
      </c>
      <c r="H30" s="45">
        <f>Count_BA!I28</f>
        <v>0</v>
      </c>
      <c r="I30" s="225">
        <v>0</v>
      </c>
      <c r="J30" s="225">
        <v>0</v>
      </c>
      <c r="K30" s="45">
        <f t="shared" si="0"/>
        <v>0</v>
      </c>
      <c r="L30" s="149"/>
      <c r="M30" s="45">
        <f t="shared" si="1"/>
        <v>0</v>
      </c>
      <c r="N30" s="118">
        <v>0</v>
      </c>
      <c r="O30" s="118">
        <v>0</v>
      </c>
      <c r="P30" s="45">
        <f t="shared" si="2"/>
        <v>0</v>
      </c>
    </row>
    <row r="31" spans="3:16" x14ac:dyDescent="0.3">
      <c r="C31" s="89" t="str">
        <f>Count_BA!D29</f>
        <v>Area_Counts Category 21</v>
      </c>
      <c r="H31" s="45">
        <f>Count_BA!I29</f>
        <v>0</v>
      </c>
      <c r="I31" s="225">
        <v>0</v>
      </c>
      <c r="J31" s="225">
        <v>0</v>
      </c>
      <c r="K31" s="45">
        <f t="shared" si="0"/>
        <v>0</v>
      </c>
      <c r="L31" s="149"/>
      <c r="M31" s="45">
        <f t="shared" si="1"/>
        <v>0</v>
      </c>
      <c r="N31" s="118">
        <v>0</v>
      </c>
      <c r="O31" s="118">
        <v>0</v>
      </c>
      <c r="P31" s="45">
        <f t="shared" si="2"/>
        <v>0</v>
      </c>
    </row>
    <row r="32" spans="3:16" x14ac:dyDescent="0.3">
      <c r="C32" s="89" t="str">
        <f>Count_BA!D30</f>
        <v>Area_Counts Category 22</v>
      </c>
      <c r="H32" s="45">
        <f>Count_BA!I30</f>
        <v>0</v>
      </c>
      <c r="I32" s="225">
        <v>0</v>
      </c>
      <c r="J32" s="225">
        <v>0</v>
      </c>
      <c r="K32" s="45">
        <f t="shared" si="0"/>
        <v>0</v>
      </c>
      <c r="L32" s="149"/>
      <c r="M32" s="45">
        <f t="shared" si="1"/>
        <v>0</v>
      </c>
      <c r="N32" s="118">
        <v>0</v>
      </c>
      <c r="O32" s="118">
        <v>0</v>
      </c>
      <c r="P32" s="45">
        <f t="shared" si="2"/>
        <v>0</v>
      </c>
    </row>
    <row r="33" spans="2:16" x14ac:dyDescent="0.3">
      <c r="C33" s="89" t="str">
        <f>Count_BA!D31</f>
        <v>Area_Counts Category 23</v>
      </c>
      <c r="H33" s="45">
        <f>Count_BA!I31</f>
        <v>0</v>
      </c>
      <c r="I33" s="225">
        <v>0</v>
      </c>
      <c r="J33" s="225">
        <v>0</v>
      </c>
      <c r="K33" s="45">
        <f t="shared" si="0"/>
        <v>0</v>
      </c>
      <c r="L33" s="149"/>
      <c r="M33" s="45">
        <f t="shared" si="1"/>
        <v>0</v>
      </c>
      <c r="N33" s="118">
        <v>0</v>
      </c>
      <c r="O33" s="118">
        <v>0</v>
      </c>
      <c r="P33" s="45">
        <f t="shared" si="2"/>
        <v>0</v>
      </c>
    </row>
    <row r="34" spans="2:16" x14ac:dyDescent="0.3">
      <c r="C34" s="89" t="str">
        <f>Count_BA!D32</f>
        <v>Area_Counts Category 24</v>
      </c>
      <c r="H34" s="45">
        <f>Count_BA!I32</f>
        <v>0</v>
      </c>
      <c r="I34" s="225">
        <v>0</v>
      </c>
      <c r="J34" s="225">
        <v>0</v>
      </c>
      <c r="K34" s="45">
        <f t="shared" si="0"/>
        <v>0</v>
      </c>
      <c r="L34" s="149"/>
      <c r="M34" s="45">
        <f t="shared" si="1"/>
        <v>0</v>
      </c>
      <c r="N34" s="118">
        <v>0</v>
      </c>
      <c r="O34" s="118">
        <v>0</v>
      </c>
      <c r="P34" s="45">
        <f t="shared" si="2"/>
        <v>0</v>
      </c>
    </row>
    <row r="35" spans="2:16" x14ac:dyDescent="0.3">
      <c r="C35" s="89" t="str">
        <f>Count_BA!D33</f>
        <v>Area_Counts Category 25</v>
      </c>
      <c r="H35" s="45">
        <f>Count_BA!I33</f>
        <v>0</v>
      </c>
      <c r="I35" s="225">
        <v>0</v>
      </c>
      <c r="J35" s="225">
        <v>0</v>
      </c>
      <c r="K35" s="45">
        <f t="shared" si="0"/>
        <v>0</v>
      </c>
      <c r="L35" s="149"/>
      <c r="M35" s="45">
        <f t="shared" si="1"/>
        <v>0</v>
      </c>
      <c r="N35" s="118">
        <v>0</v>
      </c>
      <c r="O35" s="118">
        <v>0</v>
      </c>
      <c r="P35" s="45">
        <f t="shared" si="2"/>
        <v>0</v>
      </c>
    </row>
    <row r="36" spans="2:16" ht="14.4" x14ac:dyDescent="0.3">
      <c r="C36" s="90" t="s">
        <v>410</v>
      </c>
      <c r="H36" s="75">
        <f>SUM(H11:H35)</f>
        <v>0</v>
      </c>
      <c r="I36" s="140">
        <f>SUMPRODUCT(H11:H35,I11:I35)</f>
        <v>0</v>
      </c>
      <c r="J36" s="140">
        <f>SUMPRODUCT(H11:H35,J11:J35)</f>
        <v>0</v>
      </c>
      <c r="K36" s="75">
        <f>SUM(K11:K35)</f>
        <v>0</v>
      </c>
      <c r="L36" s="149"/>
      <c r="M36" s="75">
        <f>SUM(M11:M35)</f>
        <v>0</v>
      </c>
      <c r="N36" s="75">
        <f>SUM(N11:N35)</f>
        <v>0</v>
      </c>
      <c r="O36" s="75">
        <f>SUM(O11:O35)</f>
        <v>0</v>
      </c>
      <c r="P36" s="75">
        <f>SUM(P11:P35)</f>
        <v>0</v>
      </c>
    </row>
    <row r="37" spans="2:16" x14ac:dyDescent="0.3">
      <c r="I37" s="326">
        <f>IFERROR(I36/H36, 0)</f>
        <v>0</v>
      </c>
      <c r="J37" s="326">
        <f>IFERROR(J36/H36, 0)</f>
        <v>0</v>
      </c>
      <c r="L37" s="149"/>
      <c r="N37" s="326">
        <f>IFERROR(N36/M36, 0)</f>
        <v>0</v>
      </c>
      <c r="O37" s="326">
        <f>IFERROR(O36/M36, 0)</f>
        <v>0</v>
      </c>
    </row>
    <row r="38" spans="2:16" ht="15.6" x14ac:dyDescent="0.3">
      <c r="C38" s="92" t="s">
        <v>511</v>
      </c>
    </row>
    <row r="39" spans="2:16" ht="14.4" x14ac:dyDescent="0.3">
      <c r="C39" s="90" t="s">
        <v>411</v>
      </c>
    </row>
    <row r="40" spans="2:16" x14ac:dyDescent="0.3">
      <c r="I40" s="91" t="s">
        <v>578</v>
      </c>
      <c r="K40" s="91" t="s">
        <v>429</v>
      </c>
      <c r="N40" s="91" t="s">
        <v>579</v>
      </c>
      <c r="P40" s="91" t="s">
        <v>430</v>
      </c>
    </row>
    <row r="41" spans="2:16" x14ac:dyDescent="0.3">
      <c r="D41" s="91" t="s">
        <v>413</v>
      </c>
      <c r="I41" s="225"/>
      <c r="K41" s="45">
        <f>HL_Vacc_TOT_ADMIN_PROSP*I41</f>
        <v>0</v>
      </c>
      <c r="N41" s="317">
        <f>IFERROR(P41/HL_Vacc_TOT_ADM_RETRO,0)</f>
        <v>0</v>
      </c>
      <c r="P41" s="118">
        <v>0</v>
      </c>
    </row>
    <row r="42" spans="2:16" x14ac:dyDescent="0.3">
      <c r="D42" s="91" t="s">
        <v>412</v>
      </c>
      <c r="I42" s="225"/>
      <c r="K42" s="45">
        <f>HL_Vacc_TOT_ADMIN_PROSP*I42</f>
        <v>0</v>
      </c>
      <c r="P42" s="118">
        <v>0</v>
      </c>
    </row>
    <row r="43" spans="2:16" x14ac:dyDescent="0.3">
      <c r="C43" s="91" t="s">
        <v>512</v>
      </c>
      <c r="K43" s="75">
        <f>SUM(K41:K42)</f>
        <v>0</v>
      </c>
      <c r="P43" s="75">
        <f>SUM(P41:P42)</f>
        <v>0</v>
      </c>
    </row>
    <row r="45" spans="2:16" ht="15.6" x14ac:dyDescent="0.3">
      <c r="C45" s="159" t="s">
        <v>513</v>
      </c>
      <c r="K45" s="158">
        <f>HL_Vacc_TOT_ADMIN_PROSP+K43</f>
        <v>0</v>
      </c>
      <c r="P45" s="158">
        <f>HL_Vacc_TOT_ADM_RETRO+P43</f>
        <v>0</v>
      </c>
    </row>
    <row r="48" spans="2:16" ht="18" x14ac:dyDescent="0.3">
      <c r="B48" s="99" t="s">
        <v>414</v>
      </c>
      <c r="J48" s="91" t="s">
        <v>580</v>
      </c>
    </row>
    <row r="49" spans="3:15" x14ac:dyDescent="0.3">
      <c r="J49" s="41" t="s">
        <v>644</v>
      </c>
      <c r="K49" s="265" t="s">
        <v>709</v>
      </c>
      <c r="L49" s="270" t="s">
        <v>643</v>
      </c>
    </row>
    <row r="52" spans="3:15" ht="15.6" x14ac:dyDescent="0.3">
      <c r="C52" s="141" t="str">
        <f>"Cost of Vaccine ("&amp;HL_Vacc_Applied_Currency&amp;")"</f>
        <v>Cost of Vaccine (GOZ)</v>
      </c>
      <c r="I52" s="88" t="s">
        <v>424</v>
      </c>
      <c r="J52" s="88" t="s">
        <v>418</v>
      </c>
      <c r="K52" s="91" t="s">
        <v>416</v>
      </c>
      <c r="L52" s="88" t="s">
        <v>417</v>
      </c>
    </row>
    <row r="53" spans="3:15" x14ac:dyDescent="0.3">
      <c r="I53" s="146" t="str">
        <f>HL_Vacc_Applied_Currency</f>
        <v>GOZ</v>
      </c>
      <c r="J53" s="146" t="str">
        <f>HL_Vacc_Applied_Currency</f>
        <v>GOZ</v>
      </c>
      <c r="K53" s="146" t="str">
        <f>HL_Vacc_Applied_Currency</f>
        <v>GOZ</v>
      </c>
      <c r="L53" s="146" t="str">
        <f>HL_Vacc_Applied_Currency</f>
        <v>GOZ</v>
      </c>
    </row>
    <row r="54" spans="3:15" x14ac:dyDescent="0.3">
      <c r="C54" s="91" t="s">
        <v>420</v>
      </c>
      <c r="I54" s="86">
        <v>0</v>
      </c>
      <c r="J54" s="142">
        <v>0</v>
      </c>
      <c r="K54" s="143">
        <f>I54-J54</f>
        <v>0</v>
      </c>
      <c r="L54" s="144">
        <f>I54</f>
        <v>0</v>
      </c>
    </row>
    <row r="55" spans="3:15" x14ac:dyDescent="0.3">
      <c r="I55" s="91" t="s">
        <v>581</v>
      </c>
      <c r="N55" s="91" t="s">
        <v>582</v>
      </c>
    </row>
    <row r="56" spans="3:15" x14ac:dyDescent="0.3">
      <c r="C56" s="106" t="str">
        <f>C45&amp;" ("&amp;HL_Vacc_Sel_Pros_Retro&amp;")"</f>
        <v>Subtotal Vaccines Required (Retrospective)</v>
      </c>
      <c r="I56" s="145">
        <f>HL_Vacc_TOT_REQU_PROSP</f>
        <v>0</v>
      </c>
      <c r="N56" s="145">
        <f>HL_Vacc_TOT_REQ_RETRO</f>
        <v>0</v>
      </c>
    </row>
    <row r="57" spans="3:15" x14ac:dyDescent="0.3">
      <c r="C57" s="91" t="s">
        <v>421</v>
      </c>
      <c r="I57" s="226">
        <v>0</v>
      </c>
      <c r="N57" s="273">
        <v>0</v>
      </c>
    </row>
    <row r="58" spans="3:15" ht="14.4" thickBot="1" x14ac:dyDescent="0.35">
      <c r="C58" s="91" t="s">
        <v>422</v>
      </c>
      <c r="I58" s="46">
        <f>I56-I57</f>
        <v>0</v>
      </c>
      <c r="N58" s="46">
        <f>N56-N57</f>
        <v>0</v>
      </c>
    </row>
    <row r="59" spans="3:15" ht="14.4" thickTop="1" x14ac:dyDescent="0.3"/>
    <row r="61" spans="3:15" ht="14.4" x14ac:dyDescent="0.3">
      <c r="C61" s="90" t="s">
        <v>423</v>
      </c>
      <c r="I61" s="91" t="s">
        <v>504</v>
      </c>
      <c r="N61" s="91" t="s">
        <v>503</v>
      </c>
    </row>
    <row r="62" spans="3:15" x14ac:dyDescent="0.3">
      <c r="I62" s="91" t="s">
        <v>416</v>
      </c>
      <c r="J62" s="91" t="s">
        <v>417</v>
      </c>
      <c r="N62" s="91" t="s">
        <v>416</v>
      </c>
      <c r="O62" s="91" t="s">
        <v>417</v>
      </c>
    </row>
    <row r="63" spans="3:15" x14ac:dyDescent="0.3">
      <c r="I63" s="146" t="str">
        <f>HL_Vacc_Applied_Currency</f>
        <v>GOZ</v>
      </c>
      <c r="J63" s="146" t="str">
        <f>HL_Vacc_Applied_Currency</f>
        <v>GOZ</v>
      </c>
      <c r="N63" s="146" t="str">
        <f>HL_Vacc_Applied_Currency</f>
        <v>GOZ</v>
      </c>
      <c r="O63" s="146" t="str">
        <f>HL_Vacc_Applied_Currency</f>
        <v>GOZ</v>
      </c>
    </row>
    <row r="64" spans="3:15" ht="14.4" x14ac:dyDescent="0.3">
      <c r="C64" s="90" t="s">
        <v>500</v>
      </c>
      <c r="I64" s="145">
        <f>HL_Vacc_NET_PROC_PROSP*HL_Vacc_PRICE_PER_DOSE_FIN</f>
        <v>0</v>
      </c>
      <c r="J64" s="145">
        <f>HL_Vacc_NET_PROC_PROSP*HL_Vacc_PRICE_PER_DOSE_ECON</f>
        <v>0</v>
      </c>
      <c r="N64" s="145">
        <f>HL_Vacc_NET_PROC_REQ_RETRO*HL_Vacc_PRICE_PER_DOSE_FIN</f>
        <v>0</v>
      </c>
      <c r="O64" s="145">
        <f>HL_Vacc_NET_PROC_REQ_RETRO*HL_Vacc_PRICE_PER_DOSE_ECON</f>
        <v>0</v>
      </c>
    </row>
    <row r="66" spans="2:19" ht="18" x14ac:dyDescent="0.3">
      <c r="B66" s="99" t="s">
        <v>497</v>
      </c>
    </row>
    <row r="67" spans="2:19" x14ac:dyDescent="0.3">
      <c r="I67" s="91" t="s">
        <v>502</v>
      </c>
      <c r="K67" s="410" t="str">
        <f>"PROSPECTIVE COST ("&amp;HL_Vacc_Applied_Currency&amp;")"</f>
        <v>PROSPECTIVE COST (GOZ)</v>
      </c>
      <c r="L67" s="411"/>
      <c r="N67" s="106" t="str">
        <f>"RETROSPECTIVE COSTS (ACTUAL IN "&amp;HL_Vacc_Applied_Currency&amp;")"</f>
        <v>RETROSPECTIVE COSTS (ACTUAL IN GOZ)</v>
      </c>
    </row>
    <row r="68" spans="2:19" ht="15.6" x14ac:dyDescent="0.3">
      <c r="C68" s="92" t="s">
        <v>415</v>
      </c>
      <c r="I68" s="88" t="s">
        <v>416</v>
      </c>
      <c r="J68" s="88" t="s">
        <v>417</v>
      </c>
      <c r="K68" s="88" t="s">
        <v>416</v>
      </c>
      <c r="L68" s="88" t="s">
        <v>417</v>
      </c>
      <c r="N68" s="88" t="s">
        <v>416</v>
      </c>
      <c r="O68" s="88" t="s">
        <v>417</v>
      </c>
      <c r="Q68" s="91" t="s">
        <v>554</v>
      </c>
    </row>
    <row r="69" spans="2:19" x14ac:dyDescent="0.3">
      <c r="C69" s="356" t="s">
        <v>946</v>
      </c>
      <c r="D69" s="356"/>
      <c r="E69" s="356"/>
      <c r="F69" s="356"/>
      <c r="G69" s="356"/>
      <c r="I69" s="225">
        <v>0</v>
      </c>
      <c r="J69" s="225">
        <v>0</v>
      </c>
      <c r="K69" s="45">
        <f t="shared" ref="K69:K93" si="3">HL_Vacc_NET_PROC_PROSP*HL_Vacc_PRICE_PER_DOSE_ECON*I69</f>
        <v>0</v>
      </c>
      <c r="L69" s="45">
        <f t="shared" ref="L69:L93" si="4">HL_Vacc_NET_PROC_PROSP*HL_Vacc_PRICE_PER_DOSE_ECON*J69</f>
        <v>0</v>
      </c>
      <c r="N69" s="118">
        <v>0</v>
      </c>
      <c r="O69" s="118">
        <v>0</v>
      </c>
      <c r="Q69" s="356"/>
      <c r="R69" s="356"/>
      <c r="S69" s="356"/>
    </row>
    <row r="70" spans="2:19" x14ac:dyDescent="0.3">
      <c r="C70" s="356" t="s">
        <v>947</v>
      </c>
      <c r="D70" s="356"/>
      <c r="E70" s="356"/>
      <c r="F70" s="356"/>
      <c r="G70" s="356"/>
      <c r="I70" s="225">
        <v>0</v>
      </c>
      <c r="J70" s="225">
        <v>0</v>
      </c>
      <c r="K70" s="45">
        <f t="shared" si="3"/>
        <v>0</v>
      </c>
      <c r="L70" s="45">
        <f t="shared" si="4"/>
        <v>0</v>
      </c>
      <c r="N70" s="118">
        <v>0</v>
      </c>
      <c r="O70" s="118">
        <v>0</v>
      </c>
      <c r="Q70" s="356"/>
      <c r="R70" s="356"/>
      <c r="S70" s="356"/>
    </row>
    <row r="71" spans="2:19" x14ac:dyDescent="0.3">
      <c r="C71" s="356" t="s">
        <v>948</v>
      </c>
      <c r="D71" s="356"/>
      <c r="E71" s="356"/>
      <c r="F71" s="356"/>
      <c r="G71" s="356"/>
      <c r="I71" s="225">
        <v>0</v>
      </c>
      <c r="J71" s="225">
        <v>0</v>
      </c>
      <c r="K71" s="45">
        <f t="shared" si="3"/>
        <v>0</v>
      </c>
      <c r="L71" s="45">
        <f t="shared" si="4"/>
        <v>0</v>
      </c>
      <c r="N71" s="118">
        <v>0</v>
      </c>
      <c r="O71" s="118">
        <v>0</v>
      </c>
      <c r="Q71" s="356"/>
      <c r="R71" s="356"/>
      <c r="S71" s="356"/>
    </row>
    <row r="72" spans="2:19" x14ac:dyDescent="0.3">
      <c r="C72" s="356" t="s">
        <v>949</v>
      </c>
      <c r="D72" s="356"/>
      <c r="E72" s="356"/>
      <c r="F72" s="356"/>
      <c r="G72" s="356"/>
      <c r="I72" s="225">
        <v>0</v>
      </c>
      <c r="J72" s="225">
        <v>0</v>
      </c>
      <c r="K72" s="45">
        <f t="shared" si="3"/>
        <v>0</v>
      </c>
      <c r="L72" s="45">
        <f t="shared" si="4"/>
        <v>0</v>
      </c>
      <c r="N72" s="118">
        <v>0</v>
      </c>
      <c r="O72" s="118">
        <v>0</v>
      </c>
      <c r="Q72" s="356"/>
      <c r="R72" s="356"/>
      <c r="S72" s="356"/>
    </row>
    <row r="73" spans="2:19" x14ac:dyDescent="0.3">
      <c r="C73" s="356" t="s">
        <v>950</v>
      </c>
      <c r="D73" s="356"/>
      <c r="E73" s="356"/>
      <c r="F73" s="356"/>
      <c r="G73" s="356"/>
      <c r="I73" s="225">
        <v>0</v>
      </c>
      <c r="J73" s="225">
        <v>0</v>
      </c>
      <c r="K73" s="45">
        <f t="shared" si="3"/>
        <v>0</v>
      </c>
      <c r="L73" s="45">
        <f t="shared" si="4"/>
        <v>0</v>
      </c>
      <c r="N73" s="118">
        <v>0</v>
      </c>
      <c r="O73" s="118">
        <v>0</v>
      </c>
      <c r="Q73" s="356"/>
      <c r="R73" s="356"/>
      <c r="S73" s="356"/>
    </row>
    <row r="74" spans="2:19" x14ac:dyDescent="0.3">
      <c r="C74" s="356" t="s">
        <v>951</v>
      </c>
      <c r="D74" s="356"/>
      <c r="E74" s="356"/>
      <c r="F74" s="356"/>
      <c r="G74" s="356"/>
      <c r="I74" s="225">
        <v>0</v>
      </c>
      <c r="J74" s="225">
        <v>0</v>
      </c>
      <c r="K74" s="45">
        <f t="shared" si="3"/>
        <v>0</v>
      </c>
      <c r="L74" s="45">
        <f t="shared" si="4"/>
        <v>0</v>
      </c>
      <c r="N74" s="118">
        <v>0</v>
      </c>
      <c r="O74" s="118">
        <v>0</v>
      </c>
      <c r="Q74" s="356"/>
      <c r="R74" s="356"/>
      <c r="S74" s="356"/>
    </row>
    <row r="75" spans="2:19" x14ac:dyDescent="0.3">
      <c r="C75" s="356" t="s">
        <v>952</v>
      </c>
      <c r="D75" s="356"/>
      <c r="E75" s="356"/>
      <c r="F75" s="356"/>
      <c r="G75" s="356"/>
      <c r="I75" s="225">
        <v>0</v>
      </c>
      <c r="J75" s="225">
        <v>0</v>
      </c>
      <c r="K75" s="45">
        <f t="shared" si="3"/>
        <v>0</v>
      </c>
      <c r="L75" s="45">
        <f t="shared" si="4"/>
        <v>0</v>
      </c>
      <c r="N75" s="118">
        <v>0</v>
      </c>
      <c r="O75" s="118">
        <v>0</v>
      </c>
      <c r="Q75" s="356"/>
      <c r="R75" s="356"/>
      <c r="S75" s="356"/>
    </row>
    <row r="76" spans="2:19" x14ac:dyDescent="0.3">
      <c r="C76" s="356" t="s">
        <v>953</v>
      </c>
      <c r="D76" s="356"/>
      <c r="E76" s="356"/>
      <c r="F76" s="356"/>
      <c r="G76" s="356"/>
      <c r="I76" s="225">
        <v>0</v>
      </c>
      <c r="J76" s="225">
        <v>0</v>
      </c>
      <c r="K76" s="45">
        <f t="shared" si="3"/>
        <v>0</v>
      </c>
      <c r="L76" s="45">
        <f t="shared" si="4"/>
        <v>0</v>
      </c>
      <c r="N76" s="118">
        <v>0</v>
      </c>
      <c r="O76" s="118">
        <v>0</v>
      </c>
      <c r="Q76" s="356"/>
      <c r="R76" s="356"/>
      <c r="S76" s="356"/>
    </row>
    <row r="77" spans="2:19" x14ac:dyDescent="0.3">
      <c r="C77" s="356" t="s">
        <v>954</v>
      </c>
      <c r="D77" s="356"/>
      <c r="E77" s="356"/>
      <c r="F77" s="356"/>
      <c r="G77" s="356"/>
      <c r="I77" s="225">
        <v>0</v>
      </c>
      <c r="J77" s="225">
        <v>0</v>
      </c>
      <c r="K77" s="45">
        <f t="shared" si="3"/>
        <v>0</v>
      </c>
      <c r="L77" s="45">
        <f t="shared" si="4"/>
        <v>0</v>
      </c>
      <c r="N77" s="118">
        <v>0</v>
      </c>
      <c r="O77" s="118">
        <v>0</v>
      </c>
      <c r="Q77" s="356"/>
      <c r="R77" s="356"/>
      <c r="S77" s="356"/>
    </row>
    <row r="78" spans="2:19" x14ac:dyDescent="0.3">
      <c r="C78" s="356" t="s">
        <v>955</v>
      </c>
      <c r="D78" s="356"/>
      <c r="E78" s="356"/>
      <c r="F78" s="356"/>
      <c r="G78" s="356"/>
      <c r="I78" s="225">
        <v>0</v>
      </c>
      <c r="J78" s="225">
        <v>0</v>
      </c>
      <c r="K78" s="45">
        <f t="shared" si="3"/>
        <v>0</v>
      </c>
      <c r="L78" s="45">
        <f t="shared" si="4"/>
        <v>0</v>
      </c>
      <c r="N78" s="118">
        <v>0</v>
      </c>
      <c r="O78" s="118">
        <v>0</v>
      </c>
      <c r="Q78" s="356"/>
      <c r="R78" s="356"/>
      <c r="S78" s="356"/>
    </row>
    <row r="79" spans="2:19" x14ac:dyDescent="0.3">
      <c r="C79" s="356" t="s">
        <v>956</v>
      </c>
      <c r="D79" s="356"/>
      <c r="E79" s="356"/>
      <c r="F79" s="356"/>
      <c r="G79" s="356"/>
      <c r="I79" s="225">
        <v>0</v>
      </c>
      <c r="J79" s="225">
        <v>0</v>
      </c>
      <c r="K79" s="45">
        <f t="shared" si="3"/>
        <v>0</v>
      </c>
      <c r="L79" s="45">
        <f t="shared" si="4"/>
        <v>0</v>
      </c>
      <c r="N79" s="118">
        <v>0</v>
      </c>
      <c r="O79" s="118">
        <v>0</v>
      </c>
      <c r="Q79" s="356"/>
      <c r="R79" s="356"/>
      <c r="S79" s="356"/>
    </row>
    <row r="80" spans="2:19" x14ac:dyDescent="0.3">
      <c r="C80" s="356" t="s">
        <v>957</v>
      </c>
      <c r="D80" s="356"/>
      <c r="E80" s="356"/>
      <c r="F80" s="356"/>
      <c r="G80" s="356"/>
      <c r="I80" s="225">
        <v>0</v>
      </c>
      <c r="J80" s="225">
        <v>0</v>
      </c>
      <c r="K80" s="45">
        <f t="shared" si="3"/>
        <v>0</v>
      </c>
      <c r="L80" s="45">
        <f t="shared" si="4"/>
        <v>0</v>
      </c>
      <c r="N80" s="118">
        <v>0</v>
      </c>
      <c r="O80" s="118">
        <v>0</v>
      </c>
      <c r="Q80" s="356"/>
      <c r="R80" s="356"/>
      <c r="S80" s="356"/>
    </row>
    <row r="81" spans="3:19" s="277" customFormat="1" x14ac:dyDescent="0.3">
      <c r="C81" s="356" t="s">
        <v>958</v>
      </c>
      <c r="D81" s="356"/>
      <c r="E81" s="356"/>
      <c r="F81" s="356"/>
      <c r="G81" s="356"/>
      <c r="I81" s="225">
        <v>0</v>
      </c>
      <c r="J81" s="225">
        <v>0</v>
      </c>
      <c r="K81" s="299">
        <f t="shared" si="3"/>
        <v>0</v>
      </c>
      <c r="L81" s="299">
        <f t="shared" si="4"/>
        <v>0</v>
      </c>
      <c r="N81" s="118">
        <v>0</v>
      </c>
      <c r="O81" s="118">
        <v>0</v>
      </c>
      <c r="Q81" s="385"/>
      <c r="R81" s="385"/>
      <c r="S81" s="385"/>
    </row>
    <row r="82" spans="3:19" s="277" customFormat="1" x14ac:dyDescent="0.3">
      <c r="C82" s="356" t="s">
        <v>959</v>
      </c>
      <c r="D82" s="356"/>
      <c r="E82" s="356"/>
      <c r="F82" s="356"/>
      <c r="G82" s="356"/>
      <c r="I82" s="225">
        <v>0</v>
      </c>
      <c r="J82" s="225">
        <v>0</v>
      </c>
      <c r="K82" s="299">
        <f t="shared" si="3"/>
        <v>0</v>
      </c>
      <c r="L82" s="299">
        <f t="shared" si="4"/>
        <v>0</v>
      </c>
      <c r="N82" s="118">
        <v>0</v>
      </c>
      <c r="O82" s="118">
        <v>0</v>
      </c>
      <c r="Q82" s="385"/>
      <c r="R82" s="385"/>
      <c r="S82" s="385"/>
    </row>
    <row r="83" spans="3:19" s="277" customFormat="1" x14ac:dyDescent="0.3">
      <c r="C83" s="356" t="s">
        <v>960</v>
      </c>
      <c r="D83" s="356"/>
      <c r="E83" s="356"/>
      <c r="F83" s="356"/>
      <c r="G83" s="356"/>
      <c r="I83" s="225">
        <v>0</v>
      </c>
      <c r="J83" s="225">
        <v>0</v>
      </c>
      <c r="K83" s="299">
        <f t="shared" si="3"/>
        <v>0</v>
      </c>
      <c r="L83" s="299">
        <f t="shared" si="4"/>
        <v>0</v>
      </c>
      <c r="N83" s="118">
        <v>0</v>
      </c>
      <c r="O83" s="118">
        <v>0</v>
      </c>
      <c r="Q83" s="385"/>
      <c r="R83" s="385"/>
      <c r="S83" s="385"/>
    </row>
    <row r="84" spans="3:19" s="277" customFormat="1" x14ac:dyDescent="0.3">
      <c r="C84" s="356" t="s">
        <v>961</v>
      </c>
      <c r="D84" s="356"/>
      <c r="E84" s="356"/>
      <c r="F84" s="356"/>
      <c r="G84" s="356"/>
      <c r="I84" s="225">
        <v>0</v>
      </c>
      <c r="J84" s="225">
        <v>0</v>
      </c>
      <c r="K84" s="299">
        <f t="shared" si="3"/>
        <v>0</v>
      </c>
      <c r="L84" s="299">
        <f t="shared" si="4"/>
        <v>0</v>
      </c>
      <c r="N84" s="118">
        <v>0</v>
      </c>
      <c r="O84" s="118">
        <v>0</v>
      </c>
      <c r="Q84" s="385"/>
      <c r="R84" s="385"/>
      <c r="S84" s="385"/>
    </row>
    <row r="85" spans="3:19" s="277" customFormat="1" x14ac:dyDescent="0.3">
      <c r="C85" s="356" t="s">
        <v>962</v>
      </c>
      <c r="D85" s="356"/>
      <c r="E85" s="356"/>
      <c r="F85" s="356"/>
      <c r="G85" s="356"/>
      <c r="I85" s="225">
        <v>0</v>
      </c>
      <c r="J85" s="225">
        <v>0</v>
      </c>
      <c r="K85" s="299">
        <f t="shared" si="3"/>
        <v>0</v>
      </c>
      <c r="L85" s="299">
        <f t="shared" si="4"/>
        <v>0</v>
      </c>
      <c r="N85" s="118">
        <v>0</v>
      </c>
      <c r="O85" s="118">
        <v>0</v>
      </c>
      <c r="Q85" s="385"/>
      <c r="R85" s="385"/>
      <c r="S85" s="385"/>
    </row>
    <row r="86" spans="3:19" s="277" customFormat="1" x14ac:dyDescent="0.3">
      <c r="C86" s="356" t="s">
        <v>963</v>
      </c>
      <c r="D86" s="356"/>
      <c r="E86" s="356"/>
      <c r="F86" s="356"/>
      <c r="G86" s="356"/>
      <c r="I86" s="225">
        <v>0</v>
      </c>
      <c r="J86" s="225">
        <v>0</v>
      </c>
      <c r="K86" s="299">
        <f t="shared" si="3"/>
        <v>0</v>
      </c>
      <c r="L86" s="299">
        <f t="shared" si="4"/>
        <v>0</v>
      </c>
      <c r="N86" s="118">
        <v>0</v>
      </c>
      <c r="O86" s="118">
        <v>0</v>
      </c>
      <c r="Q86" s="385"/>
      <c r="R86" s="385"/>
      <c r="S86" s="385"/>
    </row>
    <row r="87" spans="3:19" s="277" customFormat="1" x14ac:dyDescent="0.3">
      <c r="C87" s="356" t="s">
        <v>964</v>
      </c>
      <c r="D87" s="356"/>
      <c r="E87" s="356"/>
      <c r="F87" s="356"/>
      <c r="G87" s="356"/>
      <c r="I87" s="225">
        <v>0</v>
      </c>
      <c r="J87" s="225">
        <v>0</v>
      </c>
      <c r="K87" s="299">
        <f t="shared" si="3"/>
        <v>0</v>
      </c>
      <c r="L87" s="299">
        <f t="shared" si="4"/>
        <v>0</v>
      </c>
      <c r="N87" s="118">
        <v>0</v>
      </c>
      <c r="O87" s="118">
        <v>0</v>
      </c>
      <c r="Q87" s="385"/>
      <c r="R87" s="385"/>
      <c r="S87" s="385"/>
    </row>
    <row r="88" spans="3:19" s="277" customFormat="1" x14ac:dyDescent="0.3">
      <c r="C88" s="356" t="s">
        <v>965</v>
      </c>
      <c r="D88" s="356"/>
      <c r="E88" s="356"/>
      <c r="F88" s="356"/>
      <c r="G88" s="356"/>
      <c r="I88" s="225">
        <v>0</v>
      </c>
      <c r="J88" s="225">
        <v>0</v>
      </c>
      <c r="K88" s="299">
        <f t="shared" si="3"/>
        <v>0</v>
      </c>
      <c r="L88" s="299">
        <f t="shared" si="4"/>
        <v>0</v>
      </c>
      <c r="N88" s="118">
        <v>0</v>
      </c>
      <c r="O88" s="118">
        <v>0</v>
      </c>
      <c r="Q88" s="385"/>
      <c r="R88" s="385"/>
      <c r="S88" s="385"/>
    </row>
    <row r="89" spans="3:19" s="277" customFormat="1" x14ac:dyDescent="0.3">
      <c r="C89" s="356" t="s">
        <v>966</v>
      </c>
      <c r="D89" s="356"/>
      <c r="E89" s="356"/>
      <c r="F89" s="356"/>
      <c r="G89" s="356"/>
      <c r="I89" s="225">
        <v>0</v>
      </c>
      <c r="J89" s="225">
        <v>0</v>
      </c>
      <c r="K89" s="299">
        <f t="shared" si="3"/>
        <v>0</v>
      </c>
      <c r="L89" s="299">
        <f t="shared" si="4"/>
        <v>0</v>
      </c>
      <c r="N89" s="118">
        <v>0</v>
      </c>
      <c r="O89" s="118">
        <v>0</v>
      </c>
      <c r="Q89" s="385"/>
      <c r="R89" s="385"/>
      <c r="S89" s="385"/>
    </row>
    <row r="90" spans="3:19" s="277" customFormat="1" x14ac:dyDescent="0.3">
      <c r="C90" s="356" t="s">
        <v>967</v>
      </c>
      <c r="D90" s="356"/>
      <c r="E90" s="356"/>
      <c r="F90" s="356"/>
      <c r="G90" s="356"/>
      <c r="I90" s="225">
        <v>0</v>
      </c>
      <c r="J90" s="225">
        <v>0</v>
      </c>
      <c r="K90" s="299">
        <f t="shared" si="3"/>
        <v>0</v>
      </c>
      <c r="L90" s="299">
        <f t="shared" si="4"/>
        <v>0</v>
      </c>
      <c r="N90" s="118">
        <v>0</v>
      </c>
      <c r="O90" s="118">
        <v>0</v>
      </c>
      <c r="Q90" s="385"/>
      <c r="R90" s="385"/>
      <c r="S90" s="385"/>
    </row>
    <row r="91" spans="3:19" s="277" customFormat="1" x14ac:dyDescent="0.3">
      <c r="C91" s="356" t="s">
        <v>968</v>
      </c>
      <c r="D91" s="356"/>
      <c r="E91" s="356"/>
      <c r="F91" s="356"/>
      <c r="G91" s="356"/>
      <c r="I91" s="225">
        <v>0</v>
      </c>
      <c r="J91" s="225">
        <v>0</v>
      </c>
      <c r="K91" s="299">
        <f t="shared" si="3"/>
        <v>0</v>
      </c>
      <c r="L91" s="299">
        <f t="shared" si="4"/>
        <v>0</v>
      </c>
      <c r="N91" s="118">
        <v>0</v>
      </c>
      <c r="O91" s="118">
        <v>0</v>
      </c>
      <c r="Q91" s="385"/>
      <c r="R91" s="385"/>
      <c r="S91" s="385"/>
    </row>
    <row r="92" spans="3:19" s="277" customFormat="1" x14ac:dyDescent="0.3">
      <c r="C92" s="356" t="s">
        <v>969</v>
      </c>
      <c r="D92" s="356"/>
      <c r="E92" s="356"/>
      <c r="F92" s="356"/>
      <c r="G92" s="356"/>
      <c r="I92" s="225">
        <v>0</v>
      </c>
      <c r="J92" s="225">
        <v>0</v>
      </c>
      <c r="K92" s="299">
        <f t="shared" si="3"/>
        <v>0</v>
      </c>
      <c r="L92" s="299">
        <f t="shared" si="4"/>
        <v>0</v>
      </c>
      <c r="N92" s="118">
        <v>0</v>
      </c>
      <c r="O92" s="118">
        <v>0</v>
      </c>
      <c r="Q92" s="385"/>
      <c r="R92" s="385"/>
      <c r="S92" s="385"/>
    </row>
    <row r="93" spans="3:19" s="277" customFormat="1" x14ac:dyDescent="0.3">
      <c r="C93" s="356" t="s">
        <v>970</v>
      </c>
      <c r="D93" s="356"/>
      <c r="E93" s="356"/>
      <c r="F93" s="356"/>
      <c r="G93" s="356"/>
      <c r="I93" s="225">
        <v>0</v>
      </c>
      <c r="J93" s="225">
        <v>0</v>
      </c>
      <c r="K93" s="299">
        <f t="shared" si="3"/>
        <v>0</v>
      </c>
      <c r="L93" s="299">
        <f t="shared" si="4"/>
        <v>0</v>
      </c>
      <c r="N93" s="118">
        <v>0</v>
      </c>
      <c r="O93" s="118">
        <v>0</v>
      </c>
      <c r="Q93" s="385"/>
      <c r="R93" s="385"/>
      <c r="S93" s="385"/>
    </row>
    <row r="94" spans="3:19" ht="27.9" customHeight="1" x14ac:dyDescent="0.3">
      <c r="C94" s="412" t="s">
        <v>499</v>
      </c>
      <c r="D94" s="413"/>
      <c r="E94" s="413"/>
      <c r="F94" s="413"/>
      <c r="G94" s="413"/>
      <c r="I94" s="147">
        <f>SUM(I69:I93)</f>
        <v>0</v>
      </c>
      <c r="J94" s="147">
        <f>SUM(J69:J93)</f>
        <v>0</v>
      </c>
      <c r="K94" s="75">
        <f>SUM(K69:K93)</f>
        <v>0</v>
      </c>
      <c r="L94" s="75">
        <f>SUM(L69:L93)</f>
        <v>0</v>
      </c>
      <c r="N94" s="75">
        <f t="shared" ref="N94:O94" si="5">SUM(N69:N93)</f>
        <v>0</v>
      </c>
      <c r="O94" s="75">
        <f t="shared" si="5"/>
        <v>0</v>
      </c>
    </row>
    <row r="95" spans="3:19" x14ac:dyDescent="0.3">
      <c r="K95" s="146" t="str">
        <f>HL_Vacc_Applied_Currency</f>
        <v>GOZ</v>
      </c>
      <c r="L95" s="146" t="str">
        <f>HL_Vacc_Applied_Currency</f>
        <v>GOZ</v>
      </c>
      <c r="N95" s="146" t="str">
        <f>HL_Vacc_Applied_Currency</f>
        <v>GOZ</v>
      </c>
      <c r="O95" s="146" t="str">
        <f>HL_Vacc_Applied_Currency</f>
        <v>GOZ</v>
      </c>
    </row>
    <row r="96" spans="3:19" x14ac:dyDescent="0.3">
      <c r="C96" s="91" t="s">
        <v>508</v>
      </c>
      <c r="K96" s="221">
        <f>I54*I94</f>
        <v>0</v>
      </c>
      <c r="L96" s="221">
        <f>I54*J94</f>
        <v>0</v>
      </c>
      <c r="N96" s="329">
        <f>IFERROR(N94/HL_Vacc_TOT_REQ_RETRO, 0)</f>
        <v>0</v>
      </c>
      <c r="O96" s="329">
        <f>IFERROR(O94/HL_Vacc_TOT_REQ_RETRO, 0)</f>
        <v>0</v>
      </c>
    </row>
    <row r="97" spans="2:18" x14ac:dyDescent="0.3">
      <c r="C97" s="266" t="s">
        <v>498</v>
      </c>
      <c r="K97" s="267"/>
      <c r="L97" s="267"/>
      <c r="N97" s="268"/>
      <c r="O97" s="269"/>
    </row>
    <row r="98" spans="2:18" x14ac:dyDescent="0.3">
      <c r="C98" s="266" t="s">
        <v>555</v>
      </c>
      <c r="K98" s="262">
        <f>K97*HL_Vacc_NET_PROC_REQ_RETRO</f>
        <v>0</v>
      </c>
      <c r="L98" s="262">
        <f>L97*HL_Vacc_NET_PROC_REQ_RETRO</f>
        <v>0</v>
      </c>
      <c r="N98" s="262">
        <f>N97*HL_Vacc_NET_PROC_REQ_RETRO</f>
        <v>0</v>
      </c>
      <c r="O98" s="262">
        <f>O97*HL_Vacc_NET_PROC_REQ_RETRO</f>
        <v>0</v>
      </c>
    </row>
    <row r="99" spans="2:18" ht="18" x14ac:dyDescent="0.3">
      <c r="B99" s="155" t="str">
        <f>"Vaccine Procurement and Shipment to Field HQ (Using "&amp;HL_Vacc_Sel_Pros_Retro&amp;" Costing) "</f>
        <v xml:space="preserve">Vaccine Procurement and Shipment to Field HQ (Using Retrospective Costing) </v>
      </c>
    </row>
    <row r="100" spans="2:18" ht="27.6" x14ac:dyDescent="0.3">
      <c r="I100" s="227" t="str">
        <f>"FINANCIAL COST ("&amp;HL_Vacc_Applied_Currency&amp;")"</f>
        <v>FINANCIAL COST (GOZ)</v>
      </c>
      <c r="J100" s="227" t="str">
        <f>"ECONOMIC COST ("&amp;HL_Vacc_Applied_Currency&amp;")"</f>
        <v>ECONOMIC COST (GOZ)</v>
      </c>
      <c r="N100" s="227" t="str">
        <f>"FINANCIAL COST ("&amp;Vacc_LU!$D$18&amp;")"</f>
        <v>FINANCIAL COST (USD)</v>
      </c>
      <c r="O100" s="227" t="str">
        <f>"ECONOMIC COST ("&amp;Vacc_LU!$D$18&amp;")"</f>
        <v>ECONOMIC COST (USD)</v>
      </c>
      <c r="Q100" s="227" t="str">
        <f>"FINANCIAL COST ("&amp;Vacc_LU!$D$19&amp;")"</f>
        <v>FINANCIAL COST (GOZ)</v>
      </c>
      <c r="R100" s="227" t="str">
        <f>"ECONOMIC COST ("&amp;Vacc_LU!$D$19&amp;")"</f>
        <v>ECONOMIC COST (GOZ)</v>
      </c>
    </row>
    <row r="101" spans="2:18" ht="15.6" x14ac:dyDescent="0.3">
      <c r="C101" s="141" t="str">
        <f>"USING "&amp;HL_Vacc_Sel_Pros_Retro&amp; " COSTING"</f>
        <v>USING Retrospective COSTING</v>
      </c>
      <c r="I101" s="146" t="str">
        <f>HL_Vacc_Applied_Currency</f>
        <v>GOZ</v>
      </c>
      <c r="J101" s="146" t="str">
        <f>HL_Vacc_Applied_Currency</f>
        <v>GOZ</v>
      </c>
      <c r="K101" s="91" t="s">
        <v>583</v>
      </c>
    </row>
    <row r="103" spans="2:18" x14ac:dyDescent="0.3">
      <c r="C103" s="89" t="str">
        <f>C64</f>
        <v>Vaccine Cost (pre-clearance)</v>
      </c>
      <c r="I103" s="45">
        <f>IF(HL_Vacc_Sel_Pros_Retro=Vacc_LU!$D$12,I64,N64)</f>
        <v>0</v>
      </c>
      <c r="J103" s="45">
        <f>IF(HL_Vacc_Sel_Pros_Retro=Vacc_LU!$D$12,J64,O64)</f>
        <v>0</v>
      </c>
      <c r="N103" s="327">
        <f>IFERROR(IF(HL_Vacc_Applied_Currency=Vacc_LU!$D$18,I103,I103/$I$112), 0)</f>
        <v>0</v>
      </c>
      <c r="O103" s="327">
        <f>IFERROR(IF(HL_Vacc_Applied_Currency=Vacc_LU!$D$18,J103,J103/$I$112), 0)</f>
        <v>0</v>
      </c>
      <c r="Q103" s="156">
        <f>IF(HL_Vacc_Applied_Currency=Vacc_LU!$D$18,I103*$I$112,I103)</f>
        <v>0</v>
      </c>
      <c r="R103" s="156">
        <f>IF(HL_Vacc_Applied_Currency=Vacc_LU!$D$18,J103*$I$112,J103)</f>
        <v>0</v>
      </c>
    </row>
    <row r="104" spans="2:18" x14ac:dyDescent="0.3">
      <c r="C104" s="89" t="str">
        <f>C97</f>
        <v>Applied Add-on Charges (User-entered)</v>
      </c>
      <c r="I104" s="45">
        <f>N98</f>
        <v>0</v>
      </c>
      <c r="J104" s="45">
        <f>O98</f>
        <v>0</v>
      </c>
      <c r="N104" s="327">
        <f>IFERROR(IF(HL_Vacc_Applied_Currency=Vacc_LU!$D$18,I104,I104/$I$112), 0)</f>
        <v>0</v>
      </c>
      <c r="O104" s="327">
        <f>IFERROR(IF(HL_Vacc_Applied_Currency=Vacc_LU!$D$18,J104,J104/$I$112), 0)</f>
        <v>0</v>
      </c>
      <c r="Q104" s="156">
        <f>IF(HL_Vacc_Applied_Currency=Vacc_LU!$D$18,I104*$I$112,I104)</f>
        <v>0</v>
      </c>
      <c r="R104" s="156">
        <f>IF(HL_Vacc_Applied_Currency=Vacc_LU!$D$18,J104*$I$112,J104)</f>
        <v>0</v>
      </c>
    </row>
    <row r="105" spans="2:18" ht="14.4" thickBot="1" x14ac:dyDescent="0.35">
      <c r="C105" s="160" t="str">
        <f>"Total Vaccine Cost ("&amp;HL_Vacc_Sel_Pros_Retro&amp;")"</f>
        <v>Total Vaccine Cost (Retrospective)</v>
      </c>
      <c r="I105" s="46">
        <f>I103+I104</f>
        <v>0</v>
      </c>
      <c r="J105" s="46">
        <f>J103+J104</f>
        <v>0</v>
      </c>
      <c r="M105" s="161"/>
      <c r="N105" s="328">
        <f>IFERROR(IF(HL_Vacc_Applied_Currency=Vacc_LU!$D$18,I105,I105/$I$112), 0)</f>
        <v>0</v>
      </c>
      <c r="O105" s="328">
        <f>IFERROR(IF(HL_Vacc_Applied_Currency=Vacc_LU!$D$18,J105,J105/$I$112), 0)</f>
        <v>0</v>
      </c>
      <c r="Q105" s="46">
        <f>IF(HL_Vacc_Applied_Currency=Vacc_LU!$D$18,I105*$I$112,I105)</f>
        <v>0</v>
      </c>
      <c r="R105" s="46">
        <f>IF(HL_Vacc_Applied_Currency=Vacc_LU!$D$18,J105*$I$112,J105)</f>
        <v>0</v>
      </c>
    </row>
    <row r="106" spans="2:18" ht="16.2" thickTop="1" x14ac:dyDescent="0.3">
      <c r="C106" s="92" t="s">
        <v>501</v>
      </c>
      <c r="I106" s="157" t="str">
        <f>IF(I103+I104=I105,"OK","ERROR!")</f>
        <v>OK</v>
      </c>
      <c r="J106" s="157" t="str">
        <f>IF(J103+J104=J105,"OK","ERROR!")</f>
        <v>OK</v>
      </c>
      <c r="N106" s="157" t="str">
        <f>IF(N103+N104=N105,"OK","ERROR!")</f>
        <v>OK</v>
      </c>
      <c r="O106" s="157" t="str">
        <f>IF(O103+O104=O105,"OK","ERROR!")</f>
        <v>OK</v>
      </c>
      <c r="Q106" s="157" t="str">
        <f>IF(Q103+Q104=Q105,"OK","ERROR!")</f>
        <v>OK</v>
      </c>
      <c r="R106" s="157" t="str">
        <f>IF(R103+R104=R105,"OK","ERROR!")</f>
        <v>OK</v>
      </c>
    </row>
    <row r="109" spans="2:18" x14ac:dyDescent="0.3">
      <c r="C109" s="91" t="s">
        <v>584</v>
      </c>
    </row>
    <row r="110" spans="2:18" hidden="1" outlineLevel="1" x14ac:dyDescent="0.3"/>
    <row r="111" spans="2:18" hidden="1" outlineLevel="1" x14ac:dyDescent="0.3">
      <c r="D111" s="365" t="str">
        <f>CURR_TA!D13</f>
        <v>USD</v>
      </c>
      <c r="E111" s="366"/>
      <c r="F111" s="366"/>
      <c r="G111" s="366"/>
      <c r="I111" s="40">
        <f>CURR_TA!J13</f>
        <v>1</v>
      </c>
      <c r="J111" s="40">
        <f>CURR_TA!K13</f>
        <v>0</v>
      </c>
      <c r="K111" s="40">
        <f>CURR_TA!L13</f>
        <v>0</v>
      </c>
      <c r="L111" s="40">
        <f>CURR_TA!M13</f>
        <v>0</v>
      </c>
    </row>
    <row r="112" spans="2:18" hidden="1" outlineLevel="1" x14ac:dyDescent="0.3">
      <c r="D112" s="365" t="str">
        <f>CURR_TA!D14</f>
        <v>GOZ</v>
      </c>
      <c r="E112" s="366"/>
      <c r="F112" s="366"/>
      <c r="G112" s="366"/>
      <c r="I112" s="40">
        <f>CURR_TA!J14</f>
        <v>0</v>
      </c>
      <c r="J112" s="40">
        <f>CURR_TA!K14</f>
        <v>0</v>
      </c>
      <c r="K112" s="40">
        <f>CURR_TA!L14</f>
        <v>0</v>
      </c>
      <c r="L112" s="40">
        <f>CURR_TA!M14</f>
        <v>0</v>
      </c>
    </row>
    <row r="113" collapsed="1" x14ac:dyDescent="0.3"/>
  </sheetData>
  <sheetProtection algorithmName="SHA-512" hashValue="bng/rLIJnZjdXkX9fm+isFBrwrBj8fqG7QXwelvnQ/ZeefwNg0PK7TC2sB7/VXp/v45jYuof2+HFMjGyGChYmg==" saltValue="HlXVXr0kFRHN0vfBtOnzPg==" spinCount="100000" sheet="1" objects="1" scenarios="1" formatColumns="0" formatRows="0"/>
  <mergeCells count="60">
    <mergeCell ref="C93:G93"/>
    <mergeCell ref="Q93:S93"/>
    <mergeCell ref="C91:G91"/>
    <mergeCell ref="C92:G92"/>
    <mergeCell ref="Q81:S81"/>
    <mergeCell ref="Q82:S82"/>
    <mergeCell ref="Q83:S83"/>
    <mergeCell ref="Q84:S84"/>
    <mergeCell ref="Q85:S85"/>
    <mergeCell ref="Q86:S86"/>
    <mergeCell ref="Q87:S87"/>
    <mergeCell ref="Q88:S88"/>
    <mergeCell ref="Q89:S89"/>
    <mergeCell ref="Q90:S90"/>
    <mergeCell ref="Q91:S91"/>
    <mergeCell ref="Q92:S92"/>
    <mergeCell ref="C86:G86"/>
    <mergeCell ref="C87:G87"/>
    <mergeCell ref="C88:G88"/>
    <mergeCell ref="C89:G89"/>
    <mergeCell ref="C90:G90"/>
    <mergeCell ref="C81:G81"/>
    <mergeCell ref="C82:G82"/>
    <mergeCell ref="C83:G83"/>
    <mergeCell ref="C84:G84"/>
    <mergeCell ref="C85:G85"/>
    <mergeCell ref="C80:G80"/>
    <mergeCell ref="Q69:S69"/>
    <mergeCell ref="Q70:S70"/>
    <mergeCell ref="Q71:S71"/>
    <mergeCell ref="Q72:S72"/>
    <mergeCell ref="Q73:S73"/>
    <mergeCell ref="Q79:S79"/>
    <mergeCell ref="Q80:S80"/>
    <mergeCell ref="Q74:S74"/>
    <mergeCell ref="Q75:S75"/>
    <mergeCell ref="Q76:S76"/>
    <mergeCell ref="Q77:S77"/>
    <mergeCell ref="Q78:S78"/>
    <mergeCell ref="B3:F3"/>
    <mergeCell ref="C71:G71"/>
    <mergeCell ref="C72:G72"/>
    <mergeCell ref="C73:G73"/>
    <mergeCell ref="C75:G75"/>
    <mergeCell ref="M8:P8"/>
    <mergeCell ref="K67:L67"/>
    <mergeCell ref="D111:G111"/>
    <mergeCell ref="D112:G112"/>
    <mergeCell ref="C74:G74"/>
    <mergeCell ref="C94:G94"/>
    <mergeCell ref="C76:G76"/>
    <mergeCell ref="C77:G77"/>
    <mergeCell ref="C69:G69"/>
    <mergeCell ref="C70:G70"/>
    <mergeCell ref="C78:G78"/>
    <mergeCell ref="C79:G79"/>
    <mergeCell ref="N9:P9"/>
    <mergeCell ref="C10:G10"/>
    <mergeCell ref="I9:K9"/>
    <mergeCell ref="H8:K8"/>
  </mergeCells>
  <dataValidations count="2">
    <dataValidation type="list" allowBlank="1" showInputMessage="1" showErrorMessage="1" sqref="L5" xr:uid="{00000000-0002-0000-0A00-000000000000}">
      <formula1>LU_Vacc_PROS_RETRO</formula1>
    </dataValidation>
    <dataValidation type="list" allowBlank="1" showInputMessage="1" showErrorMessage="1" sqref="K49" xr:uid="{00000000-0002-0000-0A00-000001000000}">
      <formula1>LU_Vacc_Currency</formula1>
    </dataValidation>
  </dataValidations>
  <hyperlinks>
    <hyperlink ref="A4" location="$B$5" tooltip="Go to Top of Sheet" display="$B$5" xr:uid="{00000000-0004-0000-0A00-000000000000}"/>
    <hyperlink ref="C4" location="HL_Sheet_Main_10" tooltip="Go to Next Sheet" display="HL_Sheet_Main_10" xr:uid="{00000000-0004-0000-0A00-000001000000}"/>
    <hyperlink ref="B4" location="HL_Sheet_Main_3" tooltip="Go to Previous Sheet" display="HL_Sheet_Main_3" xr:uid="{00000000-0004-0000-0A00-000002000000}"/>
    <hyperlink ref="B3" location="HL_Home" tooltip="Go to Table of Contents" display="HL_Home" xr:uid="{00000000-0004-0000-0A00-000003000000}"/>
    <hyperlink ref="D4" location="HL_Err_Chk" tooltip="Go to Error Checks" display="HL_Err_Chk" xr:uid="{00000000-0004-0000-0A00-000004000000}"/>
    <hyperlink ref="F4" location="HL_Alt_Chk" tooltip="Go to Alert Checks" display="HL_Alt_Chk" xr:uid="{00000000-0004-0000-0A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9">
    <pageSetUpPr autoPageBreaks="0"/>
  </sheetPr>
  <dimension ref="A1:K29"/>
  <sheetViews>
    <sheetView showGridLines="0" zoomScaleNormal="100" workbookViewId="0">
      <pane xSplit="1" ySplit="11" topLeftCell="B18" activePane="bottomRight" state="frozen"/>
      <selection activeCell="H63" sqref="H63:P63"/>
      <selection pane="topRight" activeCell="H63" sqref="H63:P63"/>
      <selection pane="bottomLeft" activeCell="H63" sqref="H63:P63"/>
      <selection pane="bottomRight" activeCell="H63" sqref="H63:P63"/>
    </sheetView>
  </sheetViews>
  <sheetFormatPr defaultColWidth="11.6640625" defaultRowHeight="13.8" outlineLevelRow="2" x14ac:dyDescent="0.3"/>
  <cols>
    <col min="1" max="5" width="3.6640625" style="22" customWidth="1"/>
    <col min="6" max="16384" width="11.6640625" style="22"/>
  </cols>
  <sheetData>
    <row r="1" spans="1:11" ht="23.4" x14ac:dyDescent="0.3">
      <c r="B1" s="24" t="s">
        <v>399</v>
      </c>
    </row>
    <row r="2" spans="1:11" ht="18" x14ac:dyDescent="0.3">
      <c r="B2" s="23" t="str">
        <f>Model_Name</f>
        <v>Oral Cholera Vaccine Activity-Based Costing</v>
      </c>
    </row>
    <row r="3" spans="1:11" x14ac:dyDescent="0.3">
      <c r="B3" s="349" t="s">
        <v>2</v>
      </c>
      <c r="C3" s="349"/>
      <c r="D3" s="349"/>
      <c r="E3" s="349"/>
      <c r="F3" s="349"/>
    </row>
    <row r="4" spans="1:11" x14ac:dyDescent="0.3">
      <c r="A4" s="25" t="s">
        <v>5</v>
      </c>
      <c r="B4" s="26" t="s">
        <v>10</v>
      </c>
      <c r="C4" s="27" t="s">
        <v>11</v>
      </c>
      <c r="D4" s="28" t="s">
        <v>25</v>
      </c>
      <c r="F4" s="29" t="s">
        <v>26</v>
      </c>
    </row>
    <row r="7" spans="1:11" x14ac:dyDescent="0.3">
      <c r="B7" s="63" t="str">
        <f>"Year Ending "&amp;INDEX(LU_TS_Mth_Names,DD_TS_Fin_Yr_End_Mth)</f>
        <v>Year Ending December</v>
      </c>
      <c r="C7" s="64"/>
      <c r="D7" s="64"/>
      <c r="E7" s="64"/>
      <c r="F7" s="64"/>
      <c r="G7" s="64"/>
      <c r="H7" s="64"/>
      <c r="I7" s="64"/>
      <c r="J7" s="64"/>
      <c r="K7" s="65">
        <f>K11</f>
        <v>2020</v>
      </c>
    </row>
    <row r="8" spans="1:11" hidden="1" outlineLevel="2" x14ac:dyDescent="0.3">
      <c r="B8" s="91" t="s">
        <v>98</v>
      </c>
      <c r="K8" s="62">
        <f>EDATE(TS_Start_Date,(K10-1)*TS_Mths_In_Yr)</f>
        <v>43831</v>
      </c>
    </row>
    <row r="9" spans="1:11" hidden="1" outlineLevel="2" x14ac:dyDescent="0.3">
      <c r="B9" s="91" t="s">
        <v>99</v>
      </c>
      <c r="K9" s="62">
        <f>EDATE(K8,TS_Mths_In_Yr)-1</f>
        <v>44196</v>
      </c>
    </row>
    <row r="10" spans="1:11" hidden="1" outlineLevel="2" x14ac:dyDescent="0.3">
      <c r="B10" s="91" t="s">
        <v>100</v>
      </c>
      <c r="K10" s="45">
        <f>COLUMNS($K10:K10)</f>
        <v>1</v>
      </c>
    </row>
    <row r="11" spans="1:11" hidden="1" outlineLevel="2" x14ac:dyDescent="0.3">
      <c r="B11" s="66" t="s">
        <v>101</v>
      </c>
      <c r="C11" s="64"/>
      <c r="D11" s="64"/>
      <c r="E11" s="64"/>
      <c r="F11" s="64"/>
      <c r="G11" s="64"/>
      <c r="H11" s="64"/>
      <c r="I11" s="64"/>
      <c r="J11" s="64"/>
      <c r="K11" s="67">
        <f>YEAR(K9)</f>
        <v>2020</v>
      </c>
    </row>
    <row r="12" spans="1:11" collapsed="1" x14ac:dyDescent="0.3"/>
    <row r="14" spans="1:11" ht="18" x14ac:dyDescent="0.3">
      <c r="B14" s="99" t="s">
        <v>399</v>
      </c>
    </row>
    <row r="18" spans="3:10" x14ac:dyDescent="0.3">
      <c r="F18" s="91" t="s">
        <v>46</v>
      </c>
    </row>
    <row r="27" spans="3:10" x14ac:dyDescent="0.3">
      <c r="C27" s="349" t="str">
        <f>"Go to "&amp;HL_Vacc_Ass</f>
        <v>Go to Vaccine - Assumptions</v>
      </c>
      <c r="D27" s="331"/>
      <c r="E27" s="331"/>
      <c r="F27" s="331"/>
      <c r="G27" s="331"/>
      <c r="H27" s="331"/>
      <c r="I27" s="331"/>
      <c r="J27" s="331"/>
    </row>
    <row r="28" spans="3:10" x14ac:dyDescent="0.3">
      <c r="C28" s="349" t="str">
        <f>"Go to "&amp;HL_Vacc_Out</f>
        <v>Go to Vaccine Procurement and Shipment</v>
      </c>
      <c r="D28" s="331"/>
      <c r="E28" s="331"/>
      <c r="F28" s="331"/>
      <c r="G28" s="331"/>
      <c r="H28" s="331"/>
      <c r="I28" s="331"/>
      <c r="J28" s="331"/>
    </row>
    <row r="29" spans="3:10" x14ac:dyDescent="0.3">
      <c r="C29" s="349" t="str">
        <f>"Go to "&amp;HL_Vacc_Out_A</f>
        <v>Go to Vaccine - Outputs</v>
      </c>
      <c r="D29" s="331"/>
      <c r="E29" s="331"/>
      <c r="F29" s="331"/>
      <c r="G29" s="331"/>
      <c r="H29" s="331"/>
      <c r="I29" s="331"/>
      <c r="J29" s="331"/>
    </row>
  </sheetData>
  <sheetProtection algorithmName="SHA-512" hashValue="fMSQd8TZigWboE9xrw+F4ax8FZYubL0Ub4rb5eK8zjmOcY0lJMjajG8noMLZiI/6nxNV+4VF+dGhcosV1VETCQ==" saltValue="7sdmR+Lqez/bE0htqK9JCA==" spinCount="100000" sheet="1" objects="1" scenarios="1" formatColumns="0" formatRows="0"/>
  <mergeCells count="4">
    <mergeCell ref="C27:J27"/>
    <mergeCell ref="C28:J28"/>
    <mergeCell ref="C29:J29"/>
    <mergeCell ref="B3:F3"/>
  </mergeCells>
  <hyperlinks>
    <hyperlink ref="C27:I27" location="HL_Vacc_Ass" tooltip="Click to follow hyperlink." display="HL_Vacc_Ass" xr:uid="{00000000-0004-0000-0B00-000000000000}"/>
    <hyperlink ref="C28:I28" location="HL_Vacc_Out" tooltip="Click to follow hyperlink." display="HL_Vacc_Out" xr:uid="{00000000-0004-0000-0B00-000001000000}"/>
    <hyperlink ref="C29:I29" location="HL_Vacc_Out_A" tooltip="Click to follow hyperlink." display="HL_Vacc_Out_A" xr:uid="{00000000-0004-0000-0B00-000002000000}"/>
    <hyperlink ref="A4" location="$B$12" tooltip="Go to Top of Sheet" display="$B$12" xr:uid="{00000000-0004-0000-0B00-000003000000}"/>
    <hyperlink ref="C27:J27" location="HL_Vacc_Ass" tooltip="Click to follow hyperlink." display="HL_Vacc_Ass" xr:uid="{00000000-0004-0000-0B00-000004000000}"/>
    <hyperlink ref="C28:J28" location="HL_Vacc_Out" tooltip="Click to follow hyperlink." display="HL_Vacc_Out" xr:uid="{00000000-0004-0000-0B00-000005000000}"/>
    <hyperlink ref="C29:J29" location="HL_Vacc_Out_A" tooltip="Click to follow hyperlink." display="HL_Vacc_Out_A" xr:uid="{00000000-0004-0000-0B00-000006000000}"/>
    <hyperlink ref="C4" location="HL_Sheet_Main_10" tooltip="Go to Next Sheet" display="HL_Sheet_Main_10" xr:uid="{00000000-0004-0000-0B00-000007000000}"/>
    <hyperlink ref="B4" location="HL_Sheet_Main_49" tooltip="Go to Previous Sheet" display="HL_Sheet_Main_49" xr:uid="{00000000-0004-0000-0B00-000008000000}"/>
    <hyperlink ref="B3" location="HL_Home" tooltip="Go to Table of Contents" display="HL_Home" xr:uid="{00000000-0004-0000-0B00-000009000000}"/>
    <hyperlink ref="D4" location="HL_Err_Chk" tooltip="Go to Error Checks" display="HL_Err_Chk" xr:uid="{00000000-0004-0000-0B00-00000A000000}"/>
    <hyperlink ref="F4" location="HL_Alt_Chk" tooltip="Go to Alert Checks" display="HL_Alt_Chk" xr:uid="{00000000-0004-0000-0B00-00000B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autoPageBreaks="0"/>
  </sheetPr>
  <dimension ref="A1:X704"/>
  <sheetViews>
    <sheetView showGridLines="0" zoomScaleNormal="100" workbookViewId="0">
      <pane xSplit="1" ySplit="4" topLeftCell="B154" activePane="bottomRight" state="frozen"/>
      <selection pane="topRight" activeCell="B1" sqref="B1"/>
      <selection pane="bottomLeft" activeCell="A5" sqref="A5"/>
      <selection pane="bottomRight" activeCell="K356" sqref="K356"/>
    </sheetView>
  </sheetViews>
  <sheetFormatPr defaultColWidth="11.6640625" defaultRowHeight="13.8" outlineLevelRow="1" x14ac:dyDescent="0.3"/>
  <cols>
    <col min="1" max="5" width="3.6640625" style="22" customWidth="1"/>
    <col min="6" max="7" width="11.6640625" style="22"/>
    <col min="8" max="8" width="3.44140625" style="22" customWidth="1"/>
    <col min="9" max="9" width="11.6640625" style="22"/>
    <col min="10" max="10" width="2.33203125" style="22" customWidth="1"/>
    <col min="11" max="11" width="11.6640625" style="22"/>
    <col min="12" max="12" width="2.5546875" style="22" customWidth="1"/>
    <col min="13" max="13" width="11.6640625" style="22"/>
    <col min="14" max="14" width="2.88671875" style="22" customWidth="1"/>
    <col min="15" max="15" width="11.6640625" style="22"/>
    <col min="16" max="16" width="2.33203125" style="22" customWidth="1"/>
    <col min="17" max="17" width="11.6640625" style="22"/>
    <col min="18" max="18" width="2.44140625" style="22" customWidth="1"/>
    <col min="19" max="19" width="11.6640625" style="22"/>
    <col min="20" max="20" width="2.44140625" style="22" customWidth="1"/>
    <col min="21" max="16384" width="11.6640625" style="22"/>
  </cols>
  <sheetData>
    <row r="1" spans="1:24" ht="23.4" x14ac:dyDescent="0.3">
      <c r="B1" s="24" t="s">
        <v>361</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row>
    <row r="7" spans="1:24" ht="18" x14ac:dyDescent="0.3">
      <c r="B7" s="31" t="str">
        <f>I8</f>
        <v>Microplanning Activity #1 [not in use]</v>
      </c>
    </row>
    <row r="8" spans="1:24" x14ac:dyDescent="0.3">
      <c r="G8" s="41" t="s">
        <v>119</v>
      </c>
      <c r="I8" s="356" t="s">
        <v>829</v>
      </c>
      <c r="J8" s="356"/>
      <c r="K8" s="356"/>
      <c r="L8" s="356"/>
      <c r="M8" s="356"/>
    </row>
    <row r="9" spans="1:24" ht="10.5" customHeight="1" x14ac:dyDescent="0.3">
      <c r="G9" s="41" t="s">
        <v>76</v>
      </c>
      <c r="I9" s="32">
        <v>2</v>
      </c>
    </row>
    <row r="10" spans="1:24" ht="15.6" x14ac:dyDescent="0.3">
      <c r="C10" s="92" t="s">
        <v>77</v>
      </c>
      <c r="M10" s="40" t="str">
        <f>IF(DD_ACT_Meet1_Curr=1,$D$165,$D$166)</f>
        <v>GOZ</v>
      </c>
      <c r="O10" s="40" t="str">
        <f>IF(DD_ACT_Meet1_Curr=1,$D$165,$D$166)</f>
        <v>GOZ</v>
      </c>
      <c r="Q10" s="40" t="str">
        <f>IF(DD_ACT_Meet1_Curr=1,$D$165,$D$166)</f>
        <v>GOZ</v>
      </c>
      <c r="S10" s="40" t="str">
        <f>IF(DD_ACT_Meet1_Curr=1,$D$165,$D$166)</f>
        <v>GOZ</v>
      </c>
    </row>
    <row r="11" spans="1:24" ht="27.6" x14ac:dyDescent="0.3">
      <c r="D11" s="90" t="s">
        <v>77</v>
      </c>
      <c r="I11" s="88" t="s">
        <v>80</v>
      </c>
      <c r="K11" s="91" t="s">
        <v>432</v>
      </c>
      <c r="M11" s="42" t="s">
        <v>103</v>
      </c>
      <c r="O11" s="42" t="s">
        <v>104</v>
      </c>
      <c r="Q11" s="42" t="s">
        <v>105</v>
      </c>
      <c r="S11" s="42" t="s">
        <v>106</v>
      </c>
      <c r="U11" s="350" t="s">
        <v>185</v>
      </c>
      <c r="V11" s="351"/>
      <c r="W11" s="351"/>
      <c r="X11" s="351"/>
    </row>
    <row r="12" spans="1:24" x14ac:dyDescent="0.3">
      <c r="D12" s="356" t="s">
        <v>188</v>
      </c>
      <c r="E12" s="356"/>
      <c r="F12" s="356"/>
      <c r="G12" s="356"/>
      <c r="I12" s="48">
        <v>0</v>
      </c>
      <c r="K12" s="48">
        <v>0</v>
      </c>
      <c r="M12" s="40">
        <f t="shared" ref="M12:M36" si="0">IFERROR(IF(DD_ACT_Meet1_Curr=1,INDEX($M$171:$M$205,MATCH(D12,LU_ACT_Pers_Res,0)),INDEX($Q$171:$Q$205,MATCH(D12,LU_ACT_Pers_Res,0))),0)</f>
        <v>0</v>
      </c>
      <c r="O12" s="40">
        <f t="shared" ref="O12:O36" si="1">IFERROR(IF(DD_ACT_Meet1_Curr=1,INDEX($O$171:$O$205,MATCH(D12,LU_ACT_Pers_Res,0)),INDEX($S$171:$S$205,MATCH(D12,LU_ACT_Pers_Res,0))),0)</f>
        <v>0</v>
      </c>
      <c r="Q12" s="293">
        <f t="shared" ref="Q12:Q36" si="2">I12*K12*M12</f>
        <v>0</v>
      </c>
      <c r="S12" s="293">
        <f t="shared" ref="S12:S36" si="3">I12*K12*O12</f>
        <v>0</v>
      </c>
      <c r="U12" s="356"/>
      <c r="V12" s="356"/>
      <c r="W12" s="356"/>
      <c r="X12" s="356"/>
    </row>
    <row r="13" spans="1:24" x14ac:dyDescent="0.3">
      <c r="D13" s="356" t="s">
        <v>189</v>
      </c>
      <c r="E13" s="356"/>
      <c r="F13" s="356"/>
      <c r="G13" s="356"/>
      <c r="I13" s="48">
        <v>0</v>
      </c>
      <c r="K13" s="48">
        <v>0</v>
      </c>
      <c r="M13" s="40">
        <f t="shared" si="0"/>
        <v>0</v>
      </c>
      <c r="O13" s="40">
        <f t="shared" si="1"/>
        <v>0</v>
      </c>
      <c r="Q13" s="293">
        <f t="shared" si="2"/>
        <v>0</v>
      </c>
      <c r="S13" s="293">
        <f t="shared" si="3"/>
        <v>0</v>
      </c>
      <c r="U13" s="424"/>
      <c r="V13" s="356"/>
      <c r="W13" s="356"/>
      <c r="X13" s="356"/>
    </row>
    <row r="14" spans="1:24" x14ac:dyDescent="0.3">
      <c r="D14" s="356" t="s">
        <v>190</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191</v>
      </c>
      <c r="E15" s="356"/>
      <c r="F15" s="356"/>
      <c r="G15" s="356"/>
      <c r="I15" s="48">
        <v>0</v>
      </c>
      <c r="K15" s="48">
        <v>0</v>
      </c>
      <c r="M15" s="40">
        <f t="shared" si="0"/>
        <v>0</v>
      </c>
      <c r="O15" s="40">
        <f t="shared" si="1"/>
        <v>0</v>
      </c>
      <c r="Q15" s="293">
        <f t="shared" si="2"/>
        <v>0</v>
      </c>
      <c r="S15" s="293">
        <f t="shared" si="3"/>
        <v>0</v>
      </c>
      <c r="U15" s="356"/>
      <c r="V15" s="356"/>
      <c r="W15" s="356"/>
      <c r="X15" s="356"/>
    </row>
    <row r="16" spans="1:24" x14ac:dyDescent="0.3">
      <c r="D16" s="356" t="s">
        <v>192</v>
      </c>
      <c r="E16" s="356"/>
      <c r="F16" s="356"/>
      <c r="G16" s="356"/>
      <c r="I16" s="48">
        <v>0</v>
      </c>
      <c r="K16" s="48">
        <v>0</v>
      </c>
      <c r="M16" s="40">
        <f t="shared" si="0"/>
        <v>0</v>
      </c>
      <c r="O16" s="40">
        <f t="shared" si="1"/>
        <v>0</v>
      </c>
      <c r="Q16" s="293">
        <f t="shared" si="2"/>
        <v>0</v>
      </c>
      <c r="S16" s="293">
        <f t="shared" si="3"/>
        <v>0</v>
      </c>
      <c r="U16" s="356"/>
      <c r="V16" s="356"/>
      <c r="W16" s="356"/>
      <c r="X16" s="356"/>
    </row>
    <row r="17" spans="4:24" x14ac:dyDescent="0.3">
      <c r="D17" s="356" t="s">
        <v>193</v>
      </c>
      <c r="E17" s="356"/>
      <c r="F17" s="356"/>
      <c r="G17" s="356"/>
      <c r="I17" s="48">
        <v>0</v>
      </c>
      <c r="K17" s="48">
        <v>0</v>
      </c>
      <c r="M17" s="40">
        <f t="shared" si="0"/>
        <v>0</v>
      </c>
      <c r="O17" s="40">
        <f t="shared" si="1"/>
        <v>0</v>
      </c>
      <c r="Q17" s="293">
        <f t="shared" si="2"/>
        <v>0</v>
      </c>
      <c r="S17" s="293">
        <f t="shared" si="3"/>
        <v>0</v>
      </c>
      <c r="U17" s="356"/>
      <c r="V17" s="356"/>
      <c r="W17" s="356"/>
      <c r="X17" s="356"/>
    </row>
    <row r="18" spans="4:24" x14ac:dyDescent="0.3">
      <c r="D18" s="356" t="s">
        <v>120</v>
      </c>
      <c r="E18" s="356"/>
      <c r="F18" s="356"/>
      <c r="G18" s="356"/>
      <c r="I18" s="48">
        <v>0</v>
      </c>
      <c r="K18" s="48">
        <v>0</v>
      </c>
      <c r="M18" s="40">
        <f t="shared" si="0"/>
        <v>0</v>
      </c>
      <c r="O18" s="40">
        <f t="shared" si="1"/>
        <v>0</v>
      </c>
      <c r="Q18" s="293">
        <f t="shared" si="2"/>
        <v>0</v>
      </c>
      <c r="S18" s="293">
        <f t="shared" si="3"/>
        <v>0</v>
      </c>
      <c r="U18" s="356"/>
      <c r="V18" s="356"/>
      <c r="W18" s="356"/>
      <c r="X18" s="356"/>
    </row>
    <row r="19" spans="4:24" x14ac:dyDescent="0.3">
      <c r="D19" s="356" t="s">
        <v>121</v>
      </c>
      <c r="E19" s="356"/>
      <c r="F19" s="356"/>
      <c r="G19" s="356"/>
      <c r="I19" s="48">
        <v>0</v>
      </c>
      <c r="K19" s="48">
        <v>0</v>
      </c>
      <c r="M19" s="40">
        <f t="shared" si="0"/>
        <v>0</v>
      </c>
      <c r="O19" s="40">
        <f t="shared" si="1"/>
        <v>0</v>
      </c>
      <c r="Q19" s="293">
        <f t="shared" si="2"/>
        <v>0</v>
      </c>
      <c r="S19" s="293">
        <f t="shared" si="3"/>
        <v>0</v>
      </c>
      <c r="U19" s="356"/>
      <c r="V19" s="356"/>
      <c r="W19" s="356"/>
      <c r="X19" s="356"/>
    </row>
    <row r="20" spans="4:24" s="277" customFormat="1" x14ac:dyDescent="0.3">
      <c r="D20" s="356" t="s">
        <v>830</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831</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832</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833</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834</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835</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836</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837</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846</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847</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848</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849</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971</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973</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974</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975</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976</v>
      </c>
      <c r="E36" s="356"/>
      <c r="F36" s="356"/>
      <c r="G36" s="356"/>
      <c r="I36" s="48">
        <v>0</v>
      </c>
      <c r="K36" s="48">
        <v>0</v>
      </c>
      <c r="M36" s="279">
        <f t="shared" si="0"/>
        <v>0</v>
      </c>
      <c r="O36" s="279">
        <f t="shared" si="1"/>
        <v>0</v>
      </c>
      <c r="Q36" s="293">
        <f t="shared" si="2"/>
        <v>0</v>
      </c>
      <c r="S36" s="293">
        <f t="shared" si="3"/>
        <v>0</v>
      </c>
      <c r="U36" s="385"/>
      <c r="V36" s="385"/>
      <c r="W36" s="385"/>
      <c r="X36" s="385"/>
    </row>
    <row r="37" spans="3:24" ht="14.4" x14ac:dyDescent="0.3">
      <c r="D37" s="420" t="s">
        <v>79</v>
      </c>
      <c r="E37" s="421"/>
      <c r="F37" s="421"/>
      <c r="G37" s="421"/>
      <c r="I37" s="43"/>
      <c r="K37" s="43"/>
      <c r="M37" s="43"/>
      <c r="O37" s="43"/>
      <c r="Q37" s="294">
        <f>SUM(Q12:Q36)</f>
        <v>0</v>
      </c>
      <c r="S37" s="294">
        <f>SUM(S12:S36)</f>
        <v>0</v>
      </c>
    </row>
    <row r="39" spans="3:24" s="277" customFormat="1" x14ac:dyDescent="0.3"/>
    <row r="40" spans="3:24" ht="15.6" x14ac:dyDescent="0.3">
      <c r="C40" s="92" t="s">
        <v>164</v>
      </c>
    </row>
    <row r="41" spans="3:24" ht="27.6" x14ac:dyDescent="0.3">
      <c r="D41" s="90" t="s">
        <v>102</v>
      </c>
      <c r="I41" s="91" t="s">
        <v>80</v>
      </c>
      <c r="K41" s="91" t="s">
        <v>432</v>
      </c>
      <c r="M41" s="42" t="s">
        <v>103</v>
      </c>
      <c r="O41" s="42" t="s">
        <v>104</v>
      </c>
      <c r="Q41" s="42" t="s">
        <v>105</v>
      </c>
      <c r="S41" s="42" t="s">
        <v>106</v>
      </c>
      <c r="U41" s="350" t="s">
        <v>185</v>
      </c>
      <c r="V41" s="351"/>
      <c r="W41" s="351"/>
      <c r="X41" s="351"/>
    </row>
    <row r="42" spans="3:24" x14ac:dyDescent="0.3">
      <c r="D42" s="356" t="s">
        <v>109</v>
      </c>
      <c r="E42" s="356"/>
      <c r="F42" s="356"/>
      <c r="G42" s="356"/>
      <c r="I42" s="48">
        <v>0</v>
      </c>
      <c r="K42" s="48">
        <v>0</v>
      </c>
      <c r="M42" s="40">
        <f t="shared" ref="M42:M66" si="4">IFERROR(IF(DD_ACT_Meet1_Curr=1,INDEX($M$208:$M$242,MATCH(D42,LU_ACT_Allowances,0)),INDEX($Q$208:$Q$242,MATCH(D42,LU_ACT_Allowances,0))),0)</f>
        <v>0</v>
      </c>
      <c r="O42" s="40">
        <f t="shared" ref="O42:O66" si="5">IFERROR(IF(DD_ACT_Meet1_Curr=1,INDEX($O$208:$O$242,MATCH(D42,LU_ACT_Allowances,0)),INDEX($S$208:$S$242,MATCH(D42,LU_ACT_Allowances,0))),0)</f>
        <v>0</v>
      </c>
      <c r="Q42" s="293">
        <f t="shared" ref="Q42:Q66" si="6">I42*K42*M42</f>
        <v>0</v>
      </c>
      <c r="S42" s="293">
        <f t="shared" ref="S42:S66" si="7">I42*K42*O42</f>
        <v>0</v>
      </c>
      <c r="U42" s="356"/>
      <c r="V42" s="356"/>
      <c r="W42" s="356"/>
      <c r="X42" s="356"/>
    </row>
    <row r="43" spans="3:24" x14ac:dyDescent="0.3">
      <c r="D43" s="356" t="s">
        <v>110</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111</v>
      </c>
      <c r="E44" s="356"/>
      <c r="F44" s="356"/>
      <c r="G44" s="356"/>
      <c r="I44" s="48">
        <v>0</v>
      </c>
      <c r="K44" s="48">
        <v>0</v>
      </c>
      <c r="M44" s="40">
        <f t="shared" si="4"/>
        <v>0</v>
      </c>
      <c r="O44" s="40">
        <f t="shared" si="5"/>
        <v>0</v>
      </c>
      <c r="Q44" s="293">
        <f t="shared" si="6"/>
        <v>0</v>
      </c>
      <c r="S44" s="293">
        <f t="shared" si="7"/>
        <v>0</v>
      </c>
      <c r="U44" s="356"/>
      <c r="V44" s="356"/>
      <c r="W44" s="356"/>
      <c r="X44" s="356"/>
    </row>
    <row r="45" spans="3:24" x14ac:dyDescent="0.3">
      <c r="D45" s="356" t="s">
        <v>112</v>
      </c>
      <c r="E45" s="356"/>
      <c r="F45" s="356"/>
      <c r="G45" s="356"/>
      <c r="I45" s="48">
        <v>0</v>
      </c>
      <c r="K45" s="48">
        <v>0</v>
      </c>
      <c r="M45" s="40">
        <f t="shared" si="4"/>
        <v>0</v>
      </c>
      <c r="O45" s="40">
        <f t="shared" si="5"/>
        <v>0</v>
      </c>
      <c r="Q45" s="293">
        <f t="shared" si="6"/>
        <v>0</v>
      </c>
      <c r="S45" s="293">
        <f t="shared" si="7"/>
        <v>0</v>
      </c>
      <c r="U45" s="356"/>
      <c r="V45" s="356"/>
      <c r="W45" s="356"/>
      <c r="X45" s="356"/>
    </row>
    <row r="46" spans="3:24" x14ac:dyDescent="0.3">
      <c r="D46" s="356" t="s">
        <v>113</v>
      </c>
      <c r="E46" s="356"/>
      <c r="F46" s="356"/>
      <c r="G46" s="356"/>
      <c r="I46" s="48">
        <v>0</v>
      </c>
      <c r="K46" s="48">
        <v>0</v>
      </c>
      <c r="M46" s="40">
        <f t="shared" si="4"/>
        <v>0</v>
      </c>
      <c r="O46" s="40">
        <f t="shared" si="5"/>
        <v>0</v>
      </c>
      <c r="Q46" s="293">
        <f t="shared" si="6"/>
        <v>0</v>
      </c>
      <c r="S46" s="293">
        <f t="shared" si="7"/>
        <v>0</v>
      </c>
      <c r="U46" s="356"/>
      <c r="V46" s="356"/>
      <c r="W46" s="356"/>
      <c r="X46" s="356"/>
    </row>
    <row r="47" spans="3:24" x14ac:dyDescent="0.3">
      <c r="D47" s="356" t="s">
        <v>114</v>
      </c>
      <c r="E47" s="356"/>
      <c r="F47" s="356"/>
      <c r="G47" s="356"/>
      <c r="I47" s="48">
        <v>0</v>
      </c>
      <c r="K47" s="48">
        <v>0</v>
      </c>
      <c r="M47" s="40">
        <f t="shared" si="4"/>
        <v>0</v>
      </c>
      <c r="O47" s="40">
        <f t="shared" si="5"/>
        <v>0</v>
      </c>
      <c r="Q47" s="293">
        <f t="shared" si="6"/>
        <v>0</v>
      </c>
      <c r="S47" s="293">
        <f t="shared" si="7"/>
        <v>0</v>
      </c>
      <c r="U47" s="356"/>
      <c r="V47" s="356"/>
      <c r="W47" s="356"/>
      <c r="X47" s="356"/>
    </row>
    <row r="48" spans="3:24" x14ac:dyDescent="0.3">
      <c r="D48" s="356" t="s">
        <v>115</v>
      </c>
      <c r="E48" s="356"/>
      <c r="F48" s="356"/>
      <c r="G48" s="356"/>
      <c r="I48" s="48">
        <v>0</v>
      </c>
      <c r="K48" s="48">
        <v>0</v>
      </c>
      <c r="M48" s="40">
        <f t="shared" si="4"/>
        <v>0</v>
      </c>
      <c r="O48" s="40">
        <f t="shared" si="5"/>
        <v>0</v>
      </c>
      <c r="Q48" s="293">
        <f t="shared" si="6"/>
        <v>0</v>
      </c>
      <c r="S48" s="293">
        <f t="shared" si="7"/>
        <v>0</v>
      </c>
      <c r="U48" s="356"/>
      <c r="V48" s="356"/>
      <c r="W48" s="356"/>
      <c r="X48" s="356"/>
    </row>
    <row r="49" spans="4:24" x14ac:dyDescent="0.3">
      <c r="D49" s="356" t="s">
        <v>116</v>
      </c>
      <c r="E49" s="356"/>
      <c r="F49" s="356"/>
      <c r="G49" s="356"/>
      <c r="I49" s="48">
        <v>0</v>
      </c>
      <c r="K49" s="48">
        <v>0</v>
      </c>
      <c r="M49" s="40">
        <f t="shared" si="4"/>
        <v>0</v>
      </c>
      <c r="O49" s="40">
        <f t="shared" si="5"/>
        <v>0</v>
      </c>
      <c r="Q49" s="293">
        <f t="shared" si="6"/>
        <v>0</v>
      </c>
      <c r="S49" s="293">
        <f t="shared" si="7"/>
        <v>0</v>
      </c>
      <c r="U49" s="356"/>
      <c r="V49" s="356"/>
      <c r="W49" s="356"/>
      <c r="X49" s="356"/>
    </row>
    <row r="50" spans="4:24" s="277" customFormat="1" x14ac:dyDescent="0.3">
      <c r="D50" s="356" t="s">
        <v>838</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839</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840</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841</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842</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843</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844</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845</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850</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851</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852</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853</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972</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977</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978</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979</v>
      </c>
      <c r="E65" s="356"/>
      <c r="F65" s="356"/>
      <c r="G65" s="356"/>
      <c r="I65" s="48">
        <v>0</v>
      </c>
      <c r="K65" s="48">
        <v>0</v>
      </c>
      <c r="M65" s="279">
        <f t="shared" si="4"/>
        <v>0</v>
      </c>
      <c r="O65" s="279">
        <f t="shared" si="5"/>
        <v>0</v>
      </c>
      <c r="Q65" s="293">
        <f t="shared" si="6"/>
        <v>0</v>
      </c>
      <c r="S65" s="293">
        <f t="shared" si="7"/>
        <v>0</v>
      </c>
      <c r="U65" s="385"/>
      <c r="V65" s="385"/>
      <c r="W65" s="385"/>
      <c r="X65" s="385"/>
    </row>
    <row r="66" spans="3:24" s="277" customFormat="1" x14ac:dyDescent="0.3">
      <c r="D66" s="356" t="s">
        <v>980</v>
      </c>
      <c r="E66" s="356"/>
      <c r="F66" s="356"/>
      <c r="G66" s="356"/>
      <c r="I66" s="48">
        <v>0</v>
      </c>
      <c r="K66" s="48">
        <v>0</v>
      </c>
      <c r="M66" s="279">
        <f t="shared" si="4"/>
        <v>0</v>
      </c>
      <c r="O66" s="279">
        <f t="shared" si="5"/>
        <v>0</v>
      </c>
      <c r="Q66" s="293">
        <f t="shared" si="6"/>
        <v>0</v>
      </c>
      <c r="S66" s="293">
        <f t="shared" si="7"/>
        <v>0</v>
      </c>
      <c r="U66" s="385"/>
      <c r="V66" s="385"/>
      <c r="W66" s="385"/>
      <c r="X66" s="385"/>
    </row>
    <row r="67" spans="3:24" ht="14.4" x14ac:dyDescent="0.3">
      <c r="D67" s="420" t="s">
        <v>82</v>
      </c>
      <c r="E67" s="421"/>
      <c r="F67" s="421"/>
      <c r="G67" s="421"/>
      <c r="I67" s="43"/>
      <c r="K67" s="43"/>
      <c r="M67" s="43"/>
      <c r="O67" s="43"/>
      <c r="Q67" s="294">
        <f>SUM(Q42:Q66)</f>
        <v>0</v>
      </c>
      <c r="S67" s="294">
        <f>SUM(S42:S66)</f>
        <v>0</v>
      </c>
    </row>
    <row r="70" spans="3:24" ht="15.6" x14ac:dyDescent="0.3">
      <c r="C70" s="92" t="s">
        <v>84</v>
      </c>
    </row>
    <row r="71" spans="3:24" ht="27.6" x14ac:dyDescent="0.3">
      <c r="D71" s="90" t="s">
        <v>102</v>
      </c>
      <c r="I71" s="91" t="s">
        <v>87</v>
      </c>
      <c r="K71" s="91" t="s">
        <v>432</v>
      </c>
      <c r="M71" s="42" t="s">
        <v>107</v>
      </c>
      <c r="O71" s="42" t="s">
        <v>108</v>
      </c>
      <c r="Q71" s="42" t="s">
        <v>105</v>
      </c>
      <c r="S71" s="42" t="s">
        <v>106</v>
      </c>
      <c r="U71" s="350" t="s">
        <v>185</v>
      </c>
      <c r="V71" s="351"/>
      <c r="W71" s="351"/>
      <c r="X71" s="351"/>
    </row>
    <row r="72" spans="3:24" x14ac:dyDescent="0.3">
      <c r="D72" s="356" t="s">
        <v>892</v>
      </c>
      <c r="E72" s="356"/>
      <c r="F72" s="356"/>
      <c r="G72" s="356"/>
      <c r="I72" s="48">
        <v>0</v>
      </c>
      <c r="K72" s="48">
        <v>0</v>
      </c>
      <c r="M72" s="40">
        <f t="shared" ref="M72:M96" si="8">IFERROR(IF(DD_ACT_Meet1_Curr=1,INDEX($M$246:$M$280,MATCH(D72,LU_ACT_Supplies,0)),INDEX($Q$246:$Q$280,MATCH(D72,LU_ACT_Supplies,0))),0)</f>
        <v>0</v>
      </c>
      <c r="O72" s="40">
        <f t="shared" ref="O72:O96" si="9">IFERROR(IF(DD_ACT_Meet1_Curr=1,INDEX($O$246:$O$280,MATCH(D72,LU_ACT_Supplies,0)),INDEX($S$246:$S$280,MATCH(D72,LU_ACT_Supplies,0))),0)</f>
        <v>0</v>
      </c>
      <c r="Q72" s="295">
        <f t="shared" ref="Q72:Q96" si="10">I72*K72*M72</f>
        <v>0</v>
      </c>
      <c r="S72" s="293">
        <f t="shared" ref="S72:S96" si="11">I72*K72*O72</f>
        <v>0</v>
      </c>
      <c r="U72" s="356"/>
      <c r="V72" s="356"/>
      <c r="W72" s="356"/>
      <c r="X72" s="356"/>
    </row>
    <row r="73" spans="3:24" x14ac:dyDescent="0.3">
      <c r="D73" s="356" t="s">
        <v>893</v>
      </c>
      <c r="E73" s="356"/>
      <c r="F73" s="356"/>
      <c r="G73" s="356"/>
      <c r="I73" s="48">
        <v>0</v>
      </c>
      <c r="K73" s="48">
        <v>0</v>
      </c>
      <c r="M73" s="40">
        <f t="shared" si="8"/>
        <v>0</v>
      </c>
      <c r="O73" s="40">
        <f t="shared" si="9"/>
        <v>0</v>
      </c>
      <c r="Q73" s="295">
        <f t="shared" si="10"/>
        <v>0</v>
      </c>
      <c r="S73" s="293">
        <f t="shared" si="11"/>
        <v>0</v>
      </c>
      <c r="U73" s="356"/>
      <c r="V73" s="356"/>
      <c r="W73" s="356"/>
      <c r="X73" s="356"/>
    </row>
    <row r="74" spans="3:24" s="277" customFormat="1" x14ac:dyDescent="0.3">
      <c r="D74" s="356" t="s">
        <v>854</v>
      </c>
      <c r="E74" s="356"/>
      <c r="F74" s="356"/>
      <c r="G74" s="356"/>
      <c r="I74" s="48">
        <v>0</v>
      </c>
      <c r="K74" s="48">
        <v>0</v>
      </c>
      <c r="M74" s="279">
        <f t="shared" si="8"/>
        <v>0</v>
      </c>
      <c r="O74" s="279">
        <f t="shared" si="9"/>
        <v>0</v>
      </c>
      <c r="Q74" s="295">
        <f t="shared" si="10"/>
        <v>0</v>
      </c>
      <c r="S74" s="293">
        <f t="shared" si="11"/>
        <v>0</v>
      </c>
      <c r="U74" s="385"/>
      <c r="V74" s="385"/>
      <c r="W74" s="385"/>
      <c r="X74" s="385"/>
    </row>
    <row r="75" spans="3:24" s="277" customFormat="1" x14ac:dyDescent="0.3">
      <c r="D75" s="356" t="s">
        <v>855</v>
      </c>
      <c r="E75" s="356"/>
      <c r="F75" s="356"/>
      <c r="G75" s="356"/>
      <c r="I75" s="48">
        <v>0</v>
      </c>
      <c r="K75" s="48">
        <v>0</v>
      </c>
      <c r="M75" s="279">
        <f t="shared" si="8"/>
        <v>0</v>
      </c>
      <c r="O75" s="279">
        <f t="shared" si="9"/>
        <v>0</v>
      </c>
      <c r="Q75" s="295">
        <f t="shared" si="10"/>
        <v>0</v>
      </c>
      <c r="S75" s="293">
        <f t="shared" si="11"/>
        <v>0</v>
      </c>
      <c r="U75" s="385"/>
      <c r="V75" s="385"/>
      <c r="W75" s="385"/>
      <c r="X75" s="385"/>
    </row>
    <row r="76" spans="3:24" s="277" customFormat="1" x14ac:dyDescent="0.3">
      <c r="D76" s="356" t="s">
        <v>856</v>
      </c>
      <c r="E76" s="356"/>
      <c r="F76" s="356"/>
      <c r="G76" s="356"/>
      <c r="I76" s="48">
        <v>0</v>
      </c>
      <c r="K76" s="48">
        <v>0</v>
      </c>
      <c r="M76" s="279">
        <f t="shared" si="8"/>
        <v>0</v>
      </c>
      <c r="O76" s="279">
        <f t="shared" si="9"/>
        <v>0</v>
      </c>
      <c r="Q76" s="295">
        <f t="shared" si="10"/>
        <v>0</v>
      </c>
      <c r="S76" s="293">
        <f t="shared" si="11"/>
        <v>0</v>
      </c>
      <c r="U76" s="385"/>
      <c r="V76" s="385"/>
      <c r="W76" s="385"/>
      <c r="X76" s="385"/>
    </row>
    <row r="77" spans="3:24" s="277" customFormat="1" x14ac:dyDescent="0.3">
      <c r="D77" s="356" t="s">
        <v>857</v>
      </c>
      <c r="E77" s="356"/>
      <c r="F77" s="356"/>
      <c r="G77" s="356"/>
      <c r="I77" s="48">
        <v>0</v>
      </c>
      <c r="K77" s="48">
        <v>0</v>
      </c>
      <c r="M77" s="279">
        <f t="shared" si="8"/>
        <v>0</v>
      </c>
      <c r="O77" s="279">
        <f t="shared" si="9"/>
        <v>0</v>
      </c>
      <c r="Q77" s="295">
        <f t="shared" si="10"/>
        <v>0</v>
      </c>
      <c r="S77" s="293">
        <f t="shared" si="11"/>
        <v>0</v>
      </c>
      <c r="U77" s="385"/>
      <c r="V77" s="385"/>
      <c r="W77" s="385"/>
      <c r="X77" s="385"/>
    </row>
    <row r="78" spans="3:24" s="277" customFormat="1" x14ac:dyDescent="0.3">
      <c r="D78" s="356" t="s">
        <v>858</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859</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860</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861</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862</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863</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864</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865</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866</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867</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868</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869</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870</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871</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981</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982</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983</v>
      </c>
      <c r="E94" s="356"/>
      <c r="F94" s="356"/>
      <c r="G94" s="356"/>
      <c r="I94" s="48">
        <v>0</v>
      </c>
      <c r="K94" s="48">
        <v>0</v>
      </c>
      <c r="M94" s="279">
        <f t="shared" si="8"/>
        <v>0</v>
      </c>
      <c r="O94" s="279">
        <f t="shared" si="9"/>
        <v>0</v>
      </c>
      <c r="Q94" s="295">
        <f t="shared" si="10"/>
        <v>0</v>
      </c>
      <c r="S94" s="293">
        <f t="shared" si="11"/>
        <v>0</v>
      </c>
      <c r="U94" s="385"/>
      <c r="V94" s="385"/>
      <c r="W94" s="385"/>
      <c r="X94" s="385"/>
    </row>
    <row r="95" spans="4:24" s="277" customFormat="1" x14ac:dyDescent="0.3">
      <c r="D95" s="356" t="s">
        <v>984</v>
      </c>
      <c r="E95" s="356"/>
      <c r="F95" s="356"/>
      <c r="G95" s="356"/>
      <c r="I95" s="48">
        <v>0</v>
      </c>
      <c r="K95" s="48">
        <v>0</v>
      </c>
      <c r="M95" s="279">
        <f t="shared" si="8"/>
        <v>0</v>
      </c>
      <c r="O95" s="279">
        <f t="shared" si="9"/>
        <v>0</v>
      </c>
      <c r="Q95" s="295">
        <f t="shared" si="10"/>
        <v>0</v>
      </c>
      <c r="S95" s="293">
        <f t="shared" si="11"/>
        <v>0</v>
      </c>
      <c r="U95" s="385"/>
      <c r="V95" s="385"/>
      <c r="W95" s="385"/>
      <c r="X95" s="385"/>
    </row>
    <row r="96" spans="4:24" s="277" customFormat="1" x14ac:dyDescent="0.3">
      <c r="D96" s="356" t="s">
        <v>985</v>
      </c>
      <c r="E96" s="356"/>
      <c r="F96" s="356"/>
      <c r="G96" s="356"/>
      <c r="I96" s="48">
        <v>0</v>
      </c>
      <c r="K96" s="48">
        <v>0</v>
      </c>
      <c r="M96" s="279">
        <f t="shared" si="8"/>
        <v>0</v>
      </c>
      <c r="O96" s="279">
        <f t="shared" si="9"/>
        <v>0</v>
      </c>
      <c r="Q96" s="295">
        <f t="shared" si="10"/>
        <v>0</v>
      </c>
      <c r="S96" s="293">
        <f t="shared" si="11"/>
        <v>0</v>
      </c>
      <c r="U96" s="385"/>
      <c r="V96" s="385"/>
      <c r="W96" s="385"/>
      <c r="X96" s="385"/>
    </row>
    <row r="97" spans="3:24" ht="14.4" x14ac:dyDescent="0.3">
      <c r="D97" s="420" t="s">
        <v>85</v>
      </c>
      <c r="E97" s="421"/>
      <c r="F97" s="421"/>
      <c r="G97" s="421"/>
      <c r="I97" s="43"/>
      <c r="K97" s="43"/>
      <c r="M97" s="43"/>
      <c r="O97" s="43"/>
      <c r="Q97" s="296">
        <f>SUM(Q72:Q96)</f>
        <v>0</v>
      </c>
      <c r="S97" s="294">
        <f>SUM(S72:S96)</f>
        <v>0</v>
      </c>
      <c r="U97" s="43"/>
      <c r="V97" s="43"/>
      <c r="W97" s="43"/>
      <c r="X97" s="43"/>
    </row>
    <row r="99" spans="3:24" s="277" customFormat="1" x14ac:dyDescent="0.3"/>
    <row r="100" spans="3:24" ht="27.6" x14ac:dyDescent="0.3">
      <c r="C100" s="92" t="s">
        <v>130</v>
      </c>
      <c r="Q100" s="44" t="str">
        <f>"FINANCIAL COST ("&amp;INDEX(LU_ACT_Meet_Curr,DD_ACT_Meet1_Curr)&amp;")"</f>
        <v>FINANCIAL COST (GOZ)</v>
      </c>
      <c r="S100" s="44" t="str">
        <f>"ECONOMIC COST ("&amp;INDEX(LU_ACT_Meet_Curr,DD_ACT_Meet1_Curr)&amp;")"</f>
        <v>ECONOMIC COST (GOZ)</v>
      </c>
    </row>
    <row r="101" spans="3:24" ht="14.4" x14ac:dyDescent="0.3">
      <c r="D101" s="90" t="s">
        <v>86</v>
      </c>
      <c r="I101" s="91" t="s">
        <v>186</v>
      </c>
      <c r="M101" s="91" t="s">
        <v>81</v>
      </c>
      <c r="O101" s="91" t="s">
        <v>83</v>
      </c>
      <c r="U101" s="350" t="s">
        <v>185</v>
      </c>
      <c r="V101" s="351"/>
      <c r="W101" s="351"/>
      <c r="X101" s="351"/>
    </row>
    <row r="102" spans="3:24" x14ac:dyDescent="0.3">
      <c r="D102" s="356" t="s">
        <v>70</v>
      </c>
      <c r="E102" s="356"/>
      <c r="F102" s="356"/>
      <c r="G102" s="356"/>
      <c r="I102" s="48">
        <v>0</v>
      </c>
      <c r="M102" s="40">
        <f t="shared" ref="M102:M126" si="12">IFERROR(IF(DD_ACT_Meet1_Curr=1,INDEX($M$283:$M$317,MATCH(D102,LU_ACT_Equipment,0)),INDEX($Q$283:$Q$317,MATCH(D102,LU_ACT_Equipment,0))),0)</f>
        <v>0</v>
      </c>
      <c r="O102" s="40">
        <f t="shared" ref="O102:O126" si="13">IFERROR(IF(DD_ACT_Meet1_Curr=1,INDEX($O$283:$O$317,MATCH(D102,LU_ACT_Equipment,0)),INDEX($S$283:$S$317,MATCH(D102,LU_ACT_Equipment,0))),0)</f>
        <v>0</v>
      </c>
      <c r="Q102" s="279">
        <f t="shared" ref="Q102:Q126" si="14">I102*M102</f>
        <v>0</v>
      </c>
      <c r="S102" s="279">
        <f t="shared" ref="S102:S126" si="15">I102*O102</f>
        <v>0</v>
      </c>
      <c r="U102" s="356"/>
      <c r="V102" s="356"/>
      <c r="W102" s="356"/>
      <c r="X102" s="356"/>
    </row>
    <row r="103" spans="3:24" x14ac:dyDescent="0.3">
      <c r="D103" s="356" t="s">
        <v>122</v>
      </c>
      <c r="E103" s="356"/>
      <c r="F103" s="356"/>
      <c r="G103" s="356"/>
      <c r="I103" s="48">
        <v>0</v>
      </c>
      <c r="M103" s="40">
        <f t="shared" si="12"/>
        <v>0</v>
      </c>
      <c r="O103" s="40">
        <f t="shared" si="13"/>
        <v>0</v>
      </c>
      <c r="Q103" s="279">
        <f t="shared" si="14"/>
        <v>0</v>
      </c>
      <c r="S103" s="279">
        <f t="shared" si="15"/>
        <v>0</v>
      </c>
      <c r="U103" s="356"/>
      <c r="V103" s="356"/>
      <c r="W103" s="356"/>
      <c r="X103" s="356"/>
    </row>
    <row r="104" spans="3:24" s="277" customFormat="1" x14ac:dyDescent="0.3">
      <c r="D104" s="356" t="s">
        <v>872</v>
      </c>
      <c r="E104" s="356"/>
      <c r="F104" s="356"/>
      <c r="G104" s="356"/>
      <c r="I104" s="48">
        <v>0</v>
      </c>
      <c r="M104" s="279">
        <f t="shared" si="12"/>
        <v>0</v>
      </c>
      <c r="O104" s="279">
        <f t="shared" si="13"/>
        <v>0</v>
      </c>
      <c r="Q104" s="279">
        <f t="shared" si="14"/>
        <v>0</v>
      </c>
      <c r="S104" s="279">
        <f t="shared" si="15"/>
        <v>0</v>
      </c>
      <c r="U104" s="385"/>
      <c r="V104" s="385"/>
      <c r="W104" s="385"/>
      <c r="X104" s="385"/>
    </row>
    <row r="105" spans="3:24" s="277" customFormat="1" x14ac:dyDescent="0.3">
      <c r="D105" s="356" t="s">
        <v>873</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874</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875</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778</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779</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780</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781</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782</v>
      </c>
      <c r="E112" s="356"/>
      <c r="F112" s="356"/>
      <c r="G112" s="356"/>
      <c r="I112" s="48">
        <v>0</v>
      </c>
      <c r="M112" s="279">
        <f t="shared" si="12"/>
        <v>0</v>
      </c>
      <c r="O112" s="279">
        <f t="shared" si="13"/>
        <v>0</v>
      </c>
      <c r="Q112" s="279">
        <f t="shared" si="14"/>
        <v>0</v>
      </c>
      <c r="S112" s="279">
        <f t="shared" si="15"/>
        <v>0</v>
      </c>
      <c r="U112" s="385"/>
      <c r="V112" s="385"/>
      <c r="W112" s="385"/>
      <c r="X112" s="385"/>
    </row>
    <row r="113" spans="4:24" s="277" customFormat="1" x14ac:dyDescent="0.3">
      <c r="D113" s="356" t="s">
        <v>783</v>
      </c>
      <c r="E113" s="356"/>
      <c r="F113" s="356"/>
      <c r="G113" s="356"/>
      <c r="I113" s="48">
        <v>0</v>
      </c>
      <c r="M113" s="279">
        <f t="shared" si="12"/>
        <v>0</v>
      </c>
      <c r="O113" s="279">
        <f t="shared" si="13"/>
        <v>0</v>
      </c>
      <c r="Q113" s="279">
        <f t="shared" si="14"/>
        <v>0</v>
      </c>
      <c r="S113" s="279">
        <f t="shared" si="15"/>
        <v>0</v>
      </c>
      <c r="U113" s="385"/>
      <c r="V113" s="385"/>
      <c r="W113" s="385"/>
      <c r="X113" s="385"/>
    </row>
    <row r="114" spans="4:24" s="277" customFormat="1" x14ac:dyDescent="0.3">
      <c r="D114" s="356" t="s">
        <v>784</v>
      </c>
      <c r="E114" s="356"/>
      <c r="F114" s="356"/>
      <c r="G114" s="356"/>
      <c r="I114" s="48">
        <v>0</v>
      </c>
      <c r="M114" s="279">
        <f t="shared" si="12"/>
        <v>0</v>
      </c>
      <c r="O114" s="279">
        <f t="shared" si="13"/>
        <v>0</v>
      </c>
      <c r="Q114" s="279">
        <f t="shared" si="14"/>
        <v>0</v>
      </c>
      <c r="S114" s="279">
        <f t="shared" si="15"/>
        <v>0</v>
      </c>
      <c r="U114" s="385"/>
      <c r="V114" s="385"/>
      <c r="W114" s="385"/>
      <c r="X114" s="385"/>
    </row>
    <row r="115" spans="4:24" s="277" customFormat="1" x14ac:dyDescent="0.3">
      <c r="D115" s="356" t="s">
        <v>785</v>
      </c>
      <c r="E115" s="356"/>
      <c r="F115" s="356"/>
      <c r="G115" s="356"/>
      <c r="I115" s="48">
        <v>0</v>
      </c>
      <c r="M115" s="279">
        <f t="shared" si="12"/>
        <v>0</v>
      </c>
      <c r="O115" s="279">
        <f t="shared" si="13"/>
        <v>0</v>
      </c>
      <c r="Q115" s="279">
        <f t="shared" si="14"/>
        <v>0</v>
      </c>
      <c r="S115" s="279">
        <f t="shared" si="15"/>
        <v>0</v>
      </c>
      <c r="U115" s="385"/>
      <c r="V115" s="385"/>
      <c r="W115" s="385"/>
      <c r="X115" s="385"/>
    </row>
    <row r="116" spans="4:24" s="277" customFormat="1" x14ac:dyDescent="0.3">
      <c r="D116" s="356" t="s">
        <v>786</v>
      </c>
      <c r="E116" s="356"/>
      <c r="F116" s="356"/>
      <c r="G116" s="356"/>
      <c r="I116" s="48">
        <v>0</v>
      </c>
      <c r="M116" s="279">
        <f t="shared" si="12"/>
        <v>0</v>
      </c>
      <c r="O116" s="279">
        <f t="shared" si="13"/>
        <v>0</v>
      </c>
      <c r="Q116" s="279">
        <f t="shared" si="14"/>
        <v>0</v>
      </c>
      <c r="S116" s="279">
        <f t="shared" si="15"/>
        <v>0</v>
      </c>
      <c r="U116" s="385"/>
      <c r="V116" s="385"/>
      <c r="W116" s="385"/>
      <c r="X116" s="385"/>
    </row>
    <row r="117" spans="4:24" s="277" customFormat="1" x14ac:dyDescent="0.3">
      <c r="D117" s="356" t="s">
        <v>787</v>
      </c>
      <c r="E117" s="356"/>
      <c r="F117" s="356"/>
      <c r="G117" s="356"/>
      <c r="I117" s="48">
        <v>0</v>
      </c>
      <c r="M117" s="279">
        <f t="shared" si="12"/>
        <v>0</v>
      </c>
      <c r="O117" s="279">
        <f t="shared" si="13"/>
        <v>0</v>
      </c>
      <c r="Q117" s="279">
        <f t="shared" si="14"/>
        <v>0</v>
      </c>
      <c r="S117" s="279">
        <f t="shared" si="15"/>
        <v>0</v>
      </c>
      <c r="U117" s="385"/>
      <c r="V117" s="385"/>
      <c r="W117" s="385"/>
      <c r="X117" s="385"/>
    </row>
    <row r="118" spans="4:24" s="277" customFormat="1" x14ac:dyDescent="0.3">
      <c r="D118" s="356" t="s">
        <v>788</v>
      </c>
      <c r="E118" s="356"/>
      <c r="F118" s="356"/>
      <c r="G118" s="356"/>
      <c r="I118" s="48">
        <v>0</v>
      </c>
      <c r="M118" s="279">
        <f t="shared" si="12"/>
        <v>0</v>
      </c>
      <c r="O118" s="279">
        <f t="shared" si="13"/>
        <v>0</v>
      </c>
      <c r="Q118" s="279">
        <f t="shared" si="14"/>
        <v>0</v>
      </c>
      <c r="S118" s="279">
        <f t="shared" si="15"/>
        <v>0</v>
      </c>
      <c r="U118" s="385"/>
      <c r="V118" s="385"/>
      <c r="W118" s="385"/>
      <c r="X118" s="385"/>
    </row>
    <row r="119" spans="4:24" s="277" customFormat="1" x14ac:dyDescent="0.3">
      <c r="D119" s="356" t="s">
        <v>789</v>
      </c>
      <c r="E119" s="356"/>
      <c r="F119" s="356"/>
      <c r="G119" s="356"/>
      <c r="I119" s="48">
        <v>0</v>
      </c>
      <c r="M119" s="279">
        <f t="shared" si="12"/>
        <v>0</v>
      </c>
      <c r="O119" s="279">
        <f t="shared" si="13"/>
        <v>0</v>
      </c>
      <c r="Q119" s="279">
        <f t="shared" si="14"/>
        <v>0</v>
      </c>
      <c r="S119" s="279">
        <f t="shared" si="15"/>
        <v>0</v>
      </c>
      <c r="U119" s="385"/>
      <c r="V119" s="385"/>
      <c r="W119" s="385"/>
      <c r="X119" s="385"/>
    </row>
    <row r="120" spans="4:24" s="277" customFormat="1" x14ac:dyDescent="0.3">
      <c r="D120" s="356" t="s">
        <v>790</v>
      </c>
      <c r="E120" s="356"/>
      <c r="F120" s="356"/>
      <c r="G120" s="356"/>
      <c r="I120" s="48">
        <v>0</v>
      </c>
      <c r="M120" s="279">
        <f t="shared" si="12"/>
        <v>0</v>
      </c>
      <c r="O120" s="279">
        <f t="shared" si="13"/>
        <v>0</v>
      </c>
      <c r="Q120" s="279">
        <f t="shared" si="14"/>
        <v>0</v>
      </c>
      <c r="S120" s="279">
        <f t="shared" si="15"/>
        <v>0</v>
      </c>
      <c r="U120" s="385"/>
      <c r="V120" s="385"/>
      <c r="W120" s="385"/>
      <c r="X120" s="385"/>
    </row>
    <row r="121" spans="4:24" s="277" customFormat="1" x14ac:dyDescent="0.3">
      <c r="D121" s="356" t="s">
        <v>791</v>
      </c>
      <c r="E121" s="356"/>
      <c r="F121" s="356"/>
      <c r="G121" s="356"/>
      <c r="I121" s="48">
        <v>0</v>
      </c>
      <c r="M121" s="279">
        <f t="shared" si="12"/>
        <v>0</v>
      </c>
      <c r="O121" s="279">
        <f t="shared" si="13"/>
        <v>0</v>
      </c>
      <c r="Q121" s="279">
        <f t="shared" si="14"/>
        <v>0</v>
      </c>
      <c r="S121" s="279">
        <f t="shared" si="15"/>
        <v>0</v>
      </c>
      <c r="U121" s="385"/>
      <c r="V121" s="385"/>
      <c r="W121" s="385"/>
      <c r="X121" s="385"/>
    </row>
    <row r="122" spans="4:24" s="277" customFormat="1" x14ac:dyDescent="0.3">
      <c r="D122" s="356" t="s">
        <v>792</v>
      </c>
      <c r="E122" s="356"/>
      <c r="F122" s="356"/>
      <c r="G122" s="356"/>
      <c r="I122" s="48">
        <v>0</v>
      </c>
      <c r="M122" s="279">
        <f t="shared" si="12"/>
        <v>0</v>
      </c>
      <c r="O122" s="279">
        <f t="shared" si="13"/>
        <v>0</v>
      </c>
      <c r="Q122" s="279">
        <f t="shared" si="14"/>
        <v>0</v>
      </c>
      <c r="S122" s="279">
        <f t="shared" si="15"/>
        <v>0</v>
      </c>
      <c r="U122" s="385"/>
      <c r="V122" s="385"/>
      <c r="W122" s="385"/>
      <c r="X122" s="385"/>
    </row>
    <row r="123" spans="4:24" s="277" customFormat="1" x14ac:dyDescent="0.3">
      <c r="D123" s="356" t="s">
        <v>793</v>
      </c>
      <c r="E123" s="356"/>
      <c r="F123" s="356"/>
      <c r="G123" s="356"/>
      <c r="I123" s="48">
        <v>0</v>
      </c>
      <c r="M123" s="279">
        <f t="shared" si="12"/>
        <v>0</v>
      </c>
      <c r="O123" s="279">
        <f t="shared" si="13"/>
        <v>0</v>
      </c>
      <c r="Q123" s="279">
        <f t="shared" si="14"/>
        <v>0</v>
      </c>
      <c r="S123" s="279">
        <f t="shared" si="15"/>
        <v>0</v>
      </c>
      <c r="U123" s="385"/>
      <c r="V123" s="385"/>
      <c r="W123" s="385"/>
      <c r="X123" s="385"/>
    </row>
    <row r="124" spans="4:24" s="277" customFormat="1" x14ac:dyDescent="0.3">
      <c r="D124" s="356" t="s">
        <v>794</v>
      </c>
      <c r="E124" s="356"/>
      <c r="F124" s="356"/>
      <c r="G124" s="356"/>
      <c r="I124" s="48">
        <v>0</v>
      </c>
      <c r="M124" s="279">
        <f t="shared" si="12"/>
        <v>0</v>
      </c>
      <c r="O124" s="279">
        <f t="shared" si="13"/>
        <v>0</v>
      </c>
      <c r="Q124" s="279">
        <f t="shared" si="14"/>
        <v>0</v>
      </c>
      <c r="S124" s="279">
        <f t="shared" si="15"/>
        <v>0</v>
      </c>
      <c r="U124" s="385"/>
      <c r="V124" s="385"/>
      <c r="W124" s="385"/>
      <c r="X124" s="385"/>
    </row>
    <row r="125" spans="4:24" s="277" customFormat="1" x14ac:dyDescent="0.3">
      <c r="D125" s="356" t="s">
        <v>795</v>
      </c>
      <c r="E125" s="356"/>
      <c r="F125" s="356"/>
      <c r="G125" s="356"/>
      <c r="I125" s="48">
        <v>0</v>
      </c>
      <c r="M125" s="279">
        <f t="shared" si="12"/>
        <v>0</v>
      </c>
      <c r="O125" s="279">
        <f t="shared" si="13"/>
        <v>0</v>
      </c>
      <c r="Q125" s="279">
        <f t="shared" si="14"/>
        <v>0</v>
      </c>
      <c r="S125" s="279">
        <f t="shared" si="15"/>
        <v>0</v>
      </c>
      <c r="U125" s="385"/>
      <c r="V125" s="385"/>
      <c r="W125" s="385"/>
      <c r="X125" s="385"/>
    </row>
    <row r="126" spans="4:24" s="277" customFormat="1" x14ac:dyDescent="0.3">
      <c r="D126" s="356" t="s">
        <v>796</v>
      </c>
      <c r="E126" s="356"/>
      <c r="F126" s="356"/>
      <c r="G126" s="356"/>
      <c r="I126" s="48">
        <v>0</v>
      </c>
      <c r="M126" s="279">
        <f t="shared" si="12"/>
        <v>0</v>
      </c>
      <c r="O126" s="279">
        <f t="shared" si="13"/>
        <v>0</v>
      </c>
      <c r="Q126" s="279">
        <f t="shared" si="14"/>
        <v>0</v>
      </c>
      <c r="S126" s="279">
        <f t="shared" si="15"/>
        <v>0</v>
      </c>
      <c r="U126" s="385"/>
      <c r="V126" s="385"/>
      <c r="W126" s="385"/>
      <c r="X126" s="385"/>
    </row>
    <row r="127" spans="4:24" ht="14.4" x14ac:dyDescent="0.3">
      <c r="D127" s="420" t="s">
        <v>88</v>
      </c>
      <c r="E127" s="421"/>
      <c r="F127" s="421"/>
      <c r="G127" s="421"/>
      <c r="I127" s="40"/>
      <c r="M127" s="40"/>
      <c r="O127" s="40"/>
      <c r="Q127" s="294">
        <f>SUM(Q102:Q126)</f>
        <v>0</v>
      </c>
      <c r="S127" s="294">
        <f>SUM(S102:S126)</f>
        <v>0</v>
      </c>
    </row>
    <row r="129" spans="3:24" s="277" customFormat="1" x14ac:dyDescent="0.3"/>
    <row r="130" spans="3:24" ht="15.6" x14ac:dyDescent="0.3">
      <c r="C130" s="92" t="s">
        <v>89</v>
      </c>
    </row>
    <row r="131" spans="3:24" ht="27.6" x14ac:dyDescent="0.3">
      <c r="Q131" s="44" t="str">
        <f>"FINANCIAL COST ("&amp;INDEX(LU_ACT_Meet_Curr,DD_ACT_Meet1_Curr)&amp;")"</f>
        <v>FINANCIAL COST (GOZ)</v>
      </c>
      <c r="S131" s="44" t="str">
        <f>"ECONOMIC COST ("&amp;INDEX(LU_ACT_Meet_Curr,DD_ACT_Meet1_Curr)&amp;")"</f>
        <v>ECONOMIC COST (GOZ)</v>
      </c>
    </row>
    <row r="132" spans="3:24" ht="27.6" x14ac:dyDescent="0.3">
      <c r="D132" s="90" t="s">
        <v>86</v>
      </c>
      <c r="I132" s="91" t="s">
        <v>186</v>
      </c>
      <c r="K132" s="91" t="s">
        <v>432</v>
      </c>
      <c r="M132" s="42" t="s">
        <v>81</v>
      </c>
      <c r="O132" s="42" t="s">
        <v>83</v>
      </c>
      <c r="U132" s="350" t="s">
        <v>185</v>
      </c>
      <c r="V132" s="351"/>
      <c r="W132" s="351"/>
      <c r="X132" s="351"/>
    </row>
    <row r="133" spans="3:24" x14ac:dyDescent="0.3">
      <c r="D133" s="356" t="s">
        <v>71</v>
      </c>
      <c r="E133" s="356"/>
      <c r="F133" s="356"/>
      <c r="G133" s="356"/>
      <c r="I133" s="48">
        <v>0</v>
      </c>
      <c r="K133" s="48">
        <v>0</v>
      </c>
      <c r="M133" s="40">
        <f t="shared" ref="M133:M157" si="16">IFERROR(IF(DD_ACT_Meet1_Curr=1,INDEX($M$321:$M$355,MATCH(D133,LU_ACT_ODCS,0)),INDEX($Q$321:$Q$355,MATCH(D133,LU_ACT_ODCS,0))),0)</f>
        <v>0</v>
      </c>
      <c r="O133" s="40">
        <f t="shared" ref="O133:O157" si="17">IFERROR(IF(DD_ACT_Meet1_Curr=1,INDEX($O$321:$O$355,MATCH(D133,LU_ACT_ODCS,0)),INDEX($S$321:$S$355,MATCH(D133,LU_ACT_ODCS,0))),0)</f>
        <v>0</v>
      </c>
      <c r="Q133" s="279">
        <f t="shared" ref="Q133:Q157" si="18">I133*K133*M133</f>
        <v>0</v>
      </c>
      <c r="S133" s="279">
        <f t="shared" ref="S133:S157" si="19">I133*K133*O133</f>
        <v>0</v>
      </c>
      <c r="U133" s="356"/>
      <c r="V133" s="356"/>
      <c r="W133" s="356"/>
      <c r="X133" s="356"/>
    </row>
    <row r="134" spans="3:24" x14ac:dyDescent="0.3">
      <c r="D134" s="356" t="s">
        <v>72</v>
      </c>
      <c r="E134" s="356"/>
      <c r="F134" s="356"/>
      <c r="G134" s="356"/>
      <c r="I134" s="48">
        <v>0</v>
      </c>
      <c r="K134" s="48">
        <v>0</v>
      </c>
      <c r="M134" s="40">
        <f t="shared" si="16"/>
        <v>0</v>
      </c>
      <c r="O134" s="40">
        <f t="shared" si="17"/>
        <v>0</v>
      </c>
      <c r="Q134" s="279">
        <f t="shared" si="18"/>
        <v>0</v>
      </c>
      <c r="S134" s="279">
        <f t="shared" si="19"/>
        <v>0</v>
      </c>
      <c r="U134" s="356"/>
      <c r="V134" s="356"/>
      <c r="W134" s="356"/>
      <c r="X134" s="356"/>
    </row>
    <row r="135" spans="3:24" x14ac:dyDescent="0.3">
      <c r="D135" s="356" t="s">
        <v>73</v>
      </c>
      <c r="E135" s="356"/>
      <c r="F135" s="356"/>
      <c r="G135" s="356"/>
      <c r="I135" s="48">
        <v>0</v>
      </c>
      <c r="K135" s="48">
        <v>0</v>
      </c>
      <c r="M135" s="40">
        <f t="shared" si="16"/>
        <v>0</v>
      </c>
      <c r="O135" s="40">
        <f t="shared" si="17"/>
        <v>0</v>
      </c>
      <c r="Q135" s="279">
        <f t="shared" si="18"/>
        <v>0</v>
      </c>
      <c r="S135" s="279">
        <f t="shared" si="19"/>
        <v>0</v>
      </c>
      <c r="U135" s="356"/>
      <c r="V135" s="356"/>
      <c r="W135" s="356"/>
      <c r="X135" s="356"/>
    </row>
    <row r="136" spans="3:24" x14ac:dyDescent="0.3">
      <c r="D136" s="356" t="s">
        <v>74</v>
      </c>
      <c r="E136" s="356"/>
      <c r="F136" s="356"/>
      <c r="G136" s="356"/>
      <c r="I136" s="48">
        <v>0</v>
      </c>
      <c r="K136" s="48">
        <v>0</v>
      </c>
      <c r="M136" s="40">
        <f t="shared" si="16"/>
        <v>0</v>
      </c>
      <c r="O136" s="40">
        <f t="shared" si="17"/>
        <v>0</v>
      </c>
      <c r="Q136" s="279">
        <f t="shared" si="18"/>
        <v>0</v>
      </c>
      <c r="S136" s="279">
        <f t="shared" si="19"/>
        <v>0</v>
      </c>
      <c r="U136" s="356"/>
      <c r="V136" s="356"/>
      <c r="W136" s="356"/>
      <c r="X136" s="356"/>
    </row>
    <row r="137" spans="3:24" x14ac:dyDescent="0.3">
      <c r="D137" s="356" t="s">
        <v>75</v>
      </c>
      <c r="E137" s="356"/>
      <c r="F137" s="356"/>
      <c r="G137" s="356"/>
      <c r="I137" s="48">
        <v>0</v>
      </c>
      <c r="K137" s="48">
        <v>0</v>
      </c>
      <c r="M137" s="40">
        <f t="shared" si="16"/>
        <v>0</v>
      </c>
      <c r="O137" s="40">
        <f t="shared" si="17"/>
        <v>0</v>
      </c>
      <c r="Q137" s="279">
        <f t="shared" si="18"/>
        <v>0</v>
      </c>
      <c r="S137" s="279">
        <f t="shared" si="19"/>
        <v>0</v>
      </c>
      <c r="U137" s="356"/>
      <c r="V137" s="356"/>
      <c r="W137" s="356"/>
      <c r="X137" s="356"/>
    </row>
    <row r="138" spans="3:24" s="277" customFormat="1" x14ac:dyDescent="0.3">
      <c r="D138" s="356" t="s">
        <v>876</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3:24" s="277" customFormat="1" x14ac:dyDescent="0.3">
      <c r="D139" s="356" t="s">
        <v>877</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3:24" s="277" customFormat="1" x14ac:dyDescent="0.3">
      <c r="D140" s="356" t="s">
        <v>878</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3:24" s="277" customFormat="1" x14ac:dyDescent="0.3">
      <c r="D141" s="356" t="s">
        <v>879</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3:24" s="277" customFormat="1" x14ac:dyDescent="0.3">
      <c r="D142" s="356" t="s">
        <v>880</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3:24" s="277" customFormat="1" x14ac:dyDescent="0.3">
      <c r="D143" s="356" t="s">
        <v>881</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3:24" s="277" customFormat="1" x14ac:dyDescent="0.3">
      <c r="D144" s="356" t="s">
        <v>882</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4:24" s="277" customFormat="1" x14ac:dyDescent="0.3">
      <c r="D145" s="356" t="s">
        <v>883</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4:24" s="277" customFormat="1" x14ac:dyDescent="0.3">
      <c r="D146" s="356" t="s">
        <v>884</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4:24" s="277" customFormat="1" x14ac:dyDescent="0.3">
      <c r="D147" s="356" t="s">
        <v>885</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4:24" s="277" customFormat="1" x14ac:dyDescent="0.3">
      <c r="D148" s="356" t="s">
        <v>886</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4:24" s="277" customFormat="1" x14ac:dyDescent="0.3">
      <c r="D149" s="356" t="s">
        <v>887</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4:24" s="277" customFormat="1" x14ac:dyDescent="0.3">
      <c r="D150" s="356" t="s">
        <v>888</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4:24" s="277" customFormat="1" x14ac:dyDescent="0.3">
      <c r="D151" s="356" t="s">
        <v>889</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4:24" s="277" customFormat="1" x14ac:dyDescent="0.3">
      <c r="D152" s="356" t="s">
        <v>890</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4:24" s="277" customFormat="1" x14ac:dyDescent="0.3">
      <c r="D153" s="356" t="s">
        <v>986</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4:24" s="277" customFormat="1" x14ac:dyDescent="0.3">
      <c r="D154" s="356" t="s">
        <v>987</v>
      </c>
      <c r="E154" s="356"/>
      <c r="F154" s="356"/>
      <c r="G154" s="356"/>
      <c r="I154" s="48">
        <v>0</v>
      </c>
      <c r="K154" s="48">
        <v>0</v>
      </c>
      <c r="M154" s="279">
        <f t="shared" si="16"/>
        <v>0</v>
      </c>
      <c r="O154" s="279">
        <f t="shared" si="17"/>
        <v>0</v>
      </c>
      <c r="Q154" s="279">
        <f t="shared" si="18"/>
        <v>0</v>
      </c>
      <c r="S154" s="279">
        <f t="shared" si="19"/>
        <v>0</v>
      </c>
      <c r="U154" s="385"/>
      <c r="V154" s="385"/>
      <c r="W154" s="385"/>
      <c r="X154" s="385"/>
    </row>
    <row r="155" spans="4:24" s="277" customFormat="1" x14ac:dyDescent="0.3">
      <c r="D155" s="356" t="s">
        <v>988</v>
      </c>
      <c r="E155" s="356"/>
      <c r="F155" s="356"/>
      <c r="G155" s="356"/>
      <c r="I155" s="48">
        <v>0</v>
      </c>
      <c r="K155" s="48">
        <v>0</v>
      </c>
      <c r="M155" s="279">
        <f t="shared" si="16"/>
        <v>0</v>
      </c>
      <c r="O155" s="279">
        <f t="shared" si="17"/>
        <v>0</v>
      </c>
      <c r="Q155" s="279">
        <f t="shared" si="18"/>
        <v>0</v>
      </c>
      <c r="S155" s="279">
        <f t="shared" si="19"/>
        <v>0</v>
      </c>
      <c r="U155" s="385"/>
      <c r="V155" s="385"/>
      <c r="W155" s="385"/>
      <c r="X155" s="385"/>
    </row>
    <row r="156" spans="4:24" s="277" customFormat="1" x14ac:dyDescent="0.3">
      <c r="D156" s="356" t="s">
        <v>989</v>
      </c>
      <c r="E156" s="356"/>
      <c r="F156" s="356"/>
      <c r="G156" s="356"/>
      <c r="I156" s="48">
        <v>0</v>
      </c>
      <c r="K156" s="48">
        <v>0</v>
      </c>
      <c r="M156" s="279">
        <f t="shared" si="16"/>
        <v>0</v>
      </c>
      <c r="O156" s="279">
        <f t="shared" si="17"/>
        <v>0</v>
      </c>
      <c r="Q156" s="279">
        <f t="shared" si="18"/>
        <v>0</v>
      </c>
      <c r="S156" s="279">
        <f t="shared" si="19"/>
        <v>0</v>
      </c>
      <c r="U156" s="385"/>
      <c r="V156" s="385"/>
      <c r="W156" s="385"/>
      <c r="X156" s="385"/>
    </row>
    <row r="157" spans="4:24" s="277" customFormat="1" x14ac:dyDescent="0.3">
      <c r="D157" s="356" t="s">
        <v>990</v>
      </c>
      <c r="E157" s="356"/>
      <c r="F157" s="356"/>
      <c r="G157" s="356"/>
      <c r="I157" s="48">
        <v>0</v>
      </c>
      <c r="K157" s="48">
        <v>0</v>
      </c>
      <c r="M157" s="279">
        <f t="shared" si="16"/>
        <v>0</v>
      </c>
      <c r="O157" s="279">
        <f t="shared" si="17"/>
        <v>0</v>
      </c>
      <c r="Q157" s="279">
        <f t="shared" si="18"/>
        <v>0</v>
      </c>
      <c r="S157" s="279">
        <f t="shared" si="19"/>
        <v>0</v>
      </c>
      <c r="U157" s="385"/>
      <c r="V157" s="385"/>
      <c r="W157" s="385"/>
      <c r="X157" s="385"/>
    </row>
    <row r="158" spans="4:24" ht="14.4" x14ac:dyDescent="0.3">
      <c r="D158" s="420" t="s">
        <v>90</v>
      </c>
      <c r="E158" s="421"/>
      <c r="F158" s="421"/>
      <c r="G158" s="421"/>
      <c r="I158" s="40"/>
      <c r="K158" s="40">
        <f>SUM(K133:K157)</f>
        <v>0</v>
      </c>
      <c r="M158" s="40"/>
      <c r="O158" s="40"/>
      <c r="Q158" s="294">
        <f>SUM(Q133:Q157)</f>
        <v>0</v>
      </c>
      <c r="S158" s="294">
        <f>SUM(S133:S157)</f>
        <v>0</v>
      </c>
    </row>
    <row r="160" spans="4:24" ht="27.6" x14ac:dyDescent="0.3">
      <c r="Q160" s="44" t="str">
        <f>"FINANCIAL COST ("&amp;INDEX(LU_ACT_Meet_Curr,DD_ACT_Meet1_Curr)&amp;")"</f>
        <v>FINANCIAL COST (GOZ)</v>
      </c>
      <c r="S160" s="44" t="str">
        <f>"ECONOMIC COST ("&amp;INDEX(LU_ACT_Meet_Curr,DD_ACT_Meet1_Curr)&amp;")"</f>
        <v>ECONOMIC COST (GOZ)</v>
      </c>
      <c r="U160" s="44" t="str">
        <f>"FINANCIAL COST ("&amp;IF(DD_ACT_Meet1_Curr=2,$D$165,$D$166)&amp;")"</f>
        <v>FINANCIAL COST (USD)</v>
      </c>
      <c r="W160" s="44" t="str">
        <f>"ECONOMIC COST ("&amp;IF(DD_ACT_Meet1_Curr=2,$D$165,$D$166)&amp;")"</f>
        <v>ECONOMIC COST (USD)</v>
      </c>
    </row>
    <row r="161" spans="2:23" ht="18.600000000000001" thickBot="1" x14ac:dyDescent="0.35">
      <c r="B161" s="99" t="s">
        <v>91</v>
      </c>
      <c r="Q161" s="46">
        <f>SUM(Q37,Q67,Q97,Q127,Q158)</f>
        <v>0</v>
      </c>
      <c r="S161" s="46">
        <f>SUM(S37,S67,S97,S127,S158)</f>
        <v>0</v>
      </c>
      <c r="U161" s="47">
        <f>IFERROR(IF(DD_ACT_Meet1_Curr=2,$Q161/$I$166,$Q161*$I$166), 0)</f>
        <v>0</v>
      </c>
      <c r="W161" s="47">
        <f>IFERROR(IF(DD_ACT_Meet1_Curr=2,$S161/$I$166,$S161*$I$166), 0)</f>
        <v>0</v>
      </c>
    </row>
    <row r="162" spans="2:23" ht="14.4" thickTop="1" x14ac:dyDescent="0.3">
      <c r="B162" s="69" t="s">
        <v>516</v>
      </c>
    </row>
    <row r="163" spans="2:23" x14ac:dyDescent="0.3">
      <c r="C163" s="91" t="s">
        <v>584</v>
      </c>
    </row>
    <row r="164" spans="2:23" hidden="1" outlineLevel="1" x14ac:dyDescent="0.3"/>
    <row r="165" spans="2:23" ht="12.9" hidden="1" customHeight="1" outlineLevel="1" x14ac:dyDescent="0.3">
      <c r="D165" s="422" t="str">
        <f>CURR_TA!D13</f>
        <v>USD</v>
      </c>
      <c r="E165" s="423"/>
      <c r="F165" s="423"/>
      <c r="G165" s="423"/>
      <c r="I165" s="279">
        <f>CURR_TA!J13</f>
        <v>1</v>
      </c>
      <c r="J165" s="279">
        <f>CURR_TA!K13</f>
        <v>0</v>
      </c>
      <c r="K165" s="279">
        <f>CURR_TA!L13</f>
        <v>0</v>
      </c>
      <c r="L165" s="279">
        <f>CURR_TA!M13</f>
        <v>0</v>
      </c>
    </row>
    <row r="166" spans="2:23" ht="12.9" hidden="1" customHeight="1" outlineLevel="1" x14ac:dyDescent="0.3">
      <c r="D166" s="422" t="str">
        <f>CURR_TA!D14</f>
        <v>GOZ</v>
      </c>
      <c r="E166" s="423"/>
      <c r="F166" s="423"/>
      <c r="G166" s="423"/>
      <c r="I166" s="279">
        <f>CURR_TA!J14</f>
        <v>0</v>
      </c>
      <c r="J166" s="279">
        <f>CURR_TA!K14</f>
        <v>0</v>
      </c>
      <c r="K166" s="279">
        <f>CURR_TA!L14</f>
        <v>0</v>
      </c>
      <c r="L166" s="279">
        <f>CURR_TA!M14</f>
        <v>0</v>
      </c>
    </row>
    <row r="167" spans="2:23" collapsed="1" x14ac:dyDescent="0.3"/>
    <row r="169" spans="2:23" x14ac:dyDescent="0.3">
      <c r="C169" s="91" t="s">
        <v>586</v>
      </c>
    </row>
    <row r="170" spans="2:23" hidden="1" outlineLevel="1" x14ac:dyDescent="0.3">
      <c r="M170" s="40" t="str">
        <f>$D$165</f>
        <v>USD</v>
      </c>
      <c r="O170" s="40" t="str">
        <f>$D$165</f>
        <v>USD</v>
      </c>
      <c r="Q170" s="40" t="str">
        <f>$D$166</f>
        <v>GOZ</v>
      </c>
      <c r="S170" s="40" t="str">
        <f>$D$166</f>
        <v>GOZ</v>
      </c>
    </row>
    <row r="171" spans="2:23" hidden="1" outlineLevel="1" x14ac:dyDescent="0.3">
      <c r="C171" s="89" t="str">
        <f>RES_BA!D14</f>
        <v>Personnel Cadre - Other 1</v>
      </c>
      <c r="M171" s="40">
        <f>RES_BA!R14</f>
        <v>0</v>
      </c>
      <c r="O171" s="40">
        <f>RES_BA!S14</f>
        <v>0</v>
      </c>
      <c r="Q171" s="40">
        <f>RES_BA!T14</f>
        <v>0</v>
      </c>
      <c r="S171" s="40">
        <f>RES_BA!U14</f>
        <v>0</v>
      </c>
    </row>
    <row r="172" spans="2:23" hidden="1" outlineLevel="1" x14ac:dyDescent="0.3">
      <c r="C172" s="89" t="str">
        <f>RES_BA!D15</f>
        <v>Personnel Cadre - Other 2</v>
      </c>
      <c r="M172" s="40">
        <f>RES_BA!R15</f>
        <v>0</v>
      </c>
      <c r="O172" s="40">
        <f>RES_BA!S15</f>
        <v>0</v>
      </c>
      <c r="Q172" s="40">
        <f>RES_BA!T15</f>
        <v>0</v>
      </c>
      <c r="S172" s="40">
        <f>RES_BA!U15</f>
        <v>0</v>
      </c>
    </row>
    <row r="173" spans="2:23" hidden="1" outlineLevel="1" x14ac:dyDescent="0.3">
      <c r="C173" s="89" t="str">
        <f>RES_BA!D16</f>
        <v>Personnel Cadre - Other 3</v>
      </c>
      <c r="M173" s="40">
        <f>RES_BA!R16</f>
        <v>0</v>
      </c>
      <c r="O173" s="40">
        <f>RES_BA!S16</f>
        <v>0</v>
      </c>
      <c r="Q173" s="40">
        <f>RES_BA!T16</f>
        <v>0</v>
      </c>
      <c r="S173" s="40">
        <f>RES_BA!U16</f>
        <v>0</v>
      </c>
    </row>
    <row r="174" spans="2:23" hidden="1" outlineLevel="1" x14ac:dyDescent="0.3">
      <c r="C174" s="89" t="str">
        <f>RES_BA!D17</f>
        <v>Personnel Cadre - Other 4</v>
      </c>
      <c r="M174" s="40">
        <f>RES_BA!R17</f>
        <v>0</v>
      </c>
      <c r="O174" s="40">
        <f>RES_BA!S17</f>
        <v>0</v>
      </c>
      <c r="Q174" s="40">
        <f>RES_BA!T17</f>
        <v>0</v>
      </c>
      <c r="S174" s="40">
        <f>RES_BA!U17</f>
        <v>0</v>
      </c>
    </row>
    <row r="175" spans="2:23" hidden="1" outlineLevel="1" x14ac:dyDescent="0.3">
      <c r="C175" s="89" t="str">
        <f>RES_BA!D18</f>
        <v>Personnel Cadre - Other 5</v>
      </c>
      <c r="M175" s="40">
        <f>RES_BA!R18</f>
        <v>0</v>
      </c>
      <c r="O175" s="40">
        <f>RES_BA!S18</f>
        <v>0</v>
      </c>
      <c r="Q175" s="40">
        <f>RES_BA!T18</f>
        <v>0</v>
      </c>
      <c r="S175" s="40">
        <f>RES_BA!U18</f>
        <v>0</v>
      </c>
    </row>
    <row r="176" spans="2:23" hidden="1" outlineLevel="1" x14ac:dyDescent="0.3">
      <c r="C176" s="89" t="str">
        <f>RES_BA!D19</f>
        <v>Personnel Cadre - Other 6</v>
      </c>
      <c r="M176" s="40">
        <f>RES_BA!R19</f>
        <v>0</v>
      </c>
      <c r="O176" s="40">
        <f>RES_BA!S19</f>
        <v>0</v>
      </c>
      <c r="Q176" s="40">
        <f>RES_BA!T19</f>
        <v>0</v>
      </c>
      <c r="S176" s="40">
        <f>RES_BA!U19</f>
        <v>0</v>
      </c>
    </row>
    <row r="177" spans="3:19" hidden="1" outlineLevel="1" x14ac:dyDescent="0.3">
      <c r="C177" s="89" t="str">
        <f>RES_BA!D20</f>
        <v>Personnel Cadre - Other 7</v>
      </c>
      <c r="M177" s="40">
        <f>RES_BA!R20</f>
        <v>0</v>
      </c>
      <c r="O177" s="40">
        <f>RES_BA!S20</f>
        <v>0</v>
      </c>
      <c r="Q177" s="40">
        <f>RES_BA!T20</f>
        <v>0</v>
      </c>
      <c r="S177" s="40">
        <f>RES_BA!U20</f>
        <v>0</v>
      </c>
    </row>
    <row r="178" spans="3:19" hidden="1" outlineLevel="1" x14ac:dyDescent="0.3">
      <c r="C178" s="89" t="str">
        <f>RES_BA!D21</f>
        <v>Personnel Cadre - Other 8</v>
      </c>
      <c r="M178" s="40">
        <f>RES_BA!R21</f>
        <v>0</v>
      </c>
      <c r="O178" s="40">
        <f>RES_BA!S21</f>
        <v>0</v>
      </c>
      <c r="Q178" s="40">
        <f>RES_BA!T21</f>
        <v>0</v>
      </c>
      <c r="S178" s="40">
        <f>RES_BA!U21</f>
        <v>0</v>
      </c>
    </row>
    <row r="179" spans="3:19" hidden="1" outlineLevel="1" x14ac:dyDescent="0.3">
      <c r="C179" s="89" t="str">
        <f>RES_BA!D22</f>
        <v>Personnel Cadre - Other 9</v>
      </c>
      <c r="M179" s="40">
        <f>RES_BA!R22</f>
        <v>0</v>
      </c>
      <c r="O179" s="40">
        <f>RES_BA!S22</f>
        <v>0</v>
      </c>
      <c r="Q179" s="40">
        <f>RES_BA!T22</f>
        <v>0</v>
      </c>
      <c r="S179" s="40">
        <f>RES_BA!U22</f>
        <v>0</v>
      </c>
    </row>
    <row r="180" spans="3:19" hidden="1" outlineLevel="1" x14ac:dyDescent="0.3">
      <c r="C180" s="89" t="str">
        <f>RES_BA!D23</f>
        <v>Personnel Cadre - Other 10</v>
      </c>
      <c r="M180" s="40">
        <f>RES_BA!R23</f>
        <v>0</v>
      </c>
      <c r="O180" s="40">
        <f>RES_BA!S23</f>
        <v>0</v>
      </c>
      <c r="Q180" s="40">
        <f>RES_BA!T23</f>
        <v>0</v>
      </c>
      <c r="S180" s="40">
        <f>RES_BA!U23</f>
        <v>0</v>
      </c>
    </row>
    <row r="181" spans="3:19" hidden="1" outlineLevel="1" x14ac:dyDescent="0.3">
      <c r="C181" s="89" t="str">
        <f>RES_BA!D24</f>
        <v>Personnel Cadre - Other 11</v>
      </c>
      <c r="M181" s="40">
        <f>RES_BA!R24</f>
        <v>0</v>
      </c>
      <c r="O181" s="40">
        <f>RES_BA!S24</f>
        <v>0</v>
      </c>
      <c r="Q181" s="40">
        <f>RES_BA!T24</f>
        <v>0</v>
      </c>
      <c r="S181" s="40">
        <f>RES_BA!U24</f>
        <v>0</v>
      </c>
    </row>
    <row r="182" spans="3:19" hidden="1" outlineLevel="1" x14ac:dyDescent="0.3">
      <c r="C182" s="89" t="str">
        <f>RES_BA!D25</f>
        <v>Personnel Cadre - Other 12</v>
      </c>
      <c r="M182" s="40">
        <f>RES_BA!R25</f>
        <v>0</v>
      </c>
      <c r="O182" s="40">
        <f>RES_BA!S25</f>
        <v>0</v>
      </c>
      <c r="Q182" s="40">
        <f>RES_BA!T25</f>
        <v>0</v>
      </c>
      <c r="S182" s="40">
        <f>RES_BA!U25</f>
        <v>0</v>
      </c>
    </row>
    <row r="183" spans="3:19" hidden="1" outlineLevel="1" x14ac:dyDescent="0.3">
      <c r="C183" s="89" t="str">
        <f>RES_BA!D26</f>
        <v>Personnel Cadre - Other 13</v>
      </c>
      <c r="M183" s="40">
        <f>RES_BA!R26</f>
        <v>0</v>
      </c>
      <c r="O183" s="40">
        <f>RES_BA!S26</f>
        <v>0</v>
      </c>
      <c r="Q183" s="40">
        <f>RES_BA!T26</f>
        <v>0</v>
      </c>
      <c r="S183" s="40">
        <f>RES_BA!U26</f>
        <v>0</v>
      </c>
    </row>
    <row r="184" spans="3:19" hidden="1" outlineLevel="1" x14ac:dyDescent="0.3">
      <c r="C184" s="89" t="str">
        <f>RES_BA!D27</f>
        <v>Personnel Cadre - Other 14</v>
      </c>
      <c r="M184" s="40">
        <f>RES_BA!R27</f>
        <v>0</v>
      </c>
      <c r="O184" s="40">
        <f>RES_BA!S27</f>
        <v>0</v>
      </c>
      <c r="Q184" s="40">
        <f>RES_BA!T27</f>
        <v>0</v>
      </c>
      <c r="S184" s="40">
        <f>RES_BA!U27</f>
        <v>0</v>
      </c>
    </row>
    <row r="185" spans="3:19" hidden="1" outlineLevel="1" x14ac:dyDescent="0.3">
      <c r="C185" s="89" t="str">
        <f>RES_BA!D28</f>
        <v>Personnel Cadre - Other 15</v>
      </c>
      <c r="M185" s="40">
        <f>RES_BA!R28</f>
        <v>0</v>
      </c>
      <c r="O185" s="40">
        <f>RES_BA!S28</f>
        <v>0</v>
      </c>
      <c r="Q185" s="40">
        <f>RES_BA!T28</f>
        <v>0</v>
      </c>
      <c r="S185" s="40">
        <f>RES_BA!U28</f>
        <v>0</v>
      </c>
    </row>
    <row r="186" spans="3:19" s="277" customFormat="1" hidden="1" outlineLevel="1" collapsed="1" x14ac:dyDescent="0.3">
      <c r="C186" s="283" t="str">
        <f>RES_BA!D29</f>
        <v>Personnel Cadre - Other 16</v>
      </c>
      <c r="M186" s="279">
        <f>RES_BA!R29</f>
        <v>0</v>
      </c>
      <c r="O186" s="279">
        <f>RES_BA!S29</f>
        <v>0</v>
      </c>
      <c r="Q186" s="279">
        <f>RES_BA!T29</f>
        <v>0</v>
      </c>
      <c r="S186" s="279">
        <f>RES_BA!U29</f>
        <v>0</v>
      </c>
    </row>
    <row r="187" spans="3:19" s="277" customFormat="1" hidden="1" outlineLevel="1" collapsed="1" x14ac:dyDescent="0.3">
      <c r="C187" s="283" t="str">
        <f>RES_BA!D30</f>
        <v>Personnel Cadre - Other 17</v>
      </c>
      <c r="M187" s="279">
        <f>RES_BA!R30</f>
        <v>0</v>
      </c>
      <c r="O187" s="279">
        <f>RES_BA!S30</f>
        <v>0</v>
      </c>
      <c r="Q187" s="279">
        <f>RES_BA!T30</f>
        <v>0</v>
      </c>
      <c r="S187" s="279">
        <f>RES_BA!U30</f>
        <v>0</v>
      </c>
    </row>
    <row r="188" spans="3:19" s="277" customFormat="1" hidden="1" outlineLevel="1" collapsed="1" x14ac:dyDescent="0.3">
      <c r="C188" s="283" t="str">
        <f>RES_BA!D31</f>
        <v>Personnel Cadre - Other 18</v>
      </c>
      <c r="M188" s="279">
        <f>RES_BA!R31</f>
        <v>0</v>
      </c>
      <c r="O188" s="279">
        <f>RES_BA!S31</f>
        <v>0</v>
      </c>
      <c r="Q188" s="279">
        <f>RES_BA!T31</f>
        <v>0</v>
      </c>
      <c r="S188" s="279">
        <f>RES_BA!U31</f>
        <v>0</v>
      </c>
    </row>
    <row r="189" spans="3:19" s="277" customFormat="1" hidden="1" outlineLevel="1" x14ac:dyDescent="0.3">
      <c r="C189" s="283" t="str">
        <f>RES_BA!D32</f>
        <v>Personnel Cadre - Other 19</v>
      </c>
      <c r="M189" s="279">
        <f>RES_BA!R32</f>
        <v>0</v>
      </c>
      <c r="O189" s="279">
        <f>RES_BA!S32</f>
        <v>0</v>
      </c>
      <c r="Q189" s="279">
        <f>RES_BA!T32</f>
        <v>0</v>
      </c>
      <c r="S189" s="279">
        <f>RES_BA!U32</f>
        <v>0</v>
      </c>
    </row>
    <row r="190" spans="3:19" s="277" customFormat="1" hidden="1" outlineLevel="1" x14ac:dyDescent="0.3">
      <c r="C190" s="283" t="str">
        <f>RES_BA!D33</f>
        <v>Personnel Cadre - Other 20</v>
      </c>
      <c r="M190" s="279">
        <f>RES_BA!R33</f>
        <v>0</v>
      </c>
      <c r="O190" s="279">
        <f>RES_BA!S33</f>
        <v>0</v>
      </c>
      <c r="Q190" s="279">
        <f>RES_BA!T33</f>
        <v>0</v>
      </c>
      <c r="S190" s="279">
        <f>RES_BA!U33</f>
        <v>0</v>
      </c>
    </row>
    <row r="191" spans="3:19" s="277" customFormat="1" hidden="1" outlineLevel="1" collapsed="1" x14ac:dyDescent="0.3">
      <c r="C191" s="283" t="str">
        <f>RES_BA!D34</f>
        <v>Personnel Cadre - Other 21</v>
      </c>
      <c r="M191" s="279">
        <f>RES_BA!R34</f>
        <v>0</v>
      </c>
      <c r="O191" s="279">
        <f>RES_BA!S34</f>
        <v>0</v>
      </c>
      <c r="Q191" s="279">
        <f>RES_BA!T34</f>
        <v>0</v>
      </c>
      <c r="S191" s="279">
        <f>RES_BA!U34</f>
        <v>0</v>
      </c>
    </row>
    <row r="192" spans="3:19" s="277" customFormat="1" hidden="1" outlineLevel="1" x14ac:dyDescent="0.3">
      <c r="C192" s="283" t="str">
        <f>RES_BA!D35</f>
        <v>Personnel Cadre - Other 22</v>
      </c>
      <c r="M192" s="279">
        <f>RES_BA!R35</f>
        <v>0</v>
      </c>
      <c r="O192" s="279">
        <f>RES_BA!S35</f>
        <v>0</v>
      </c>
      <c r="Q192" s="279">
        <f>RES_BA!T35</f>
        <v>0</v>
      </c>
      <c r="S192" s="279">
        <f>RES_BA!U35</f>
        <v>0</v>
      </c>
    </row>
    <row r="193" spans="3:19" s="277" customFormat="1" hidden="1" outlineLevel="1" x14ac:dyDescent="0.3">
      <c r="C193" s="283" t="str">
        <f>RES_BA!D36</f>
        <v>Personnel Cadre - Other 23</v>
      </c>
      <c r="M193" s="279">
        <f>RES_BA!R36</f>
        <v>0</v>
      </c>
      <c r="O193" s="279">
        <f>RES_BA!S36</f>
        <v>0</v>
      </c>
      <c r="Q193" s="279">
        <f>RES_BA!T36</f>
        <v>0</v>
      </c>
      <c r="S193" s="279">
        <f>RES_BA!U36</f>
        <v>0</v>
      </c>
    </row>
    <row r="194" spans="3:19" s="277" customFormat="1" hidden="1" outlineLevel="1" x14ac:dyDescent="0.3">
      <c r="C194" s="283" t="str">
        <f>RES_BA!D37</f>
        <v>Personnel Cadre - Other 24</v>
      </c>
      <c r="M194" s="279">
        <f>RES_BA!R37</f>
        <v>0</v>
      </c>
      <c r="O194" s="279">
        <f>RES_BA!S37</f>
        <v>0</v>
      </c>
      <c r="Q194" s="279">
        <f>RES_BA!T37</f>
        <v>0</v>
      </c>
      <c r="S194" s="279">
        <f>RES_BA!U37</f>
        <v>0</v>
      </c>
    </row>
    <row r="195" spans="3:19" s="277" customFormat="1" hidden="1" outlineLevel="1" x14ac:dyDescent="0.3">
      <c r="C195" s="283" t="str">
        <f>RES_BA!D38</f>
        <v>Personnel Cadre - Other 25</v>
      </c>
      <c r="M195" s="279">
        <f>RES_BA!R38</f>
        <v>0</v>
      </c>
      <c r="O195" s="279">
        <f>RES_BA!S38</f>
        <v>0</v>
      </c>
      <c r="Q195" s="279">
        <f>RES_BA!T38</f>
        <v>0</v>
      </c>
      <c r="S195" s="279">
        <f>RES_BA!U38</f>
        <v>0</v>
      </c>
    </row>
    <row r="196" spans="3:19" s="277" customFormat="1" hidden="1" outlineLevel="1" x14ac:dyDescent="0.3">
      <c r="C196" s="283" t="str">
        <f>RES_BA!D39</f>
        <v>Personnel Cadre - Other 26</v>
      </c>
      <c r="M196" s="279">
        <f>RES_BA!R39</f>
        <v>0</v>
      </c>
      <c r="O196" s="279">
        <f>RES_BA!S39</f>
        <v>0</v>
      </c>
      <c r="Q196" s="279">
        <f>RES_BA!T39</f>
        <v>0</v>
      </c>
      <c r="S196" s="279">
        <f>RES_BA!U39</f>
        <v>0</v>
      </c>
    </row>
    <row r="197" spans="3:19" s="277" customFormat="1" hidden="1" outlineLevel="1" x14ac:dyDescent="0.3">
      <c r="C197" s="283" t="str">
        <f>RES_BA!D40</f>
        <v>Personnel Cadre - Other 27</v>
      </c>
      <c r="M197" s="279">
        <f>RES_BA!R40</f>
        <v>0</v>
      </c>
      <c r="O197" s="279">
        <f>RES_BA!S40</f>
        <v>0</v>
      </c>
      <c r="Q197" s="279">
        <f>RES_BA!T40</f>
        <v>0</v>
      </c>
      <c r="S197" s="279">
        <f>RES_BA!U40</f>
        <v>0</v>
      </c>
    </row>
    <row r="198" spans="3:19" s="277" customFormat="1" hidden="1" outlineLevel="1" x14ac:dyDescent="0.3">
      <c r="C198" s="283" t="str">
        <f>RES_BA!D41</f>
        <v>Personnel Cadre - Other 28</v>
      </c>
      <c r="M198" s="279">
        <f>RES_BA!R41</f>
        <v>0</v>
      </c>
      <c r="O198" s="279">
        <f>RES_BA!S41</f>
        <v>0</v>
      </c>
      <c r="Q198" s="279">
        <f>RES_BA!T41</f>
        <v>0</v>
      </c>
      <c r="S198" s="279">
        <f>RES_BA!U41</f>
        <v>0</v>
      </c>
    </row>
    <row r="199" spans="3:19" s="277" customFormat="1" hidden="1" outlineLevel="1" x14ac:dyDescent="0.3">
      <c r="C199" s="283" t="str">
        <f>RES_BA!D42</f>
        <v>Personnel Cadre - Other 29</v>
      </c>
      <c r="M199" s="279">
        <f>RES_BA!R42</f>
        <v>0</v>
      </c>
      <c r="O199" s="279">
        <f>RES_BA!S42</f>
        <v>0</v>
      </c>
      <c r="Q199" s="279">
        <f>RES_BA!T42</f>
        <v>0</v>
      </c>
      <c r="S199" s="279">
        <f>RES_BA!U42</f>
        <v>0</v>
      </c>
    </row>
    <row r="200" spans="3:19" s="277" customFormat="1" hidden="1" outlineLevel="1" x14ac:dyDescent="0.3">
      <c r="C200" s="283" t="str">
        <f>RES_BA!D43</f>
        <v>Personnel Cadre - Other 30</v>
      </c>
      <c r="M200" s="279">
        <f>RES_BA!R43</f>
        <v>0</v>
      </c>
      <c r="O200" s="279">
        <f>RES_BA!S43</f>
        <v>0</v>
      </c>
      <c r="Q200" s="279">
        <f>RES_BA!T43</f>
        <v>0</v>
      </c>
      <c r="S200" s="279">
        <f>RES_BA!U43</f>
        <v>0</v>
      </c>
    </row>
    <row r="201" spans="3:19" s="277" customFormat="1" hidden="1" outlineLevel="1" x14ac:dyDescent="0.3">
      <c r="C201" s="283" t="str">
        <f>RES_BA!D44</f>
        <v>Personnel Cadre - Other 31</v>
      </c>
      <c r="M201" s="279">
        <f>RES_BA!R44</f>
        <v>0</v>
      </c>
      <c r="O201" s="279">
        <f>RES_BA!S44</f>
        <v>0</v>
      </c>
      <c r="Q201" s="279">
        <f>RES_BA!T44</f>
        <v>0</v>
      </c>
      <c r="S201" s="279">
        <f>RES_BA!U44</f>
        <v>0</v>
      </c>
    </row>
    <row r="202" spans="3:19" s="277" customFormat="1" hidden="1" outlineLevel="1" x14ac:dyDescent="0.3">
      <c r="C202" s="283" t="str">
        <f>RES_BA!D45</f>
        <v>Personnel Cadre - Other 32</v>
      </c>
      <c r="M202" s="279">
        <f>RES_BA!R45</f>
        <v>0</v>
      </c>
      <c r="O202" s="279">
        <f>RES_BA!S45</f>
        <v>0</v>
      </c>
      <c r="Q202" s="279">
        <f>RES_BA!T45</f>
        <v>0</v>
      </c>
      <c r="S202" s="279">
        <f>RES_BA!U45</f>
        <v>0</v>
      </c>
    </row>
    <row r="203" spans="3:19" s="277" customFormat="1" hidden="1" outlineLevel="1" x14ac:dyDescent="0.3">
      <c r="C203" s="283" t="str">
        <f>RES_BA!D46</f>
        <v>Personnel Cadre - Other 33</v>
      </c>
      <c r="M203" s="279">
        <f>RES_BA!R46</f>
        <v>0</v>
      </c>
      <c r="O203" s="279">
        <f>RES_BA!S46</f>
        <v>0</v>
      </c>
      <c r="Q203" s="279">
        <f>RES_BA!T46</f>
        <v>0</v>
      </c>
      <c r="S203" s="279">
        <f>RES_BA!U46</f>
        <v>0</v>
      </c>
    </row>
    <row r="204" spans="3:19" s="277" customFormat="1" hidden="1" outlineLevel="1" x14ac:dyDescent="0.3">
      <c r="C204" s="283" t="str">
        <f>RES_BA!D47</f>
        <v>Personnel Cadre - Other 34</v>
      </c>
      <c r="M204" s="279">
        <f>RES_BA!R47</f>
        <v>0</v>
      </c>
      <c r="O204" s="279">
        <f>RES_BA!S47</f>
        <v>0</v>
      </c>
      <c r="Q204" s="279">
        <f>RES_BA!T47</f>
        <v>0</v>
      </c>
      <c r="S204" s="279">
        <f>RES_BA!U47</f>
        <v>0</v>
      </c>
    </row>
    <row r="205" spans="3:19" s="277" customFormat="1" hidden="1" outlineLevel="1" x14ac:dyDescent="0.3">
      <c r="C205" s="283" t="str">
        <f>RES_BA!D48</f>
        <v>Personnel Cadre - Other 35</v>
      </c>
      <c r="M205" s="279">
        <f>RES_BA!R48</f>
        <v>0</v>
      </c>
      <c r="O205" s="279">
        <f>RES_BA!S48</f>
        <v>0</v>
      </c>
      <c r="Q205" s="279">
        <f>RES_BA!T48</f>
        <v>0</v>
      </c>
      <c r="S205" s="279">
        <f>RES_BA!U48</f>
        <v>0</v>
      </c>
    </row>
    <row r="206" spans="3:19" hidden="1" outlineLevel="1" x14ac:dyDescent="0.3"/>
    <row r="207" spans="3:19" hidden="1" outlineLevel="1" x14ac:dyDescent="0.3">
      <c r="M207" s="40" t="str">
        <f>$D$165</f>
        <v>USD</v>
      </c>
      <c r="O207" s="40" t="str">
        <f>$D$165</f>
        <v>USD</v>
      </c>
      <c r="Q207" s="40" t="str">
        <f>$D$166</f>
        <v>GOZ</v>
      </c>
      <c r="S207" s="40" t="str">
        <f>$D$166</f>
        <v>GOZ</v>
      </c>
    </row>
    <row r="208" spans="3:19" hidden="1" outlineLevel="1" x14ac:dyDescent="0.3">
      <c r="C208" s="89" t="str">
        <f>RES_BA!D53</f>
        <v>Allowances Category 1</v>
      </c>
      <c r="M208" s="40">
        <f>RES_BA!R53</f>
        <v>0</v>
      </c>
      <c r="O208" s="40">
        <f>RES_BA!S53</f>
        <v>0</v>
      </c>
      <c r="Q208" s="40">
        <f>RES_BA!T53</f>
        <v>0</v>
      </c>
      <c r="S208" s="40">
        <f>RES_BA!U53</f>
        <v>0</v>
      </c>
    </row>
    <row r="209" spans="3:19" hidden="1" outlineLevel="1" x14ac:dyDescent="0.3">
      <c r="C209" s="89" t="str">
        <f>RES_BA!D54</f>
        <v>Allowances Category 2</v>
      </c>
      <c r="M209" s="40">
        <f>RES_BA!R54</f>
        <v>0</v>
      </c>
      <c r="O209" s="40">
        <f>RES_BA!S54</f>
        <v>0</v>
      </c>
      <c r="Q209" s="40">
        <f>RES_BA!T54</f>
        <v>0</v>
      </c>
      <c r="S209" s="40">
        <f>RES_BA!U54</f>
        <v>0</v>
      </c>
    </row>
    <row r="210" spans="3:19" hidden="1" outlineLevel="1" x14ac:dyDescent="0.3">
      <c r="C210" s="89" t="str">
        <f>RES_BA!D55</f>
        <v>Allowances Category 3</v>
      </c>
      <c r="M210" s="40">
        <f>RES_BA!R55</f>
        <v>0</v>
      </c>
      <c r="O210" s="40">
        <f>RES_BA!S55</f>
        <v>0</v>
      </c>
      <c r="Q210" s="40">
        <f>RES_BA!T55</f>
        <v>0</v>
      </c>
      <c r="S210" s="40">
        <f>RES_BA!U55</f>
        <v>0</v>
      </c>
    </row>
    <row r="211" spans="3:19" hidden="1" outlineLevel="1" x14ac:dyDescent="0.3">
      <c r="C211" s="89" t="str">
        <f>RES_BA!D56</f>
        <v>Allowances Category 4</v>
      </c>
      <c r="M211" s="40">
        <f>RES_BA!R56</f>
        <v>0</v>
      </c>
      <c r="O211" s="40">
        <f>RES_BA!S56</f>
        <v>0</v>
      </c>
      <c r="Q211" s="40">
        <f>RES_BA!T56</f>
        <v>0</v>
      </c>
      <c r="S211" s="40">
        <f>RES_BA!U56</f>
        <v>0</v>
      </c>
    </row>
    <row r="212" spans="3:19" hidden="1" outlineLevel="1" x14ac:dyDescent="0.3">
      <c r="C212" s="89" t="str">
        <f>RES_BA!D57</f>
        <v>Allowances Category 5</v>
      </c>
      <c r="M212" s="40">
        <f>RES_BA!R57</f>
        <v>0</v>
      </c>
      <c r="O212" s="40">
        <f>RES_BA!S57</f>
        <v>0</v>
      </c>
      <c r="Q212" s="40">
        <f>RES_BA!T57</f>
        <v>0</v>
      </c>
      <c r="S212" s="40">
        <f>RES_BA!U57</f>
        <v>0</v>
      </c>
    </row>
    <row r="213" spans="3:19" s="277" customFormat="1" hidden="1" outlineLevel="1" collapsed="1" x14ac:dyDescent="0.3">
      <c r="C213" s="283" t="str">
        <f>RES_BA!D58</f>
        <v>Allowances Category 6</v>
      </c>
      <c r="M213" s="279">
        <f>RES_BA!R58</f>
        <v>0</v>
      </c>
      <c r="O213" s="279">
        <f>RES_BA!S58</f>
        <v>0</v>
      </c>
      <c r="Q213" s="279">
        <f>RES_BA!T58</f>
        <v>0</v>
      </c>
      <c r="S213" s="279">
        <f>RES_BA!U58</f>
        <v>0</v>
      </c>
    </row>
    <row r="214" spans="3:19" s="277" customFormat="1" hidden="1" outlineLevel="1" x14ac:dyDescent="0.3">
      <c r="C214" s="283" t="str">
        <f>RES_BA!D59</f>
        <v>Allowances Category 7</v>
      </c>
      <c r="M214" s="279">
        <f>RES_BA!R59</f>
        <v>0</v>
      </c>
      <c r="O214" s="279">
        <f>RES_BA!S59</f>
        <v>0</v>
      </c>
      <c r="Q214" s="279">
        <f>RES_BA!T59</f>
        <v>0</v>
      </c>
      <c r="S214" s="279">
        <f>RES_BA!U59</f>
        <v>0</v>
      </c>
    </row>
    <row r="215" spans="3:19" s="277" customFormat="1" hidden="1" outlineLevel="1" x14ac:dyDescent="0.3">
      <c r="C215" s="283" t="str">
        <f>RES_BA!D60</f>
        <v>Allowances Category 8</v>
      </c>
      <c r="M215" s="279">
        <f>RES_BA!R60</f>
        <v>0</v>
      </c>
      <c r="O215" s="279">
        <f>RES_BA!S60</f>
        <v>0</v>
      </c>
      <c r="Q215" s="279">
        <f>RES_BA!T60</f>
        <v>0</v>
      </c>
      <c r="S215" s="279">
        <f>RES_BA!U60</f>
        <v>0</v>
      </c>
    </row>
    <row r="216" spans="3:19" s="277" customFormat="1" hidden="1" outlineLevel="1" x14ac:dyDescent="0.3">
      <c r="C216" s="283" t="str">
        <f>RES_BA!D61</f>
        <v>Allowances Category 9</v>
      </c>
      <c r="M216" s="279">
        <f>RES_BA!R61</f>
        <v>0</v>
      </c>
      <c r="O216" s="279">
        <f>RES_BA!S61</f>
        <v>0</v>
      </c>
      <c r="Q216" s="279">
        <f>RES_BA!T61</f>
        <v>0</v>
      </c>
      <c r="S216" s="279">
        <f>RES_BA!U61</f>
        <v>0</v>
      </c>
    </row>
    <row r="217" spans="3:19" s="277" customFormat="1" hidden="1" outlineLevel="1" x14ac:dyDescent="0.3">
      <c r="C217" s="283" t="str">
        <f>RES_BA!D62</f>
        <v>Allowances Category 10</v>
      </c>
      <c r="M217" s="279">
        <f>RES_BA!R62</f>
        <v>0</v>
      </c>
      <c r="O217" s="279">
        <f>RES_BA!S62</f>
        <v>0</v>
      </c>
      <c r="Q217" s="279">
        <f>RES_BA!T62</f>
        <v>0</v>
      </c>
      <c r="S217" s="279">
        <f>RES_BA!U62</f>
        <v>0</v>
      </c>
    </row>
    <row r="218" spans="3:19" s="277" customFormat="1" hidden="1" outlineLevel="1" x14ac:dyDescent="0.3">
      <c r="C218" s="283" t="str">
        <f>RES_BA!D63</f>
        <v>Allowances Category 11</v>
      </c>
      <c r="M218" s="279">
        <f>RES_BA!R63</f>
        <v>0</v>
      </c>
      <c r="O218" s="279">
        <f>RES_BA!S63</f>
        <v>0</v>
      </c>
      <c r="Q218" s="279">
        <f>RES_BA!T63</f>
        <v>0</v>
      </c>
      <c r="S218" s="279">
        <f>RES_BA!U63</f>
        <v>0</v>
      </c>
    </row>
    <row r="219" spans="3:19" s="277" customFormat="1" hidden="1" outlineLevel="1" x14ac:dyDescent="0.3">
      <c r="C219" s="283" t="str">
        <f>RES_BA!D64</f>
        <v>Allowances Category 12</v>
      </c>
      <c r="M219" s="279">
        <f>RES_BA!R64</f>
        <v>0</v>
      </c>
      <c r="O219" s="279">
        <f>RES_BA!S64</f>
        <v>0</v>
      </c>
      <c r="Q219" s="279">
        <f>RES_BA!T64</f>
        <v>0</v>
      </c>
      <c r="S219" s="279">
        <f>RES_BA!U64</f>
        <v>0</v>
      </c>
    </row>
    <row r="220" spans="3:19" s="277" customFormat="1" hidden="1" outlineLevel="1" x14ac:dyDescent="0.3">
      <c r="C220" s="283" t="str">
        <f>RES_BA!D65</f>
        <v>Allowances Category 13</v>
      </c>
      <c r="M220" s="279">
        <f>RES_BA!R65</f>
        <v>0</v>
      </c>
      <c r="O220" s="279">
        <f>RES_BA!S65</f>
        <v>0</v>
      </c>
      <c r="Q220" s="279">
        <f>RES_BA!T65</f>
        <v>0</v>
      </c>
      <c r="S220" s="279">
        <f>RES_BA!U65</f>
        <v>0</v>
      </c>
    </row>
    <row r="221" spans="3:19" s="277" customFormat="1" hidden="1" outlineLevel="1" x14ac:dyDescent="0.3">
      <c r="C221" s="283" t="str">
        <f>RES_BA!D66</f>
        <v>Allowances Category 14</v>
      </c>
      <c r="M221" s="279">
        <f>RES_BA!R66</f>
        <v>0</v>
      </c>
      <c r="O221" s="279">
        <f>RES_BA!S66</f>
        <v>0</v>
      </c>
      <c r="Q221" s="279">
        <f>RES_BA!T66</f>
        <v>0</v>
      </c>
      <c r="S221" s="279">
        <f>RES_BA!U66</f>
        <v>0</v>
      </c>
    </row>
    <row r="222" spans="3:19" s="277" customFormat="1" hidden="1" outlineLevel="1" x14ac:dyDescent="0.3">
      <c r="C222" s="283" t="str">
        <f>RES_BA!D67</f>
        <v>Allowances Category 15</v>
      </c>
      <c r="M222" s="279">
        <f>RES_BA!R67</f>
        <v>0</v>
      </c>
      <c r="O222" s="279">
        <f>RES_BA!S67</f>
        <v>0</v>
      </c>
      <c r="Q222" s="279">
        <f>RES_BA!T67</f>
        <v>0</v>
      </c>
      <c r="S222" s="279">
        <f>RES_BA!U67</f>
        <v>0</v>
      </c>
    </row>
    <row r="223" spans="3:19" s="277" customFormat="1" hidden="1" outlineLevel="1" x14ac:dyDescent="0.3">
      <c r="C223" s="283" t="str">
        <f>RES_BA!D68</f>
        <v>Allowances Category 16</v>
      </c>
      <c r="M223" s="279">
        <f>RES_BA!R68</f>
        <v>0</v>
      </c>
      <c r="O223" s="279">
        <f>RES_BA!S68</f>
        <v>0</v>
      </c>
      <c r="Q223" s="279">
        <f>RES_BA!T68</f>
        <v>0</v>
      </c>
      <c r="S223" s="279">
        <f>RES_BA!U68</f>
        <v>0</v>
      </c>
    </row>
    <row r="224" spans="3:19" hidden="1" outlineLevel="1" x14ac:dyDescent="0.3">
      <c r="C224" s="89" t="str">
        <f>RES_BA!D69</f>
        <v>Allowances Category 17</v>
      </c>
      <c r="M224" s="40">
        <f>RES_BA!R69</f>
        <v>0</v>
      </c>
      <c r="O224" s="40">
        <f>RES_BA!S69</f>
        <v>0</v>
      </c>
      <c r="Q224" s="40">
        <f>RES_BA!T69</f>
        <v>0</v>
      </c>
      <c r="S224" s="40">
        <f>RES_BA!U69</f>
        <v>0</v>
      </c>
    </row>
    <row r="225" spans="3:19" hidden="1" outlineLevel="1" x14ac:dyDescent="0.3">
      <c r="C225" s="89" t="str">
        <f>RES_BA!D70</f>
        <v>Allowances Category 18</v>
      </c>
      <c r="M225" s="40">
        <f>RES_BA!R70</f>
        <v>0</v>
      </c>
      <c r="O225" s="40">
        <f>RES_BA!S70</f>
        <v>0</v>
      </c>
      <c r="Q225" s="40">
        <f>RES_BA!T70</f>
        <v>0</v>
      </c>
      <c r="S225" s="40">
        <f>RES_BA!U70</f>
        <v>0</v>
      </c>
    </row>
    <row r="226" spans="3:19" hidden="1" outlineLevel="1" x14ac:dyDescent="0.3">
      <c r="C226" s="89" t="str">
        <f>RES_BA!D71</f>
        <v>Allowances Category 19</v>
      </c>
      <c r="M226" s="40">
        <f>RES_BA!R71</f>
        <v>0</v>
      </c>
      <c r="O226" s="40">
        <f>RES_BA!S71</f>
        <v>0</v>
      </c>
      <c r="Q226" s="40">
        <f>RES_BA!T71</f>
        <v>0</v>
      </c>
      <c r="S226" s="40">
        <f>RES_BA!U71</f>
        <v>0</v>
      </c>
    </row>
    <row r="227" spans="3:19" hidden="1" outlineLevel="1" x14ac:dyDescent="0.3">
      <c r="C227" s="89" t="str">
        <f>RES_BA!D72</f>
        <v>Allowances Category 20</v>
      </c>
      <c r="M227" s="40">
        <f>RES_BA!R72</f>
        <v>0</v>
      </c>
      <c r="O227" s="40">
        <f>RES_BA!S72</f>
        <v>0</v>
      </c>
      <c r="Q227" s="40">
        <f>RES_BA!T72</f>
        <v>0</v>
      </c>
      <c r="S227" s="40">
        <f>RES_BA!U72</f>
        <v>0</v>
      </c>
    </row>
    <row r="228" spans="3:19" hidden="1" outlineLevel="1" x14ac:dyDescent="0.3">
      <c r="C228" s="89" t="str">
        <f>RES_BA!D73</f>
        <v>Allowances Category 21</v>
      </c>
      <c r="M228" s="40">
        <f>RES_BA!R73</f>
        <v>0</v>
      </c>
      <c r="O228" s="40">
        <f>RES_BA!S73</f>
        <v>0</v>
      </c>
      <c r="Q228" s="40">
        <f>RES_BA!T73</f>
        <v>0</v>
      </c>
      <c r="S228" s="40">
        <f>RES_BA!U73</f>
        <v>0</v>
      </c>
    </row>
    <row r="229" spans="3:19" hidden="1" outlineLevel="1" x14ac:dyDescent="0.3">
      <c r="C229" s="89" t="str">
        <f>RES_BA!D74</f>
        <v>Allowances Category 22</v>
      </c>
      <c r="M229" s="40">
        <f>RES_BA!R74</f>
        <v>0</v>
      </c>
      <c r="O229" s="40">
        <f>RES_BA!S74</f>
        <v>0</v>
      </c>
      <c r="Q229" s="40">
        <f>RES_BA!T74</f>
        <v>0</v>
      </c>
      <c r="S229" s="40">
        <f>RES_BA!U74</f>
        <v>0</v>
      </c>
    </row>
    <row r="230" spans="3:19" hidden="1" outlineLevel="1" x14ac:dyDescent="0.3">
      <c r="C230" s="89" t="str">
        <f>RES_BA!D75</f>
        <v>Allowances Category 23</v>
      </c>
      <c r="M230" s="40">
        <f>RES_BA!R75</f>
        <v>0</v>
      </c>
      <c r="O230" s="40">
        <f>RES_BA!S75</f>
        <v>0</v>
      </c>
      <c r="Q230" s="40">
        <f>RES_BA!T75</f>
        <v>0</v>
      </c>
      <c r="S230" s="40">
        <f>RES_BA!U75</f>
        <v>0</v>
      </c>
    </row>
    <row r="231" spans="3:19" s="277" customFormat="1" hidden="1" outlineLevel="1" collapsed="1" x14ac:dyDescent="0.3">
      <c r="C231" s="283" t="str">
        <f>RES_BA!D76</f>
        <v>Allowances Category 24</v>
      </c>
      <c r="M231" s="279">
        <f>RES_BA!R76</f>
        <v>0</v>
      </c>
      <c r="O231" s="279">
        <f>RES_BA!S76</f>
        <v>0</v>
      </c>
      <c r="Q231" s="279">
        <f>RES_BA!T76</f>
        <v>0</v>
      </c>
      <c r="S231" s="279">
        <f>RES_BA!U76</f>
        <v>0</v>
      </c>
    </row>
    <row r="232" spans="3:19" s="277" customFormat="1" hidden="1" outlineLevel="1" x14ac:dyDescent="0.3">
      <c r="C232" s="283" t="str">
        <f>RES_BA!D77</f>
        <v>Allowances Category 25</v>
      </c>
      <c r="M232" s="279">
        <f>RES_BA!R77</f>
        <v>0</v>
      </c>
      <c r="O232" s="279">
        <f>RES_BA!S77</f>
        <v>0</v>
      </c>
      <c r="Q232" s="279">
        <f>RES_BA!T77</f>
        <v>0</v>
      </c>
      <c r="S232" s="279">
        <f>RES_BA!U77</f>
        <v>0</v>
      </c>
    </row>
    <row r="233" spans="3:19" s="277" customFormat="1" hidden="1" outlineLevel="1" x14ac:dyDescent="0.3">
      <c r="C233" s="283" t="str">
        <f>RES_BA!D78</f>
        <v>Allowances Category 26</v>
      </c>
      <c r="M233" s="279">
        <f>RES_BA!R78</f>
        <v>0</v>
      </c>
      <c r="O233" s="279">
        <f>RES_BA!S78</f>
        <v>0</v>
      </c>
      <c r="Q233" s="279">
        <f>RES_BA!T78</f>
        <v>0</v>
      </c>
      <c r="S233" s="279">
        <f>RES_BA!U78</f>
        <v>0</v>
      </c>
    </row>
    <row r="234" spans="3:19" s="277" customFormat="1" hidden="1" outlineLevel="1" x14ac:dyDescent="0.3">
      <c r="C234" s="283" t="str">
        <f>RES_BA!D79</f>
        <v>Allowances Category 27</v>
      </c>
      <c r="M234" s="279">
        <f>RES_BA!R79</f>
        <v>0</v>
      </c>
      <c r="O234" s="279">
        <f>RES_BA!S79</f>
        <v>0</v>
      </c>
      <c r="Q234" s="279">
        <f>RES_BA!T79</f>
        <v>0</v>
      </c>
      <c r="S234" s="279">
        <f>RES_BA!U79</f>
        <v>0</v>
      </c>
    </row>
    <row r="235" spans="3:19" s="277" customFormat="1" hidden="1" outlineLevel="1" x14ac:dyDescent="0.3">
      <c r="C235" s="283" t="str">
        <f>RES_BA!D80</f>
        <v>Allowances Category 28</v>
      </c>
      <c r="M235" s="279">
        <f>RES_BA!R80</f>
        <v>0</v>
      </c>
      <c r="O235" s="279">
        <f>RES_BA!S80</f>
        <v>0</v>
      </c>
      <c r="Q235" s="279">
        <f>RES_BA!T80</f>
        <v>0</v>
      </c>
      <c r="S235" s="279">
        <f>RES_BA!U80</f>
        <v>0</v>
      </c>
    </row>
    <row r="236" spans="3:19" s="277" customFormat="1" hidden="1" outlineLevel="1" x14ac:dyDescent="0.3">
      <c r="C236" s="283" t="str">
        <f>RES_BA!D81</f>
        <v>Allowances Category 29</v>
      </c>
      <c r="M236" s="279">
        <f>RES_BA!R81</f>
        <v>0</v>
      </c>
      <c r="O236" s="279">
        <f>RES_BA!S81</f>
        <v>0</v>
      </c>
      <c r="Q236" s="279">
        <f>RES_BA!T81</f>
        <v>0</v>
      </c>
      <c r="S236" s="279">
        <f>RES_BA!U81</f>
        <v>0</v>
      </c>
    </row>
    <row r="237" spans="3:19" s="277" customFormat="1" hidden="1" outlineLevel="1" x14ac:dyDescent="0.3">
      <c r="C237" s="283" t="str">
        <f>RES_BA!D82</f>
        <v>Allowances Category 30</v>
      </c>
      <c r="M237" s="279">
        <f>RES_BA!R82</f>
        <v>0</v>
      </c>
      <c r="O237" s="279">
        <f>RES_BA!S82</f>
        <v>0</v>
      </c>
      <c r="Q237" s="279">
        <f>RES_BA!T82</f>
        <v>0</v>
      </c>
      <c r="S237" s="279">
        <f>RES_BA!U82</f>
        <v>0</v>
      </c>
    </row>
    <row r="238" spans="3:19" hidden="1" outlineLevel="1" x14ac:dyDescent="0.3">
      <c r="C238" s="89" t="str">
        <f>RES_BA!D83</f>
        <v>Allowances Category 31</v>
      </c>
      <c r="M238" s="40">
        <f>RES_BA!R83</f>
        <v>0</v>
      </c>
      <c r="O238" s="40">
        <f>RES_BA!S83</f>
        <v>0</v>
      </c>
      <c r="Q238" s="40">
        <f>RES_BA!T83</f>
        <v>0</v>
      </c>
      <c r="S238" s="40">
        <f>RES_BA!U83</f>
        <v>0</v>
      </c>
    </row>
    <row r="239" spans="3:19" hidden="1" outlineLevel="1" x14ac:dyDescent="0.3">
      <c r="C239" s="89" t="str">
        <f>RES_BA!D84</f>
        <v>Allowances Category 32</v>
      </c>
      <c r="M239" s="40">
        <f>RES_BA!R84</f>
        <v>0</v>
      </c>
      <c r="O239" s="40">
        <f>RES_BA!S84</f>
        <v>0</v>
      </c>
      <c r="Q239" s="40">
        <f>RES_BA!T84</f>
        <v>0</v>
      </c>
      <c r="S239" s="40">
        <f>RES_BA!U84</f>
        <v>0</v>
      </c>
    </row>
    <row r="240" spans="3:19" hidden="1" outlineLevel="1" x14ac:dyDescent="0.3">
      <c r="C240" s="89" t="str">
        <f>RES_BA!D85</f>
        <v>Allowances Category 33</v>
      </c>
      <c r="M240" s="40">
        <f>RES_BA!R85</f>
        <v>0</v>
      </c>
      <c r="O240" s="40">
        <f>RES_BA!S85</f>
        <v>0</v>
      </c>
      <c r="Q240" s="40">
        <f>RES_BA!T85</f>
        <v>0</v>
      </c>
      <c r="S240" s="40">
        <f>RES_BA!U85</f>
        <v>0</v>
      </c>
    </row>
    <row r="241" spans="3:19" hidden="1" outlineLevel="1" x14ac:dyDescent="0.3">
      <c r="C241" s="89" t="str">
        <f>RES_BA!D86</f>
        <v>Allowances Category 34</v>
      </c>
      <c r="M241" s="40">
        <f>RES_BA!R86</f>
        <v>0</v>
      </c>
      <c r="O241" s="40">
        <f>RES_BA!S86</f>
        <v>0</v>
      </c>
      <c r="Q241" s="40">
        <f>RES_BA!T86</f>
        <v>0</v>
      </c>
      <c r="S241" s="40">
        <f>RES_BA!U86</f>
        <v>0</v>
      </c>
    </row>
    <row r="242" spans="3:19" hidden="1" outlineLevel="1" x14ac:dyDescent="0.3">
      <c r="C242" s="89" t="str">
        <f>RES_BA!D87</f>
        <v>Allowances Category 35</v>
      </c>
      <c r="M242" s="40">
        <f>RES_BA!R87</f>
        <v>0</v>
      </c>
      <c r="O242" s="40">
        <f>RES_BA!S87</f>
        <v>0</v>
      </c>
      <c r="Q242" s="40">
        <f>RES_BA!T87</f>
        <v>0</v>
      </c>
      <c r="S242" s="40">
        <f>RES_BA!U87</f>
        <v>0</v>
      </c>
    </row>
    <row r="243" spans="3:19" hidden="1" outlineLevel="1" x14ac:dyDescent="0.3"/>
    <row r="244" spans="3:19" hidden="1" outlineLevel="1" x14ac:dyDescent="0.3"/>
    <row r="245" spans="3:19" hidden="1" outlineLevel="1" x14ac:dyDescent="0.3">
      <c r="M245" s="40" t="str">
        <f>$D$165</f>
        <v>USD</v>
      </c>
      <c r="O245" s="40" t="str">
        <f>$D$165</f>
        <v>USD</v>
      </c>
      <c r="Q245" s="40" t="str">
        <f>$D$166</f>
        <v>GOZ</v>
      </c>
      <c r="S245" s="40" t="str">
        <f>$D$166</f>
        <v>GOZ</v>
      </c>
    </row>
    <row r="246" spans="3:19" hidden="1" outlineLevel="1" x14ac:dyDescent="0.3">
      <c r="C246" s="89" t="str">
        <f>RES_BA!D91</f>
        <v>Supplies Category 1</v>
      </c>
      <c r="M246" s="40">
        <f>RES_BA!R91</f>
        <v>0</v>
      </c>
      <c r="O246" s="40">
        <f>RES_BA!S91</f>
        <v>0</v>
      </c>
      <c r="Q246" s="40">
        <f>RES_BA!T91</f>
        <v>0</v>
      </c>
      <c r="S246" s="40">
        <f>RES_BA!U91</f>
        <v>0</v>
      </c>
    </row>
    <row r="247" spans="3:19" hidden="1" outlineLevel="1" x14ac:dyDescent="0.3">
      <c r="C247" s="89" t="str">
        <f>RES_BA!D92</f>
        <v>Supplies Category 2</v>
      </c>
      <c r="M247" s="40">
        <f>RES_BA!R92</f>
        <v>0</v>
      </c>
      <c r="O247" s="40">
        <f>RES_BA!S92</f>
        <v>0</v>
      </c>
      <c r="Q247" s="40">
        <f>RES_BA!T92</f>
        <v>0</v>
      </c>
      <c r="S247" s="40">
        <f>RES_BA!U92</f>
        <v>0</v>
      </c>
    </row>
    <row r="248" spans="3:19" hidden="1" outlineLevel="1" x14ac:dyDescent="0.3">
      <c r="C248" s="89" t="str">
        <f>RES_BA!D93</f>
        <v>Supplies Category 3</v>
      </c>
      <c r="M248" s="40">
        <f>RES_BA!R93</f>
        <v>0</v>
      </c>
      <c r="O248" s="40">
        <f>RES_BA!S93</f>
        <v>0</v>
      </c>
      <c r="Q248" s="40">
        <f>RES_BA!T93</f>
        <v>0</v>
      </c>
      <c r="S248" s="40">
        <f>RES_BA!U93</f>
        <v>0</v>
      </c>
    </row>
    <row r="249" spans="3:19" hidden="1" outlineLevel="1" x14ac:dyDescent="0.3">
      <c r="C249" s="89" t="str">
        <f>RES_BA!D94</f>
        <v>Supplies Category 4</v>
      </c>
      <c r="M249" s="40">
        <f>RES_BA!R94</f>
        <v>0</v>
      </c>
      <c r="O249" s="40">
        <f>RES_BA!S94</f>
        <v>0</v>
      </c>
      <c r="Q249" s="40">
        <f>RES_BA!T94</f>
        <v>0</v>
      </c>
      <c r="S249" s="40">
        <f>RES_BA!U94</f>
        <v>0</v>
      </c>
    </row>
    <row r="250" spans="3:19" hidden="1" outlineLevel="1" x14ac:dyDescent="0.3">
      <c r="C250" s="89" t="str">
        <f>RES_BA!D95</f>
        <v>Supplies Category 5</v>
      </c>
      <c r="M250" s="40">
        <f>RES_BA!R95</f>
        <v>0</v>
      </c>
      <c r="O250" s="40">
        <f>RES_BA!S95</f>
        <v>0</v>
      </c>
      <c r="Q250" s="40">
        <f>RES_BA!T95</f>
        <v>0</v>
      </c>
      <c r="S250" s="40">
        <f>RES_BA!U95</f>
        <v>0</v>
      </c>
    </row>
    <row r="251" spans="3:19" hidden="1" outlineLevel="1" x14ac:dyDescent="0.3">
      <c r="C251" s="89" t="str">
        <f>RES_BA!D96</f>
        <v>Supplies Category 6</v>
      </c>
      <c r="M251" s="40">
        <f>RES_BA!R96</f>
        <v>0</v>
      </c>
      <c r="O251" s="40">
        <f>RES_BA!S96</f>
        <v>0</v>
      </c>
      <c r="Q251" s="40">
        <f>RES_BA!T96</f>
        <v>0</v>
      </c>
      <c r="S251" s="40">
        <f>RES_BA!U96</f>
        <v>0</v>
      </c>
    </row>
    <row r="252" spans="3:19" hidden="1" outlineLevel="1" x14ac:dyDescent="0.3">
      <c r="C252" s="89" t="str">
        <f>RES_BA!D97</f>
        <v>Supplies Category 7</v>
      </c>
      <c r="M252" s="40">
        <f>RES_BA!R97</f>
        <v>0</v>
      </c>
      <c r="O252" s="40">
        <f>RES_BA!S97</f>
        <v>0</v>
      </c>
      <c r="Q252" s="40">
        <f>RES_BA!T97</f>
        <v>0</v>
      </c>
      <c r="S252" s="40">
        <f>RES_BA!U97</f>
        <v>0</v>
      </c>
    </row>
    <row r="253" spans="3:19" hidden="1" outlineLevel="1" x14ac:dyDescent="0.3">
      <c r="C253" s="89" t="str">
        <f>RES_BA!D98</f>
        <v>Supplies Category 8</v>
      </c>
      <c r="M253" s="40">
        <f>RES_BA!R98</f>
        <v>0</v>
      </c>
      <c r="O253" s="40">
        <f>RES_BA!S98</f>
        <v>0</v>
      </c>
      <c r="Q253" s="40">
        <f>RES_BA!T98</f>
        <v>0</v>
      </c>
      <c r="S253" s="40">
        <f>RES_BA!U98</f>
        <v>0</v>
      </c>
    </row>
    <row r="254" spans="3:19" hidden="1" outlineLevel="1" x14ac:dyDescent="0.3">
      <c r="C254" s="89" t="str">
        <f>RES_BA!D99</f>
        <v>Supplies Category 9</v>
      </c>
      <c r="M254" s="40">
        <f>RES_BA!R99</f>
        <v>0</v>
      </c>
      <c r="O254" s="40">
        <f>RES_BA!S99</f>
        <v>0</v>
      </c>
      <c r="Q254" s="40">
        <f>RES_BA!T99</f>
        <v>0</v>
      </c>
      <c r="S254" s="40">
        <f>RES_BA!U99</f>
        <v>0</v>
      </c>
    </row>
    <row r="255" spans="3:19" hidden="1" outlineLevel="1" x14ac:dyDescent="0.3">
      <c r="C255" s="89" t="str">
        <f>RES_BA!D100</f>
        <v>Supplies Category 10</v>
      </c>
      <c r="M255" s="40">
        <f>RES_BA!R100</f>
        <v>0</v>
      </c>
      <c r="O255" s="40">
        <f>RES_BA!S100</f>
        <v>0</v>
      </c>
      <c r="Q255" s="40">
        <f>RES_BA!T100</f>
        <v>0</v>
      </c>
      <c r="S255" s="40">
        <f>RES_BA!U100</f>
        <v>0</v>
      </c>
    </row>
    <row r="256" spans="3:19" hidden="1" outlineLevel="1" x14ac:dyDescent="0.3">
      <c r="C256" s="89" t="str">
        <f>RES_BA!D101</f>
        <v>Supplies Category 11</v>
      </c>
      <c r="M256" s="40">
        <f>RES_BA!R101</f>
        <v>0</v>
      </c>
      <c r="O256" s="40">
        <f>RES_BA!S101</f>
        <v>0</v>
      </c>
      <c r="Q256" s="40">
        <f>RES_BA!T101</f>
        <v>0</v>
      </c>
      <c r="S256" s="40">
        <f>RES_BA!U101</f>
        <v>0</v>
      </c>
    </row>
    <row r="257" spans="3:19" hidden="1" outlineLevel="1" x14ac:dyDescent="0.3">
      <c r="C257" s="89" t="str">
        <f>RES_BA!D102</f>
        <v>Supplies Category 12</v>
      </c>
      <c r="M257" s="40">
        <f>RES_BA!R102</f>
        <v>0</v>
      </c>
      <c r="O257" s="40">
        <f>RES_BA!S102</f>
        <v>0</v>
      </c>
      <c r="Q257" s="40">
        <f>RES_BA!T102</f>
        <v>0</v>
      </c>
      <c r="S257" s="40">
        <f>RES_BA!U102</f>
        <v>0</v>
      </c>
    </row>
    <row r="258" spans="3:19" hidden="1" outlineLevel="1" x14ac:dyDescent="0.3">
      <c r="C258" s="89" t="str">
        <f>RES_BA!D103</f>
        <v>Supplies Category 13</v>
      </c>
      <c r="M258" s="40">
        <f>RES_BA!R103</f>
        <v>0</v>
      </c>
      <c r="O258" s="40">
        <f>RES_BA!S103</f>
        <v>0</v>
      </c>
      <c r="Q258" s="40">
        <f>RES_BA!T103</f>
        <v>0</v>
      </c>
      <c r="S258" s="40">
        <f>RES_BA!U103</f>
        <v>0</v>
      </c>
    </row>
    <row r="259" spans="3:19" hidden="1" outlineLevel="1" x14ac:dyDescent="0.3">
      <c r="C259" s="89" t="str">
        <f>RES_BA!D104</f>
        <v>Supplies Category 14</v>
      </c>
      <c r="M259" s="40">
        <f>RES_BA!R104</f>
        <v>0</v>
      </c>
      <c r="O259" s="40">
        <f>RES_BA!S104</f>
        <v>0</v>
      </c>
      <c r="Q259" s="40">
        <f>RES_BA!T104</f>
        <v>0</v>
      </c>
      <c r="S259" s="40">
        <f>RES_BA!U104</f>
        <v>0</v>
      </c>
    </row>
    <row r="260" spans="3:19" hidden="1" outlineLevel="1" x14ac:dyDescent="0.3">
      <c r="C260" s="89" t="str">
        <f>RES_BA!D105</f>
        <v>Supplies Category 15</v>
      </c>
      <c r="M260" s="40">
        <f>RES_BA!R105</f>
        <v>0</v>
      </c>
      <c r="O260" s="40">
        <f>RES_BA!S105</f>
        <v>0</v>
      </c>
      <c r="Q260" s="40">
        <f>RES_BA!T105</f>
        <v>0</v>
      </c>
      <c r="S260" s="40">
        <f>RES_BA!U105</f>
        <v>0</v>
      </c>
    </row>
    <row r="261" spans="3:19" hidden="1" outlineLevel="1" x14ac:dyDescent="0.3">
      <c r="C261" s="89" t="str">
        <f>RES_BA!D106</f>
        <v>Supplies Category 16</v>
      </c>
      <c r="M261" s="40">
        <f>RES_BA!R106</f>
        <v>0</v>
      </c>
      <c r="O261" s="40">
        <f>RES_BA!S106</f>
        <v>0</v>
      </c>
      <c r="Q261" s="40">
        <f>RES_BA!T106</f>
        <v>0</v>
      </c>
      <c r="S261" s="40">
        <f>RES_BA!U106</f>
        <v>0</v>
      </c>
    </row>
    <row r="262" spans="3:19" s="277" customFormat="1" hidden="1" outlineLevel="1" collapsed="1" x14ac:dyDescent="0.3">
      <c r="C262" s="283" t="str">
        <f>RES_BA!D107</f>
        <v>Supplies Category 17</v>
      </c>
      <c r="M262" s="279">
        <f>RES_BA!R107</f>
        <v>0</v>
      </c>
      <c r="O262" s="279">
        <f>RES_BA!S107</f>
        <v>0</v>
      </c>
      <c r="Q262" s="279">
        <f>RES_BA!T107</f>
        <v>0</v>
      </c>
      <c r="S262" s="279">
        <f>RES_BA!U107</f>
        <v>0</v>
      </c>
    </row>
    <row r="263" spans="3:19" s="277" customFormat="1" hidden="1" outlineLevel="1" x14ac:dyDescent="0.3">
      <c r="C263" s="283" t="str">
        <f>RES_BA!D108</f>
        <v>Supplies Category 18</v>
      </c>
      <c r="M263" s="279">
        <f>RES_BA!R108</f>
        <v>0</v>
      </c>
      <c r="O263" s="279">
        <f>RES_BA!S108</f>
        <v>0</v>
      </c>
      <c r="Q263" s="279">
        <f>RES_BA!T108</f>
        <v>0</v>
      </c>
      <c r="S263" s="279">
        <f>RES_BA!U108</f>
        <v>0</v>
      </c>
    </row>
    <row r="264" spans="3:19" s="277" customFormat="1" hidden="1" outlineLevel="1" x14ac:dyDescent="0.3">
      <c r="C264" s="283" t="str">
        <f>RES_BA!D109</f>
        <v>Supplies Category 19</v>
      </c>
      <c r="M264" s="279">
        <f>RES_BA!R109</f>
        <v>0</v>
      </c>
      <c r="O264" s="279">
        <f>RES_BA!S109</f>
        <v>0</v>
      </c>
      <c r="Q264" s="279">
        <f>RES_BA!T109</f>
        <v>0</v>
      </c>
      <c r="S264" s="279">
        <f>RES_BA!U109</f>
        <v>0</v>
      </c>
    </row>
    <row r="265" spans="3:19" s="277" customFormat="1" hidden="1" outlineLevel="1" x14ac:dyDescent="0.3">
      <c r="C265" s="283" t="str">
        <f>RES_BA!D110</f>
        <v>Supplies Category 20</v>
      </c>
      <c r="M265" s="279">
        <f>RES_BA!R110</f>
        <v>0</v>
      </c>
      <c r="O265" s="279">
        <f>RES_BA!S110</f>
        <v>0</v>
      </c>
      <c r="Q265" s="279">
        <f>RES_BA!T110</f>
        <v>0</v>
      </c>
      <c r="S265" s="279">
        <f>RES_BA!U110</f>
        <v>0</v>
      </c>
    </row>
    <row r="266" spans="3:19" s="277" customFormat="1" hidden="1" outlineLevel="1" x14ac:dyDescent="0.3">
      <c r="C266" s="283" t="str">
        <f>RES_BA!D111</f>
        <v>Supplies Category 21</v>
      </c>
      <c r="M266" s="279">
        <f>RES_BA!R111</f>
        <v>0</v>
      </c>
      <c r="O266" s="279">
        <f>RES_BA!S111</f>
        <v>0</v>
      </c>
      <c r="Q266" s="279">
        <f>RES_BA!T111</f>
        <v>0</v>
      </c>
      <c r="S266" s="279">
        <f>RES_BA!U111</f>
        <v>0</v>
      </c>
    </row>
    <row r="267" spans="3:19" s="277" customFormat="1" hidden="1" outlineLevel="1" x14ac:dyDescent="0.3">
      <c r="C267" s="283" t="str">
        <f>RES_BA!D112</f>
        <v>Supplies Category 22</v>
      </c>
      <c r="M267" s="279">
        <f>RES_BA!R112</f>
        <v>0</v>
      </c>
      <c r="O267" s="279">
        <f>RES_BA!S112</f>
        <v>0</v>
      </c>
      <c r="Q267" s="279">
        <f>RES_BA!T112</f>
        <v>0</v>
      </c>
      <c r="S267" s="279">
        <f>RES_BA!U112</f>
        <v>0</v>
      </c>
    </row>
    <row r="268" spans="3:19" s="277" customFormat="1" hidden="1" outlineLevel="1" x14ac:dyDescent="0.3">
      <c r="C268" s="283" t="str">
        <f>RES_BA!D113</f>
        <v>Supplies Category 23</v>
      </c>
      <c r="M268" s="279">
        <f>RES_BA!R113</f>
        <v>0</v>
      </c>
      <c r="O268" s="279">
        <f>RES_BA!S113</f>
        <v>0</v>
      </c>
      <c r="Q268" s="279">
        <f>RES_BA!T113</f>
        <v>0</v>
      </c>
      <c r="S268" s="279">
        <f>RES_BA!U113</f>
        <v>0</v>
      </c>
    </row>
    <row r="269" spans="3:19" s="277" customFormat="1" hidden="1" outlineLevel="1" x14ac:dyDescent="0.3">
      <c r="C269" s="283" t="str">
        <f>RES_BA!D114</f>
        <v>Supplies Category 24</v>
      </c>
      <c r="M269" s="279">
        <f>RES_BA!R114</f>
        <v>0</v>
      </c>
      <c r="O269" s="279">
        <f>RES_BA!S114</f>
        <v>0</v>
      </c>
      <c r="Q269" s="279">
        <f>RES_BA!T114</f>
        <v>0</v>
      </c>
      <c r="S269" s="279">
        <f>RES_BA!U114</f>
        <v>0</v>
      </c>
    </row>
    <row r="270" spans="3:19" s="277" customFormat="1" hidden="1" outlineLevel="1" x14ac:dyDescent="0.3">
      <c r="C270" s="283" t="str">
        <f>RES_BA!D115</f>
        <v>Supplies Category 25</v>
      </c>
      <c r="M270" s="279">
        <f>RES_BA!R115</f>
        <v>0</v>
      </c>
      <c r="O270" s="279">
        <f>RES_BA!S115</f>
        <v>0</v>
      </c>
      <c r="Q270" s="279">
        <f>RES_BA!T115</f>
        <v>0</v>
      </c>
      <c r="S270" s="279">
        <f>RES_BA!U115</f>
        <v>0</v>
      </c>
    </row>
    <row r="271" spans="3:19" s="277" customFormat="1" hidden="1" outlineLevel="1" x14ac:dyDescent="0.3">
      <c r="C271" s="283" t="str">
        <f>RES_BA!D116</f>
        <v>Supplies Category 26</v>
      </c>
      <c r="M271" s="279">
        <f>RES_BA!R116</f>
        <v>0</v>
      </c>
      <c r="O271" s="279">
        <f>RES_BA!S116</f>
        <v>0</v>
      </c>
      <c r="Q271" s="279">
        <f>RES_BA!T116</f>
        <v>0</v>
      </c>
      <c r="S271" s="279">
        <f>RES_BA!U116</f>
        <v>0</v>
      </c>
    </row>
    <row r="272" spans="3:19" s="277" customFormat="1" hidden="1" outlineLevel="1" x14ac:dyDescent="0.3">
      <c r="C272" s="283" t="str">
        <f>RES_BA!D117</f>
        <v>Supplies Category 27</v>
      </c>
      <c r="M272" s="279">
        <f>RES_BA!R117</f>
        <v>0</v>
      </c>
      <c r="O272" s="279">
        <f>RES_BA!S117</f>
        <v>0</v>
      </c>
      <c r="Q272" s="279">
        <f>RES_BA!T117</f>
        <v>0</v>
      </c>
      <c r="S272" s="279">
        <f>RES_BA!U117</f>
        <v>0</v>
      </c>
    </row>
    <row r="273" spans="3:19" s="277" customFormat="1" hidden="1" outlineLevel="1" x14ac:dyDescent="0.3">
      <c r="C273" s="283" t="str">
        <f>RES_BA!D118</f>
        <v>Supplies Category 28</v>
      </c>
      <c r="M273" s="279">
        <f>RES_BA!R118</f>
        <v>0</v>
      </c>
      <c r="O273" s="279">
        <f>RES_BA!S118</f>
        <v>0</v>
      </c>
      <c r="Q273" s="279">
        <f>RES_BA!T118</f>
        <v>0</v>
      </c>
      <c r="S273" s="279">
        <f>RES_BA!U118</f>
        <v>0</v>
      </c>
    </row>
    <row r="274" spans="3:19" s="277" customFormat="1" hidden="1" outlineLevel="1" x14ac:dyDescent="0.3">
      <c r="C274" s="283" t="str">
        <f>RES_BA!D119</f>
        <v>Supplies Category 29</v>
      </c>
      <c r="M274" s="279">
        <f>RES_BA!R119</f>
        <v>0</v>
      </c>
      <c r="O274" s="279">
        <f>RES_BA!S119</f>
        <v>0</v>
      </c>
      <c r="Q274" s="279">
        <f>RES_BA!T119</f>
        <v>0</v>
      </c>
      <c r="S274" s="279">
        <f>RES_BA!U119</f>
        <v>0</v>
      </c>
    </row>
    <row r="275" spans="3:19" s="277" customFormat="1" hidden="1" outlineLevel="1" collapsed="1" x14ac:dyDescent="0.3">
      <c r="C275" s="283" t="str">
        <f>RES_BA!D120</f>
        <v>Supplies Category 30</v>
      </c>
      <c r="M275" s="279">
        <f>RES_BA!R120</f>
        <v>0</v>
      </c>
      <c r="O275" s="279">
        <f>RES_BA!S120</f>
        <v>0</v>
      </c>
      <c r="Q275" s="279">
        <f>RES_BA!T120</f>
        <v>0</v>
      </c>
      <c r="S275" s="279">
        <f>RES_BA!U120</f>
        <v>0</v>
      </c>
    </row>
    <row r="276" spans="3:19" s="277" customFormat="1" hidden="1" outlineLevel="1" x14ac:dyDescent="0.3">
      <c r="C276" s="283" t="str">
        <f>RES_BA!D121</f>
        <v>Supplies Category 31</v>
      </c>
      <c r="M276" s="279">
        <f>RES_BA!R121</f>
        <v>0</v>
      </c>
      <c r="O276" s="279">
        <f>RES_BA!S121</f>
        <v>0</v>
      </c>
      <c r="Q276" s="279">
        <f>RES_BA!T121</f>
        <v>0</v>
      </c>
      <c r="S276" s="279">
        <f>RES_BA!U121</f>
        <v>0</v>
      </c>
    </row>
    <row r="277" spans="3:19" s="277" customFormat="1" hidden="1" outlineLevel="1" x14ac:dyDescent="0.3">
      <c r="C277" s="283" t="str">
        <f>RES_BA!D122</f>
        <v>Supplies Category 32</v>
      </c>
      <c r="M277" s="279">
        <f>RES_BA!R122</f>
        <v>0</v>
      </c>
      <c r="O277" s="279">
        <f>RES_BA!S122</f>
        <v>0</v>
      </c>
      <c r="Q277" s="279">
        <f>RES_BA!T122</f>
        <v>0</v>
      </c>
      <c r="S277" s="279">
        <f>RES_BA!U122</f>
        <v>0</v>
      </c>
    </row>
    <row r="278" spans="3:19" s="277" customFormat="1" hidden="1" outlineLevel="1" x14ac:dyDescent="0.3">
      <c r="C278" s="283" t="str">
        <f>RES_BA!D123</f>
        <v>Supplies Category 33</v>
      </c>
      <c r="M278" s="279">
        <f>RES_BA!R123</f>
        <v>0</v>
      </c>
      <c r="O278" s="279">
        <f>RES_BA!S123</f>
        <v>0</v>
      </c>
      <c r="Q278" s="279">
        <f>RES_BA!T123</f>
        <v>0</v>
      </c>
      <c r="S278" s="279">
        <f>RES_BA!U123</f>
        <v>0</v>
      </c>
    </row>
    <row r="279" spans="3:19" s="277" customFormat="1" hidden="1" outlineLevel="1" x14ac:dyDescent="0.3">
      <c r="C279" s="283" t="str">
        <f>RES_BA!D124</f>
        <v>Supplies Category 34</v>
      </c>
      <c r="M279" s="279">
        <f>RES_BA!R124</f>
        <v>0</v>
      </c>
      <c r="O279" s="279">
        <f>RES_BA!S124</f>
        <v>0</v>
      </c>
      <c r="Q279" s="279">
        <f>RES_BA!T124</f>
        <v>0</v>
      </c>
      <c r="S279" s="279">
        <f>RES_BA!U124</f>
        <v>0</v>
      </c>
    </row>
    <row r="280" spans="3:19" s="277" customFormat="1" hidden="1" outlineLevel="1" x14ac:dyDescent="0.3">
      <c r="C280" s="283" t="str">
        <f>RES_BA!D125</f>
        <v>Supplies Category 35</v>
      </c>
      <c r="M280" s="279">
        <f>RES_BA!R125</f>
        <v>0</v>
      </c>
      <c r="O280" s="279">
        <f>RES_BA!S125</f>
        <v>0</v>
      </c>
      <c r="Q280" s="279">
        <f>RES_BA!T125</f>
        <v>0</v>
      </c>
      <c r="S280" s="279">
        <f>RES_BA!U125</f>
        <v>0</v>
      </c>
    </row>
    <row r="281" spans="3:19" hidden="1" outlineLevel="1" x14ac:dyDescent="0.3"/>
    <row r="282" spans="3:19" hidden="1" outlineLevel="1" x14ac:dyDescent="0.3">
      <c r="M282" s="40" t="str">
        <f>$D$165</f>
        <v>USD</v>
      </c>
      <c r="O282" s="40" t="str">
        <f>$D$165</f>
        <v>USD</v>
      </c>
      <c r="Q282" s="40" t="str">
        <f>$D$166</f>
        <v>GOZ</v>
      </c>
      <c r="S282" s="40" t="str">
        <f>$D$166</f>
        <v>GOZ</v>
      </c>
    </row>
    <row r="283" spans="3:19" hidden="1" outlineLevel="1" x14ac:dyDescent="0.3">
      <c r="C283" s="89" t="str">
        <f>RES_BA!D130</f>
        <v>Equipment Category 1</v>
      </c>
      <c r="M283" s="40">
        <f>RES_BA!R130</f>
        <v>0</v>
      </c>
      <c r="O283" s="40">
        <f>RES_BA!S130</f>
        <v>0</v>
      </c>
      <c r="Q283" s="40">
        <f>RES_BA!T130</f>
        <v>0</v>
      </c>
      <c r="S283" s="40">
        <f>RES_BA!U130</f>
        <v>0</v>
      </c>
    </row>
    <row r="284" spans="3:19" hidden="1" outlineLevel="1" x14ac:dyDescent="0.3">
      <c r="C284" s="89" t="str">
        <f>RES_BA!D131</f>
        <v>Equipment Category 2</v>
      </c>
      <c r="M284" s="40">
        <f>RES_BA!R131</f>
        <v>0</v>
      </c>
      <c r="O284" s="40">
        <f>RES_BA!S131</f>
        <v>0</v>
      </c>
      <c r="Q284" s="40">
        <f>RES_BA!T131</f>
        <v>0</v>
      </c>
      <c r="S284" s="40">
        <f>RES_BA!U131</f>
        <v>0</v>
      </c>
    </row>
    <row r="285" spans="3:19" hidden="1" outlineLevel="1" x14ac:dyDescent="0.3">
      <c r="C285" s="89" t="str">
        <f>RES_BA!D132</f>
        <v>Equipment Category 3</v>
      </c>
      <c r="M285" s="40">
        <f>RES_BA!R132</f>
        <v>0</v>
      </c>
      <c r="O285" s="40">
        <f>RES_BA!S132</f>
        <v>0</v>
      </c>
      <c r="Q285" s="40">
        <f>RES_BA!T132</f>
        <v>0</v>
      </c>
      <c r="S285" s="40">
        <f>RES_BA!U132</f>
        <v>0</v>
      </c>
    </row>
    <row r="286" spans="3:19" hidden="1" outlineLevel="1" x14ac:dyDescent="0.3">
      <c r="C286" s="89" t="str">
        <f>RES_BA!D133</f>
        <v>Equipment Category 4</v>
      </c>
      <c r="M286" s="40">
        <f>RES_BA!R133</f>
        <v>0</v>
      </c>
      <c r="O286" s="40">
        <f>RES_BA!S133</f>
        <v>0</v>
      </c>
      <c r="Q286" s="40">
        <f>RES_BA!T133</f>
        <v>0</v>
      </c>
      <c r="S286" s="40">
        <f>RES_BA!U133</f>
        <v>0</v>
      </c>
    </row>
    <row r="287" spans="3:19" hidden="1" outlineLevel="1" x14ac:dyDescent="0.3">
      <c r="C287" s="89" t="str">
        <f>RES_BA!D134</f>
        <v>Equipment Category 5</v>
      </c>
      <c r="M287" s="40">
        <f>RES_BA!R134</f>
        <v>0</v>
      </c>
      <c r="O287" s="40">
        <f>RES_BA!S134</f>
        <v>0</v>
      </c>
      <c r="Q287" s="40">
        <f>RES_BA!T134</f>
        <v>0</v>
      </c>
      <c r="S287" s="40">
        <f>RES_BA!U134</f>
        <v>0</v>
      </c>
    </row>
    <row r="288" spans="3:19" hidden="1" outlineLevel="1" x14ac:dyDescent="0.3">
      <c r="C288" s="89" t="str">
        <f>RES_BA!D135</f>
        <v>Equipment Category 6</v>
      </c>
      <c r="M288" s="40">
        <f>RES_BA!R135</f>
        <v>0</v>
      </c>
      <c r="O288" s="40">
        <f>RES_BA!S135</f>
        <v>0</v>
      </c>
      <c r="Q288" s="40">
        <f>RES_BA!T135</f>
        <v>0</v>
      </c>
      <c r="S288" s="40">
        <f>RES_BA!U135</f>
        <v>0</v>
      </c>
    </row>
    <row r="289" spans="3:19" s="277" customFormat="1" hidden="1" outlineLevel="1" collapsed="1" x14ac:dyDescent="0.3">
      <c r="C289" s="283" t="str">
        <f>RES_BA!D136</f>
        <v>Equipment Category 7</v>
      </c>
      <c r="M289" s="279">
        <f>RES_BA!R136</f>
        <v>0</v>
      </c>
      <c r="O289" s="279">
        <f>RES_BA!S136</f>
        <v>0</v>
      </c>
      <c r="Q289" s="279">
        <f>RES_BA!T136</f>
        <v>0</v>
      </c>
      <c r="S289" s="279">
        <f>RES_BA!U136</f>
        <v>0</v>
      </c>
    </row>
    <row r="290" spans="3:19" s="277" customFormat="1" hidden="1" outlineLevel="1" x14ac:dyDescent="0.3">
      <c r="C290" s="283" t="str">
        <f>RES_BA!D137</f>
        <v>Equipment Category 8</v>
      </c>
      <c r="M290" s="279">
        <f>RES_BA!R137</f>
        <v>0</v>
      </c>
      <c r="O290" s="279">
        <f>RES_BA!S137</f>
        <v>0</v>
      </c>
      <c r="Q290" s="279">
        <f>RES_BA!T137</f>
        <v>0</v>
      </c>
      <c r="S290" s="279">
        <f>RES_BA!U137</f>
        <v>0</v>
      </c>
    </row>
    <row r="291" spans="3:19" s="277" customFormat="1" hidden="1" outlineLevel="1" x14ac:dyDescent="0.3">
      <c r="C291" s="283" t="str">
        <f>RES_BA!D138</f>
        <v>Equipment Category 9</v>
      </c>
      <c r="M291" s="279">
        <f>RES_BA!R138</f>
        <v>0</v>
      </c>
      <c r="O291" s="279">
        <f>RES_BA!S138</f>
        <v>0</v>
      </c>
      <c r="Q291" s="279">
        <f>RES_BA!T138</f>
        <v>0</v>
      </c>
      <c r="S291" s="279">
        <f>RES_BA!U138</f>
        <v>0</v>
      </c>
    </row>
    <row r="292" spans="3:19" s="277" customFormat="1" hidden="1" outlineLevel="1" x14ac:dyDescent="0.3">
      <c r="C292" s="283" t="str">
        <f>RES_BA!D139</f>
        <v>Equipment Category 10</v>
      </c>
      <c r="M292" s="279">
        <f>RES_BA!R139</f>
        <v>0</v>
      </c>
      <c r="O292" s="279">
        <f>RES_BA!S139</f>
        <v>0</v>
      </c>
      <c r="Q292" s="279">
        <f>RES_BA!T139</f>
        <v>0</v>
      </c>
      <c r="S292" s="279">
        <f>RES_BA!U139</f>
        <v>0</v>
      </c>
    </row>
    <row r="293" spans="3:19" s="277" customFormat="1" hidden="1" outlineLevel="1" x14ac:dyDescent="0.3">
      <c r="C293" s="283" t="str">
        <f>RES_BA!D140</f>
        <v>Equipment Category 11</v>
      </c>
      <c r="M293" s="279">
        <f>RES_BA!R140</f>
        <v>0</v>
      </c>
      <c r="O293" s="279">
        <f>RES_BA!S140</f>
        <v>0</v>
      </c>
      <c r="Q293" s="279">
        <f>RES_BA!T140</f>
        <v>0</v>
      </c>
      <c r="S293" s="279">
        <f>RES_BA!U140</f>
        <v>0</v>
      </c>
    </row>
    <row r="294" spans="3:19" s="277" customFormat="1" hidden="1" outlineLevel="1" x14ac:dyDescent="0.3">
      <c r="C294" s="283" t="str">
        <f>RES_BA!D141</f>
        <v>Equipment Category 12</v>
      </c>
      <c r="M294" s="279">
        <f>RES_BA!R141</f>
        <v>0</v>
      </c>
      <c r="O294" s="279">
        <f>RES_BA!S141</f>
        <v>0</v>
      </c>
      <c r="Q294" s="279">
        <f>RES_BA!T141</f>
        <v>0</v>
      </c>
      <c r="S294" s="279">
        <f>RES_BA!U141</f>
        <v>0</v>
      </c>
    </row>
    <row r="295" spans="3:19" s="277" customFormat="1" hidden="1" outlineLevel="1" collapsed="1" x14ac:dyDescent="0.3">
      <c r="C295" s="283" t="str">
        <f>RES_BA!D142</f>
        <v>Equipment Category 13</v>
      </c>
      <c r="M295" s="279">
        <f>RES_BA!R142</f>
        <v>0</v>
      </c>
      <c r="O295" s="279">
        <f>RES_BA!S142</f>
        <v>0</v>
      </c>
      <c r="Q295" s="279">
        <f>RES_BA!T142</f>
        <v>0</v>
      </c>
      <c r="S295" s="279">
        <f>RES_BA!U142</f>
        <v>0</v>
      </c>
    </row>
    <row r="296" spans="3:19" s="277" customFormat="1" hidden="1" outlineLevel="1" x14ac:dyDescent="0.3">
      <c r="C296" s="283" t="str">
        <f>RES_BA!D143</f>
        <v>Equipment Category 14</v>
      </c>
      <c r="M296" s="279">
        <f>RES_BA!R143</f>
        <v>0</v>
      </c>
      <c r="O296" s="279">
        <f>RES_BA!S143</f>
        <v>0</v>
      </c>
      <c r="Q296" s="279">
        <f>RES_BA!T143</f>
        <v>0</v>
      </c>
      <c r="S296" s="279">
        <f>RES_BA!U143</f>
        <v>0</v>
      </c>
    </row>
    <row r="297" spans="3:19" s="277" customFormat="1" hidden="1" outlineLevel="1" x14ac:dyDescent="0.3">
      <c r="C297" s="283" t="str">
        <f>RES_BA!D144</f>
        <v>Equipment Category 15</v>
      </c>
      <c r="M297" s="279">
        <f>RES_BA!R144</f>
        <v>0</v>
      </c>
      <c r="O297" s="279">
        <f>RES_BA!S144</f>
        <v>0</v>
      </c>
      <c r="Q297" s="279">
        <f>RES_BA!T144</f>
        <v>0</v>
      </c>
      <c r="S297" s="279">
        <f>RES_BA!U144</f>
        <v>0</v>
      </c>
    </row>
    <row r="298" spans="3:19" s="277" customFormat="1" hidden="1" outlineLevel="1" x14ac:dyDescent="0.3">
      <c r="C298" s="283" t="str">
        <f>RES_BA!D145</f>
        <v>Equipment Category 16</v>
      </c>
      <c r="M298" s="279">
        <f>RES_BA!R145</f>
        <v>0</v>
      </c>
      <c r="O298" s="279">
        <f>RES_BA!S145</f>
        <v>0</v>
      </c>
      <c r="Q298" s="279">
        <f>RES_BA!T145</f>
        <v>0</v>
      </c>
      <c r="S298" s="279">
        <f>RES_BA!U145</f>
        <v>0</v>
      </c>
    </row>
    <row r="299" spans="3:19" s="277" customFormat="1" hidden="1" outlineLevel="1" x14ac:dyDescent="0.3">
      <c r="C299" s="283" t="str">
        <f>RES_BA!D146</f>
        <v>Equipment Category 17</v>
      </c>
      <c r="M299" s="279">
        <f>RES_BA!R146</f>
        <v>0</v>
      </c>
      <c r="O299" s="279">
        <f>RES_BA!S146</f>
        <v>0</v>
      </c>
      <c r="Q299" s="279">
        <f>RES_BA!T146</f>
        <v>0</v>
      </c>
      <c r="S299" s="279">
        <f>RES_BA!U146</f>
        <v>0</v>
      </c>
    </row>
    <row r="300" spans="3:19" s="277" customFormat="1" hidden="1" outlineLevel="1" x14ac:dyDescent="0.3">
      <c r="C300" s="283" t="str">
        <f>RES_BA!D147</f>
        <v>Equipment Category 18</v>
      </c>
      <c r="M300" s="279">
        <f>RES_BA!R147</f>
        <v>0</v>
      </c>
      <c r="O300" s="279">
        <f>RES_BA!S147</f>
        <v>0</v>
      </c>
      <c r="Q300" s="279">
        <f>RES_BA!T147</f>
        <v>0</v>
      </c>
      <c r="S300" s="279">
        <f>RES_BA!U147</f>
        <v>0</v>
      </c>
    </row>
    <row r="301" spans="3:19" s="277" customFormat="1" hidden="1" outlineLevel="1" x14ac:dyDescent="0.3">
      <c r="C301" s="283" t="str">
        <f>RES_BA!D148</f>
        <v>Equipment Category 19</v>
      </c>
      <c r="M301" s="279">
        <f>RES_BA!R148</f>
        <v>0</v>
      </c>
      <c r="O301" s="279">
        <f>RES_BA!S148</f>
        <v>0</v>
      </c>
      <c r="Q301" s="279">
        <f>RES_BA!T148</f>
        <v>0</v>
      </c>
      <c r="S301" s="279">
        <f>RES_BA!U148</f>
        <v>0</v>
      </c>
    </row>
    <row r="302" spans="3:19" s="277" customFormat="1" hidden="1" outlineLevel="1" x14ac:dyDescent="0.3">
      <c r="C302" s="283" t="str">
        <f>RES_BA!D149</f>
        <v>Equipment Category 20</v>
      </c>
      <c r="M302" s="279">
        <f>RES_BA!R149</f>
        <v>0</v>
      </c>
      <c r="O302" s="279">
        <f>RES_BA!S149</f>
        <v>0</v>
      </c>
      <c r="Q302" s="279">
        <f>RES_BA!T149</f>
        <v>0</v>
      </c>
      <c r="S302" s="279">
        <f>RES_BA!U149</f>
        <v>0</v>
      </c>
    </row>
    <row r="303" spans="3:19" s="277" customFormat="1" hidden="1" outlineLevel="1" x14ac:dyDescent="0.3">
      <c r="C303" s="283" t="str">
        <f>RES_BA!D150</f>
        <v>Equipment Category 21</v>
      </c>
      <c r="M303" s="279">
        <f>RES_BA!R150</f>
        <v>0</v>
      </c>
      <c r="O303" s="279">
        <f>RES_BA!S150</f>
        <v>0</v>
      </c>
      <c r="Q303" s="279">
        <f>RES_BA!T150</f>
        <v>0</v>
      </c>
      <c r="S303" s="279">
        <f>RES_BA!U150</f>
        <v>0</v>
      </c>
    </row>
    <row r="304" spans="3:19" s="277" customFormat="1" hidden="1" outlineLevel="1" x14ac:dyDescent="0.3">
      <c r="C304" s="283" t="str">
        <f>RES_BA!D151</f>
        <v>Equipment Category 22</v>
      </c>
      <c r="M304" s="279">
        <f>RES_BA!R151</f>
        <v>0</v>
      </c>
      <c r="O304" s="279">
        <f>RES_BA!S151</f>
        <v>0</v>
      </c>
      <c r="Q304" s="279">
        <f>RES_BA!T151</f>
        <v>0</v>
      </c>
      <c r="S304" s="279">
        <f>RES_BA!U151</f>
        <v>0</v>
      </c>
    </row>
    <row r="305" spans="3:19" s="277" customFormat="1" hidden="1" outlineLevel="1" x14ac:dyDescent="0.3">
      <c r="C305" s="283" t="str">
        <f>RES_BA!D152</f>
        <v>Equipment Category 23</v>
      </c>
      <c r="M305" s="279">
        <f>RES_BA!R152</f>
        <v>0</v>
      </c>
      <c r="O305" s="279">
        <f>RES_BA!S152</f>
        <v>0</v>
      </c>
      <c r="Q305" s="279">
        <f>RES_BA!T152</f>
        <v>0</v>
      </c>
      <c r="S305" s="279">
        <f>RES_BA!U152</f>
        <v>0</v>
      </c>
    </row>
    <row r="306" spans="3:19" s="277" customFormat="1" hidden="1" outlineLevel="1" collapsed="1" x14ac:dyDescent="0.3">
      <c r="C306" s="283" t="str">
        <f>RES_BA!D153</f>
        <v>Equipment Category 24</v>
      </c>
      <c r="M306" s="279">
        <f>RES_BA!R153</f>
        <v>0</v>
      </c>
      <c r="O306" s="279">
        <f>RES_BA!S153</f>
        <v>0</v>
      </c>
      <c r="Q306" s="279">
        <f>RES_BA!T153</f>
        <v>0</v>
      </c>
      <c r="S306" s="279">
        <f>RES_BA!U153</f>
        <v>0</v>
      </c>
    </row>
    <row r="307" spans="3:19" s="277" customFormat="1" hidden="1" outlineLevel="1" x14ac:dyDescent="0.3">
      <c r="C307" s="283" t="str">
        <f>RES_BA!D154</f>
        <v>Equipment Category 25</v>
      </c>
      <c r="M307" s="279">
        <f>RES_BA!R154</f>
        <v>0</v>
      </c>
      <c r="O307" s="279">
        <f>RES_BA!S154</f>
        <v>0</v>
      </c>
      <c r="Q307" s="279">
        <f>RES_BA!T154</f>
        <v>0</v>
      </c>
      <c r="S307" s="279">
        <f>RES_BA!U154</f>
        <v>0</v>
      </c>
    </row>
    <row r="308" spans="3:19" s="277" customFormat="1" hidden="1" outlineLevel="1" x14ac:dyDescent="0.3">
      <c r="C308" s="283" t="str">
        <f>RES_BA!D155</f>
        <v>Equipment Category 26</v>
      </c>
      <c r="M308" s="279">
        <f>RES_BA!R155</f>
        <v>0</v>
      </c>
      <c r="O308" s="279">
        <f>RES_BA!S155</f>
        <v>0</v>
      </c>
      <c r="Q308" s="279">
        <f>RES_BA!T155</f>
        <v>0</v>
      </c>
      <c r="S308" s="279">
        <f>RES_BA!U155</f>
        <v>0</v>
      </c>
    </row>
    <row r="309" spans="3:19" s="277" customFormat="1" hidden="1" outlineLevel="1" x14ac:dyDescent="0.3">
      <c r="C309" s="283" t="str">
        <f>RES_BA!D156</f>
        <v>Equipment Category 27</v>
      </c>
      <c r="M309" s="279">
        <f>RES_BA!R156</f>
        <v>0</v>
      </c>
      <c r="O309" s="279">
        <f>RES_BA!S156</f>
        <v>0</v>
      </c>
      <c r="Q309" s="279">
        <f>RES_BA!T156</f>
        <v>0</v>
      </c>
      <c r="S309" s="279">
        <f>RES_BA!U156</f>
        <v>0</v>
      </c>
    </row>
    <row r="310" spans="3:19" s="277" customFormat="1" hidden="1" outlineLevel="1" x14ac:dyDescent="0.3">
      <c r="C310" s="283" t="str">
        <f>RES_BA!D157</f>
        <v>Equipment Category 28</v>
      </c>
      <c r="M310" s="279">
        <f>RES_BA!R157</f>
        <v>0</v>
      </c>
      <c r="O310" s="279">
        <f>RES_BA!S157</f>
        <v>0</v>
      </c>
      <c r="Q310" s="279">
        <f>RES_BA!T157</f>
        <v>0</v>
      </c>
      <c r="S310" s="279">
        <f>RES_BA!U157</f>
        <v>0</v>
      </c>
    </row>
    <row r="311" spans="3:19" s="277" customFormat="1" hidden="1" outlineLevel="1" x14ac:dyDescent="0.3">
      <c r="C311" s="283" t="str">
        <f>RES_BA!D158</f>
        <v>Equipment Category 29</v>
      </c>
      <c r="M311" s="279">
        <f>RES_BA!R158</f>
        <v>0</v>
      </c>
      <c r="O311" s="279">
        <f>RES_BA!S158</f>
        <v>0</v>
      </c>
      <c r="Q311" s="279">
        <f>RES_BA!T158</f>
        <v>0</v>
      </c>
      <c r="S311" s="279">
        <f>RES_BA!U158</f>
        <v>0</v>
      </c>
    </row>
    <row r="312" spans="3:19" s="277" customFormat="1" hidden="1" outlineLevel="1" x14ac:dyDescent="0.3">
      <c r="C312" s="283" t="str">
        <f>RES_BA!D159</f>
        <v>Equipment Category 30</v>
      </c>
      <c r="M312" s="279">
        <f>RES_BA!R159</f>
        <v>0</v>
      </c>
      <c r="O312" s="279">
        <f>RES_BA!S159</f>
        <v>0</v>
      </c>
      <c r="Q312" s="279">
        <f>RES_BA!T159</f>
        <v>0</v>
      </c>
      <c r="S312" s="279">
        <f>RES_BA!U159</f>
        <v>0</v>
      </c>
    </row>
    <row r="313" spans="3:19" s="277" customFormat="1" hidden="1" outlineLevel="1" x14ac:dyDescent="0.3">
      <c r="C313" s="283" t="str">
        <f>RES_BA!D160</f>
        <v>Equipment Category 31</v>
      </c>
      <c r="M313" s="279">
        <f>RES_BA!R160</f>
        <v>0</v>
      </c>
      <c r="O313" s="279">
        <f>RES_BA!S160</f>
        <v>0</v>
      </c>
      <c r="Q313" s="279">
        <f>RES_BA!T160</f>
        <v>0</v>
      </c>
      <c r="S313" s="279">
        <f>RES_BA!U160</f>
        <v>0</v>
      </c>
    </row>
    <row r="314" spans="3:19" s="277" customFormat="1" hidden="1" outlineLevel="1" x14ac:dyDescent="0.3">
      <c r="C314" s="283" t="str">
        <f>RES_BA!D161</f>
        <v>Equipment Category 32</v>
      </c>
      <c r="M314" s="279">
        <f>RES_BA!R161</f>
        <v>0</v>
      </c>
      <c r="O314" s="279">
        <f>RES_BA!S161</f>
        <v>0</v>
      </c>
      <c r="Q314" s="279">
        <f>RES_BA!T161</f>
        <v>0</v>
      </c>
      <c r="S314" s="279">
        <f>RES_BA!U161</f>
        <v>0</v>
      </c>
    </row>
    <row r="315" spans="3:19" s="277" customFormat="1" hidden="1" outlineLevel="1" x14ac:dyDescent="0.3">
      <c r="C315" s="283" t="str">
        <f>RES_BA!D162</f>
        <v>Equipment Category 33</v>
      </c>
      <c r="M315" s="279">
        <f>RES_BA!R162</f>
        <v>0</v>
      </c>
      <c r="O315" s="279">
        <f>RES_BA!S162</f>
        <v>0</v>
      </c>
      <c r="Q315" s="279">
        <f>RES_BA!T162</f>
        <v>0</v>
      </c>
      <c r="S315" s="279">
        <f>RES_BA!U162</f>
        <v>0</v>
      </c>
    </row>
    <row r="316" spans="3:19" s="277" customFormat="1" hidden="1" outlineLevel="1" collapsed="1" x14ac:dyDescent="0.3">
      <c r="C316" s="283" t="str">
        <f>RES_BA!D163</f>
        <v>Equipment Category 34</v>
      </c>
      <c r="M316" s="279">
        <f>RES_BA!R163</f>
        <v>0</v>
      </c>
      <c r="O316" s="279">
        <f>RES_BA!S163</f>
        <v>0</v>
      </c>
      <c r="Q316" s="279">
        <f>RES_BA!T163</f>
        <v>0</v>
      </c>
      <c r="S316" s="279">
        <f>RES_BA!U163</f>
        <v>0</v>
      </c>
    </row>
    <row r="317" spans="3:19" s="277" customFormat="1" hidden="1" outlineLevel="1" x14ac:dyDescent="0.3">
      <c r="C317" s="283" t="str">
        <f>RES_BA!D164</f>
        <v>Equipment Category 35</v>
      </c>
      <c r="M317" s="279">
        <f>RES_BA!R164</f>
        <v>0</v>
      </c>
      <c r="O317" s="279">
        <f>RES_BA!S164</f>
        <v>0</v>
      </c>
      <c r="Q317" s="279">
        <f>RES_BA!T164</f>
        <v>0</v>
      </c>
      <c r="S317" s="279">
        <f>RES_BA!U164</f>
        <v>0</v>
      </c>
    </row>
    <row r="318" spans="3:19" hidden="1" outlineLevel="1" x14ac:dyDescent="0.3"/>
    <row r="319" spans="3:19" hidden="1" outlineLevel="1" x14ac:dyDescent="0.3"/>
    <row r="320" spans="3:19" hidden="1" outlineLevel="1" x14ac:dyDescent="0.3">
      <c r="M320" s="40" t="str">
        <f>$D$165</f>
        <v>USD</v>
      </c>
      <c r="O320" s="40" t="str">
        <f>$D$165</f>
        <v>USD</v>
      </c>
      <c r="Q320" s="40" t="str">
        <f>$D$166</f>
        <v>GOZ</v>
      </c>
      <c r="S320" s="40" t="str">
        <f>$D$166</f>
        <v>GOZ</v>
      </c>
    </row>
    <row r="321" spans="3:19" hidden="1" outlineLevel="1" x14ac:dyDescent="0.3">
      <c r="C321" s="89" t="str">
        <f>RES_BA!D169</f>
        <v>Other Direct Costs Category 1</v>
      </c>
      <c r="M321" s="40">
        <f>RES_BA!R169</f>
        <v>0</v>
      </c>
      <c r="O321" s="40">
        <f>RES_BA!S169</f>
        <v>0</v>
      </c>
      <c r="Q321" s="40">
        <f>RES_BA!T169</f>
        <v>0</v>
      </c>
      <c r="S321" s="40">
        <f>RES_BA!U169</f>
        <v>0</v>
      </c>
    </row>
    <row r="322" spans="3:19" hidden="1" outlineLevel="1" x14ac:dyDescent="0.3">
      <c r="C322" s="89" t="str">
        <f>RES_BA!D170</f>
        <v>Other Direct Costs Category 2</v>
      </c>
      <c r="M322" s="40">
        <f>RES_BA!R170</f>
        <v>0</v>
      </c>
      <c r="O322" s="40">
        <f>RES_BA!S170</f>
        <v>0</v>
      </c>
      <c r="Q322" s="40">
        <f>RES_BA!T170</f>
        <v>0</v>
      </c>
      <c r="S322" s="40">
        <f>RES_BA!U170</f>
        <v>0</v>
      </c>
    </row>
    <row r="323" spans="3:19" hidden="1" outlineLevel="1" x14ac:dyDescent="0.3">
      <c r="C323" s="89" t="str">
        <f>RES_BA!D171</f>
        <v>Other Direct Costs Category 3</v>
      </c>
      <c r="M323" s="40">
        <f>RES_BA!R171</f>
        <v>0</v>
      </c>
      <c r="O323" s="40">
        <f>RES_BA!S171</f>
        <v>0</v>
      </c>
      <c r="Q323" s="40">
        <f>RES_BA!T171</f>
        <v>0</v>
      </c>
      <c r="S323" s="40">
        <f>RES_BA!U171</f>
        <v>0</v>
      </c>
    </row>
    <row r="324" spans="3:19" s="277" customFormat="1" hidden="1" outlineLevel="1" collapsed="1" x14ac:dyDescent="0.3">
      <c r="C324" s="283" t="str">
        <f>RES_BA!D172</f>
        <v>Other Direct Costs Category 4</v>
      </c>
      <c r="M324" s="279">
        <f>RES_BA!R172</f>
        <v>0</v>
      </c>
      <c r="O324" s="279">
        <f>RES_BA!S172</f>
        <v>0</v>
      </c>
      <c r="Q324" s="279">
        <f>RES_BA!T172</f>
        <v>0</v>
      </c>
      <c r="S324" s="279">
        <f>RES_BA!U172</f>
        <v>0</v>
      </c>
    </row>
    <row r="325" spans="3:19" s="277" customFormat="1" hidden="1" outlineLevel="1" x14ac:dyDescent="0.3">
      <c r="C325" s="283" t="str">
        <f>RES_BA!D173</f>
        <v>Other Direct Costs Category 5</v>
      </c>
      <c r="M325" s="279">
        <f>RES_BA!R173</f>
        <v>0</v>
      </c>
      <c r="O325" s="279">
        <f>RES_BA!S173</f>
        <v>0</v>
      </c>
      <c r="Q325" s="279">
        <f>RES_BA!T173</f>
        <v>0</v>
      </c>
      <c r="S325" s="279">
        <f>RES_BA!U173</f>
        <v>0</v>
      </c>
    </row>
    <row r="326" spans="3:19" s="277" customFormat="1" hidden="1" outlineLevel="1" x14ac:dyDescent="0.3">
      <c r="C326" s="283" t="str">
        <f>RES_BA!D174</f>
        <v>Other Direct Costs Category 6</v>
      </c>
      <c r="M326" s="279">
        <f>RES_BA!R174</f>
        <v>0</v>
      </c>
      <c r="O326" s="279">
        <f>RES_BA!S174</f>
        <v>0</v>
      </c>
      <c r="Q326" s="279">
        <f>RES_BA!T174</f>
        <v>0</v>
      </c>
      <c r="S326" s="279">
        <f>RES_BA!U174</f>
        <v>0</v>
      </c>
    </row>
    <row r="327" spans="3:19" s="277" customFormat="1" hidden="1" outlineLevel="1" x14ac:dyDescent="0.3">
      <c r="C327" s="283" t="str">
        <f>RES_BA!D175</f>
        <v>Other Direct Costs Category 7</v>
      </c>
      <c r="M327" s="279">
        <f>RES_BA!R175</f>
        <v>0</v>
      </c>
      <c r="O327" s="279">
        <f>RES_BA!S175</f>
        <v>0</v>
      </c>
      <c r="Q327" s="279">
        <f>RES_BA!T175</f>
        <v>0</v>
      </c>
      <c r="S327" s="279">
        <f>RES_BA!U175</f>
        <v>0</v>
      </c>
    </row>
    <row r="328" spans="3:19" s="277" customFormat="1" hidden="1" outlineLevel="1" x14ac:dyDescent="0.3">
      <c r="C328" s="283" t="str">
        <f>RES_BA!D176</f>
        <v>Other Direct Costs Category 8</v>
      </c>
      <c r="M328" s="279">
        <f>RES_BA!R176</f>
        <v>0</v>
      </c>
      <c r="O328" s="279">
        <f>RES_BA!S176</f>
        <v>0</v>
      </c>
      <c r="Q328" s="279">
        <f>RES_BA!T176</f>
        <v>0</v>
      </c>
      <c r="S328" s="279">
        <f>RES_BA!U176</f>
        <v>0</v>
      </c>
    </row>
    <row r="329" spans="3:19" s="277" customFormat="1" hidden="1" outlineLevel="1" x14ac:dyDescent="0.3">
      <c r="C329" s="283" t="str">
        <f>RES_BA!D177</f>
        <v>Other Direct Costs Category 9</v>
      </c>
      <c r="M329" s="279">
        <f>RES_BA!R177</f>
        <v>0</v>
      </c>
      <c r="O329" s="279">
        <f>RES_BA!S177</f>
        <v>0</v>
      </c>
      <c r="Q329" s="279">
        <f>RES_BA!T177</f>
        <v>0</v>
      </c>
      <c r="S329" s="279">
        <f>RES_BA!U177</f>
        <v>0</v>
      </c>
    </row>
    <row r="330" spans="3:19" s="277" customFormat="1" hidden="1" outlineLevel="1" x14ac:dyDescent="0.3">
      <c r="C330" s="283" t="str">
        <f>RES_BA!D178</f>
        <v>Other Direct Costs Category 10</v>
      </c>
      <c r="M330" s="279">
        <f>RES_BA!R178</f>
        <v>0</v>
      </c>
      <c r="O330" s="279">
        <f>RES_BA!S178</f>
        <v>0</v>
      </c>
      <c r="Q330" s="279">
        <f>RES_BA!T178</f>
        <v>0</v>
      </c>
      <c r="S330" s="279">
        <f>RES_BA!U178</f>
        <v>0</v>
      </c>
    </row>
    <row r="331" spans="3:19" s="277" customFormat="1" hidden="1" outlineLevel="1" x14ac:dyDescent="0.3">
      <c r="C331" s="283" t="str">
        <f>RES_BA!D179</f>
        <v>Other Direct Costs Category 11</v>
      </c>
      <c r="M331" s="279">
        <f>RES_BA!R179</f>
        <v>0</v>
      </c>
      <c r="O331" s="279">
        <f>RES_BA!S179</f>
        <v>0</v>
      </c>
      <c r="Q331" s="279">
        <f>RES_BA!T179</f>
        <v>0</v>
      </c>
      <c r="S331" s="279">
        <f>RES_BA!U179</f>
        <v>0</v>
      </c>
    </row>
    <row r="332" spans="3:19" s="277" customFormat="1" hidden="1" outlineLevel="1" collapsed="1" x14ac:dyDescent="0.3">
      <c r="C332" s="283" t="str">
        <f>RES_BA!D180</f>
        <v>Other Direct Costs Category 12</v>
      </c>
      <c r="M332" s="279">
        <f>RES_BA!R180</f>
        <v>0</v>
      </c>
      <c r="O332" s="279">
        <f>RES_BA!S180</f>
        <v>0</v>
      </c>
      <c r="Q332" s="279">
        <f>RES_BA!T180</f>
        <v>0</v>
      </c>
      <c r="S332" s="279">
        <f>RES_BA!U180</f>
        <v>0</v>
      </c>
    </row>
    <row r="333" spans="3:19" s="277" customFormat="1" hidden="1" outlineLevel="1" x14ac:dyDescent="0.3">
      <c r="C333" s="283" t="str">
        <f>RES_BA!D181</f>
        <v>Other Direct Costs Category 13</v>
      </c>
      <c r="M333" s="279">
        <f>RES_BA!R181</f>
        <v>0</v>
      </c>
      <c r="O333" s="279">
        <f>RES_BA!S181</f>
        <v>0</v>
      </c>
      <c r="Q333" s="279">
        <f>RES_BA!T181</f>
        <v>0</v>
      </c>
      <c r="S333" s="279">
        <f>RES_BA!U181</f>
        <v>0</v>
      </c>
    </row>
    <row r="334" spans="3:19" s="277" customFormat="1" hidden="1" outlineLevel="1" x14ac:dyDescent="0.3">
      <c r="C334" s="283" t="str">
        <f>RES_BA!D182</f>
        <v>Other Direct Costs Category 14</v>
      </c>
      <c r="M334" s="279">
        <f>RES_BA!R182</f>
        <v>0</v>
      </c>
      <c r="O334" s="279">
        <f>RES_BA!S182</f>
        <v>0</v>
      </c>
      <c r="Q334" s="279">
        <f>RES_BA!T182</f>
        <v>0</v>
      </c>
      <c r="S334" s="279">
        <f>RES_BA!U182</f>
        <v>0</v>
      </c>
    </row>
    <row r="335" spans="3:19" s="277" customFormat="1" hidden="1" outlineLevel="1" x14ac:dyDescent="0.3">
      <c r="C335" s="283" t="str">
        <f>RES_BA!D183</f>
        <v>Other Direct Costs Category 15</v>
      </c>
      <c r="M335" s="279">
        <f>RES_BA!R183</f>
        <v>0</v>
      </c>
      <c r="O335" s="279">
        <f>RES_BA!S183</f>
        <v>0</v>
      </c>
      <c r="Q335" s="279">
        <f>RES_BA!T183</f>
        <v>0</v>
      </c>
      <c r="S335" s="279">
        <f>RES_BA!U183</f>
        <v>0</v>
      </c>
    </row>
    <row r="336" spans="3:19" s="277" customFormat="1" hidden="1" outlineLevel="1" x14ac:dyDescent="0.3">
      <c r="C336" s="283" t="str">
        <f>RES_BA!D184</f>
        <v>Other Direct Costs Category 16</v>
      </c>
      <c r="M336" s="279">
        <f>RES_BA!R184</f>
        <v>0</v>
      </c>
      <c r="O336" s="279">
        <f>RES_BA!S184</f>
        <v>0</v>
      </c>
      <c r="Q336" s="279">
        <f>RES_BA!T184</f>
        <v>0</v>
      </c>
      <c r="S336" s="279">
        <f>RES_BA!U184</f>
        <v>0</v>
      </c>
    </row>
    <row r="337" spans="3:19" s="277" customFormat="1" hidden="1" outlineLevel="1" x14ac:dyDescent="0.3">
      <c r="C337" s="283" t="str">
        <f>RES_BA!D185</f>
        <v>Other Direct Costs Category 17</v>
      </c>
      <c r="M337" s="279">
        <f>RES_BA!R185</f>
        <v>0</v>
      </c>
      <c r="O337" s="279">
        <f>RES_BA!S185</f>
        <v>0</v>
      </c>
      <c r="Q337" s="279">
        <f>RES_BA!T185</f>
        <v>0</v>
      </c>
      <c r="S337" s="279">
        <f>RES_BA!U185</f>
        <v>0</v>
      </c>
    </row>
    <row r="338" spans="3:19" s="277" customFormat="1" hidden="1" outlineLevel="1" x14ac:dyDescent="0.3">
      <c r="C338" s="283" t="str">
        <f>RES_BA!D186</f>
        <v>Other Direct Costs Category 18</v>
      </c>
      <c r="M338" s="279">
        <f>RES_BA!R186</f>
        <v>0</v>
      </c>
      <c r="O338" s="279">
        <f>RES_BA!S186</f>
        <v>0</v>
      </c>
      <c r="Q338" s="279">
        <f>RES_BA!T186</f>
        <v>0</v>
      </c>
      <c r="S338" s="279">
        <f>RES_BA!U186</f>
        <v>0</v>
      </c>
    </row>
    <row r="339" spans="3:19" s="277" customFormat="1" hidden="1" outlineLevel="1" x14ac:dyDescent="0.3">
      <c r="C339" s="283" t="str">
        <f>RES_BA!D187</f>
        <v>Other Direct Costs Category 19</v>
      </c>
      <c r="M339" s="279">
        <f>RES_BA!R187</f>
        <v>0</v>
      </c>
      <c r="O339" s="279">
        <f>RES_BA!S187</f>
        <v>0</v>
      </c>
      <c r="Q339" s="279">
        <f>RES_BA!T187</f>
        <v>0</v>
      </c>
      <c r="S339" s="279">
        <f>RES_BA!U187</f>
        <v>0</v>
      </c>
    </row>
    <row r="340" spans="3:19" s="277" customFormat="1" hidden="1" outlineLevel="1" x14ac:dyDescent="0.3">
      <c r="C340" s="283" t="str">
        <f>RES_BA!D188</f>
        <v>Other Direct Costs Category 20</v>
      </c>
      <c r="M340" s="279">
        <f>RES_BA!R188</f>
        <v>0</v>
      </c>
      <c r="O340" s="279">
        <f>RES_BA!S188</f>
        <v>0</v>
      </c>
      <c r="Q340" s="279">
        <f>RES_BA!T188</f>
        <v>0</v>
      </c>
      <c r="S340" s="279">
        <f>RES_BA!U188</f>
        <v>0</v>
      </c>
    </row>
    <row r="341" spans="3:19" s="277" customFormat="1" hidden="1" outlineLevel="1" x14ac:dyDescent="0.3">
      <c r="C341" s="283" t="str">
        <f>RES_BA!D189</f>
        <v>Other Direct Costs Category 21</v>
      </c>
      <c r="M341" s="279">
        <f>RES_BA!R189</f>
        <v>0</v>
      </c>
      <c r="O341" s="279">
        <f>RES_BA!S189</f>
        <v>0</v>
      </c>
      <c r="Q341" s="279">
        <f>RES_BA!T189</f>
        <v>0</v>
      </c>
      <c r="S341" s="279">
        <f>RES_BA!U189</f>
        <v>0</v>
      </c>
    </row>
    <row r="342" spans="3:19" s="277" customFormat="1" hidden="1" outlineLevel="1" x14ac:dyDescent="0.3">
      <c r="C342" s="283" t="str">
        <f>RES_BA!D190</f>
        <v>Other Direct Costs Category 22</v>
      </c>
      <c r="M342" s="279">
        <f>RES_BA!R190</f>
        <v>0</v>
      </c>
      <c r="O342" s="279">
        <f>RES_BA!S190</f>
        <v>0</v>
      </c>
      <c r="Q342" s="279">
        <f>RES_BA!T190</f>
        <v>0</v>
      </c>
      <c r="S342" s="279">
        <f>RES_BA!U190</f>
        <v>0</v>
      </c>
    </row>
    <row r="343" spans="3:19" s="277" customFormat="1" hidden="1" outlineLevel="1" x14ac:dyDescent="0.3">
      <c r="C343" s="283" t="str">
        <f>RES_BA!D191</f>
        <v>Other Direct Costs Category 23</v>
      </c>
      <c r="M343" s="279">
        <f>RES_BA!R191</f>
        <v>0</v>
      </c>
      <c r="O343" s="279">
        <f>RES_BA!S191</f>
        <v>0</v>
      </c>
      <c r="Q343" s="279">
        <f>RES_BA!T191</f>
        <v>0</v>
      </c>
      <c r="S343" s="279">
        <f>RES_BA!U191</f>
        <v>0</v>
      </c>
    </row>
    <row r="344" spans="3:19" s="277" customFormat="1" hidden="1" outlineLevel="1" collapsed="1" x14ac:dyDescent="0.3">
      <c r="C344" s="283" t="str">
        <f>RES_BA!D192</f>
        <v>Other Direct Costs Category 24</v>
      </c>
      <c r="M344" s="279">
        <f>RES_BA!R192</f>
        <v>0</v>
      </c>
      <c r="O344" s="279">
        <f>RES_BA!S192</f>
        <v>0</v>
      </c>
      <c r="Q344" s="279">
        <f>RES_BA!T192</f>
        <v>0</v>
      </c>
      <c r="S344" s="279">
        <f>RES_BA!U192</f>
        <v>0</v>
      </c>
    </row>
    <row r="345" spans="3:19" s="277" customFormat="1" hidden="1" outlineLevel="1" x14ac:dyDescent="0.3">
      <c r="C345" s="283" t="str">
        <f>RES_BA!D193</f>
        <v>Other Direct Costs Category 25</v>
      </c>
      <c r="M345" s="279">
        <f>RES_BA!R193</f>
        <v>0</v>
      </c>
      <c r="O345" s="279">
        <f>RES_BA!S193</f>
        <v>0</v>
      </c>
      <c r="Q345" s="279">
        <f>RES_BA!T193</f>
        <v>0</v>
      </c>
      <c r="S345" s="279">
        <f>RES_BA!U193</f>
        <v>0</v>
      </c>
    </row>
    <row r="346" spans="3:19" s="277" customFormat="1" hidden="1" outlineLevel="1" x14ac:dyDescent="0.3">
      <c r="C346" s="283" t="str">
        <f>RES_BA!D194</f>
        <v>Other Direct Costs Category 26</v>
      </c>
      <c r="M346" s="279">
        <f>RES_BA!R194</f>
        <v>0</v>
      </c>
      <c r="O346" s="279">
        <f>RES_BA!S194</f>
        <v>0</v>
      </c>
      <c r="Q346" s="279">
        <f>RES_BA!T194</f>
        <v>0</v>
      </c>
      <c r="S346" s="279">
        <f>RES_BA!U194</f>
        <v>0</v>
      </c>
    </row>
    <row r="347" spans="3:19" s="277" customFormat="1" hidden="1" outlineLevel="1" x14ac:dyDescent="0.3">
      <c r="C347" s="283" t="str">
        <f>RES_BA!D195</f>
        <v>Other Direct Costs Category 27</v>
      </c>
      <c r="M347" s="279">
        <f>RES_BA!R195</f>
        <v>0</v>
      </c>
      <c r="O347" s="279">
        <f>RES_BA!S195</f>
        <v>0</v>
      </c>
      <c r="Q347" s="279">
        <f>RES_BA!T195</f>
        <v>0</v>
      </c>
      <c r="S347" s="279">
        <f>RES_BA!U195</f>
        <v>0</v>
      </c>
    </row>
    <row r="348" spans="3:19" s="277" customFormat="1" hidden="1" outlineLevel="1" x14ac:dyDescent="0.3">
      <c r="C348" s="283" t="str">
        <f>RES_BA!D196</f>
        <v>Other Direct Costs Category 28</v>
      </c>
      <c r="M348" s="279">
        <f>RES_BA!R196</f>
        <v>0</v>
      </c>
      <c r="O348" s="279">
        <f>RES_BA!S196</f>
        <v>0</v>
      </c>
      <c r="Q348" s="279">
        <f>RES_BA!T196</f>
        <v>0</v>
      </c>
      <c r="S348" s="279">
        <f>RES_BA!U196</f>
        <v>0</v>
      </c>
    </row>
    <row r="349" spans="3:19" s="277" customFormat="1" hidden="1" outlineLevel="1" x14ac:dyDescent="0.3">
      <c r="C349" s="283" t="str">
        <f>RES_BA!D197</f>
        <v>Other Direct Costs Category 29</v>
      </c>
      <c r="M349" s="279">
        <f>RES_BA!R197</f>
        <v>0</v>
      </c>
      <c r="O349" s="279">
        <f>RES_BA!S197</f>
        <v>0</v>
      </c>
      <c r="Q349" s="279">
        <f>RES_BA!T197</f>
        <v>0</v>
      </c>
      <c r="S349" s="279">
        <f>RES_BA!U197</f>
        <v>0</v>
      </c>
    </row>
    <row r="350" spans="3:19" s="277" customFormat="1" hidden="1" outlineLevel="1" x14ac:dyDescent="0.3">
      <c r="C350" s="283" t="str">
        <f>RES_BA!D198</f>
        <v>Other Direct Costs Category 30</v>
      </c>
      <c r="M350" s="279">
        <f>RES_BA!R198</f>
        <v>0</v>
      </c>
      <c r="O350" s="279">
        <f>RES_BA!S198</f>
        <v>0</v>
      </c>
      <c r="Q350" s="279">
        <f>RES_BA!T198</f>
        <v>0</v>
      </c>
      <c r="S350" s="279">
        <f>RES_BA!U198</f>
        <v>0</v>
      </c>
    </row>
    <row r="351" spans="3:19" s="277" customFormat="1" hidden="1" outlineLevel="1" x14ac:dyDescent="0.3">
      <c r="C351" s="283" t="str">
        <f>RES_BA!D199</f>
        <v>Other Direct Costs Category 31</v>
      </c>
      <c r="M351" s="279">
        <f>RES_BA!R199</f>
        <v>0</v>
      </c>
      <c r="O351" s="279">
        <f>RES_BA!S199</f>
        <v>0</v>
      </c>
      <c r="Q351" s="279">
        <f>RES_BA!T199</f>
        <v>0</v>
      </c>
      <c r="S351" s="279">
        <f>RES_BA!U199</f>
        <v>0</v>
      </c>
    </row>
    <row r="352" spans="3:19" s="277" customFormat="1" hidden="1" outlineLevel="1" x14ac:dyDescent="0.3">
      <c r="C352" s="283" t="str">
        <f>RES_BA!D200</f>
        <v>Other Direct Costs Category 32</v>
      </c>
      <c r="M352" s="279">
        <f>RES_BA!R200</f>
        <v>0</v>
      </c>
      <c r="O352" s="279">
        <f>RES_BA!S200</f>
        <v>0</v>
      </c>
      <c r="Q352" s="279">
        <f>RES_BA!T200</f>
        <v>0</v>
      </c>
      <c r="S352" s="279">
        <f>RES_BA!U200</f>
        <v>0</v>
      </c>
    </row>
    <row r="353" spans="2:24" s="277" customFormat="1" hidden="1" outlineLevel="1" x14ac:dyDescent="0.3">
      <c r="C353" s="283" t="str">
        <f>RES_BA!D201</f>
        <v>Other Direct Costs Category 33</v>
      </c>
      <c r="M353" s="279">
        <f>RES_BA!R201</f>
        <v>0</v>
      </c>
      <c r="O353" s="279">
        <f>RES_BA!S201</f>
        <v>0</v>
      </c>
      <c r="Q353" s="279">
        <f>RES_BA!T201</f>
        <v>0</v>
      </c>
      <c r="S353" s="279">
        <f>RES_BA!U201</f>
        <v>0</v>
      </c>
    </row>
    <row r="354" spans="2:24" s="277" customFormat="1" hidden="1" outlineLevel="1" x14ac:dyDescent="0.3">
      <c r="C354" s="283" t="str">
        <f>RES_BA!D202</f>
        <v>Other Direct Costs Category 34</v>
      </c>
      <c r="M354" s="279">
        <f>RES_BA!R202</f>
        <v>0</v>
      </c>
      <c r="O354" s="279">
        <f>RES_BA!S202</f>
        <v>0</v>
      </c>
      <c r="Q354" s="279">
        <f>RES_BA!T202</f>
        <v>0</v>
      </c>
      <c r="S354" s="279">
        <f>RES_BA!U202</f>
        <v>0</v>
      </c>
    </row>
    <row r="355" spans="2:24" s="277" customFormat="1" hidden="1" outlineLevel="1" x14ac:dyDescent="0.3">
      <c r="C355" s="283" t="str">
        <f>RES_BA!D203</f>
        <v>Other Direct Costs Category 35</v>
      </c>
      <c r="M355" s="279">
        <f>RES_BA!R203</f>
        <v>0</v>
      </c>
      <c r="O355" s="279">
        <f>RES_BA!S203</f>
        <v>0</v>
      </c>
      <c r="Q355" s="279">
        <f>RES_BA!T203</f>
        <v>0</v>
      </c>
      <c r="S355" s="279">
        <f>RES_BA!U203</f>
        <v>0</v>
      </c>
    </row>
    <row r="356" spans="2:24" collapsed="1" x14ac:dyDescent="0.3"/>
    <row r="358" spans="2:24" ht="18" x14ac:dyDescent="0.3">
      <c r="B358" s="31" t="str">
        <f>I359</f>
        <v>Microplanning Activity #2 [not in use]</v>
      </c>
    </row>
    <row r="359" spans="2:24" x14ac:dyDescent="0.3">
      <c r="G359" s="41" t="s">
        <v>119</v>
      </c>
      <c r="I359" s="356" t="s">
        <v>891</v>
      </c>
      <c r="J359" s="356"/>
      <c r="K359" s="356"/>
      <c r="L359" s="356"/>
      <c r="M359" s="356"/>
    </row>
    <row r="360" spans="2:24" ht="10.5" customHeight="1" x14ac:dyDescent="0.3">
      <c r="G360" s="41" t="s">
        <v>76</v>
      </c>
      <c r="I360" s="32">
        <v>2</v>
      </c>
    </row>
    <row r="361" spans="2:24" ht="15.6" x14ac:dyDescent="0.3">
      <c r="C361" s="92" t="s">
        <v>77</v>
      </c>
      <c r="M361" s="40" t="str">
        <f>IF(DD_ACT_2_Meet1_Curr=1,$D$513,$D$514)</f>
        <v>GOZ</v>
      </c>
      <c r="O361" s="40" t="str">
        <f>IF(DD_ACT_2_Meet1_Curr=1,$D$513,$D$514)</f>
        <v>GOZ</v>
      </c>
      <c r="Q361" s="40" t="str">
        <f>IF(DD_ACT_2_Meet1_Curr=1,$D$513,$D$514)</f>
        <v>GOZ</v>
      </c>
      <c r="S361" s="40" t="str">
        <f>IF(DD_ACT_2_Meet1_Curr=1,$D$513,$D$514)</f>
        <v>GOZ</v>
      </c>
    </row>
    <row r="362" spans="2:24" ht="27.6" x14ac:dyDescent="0.3">
      <c r="D362" s="90" t="s">
        <v>77</v>
      </c>
      <c r="I362" s="88" t="s">
        <v>80</v>
      </c>
      <c r="K362" s="91" t="s">
        <v>432</v>
      </c>
      <c r="M362" s="42" t="s">
        <v>107</v>
      </c>
      <c r="O362" s="42" t="s">
        <v>108</v>
      </c>
      <c r="Q362" s="42" t="s">
        <v>105</v>
      </c>
      <c r="S362" s="42" t="s">
        <v>106</v>
      </c>
      <c r="U362" s="350" t="s">
        <v>185</v>
      </c>
      <c r="V362" s="351"/>
      <c r="W362" s="351"/>
      <c r="X362" s="351"/>
    </row>
    <row r="363" spans="2:24" x14ac:dyDescent="0.3">
      <c r="D363" s="356" t="s">
        <v>188</v>
      </c>
      <c r="E363" s="356"/>
      <c r="F363" s="356"/>
      <c r="G363" s="356"/>
      <c r="I363" s="48">
        <v>0</v>
      </c>
      <c r="K363" s="48">
        <v>0</v>
      </c>
      <c r="M363" s="40">
        <f t="shared" ref="M363:M387" si="20">IFERROR(IF(DD_ACT_2_Meet1_Curr=1,INDEX($M$519:$M$553,MATCH(D363,LU_ACT_2_Pers_Res,0)),INDEX($Q$519:$Q$553,MATCH(D363,LU_ACT_2_Pers_Res,0))),0)</f>
        <v>0</v>
      </c>
      <c r="O363" s="40">
        <f t="shared" ref="O363:O387" si="21">IFERROR(IF(DD_ACT_2_Meet1_Curr=1,INDEX($O$519:$O$553,MATCH(D363,LU_ACT_2_Pers_Res,0)),INDEX($S$519:$S$553,MATCH(D363,LU_ACT_2_Pers_Res,0))),0)</f>
        <v>0</v>
      </c>
      <c r="Q363" s="293">
        <f t="shared" ref="Q363:Q387" si="22">I363*K363*M363</f>
        <v>0</v>
      </c>
      <c r="S363" s="293">
        <f t="shared" ref="S363:S387" si="23">I363*K363*O363</f>
        <v>0</v>
      </c>
      <c r="U363" s="356"/>
      <c r="V363" s="356"/>
      <c r="W363" s="356"/>
      <c r="X363" s="356"/>
    </row>
    <row r="364" spans="2:24" x14ac:dyDescent="0.3">
      <c r="D364" s="356" t="s">
        <v>189</v>
      </c>
      <c r="E364" s="356"/>
      <c r="F364" s="356"/>
      <c r="G364" s="356"/>
      <c r="I364" s="48">
        <v>0</v>
      </c>
      <c r="K364" s="48">
        <v>0</v>
      </c>
      <c r="M364" s="40">
        <f t="shared" si="20"/>
        <v>0</v>
      </c>
      <c r="O364" s="40">
        <f t="shared" si="21"/>
        <v>0</v>
      </c>
      <c r="Q364" s="293">
        <f t="shared" si="22"/>
        <v>0</v>
      </c>
      <c r="S364" s="293">
        <f t="shared" si="23"/>
        <v>0</v>
      </c>
      <c r="U364" s="356"/>
      <c r="V364" s="356"/>
      <c r="W364" s="356"/>
      <c r="X364" s="356"/>
    </row>
    <row r="365" spans="2:24" x14ac:dyDescent="0.3">
      <c r="D365" s="356" t="s">
        <v>190</v>
      </c>
      <c r="E365" s="356"/>
      <c r="F365" s="356"/>
      <c r="G365" s="356"/>
      <c r="I365" s="48">
        <v>0</v>
      </c>
      <c r="K365" s="48">
        <v>0</v>
      </c>
      <c r="M365" s="40">
        <f t="shared" si="20"/>
        <v>0</v>
      </c>
      <c r="O365" s="40">
        <f t="shared" si="21"/>
        <v>0</v>
      </c>
      <c r="Q365" s="293">
        <f t="shared" si="22"/>
        <v>0</v>
      </c>
      <c r="S365" s="293">
        <f t="shared" si="23"/>
        <v>0</v>
      </c>
      <c r="U365" s="356"/>
      <c r="V365" s="356"/>
      <c r="W365" s="356"/>
      <c r="X365" s="356"/>
    </row>
    <row r="366" spans="2:24" x14ac:dyDescent="0.3">
      <c r="D366" s="356" t="s">
        <v>191</v>
      </c>
      <c r="E366" s="356"/>
      <c r="F366" s="356"/>
      <c r="G366" s="356"/>
      <c r="I366" s="48">
        <v>0</v>
      </c>
      <c r="K366" s="48">
        <v>0</v>
      </c>
      <c r="M366" s="40">
        <f t="shared" si="20"/>
        <v>0</v>
      </c>
      <c r="O366" s="40">
        <f t="shared" si="21"/>
        <v>0</v>
      </c>
      <c r="Q366" s="293">
        <f t="shared" si="22"/>
        <v>0</v>
      </c>
      <c r="S366" s="293">
        <f t="shared" si="23"/>
        <v>0</v>
      </c>
      <c r="U366" s="356"/>
      <c r="V366" s="356"/>
      <c r="W366" s="356"/>
      <c r="X366" s="356"/>
    </row>
    <row r="367" spans="2:24" x14ac:dyDescent="0.3">
      <c r="D367" s="356" t="s">
        <v>192</v>
      </c>
      <c r="E367" s="356"/>
      <c r="F367" s="356"/>
      <c r="G367" s="356"/>
      <c r="I367" s="48">
        <v>0</v>
      </c>
      <c r="K367" s="48">
        <v>0</v>
      </c>
      <c r="M367" s="40">
        <f t="shared" si="20"/>
        <v>0</v>
      </c>
      <c r="O367" s="40">
        <f t="shared" si="21"/>
        <v>0</v>
      </c>
      <c r="Q367" s="293">
        <f t="shared" si="22"/>
        <v>0</v>
      </c>
      <c r="S367" s="293">
        <f t="shared" si="23"/>
        <v>0</v>
      </c>
      <c r="U367" s="356"/>
      <c r="V367" s="356"/>
      <c r="W367" s="356"/>
      <c r="X367" s="356"/>
    </row>
    <row r="368" spans="2:24" x14ac:dyDescent="0.3">
      <c r="D368" s="356" t="s">
        <v>193</v>
      </c>
      <c r="E368" s="356"/>
      <c r="F368" s="356"/>
      <c r="G368" s="356"/>
      <c r="I368" s="48">
        <v>0</v>
      </c>
      <c r="K368" s="48">
        <v>0</v>
      </c>
      <c r="M368" s="40">
        <f t="shared" si="20"/>
        <v>0</v>
      </c>
      <c r="O368" s="40">
        <f t="shared" si="21"/>
        <v>0</v>
      </c>
      <c r="Q368" s="293">
        <f t="shared" si="22"/>
        <v>0</v>
      </c>
      <c r="S368" s="293">
        <f t="shared" si="23"/>
        <v>0</v>
      </c>
      <c r="U368" s="356"/>
      <c r="V368" s="356"/>
      <c r="W368" s="356"/>
      <c r="X368" s="356"/>
    </row>
    <row r="369" spans="4:24" x14ac:dyDescent="0.3">
      <c r="D369" s="356" t="s">
        <v>120</v>
      </c>
      <c r="E369" s="356"/>
      <c r="F369" s="356"/>
      <c r="G369" s="356"/>
      <c r="I369" s="48">
        <v>0</v>
      </c>
      <c r="K369" s="48">
        <v>0</v>
      </c>
      <c r="M369" s="40">
        <f t="shared" si="20"/>
        <v>0</v>
      </c>
      <c r="O369" s="40">
        <f t="shared" si="21"/>
        <v>0</v>
      </c>
      <c r="Q369" s="293">
        <f t="shared" si="22"/>
        <v>0</v>
      </c>
      <c r="S369" s="293">
        <f t="shared" si="23"/>
        <v>0</v>
      </c>
      <c r="U369" s="356"/>
      <c r="V369" s="356"/>
      <c r="W369" s="356"/>
      <c r="X369" s="356"/>
    </row>
    <row r="370" spans="4:24" x14ac:dyDescent="0.3">
      <c r="D370" s="356" t="s">
        <v>121</v>
      </c>
      <c r="E370" s="356"/>
      <c r="F370" s="356"/>
      <c r="G370" s="356"/>
      <c r="I370" s="48">
        <v>0</v>
      </c>
      <c r="K370" s="48">
        <v>0</v>
      </c>
      <c r="M370" s="40">
        <f t="shared" si="20"/>
        <v>0</v>
      </c>
      <c r="O370" s="40">
        <f t="shared" si="21"/>
        <v>0</v>
      </c>
      <c r="Q370" s="293">
        <f t="shared" si="22"/>
        <v>0</v>
      </c>
      <c r="S370" s="293">
        <f t="shared" si="23"/>
        <v>0</v>
      </c>
      <c r="U370" s="356"/>
      <c r="V370" s="356"/>
      <c r="W370" s="356"/>
      <c r="X370" s="356"/>
    </row>
    <row r="371" spans="4:24" s="277" customFormat="1" x14ac:dyDescent="0.3">
      <c r="D371" s="356" t="s">
        <v>830</v>
      </c>
      <c r="E371" s="356"/>
      <c r="F371" s="356"/>
      <c r="G371" s="356"/>
      <c r="I371" s="48">
        <v>0</v>
      </c>
      <c r="K371" s="48">
        <v>0</v>
      </c>
      <c r="M371" s="279">
        <f t="shared" si="20"/>
        <v>0</v>
      </c>
      <c r="O371" s="279">
        <f t="shared" si="21"/>
        <v>0</v>
      </c>
      <c r="Q371" s="293">
        <f t="shared" si="22"/>
        <v>0</v>
      </c>
      <c r="S371" s="293">
        <f t="shared" si="23"/>
        <v>0</v>
      </c>
      <c r="U371" s="385"/>
      <c r="V371" s="385"/>
      <c r="W371" s="385"/>
      <c r="X371" s="385"/>
    </row>
    <row r="372" spans="4:24" s="277" customFormat="1" x14ac:dyDescent="0.3">
      <c r="D372" s="356" t="s">
        <v>831</v>
      </c>
      <c r="E372" s="356"/>
      <c r="F372" s="356"/>
      <c r="G372" s="356"/>
      <c r="I372" s="48">
        <v>0</v>
      </c>
      <c r="K372" s="48">
        <v>0</v>
      </c>
      <c r="M372" s="279">
        <f t="shared" si="20"/>
        <v>0</v>
      </c>
      <c r="O372" s="279">
        <f t="shared" si="21"/>
        <v>0</v>
      </c>
      <c r="Q372" s="293">
        <f t="shared" si="22"/>
        <v>0</v>
      </c>
      <c r="S372" s="293">
        <f t="shared" si="23"/>
        <v>0</v>
      </c>
      <c r="U372" s="385"/>
      <c r="V372" s="385"/>
      <c r="W372" s="385"/>
      <c r="X372" s="385"/>
    </row>
    <row r="373" spans="4:24" s="277" customFormat="1" x14ac:dyDescent="0.3">
      <c r="D373" s="356" t="s">
        <v>832</v>
      </c>
      <c r="E373" s="356"/>
      <c r="F373" s="356"/>
      <c r="G373" s="356"/>
      <c r="I373" s="48">
        <v>0</v>
      </c>
      <c r="K373" s="48">
        <v>0</v>
      </c>
      <c r="M373" s="279">
        <f t="shared" si="20"/>
        <v>0</v>
      </c>
      <c r="O373" s="279">
        <f t="shared" si="21"/>
        <v>0</v>
      </c>
      <c r="Q373" s="293">
        <f t="shared" si="22"/>
        <v>0</v>
      </c>
      <c r="S373" s="293">
        <f t="shared" si="23"/>
        <v>0</v>
      </c>
      <c r="U373" s="385"/>
      <c r="V373" s="385"/>
      <c r="W373" s="385"/>
      <c r="X373" s="385"/>
    </row>
    <row r="374" spans="4:24" s="277" customFormat="1" x14ac:dyDescent="0.3">
      <c r="D374" s="356" t="s">
        <v>833</v>
      </c>
      <c r="E374" s="356"/>
      <c r="F374" s="356"/>
      <c r="G374" s="356"/>
      <c r="I374" s="48">
        <v>0</v>
      </c>
      <c r="K374" s="48">
        <v>0</v>
      </c>
      <c r="M374" s="279">
        <f t="shared" si="20"/>
        <v>0</v>
      </c>
      <c r="O374" s="279">
        <f t="shared" si="21"/>
        <v>0</v>
      </c>
      <c r="Q374" s="293">
        <f t="shared" si="22"/>
        <v>0</v>
      </c>
      <c r="S374" s="293">
        <f t="shared" si="23"/>
        <v>0</v>
      </c>
      <c r="U374" s="385"/>
      <c r="V374" s="385"/>
      <c r="W374" s="385"/>
      <c r="X374" s="385"/>
    </row>
    <row r="375" spans="4:24" s="277" customFormat="1" x14ac:dyDescent="0.3">
      <c r="D375" s="356" t="s">
        <v>834</v>
      </c>
      <c r="E375" s="356"/>
      <c r="F375" s="356"/>
      <c r="G375" s="356"/>
      <c r="I375" s="48">
        <v>0</v>
      </c>
      <c r="K375" s="48">
        <v>0</v>
      </c>
      <c r="M375" s="279">
        <f t="shared" si="20"/>
        <v>0</v>
      </c>
      <c r="O375" s="279">
        <f t="shared" si="21"/>
        <v>0</v>
      </c>
      <c r="Q375" s="293">
        <f t="shared" si="22"/>
        <v>0</v>
      </c>
      <c r="S375" s="293">
        <f t="shared" si="23"/>
        <v>0</v>
      </c>
      <c r="U375" s="385"/>
      <c r="V375" s="385"/>
      <c r="W375" s="385"/>
      <c r="X375" s="385"/>
    </row>
    <row r="376" spans="4:24" s="277" customFormat="1" x14ac:dyDescent="0.3">
      <c r="D376" s="356" t="s">
        <v>835</v>
      </c>
      <c r="E376" s="356"/>
      <c r="F376" s="356"/>
      <c r="G376" s="356"/>
      <c r="I376" s="48">
        <v>0</v>
      </c>
      <c r="K376" s="48">
        <v>0</v>
      </c>
      <c r="M376" s="279">
        <f t="shared" si="20"/>
        <v>0</v>
      </c>
      <c r="O376" s="279">
        <f t="shared" si="21"/>
        <v>0</v>
      </c>
      <c r="Q376" s="293">
        <f t="shared" si="22"/>
        <v>0</v>
      </c>
      <c r="S376" s="293">
        <f t="shared" si="23"/>
        <v>0</v>
      </c>
      <c r="U376" s="385"/>
      <c r="V376" s="385"/>
      <c r="W376" s="385"/>
      <c r="X376" s="385"/>
    </row>
    <row r="377" spans="4:24" s="277" customFormat="1" x14ac:dyDescent="0.3">
      <c r="D377" s="356" t="s">
        <v>836</v>
      </c>
      <c r="E377" s="356"/>
      <c r="F377" s="356"/>
      <c r="G377" s="356"/>
      <c r="I377" s="48">
        <v>0</v>
      </c>
      <c r="K377" s="48">
        <v>0</v>
      </c>
      <c r="M377" s="279">
        <f t="shared" si="20"/>
        <v>0</v>
      </c>
      <c r="O377" s="279">
        <f t="shared" si="21"/>
        <v>0</v>
      </c>
      <c r="Q377" s="293">
        <f t="shared" si="22"/>
        <v>0</v>
      </c>
      <c r="S377" s="293">
        <f t="shared" si="23"/>
        <v>0</v>
      </c>
      <c r="U377" s="385"/>
      <c r="V377" s="385"/>
      <c r="W377" s="385"/>
      <c r="X377" s="385"/>
    </row>
    <row r="378" spans="4:24" s="277" customFormat="1" x14ac:dyDescent="0.3">
      <c r="D378" s="356" t="s">
        <v>837</v>
      </c>
      <c r="E378" s="356"/>
      <c r="F378" s="356"/>
      <c r="G378" s="356"/>
      <c r="I378" s="48">
        <v>0</v>
      </c>
      <c r="K378" s="48">
        <v>0</v>
      </c>
      <c r="M378" s="279">
        <f t="shared" si="20"/>
        <v>0</v>
      </c>
      <c r="O378" s="279">
        <f t="shared" si="21"/>
        <v>0</v>
      </c>
      <c r="Q378" s="293">
        <f t="shared" si="22"/>
        <v>0</v>
      </c>
      <c r="S378" s="293">
        <f t="shared" si="23"/>
        <v>0</v>
      </c>
      <c r="U378" s="385"/>
      <c r="V378" s="385"/>
      <c r="W378" s="385"/>
      <c r="X378" s="385"/>
    </row>
    <row r="379" spans="4:24" s="277" customFormat="1" x14ac:dyDescent="0.3">
      <c r="D379" s="356" t="s">
        <v>846</v>
      </c>
      <c r="E379" s="356"/>
      <c r="F379" s="356"/>
      <c r="G379" s="356"/>
      <c r="I379" s="48">
        <v>0</v>
      </c>
      <c r="K379" s="48">
        <v>0</v>
      </c>
      <c r="M379" s="279">
        <f t="shared" si="20"/>
        <v>0</v>
      </c>
      <c r="O379" s="279">
        <f t="shared" si="21"/>
        <v>0</v>
      </c>
      <c r="Q379" s="293">
        <f t="shared" si="22"/>
        <v>0</v>
      </c>
      <c r="S379" s="293">
        <f t="shared" si="23"/>
        <v>0</v>
      </c>
      <c r="U379" s="385"/>
      <c r="V379" s="385"/>
      <c r="W379" s="385"/>
      <c r="X379" s="385"/>
    </row>
    <row r="380" spans="4:24" s="277" customFormat="1" x14ac:dyDescent="0.3">
      <c r="D380" s="356" t="s">
        <v>847</v>
      </c>
      <c r="E380" s="356"/>
      <c r="F380" s="356"/>
      <c r="G380" s="356"/>
      <c r="I380" s="48">
        <v>0</v>
      </c>
      <c r="K380" s="48">
        <v>0</v>
      </c>
      <c r="M380" s="279">
        <f t="shared" si="20"/>
        <v>0</v>
      </c>
      <c r="O380" s="279">
        <f t="shared" si="21"/>
        <v>0</v>
      </c>
      <c r="Q380" s="293">
        <f t="shared" si="22"/>
        <v>0</v>
      </c>
      <c r="S380" s="293">
        <f t="shared" si="23"/>
        <v>0</v>
      </c>
      <c r="U380" s="385"/>
      <c r="V380" s="385"/>
      <c r="W380" s="385"/>
      <c r="X380" s="385"/>
    </row>
    <row r="381" spans="4:24" s="277" customFormat="1" x14ac:dyDescent="0.3">
      <c r="D381" s="356" t="s">
        <v>848</v>
      </c>
      <c r="E381" s="356"/>
      <c r="F381" s="356"/>
      <c r="G381" s="356"/>
      <c r="I381" s="48">
        <v>0</v>
      </c>
      <c r="K381" s="48">
        <v>0</v>
      </c>
      <c r="M381" s="279">
        <f t="shared" si="20"/>
        <v>0</v>
      </c>
      <c r="O381" s="279">
        <f t="shared" si="21"/>
        <v>0</v>
      </c>
      <c r="Q381" s="293">
        <f t="shared" si="22"/>
        <v>0</v>
      </c>
      <c r="S381" s="293">
        <f t="shared" si="23"/>
        <v>0</v>
      </c>
      <c r="U381" s="385"/>
      <c r="V381" s="385"/>
      <c r="W381" s="385"/>
      <c r="X381" s="385"/>
    </row>
    <row r="382" spans="4:24" s="277" customFormat="1" x14ac:dyDescent="0.3">
      <c r="D382" s="356" t="s">
        <v>849</v>
      </c>
      <c r="E382" s="356"/>
      <c r="F382" s="356"/>
      <c r="G382" s="356"/>
      <c r="I382" s="48">
        <v>0</v>
      </c>
      <c r="K382" s="48">
        <v>0</v>
      </c>
      <c r="M382" s="279">
        <f t="shared" si="20"/>
        <v>0</v>
      </c>
      <c r="O382" s="279">
        <f t="shared" si="21"/>
        <v>0</v>
      </c>
      <c r="Q382" s="293">
        <f t="shared" si="22"/>
        <v>0</v>
      </c>
      <c r="S382" s="293">
        <f t="shared" si="23"/>
        <v>0</v>
      </c>
      <c r="U382" s="385"/>
      <c r="V382" s="385"/>
      <c r="W382" s="385"/>
      <c r="X382" s="385"/>
    </row>
    <row r="383" spans="4:24" s="277" customFormat="1" x14ac:dyDescent="0.3">
      <c r="D383" s="356" t="s">
        <v>971</v>
      </c>
      <c r="E383" s="356"/>
      <c r="F383" s="356"/>
      <c r="G383" s="356"/>
      <c r="I383" s="48">
        <v>0</v>
      </c>
      <c r="K383" s="48">
        <v>0</v>
      </c>
      <c r="M383" s="279">
        <f t="shared" si="20"/>
        <v>0</v>
      </c>
      <c r="O383" s="279">
        <f t="shared" si="21"/>
        <v>0</v>
      </c>
      <c r="Q383" s="293">
        <f t="shared" si="22"/>
        <v>0</v>
      </c>
      <c r="S383" s="293">
        <f t="shared" si="23"/>
        <v>0</v>
      </c>
      <c r="U383" s="385"/>
      <c r="V383" s="385"/>
      <c r="W383" s="385"/>
      <c r="X383" s="385"/>
    </row>
    <row r="384" spans="4:24" s="277" customFormat="1" x14ac:dyDescent="0.3">
      <c r="D384" s="356" t="s">
        <v>973</v>
      </c>
      <c r="E384" s="356"/>
      <c r="F384" s="356"/>
      <c r="G384" s="356"/>
      <c r="I384" s="48">
        <v>0</v>
      </c>
      <c r="K384" s="48">
        <v>0</v>
      </c>
      <c r="M384" s="279">
        <f t="shared" si="20"/>
        <v>0</v>
      </c>
      <c r="O384" s="279">
        <f t="shared" si="21"/>
        <v>0</v>
      </c>
      <c r="Q384" s="293">
        <f t="shared" si="22"/>
        <v>0</v>
      </c>
      <c r="S384" s="293">
        <f t="shared" si="23"/>
        <v>0</v>
      </c>
      <c r="U384" s="385"/>
      <c r="V384" s="385"/>
      <c r="W384" s="385"/>
      <c r="X384" s="385"/>
    </row>
    <row r="385" spans="3:24" s="277" customFormat="1" x14ac:dyDescent="0.3">
      <c r="D385" s="356" t="s">
        <v>974</v>
      </c>
      <c r="E385" s="356"/>
      <c r="F385" s="356"/>
      <c r="G385" s="356"/>
      <c r="I385" s="48">
        <v>0</v>
      </c>
      <c r="K385" s="48">
        <v>0</v>
      </c>
      <c r="M385" s="279">
        <f t="shared" si="20"/>
        <v>0</v>
      </c>
      <c r="O385" s="279">
        <f t="shared" si="21"/>
        <v>0</v>
      </c>
      <c r="Q385" s="293">
        <f t="shared" si="22"/>
        <v>0</v>
      </c>
      <c r="S385" s="293">
        <f t="shared" si="23"/>
        <v>0</v>
      </c>
      <c r="U385" s="385"/>
      <c r="V385" s="385"/>
      <c r="W385" s="385"/>
      <c r="X385" s="385"/>
    </row>
    <row r="386" spans="3:24" s="277" customFormat="1" x14ac:dyDescent="0.3">
      <c r="D386" s="356" t="s">
        <v>975</v>
      </c>
      <c r="E386" s="356"/>
      <c r="F386" s="356"/>
      <c r="G386" s="356"/>
      <c r="I386" s="48">
        <v>0</v>
      </c>
      <c r="K386" s="48">
        <v>0</v>
      </c>
      <c r="M386" s="279">
        <f t="shared" si="20"/>
        <v>0</v>
      </c>
      <c r="O386" s="279">
        <f t="shared" si="21"/>
        <v>0</v>
      </c>
      <c r="Q386" s="293">
        <f t="shared" si="22"/>
        <v>0</v>
      </c>
      <c r="S386" s="293">
        <f t="shared" si="23"/>
        <v>0</v>
      </c>
      <c r="U386" s="385"/>
      <c r="V386" s="385"/>
      <c r="W386" s="385"/>
      <c r="X386" s="385"/>
    </row>
    <row r="387" spans="3:24" s="277" customFormat="1" x14ac:dyDescent="0.3">
      <c r="D387" s="356" t="s">
        <v>976</v>
      </c>
      <c r="E387" s="356"/>
      <c r="F387" s="356"/>
      <c r="G387" s="356"/>
      <c r="I387" s="48">
        <v>0</v>
      </c>
      <c r="K387" s="48">
        <v>0</v>
      </c>
      <c r="M387" s="279">
        <f t="shared" si="20"/>
        <v>0</v>
      </c>
      <c r="O387" s="279">
        <f t="shared" si="21"/>
        <v>0</v>
      </c>
      <c r="Q387" s="293">
        <f t="shared" si="22"/>
        <v>0</v>
      </c>
      <c r="S387" s="293">
        <f t="shared" si="23"/>
        <v>0</v>
      </c>
      <c r="U387" s="385"/>
      <c r="V387" s="385"/>
      <c r="W387" s="385"/>
      <c r="X387" s="385"/>
    </row>
    <row r="388" spans="3:24" ht="14.4" x14ac:dyDescent="0.3">
      <c r="D388" s="420" t="s">
        <v>79</v>
      </c>
      <c r="E388" s="421"/>
      <c r="F388" s="421"/>
      <c r="G388" s="421"/>
      <c r="I388" s="43"/>
      <c r="K388" s="43"/>
      <c r="M388" s="43"/>
      <c r="O388" s="43"/>
      <c r="Q388" s="294">
        <f>SUM(Q363:Q387)</f>
        <v>0</v>
      </c>
      <c r="S388" s="294">
        <f>SUM(S363:S387)</f>
        <v>0</v>
      </c>
    </row>
    <row r="390" spans="3:24" ht="15.6" x14ac:dyDescent="0.3">
      <c r="C390" s="92" t="s">
        <v>164</v>
      </c>
    </row>
    <row r="391" spans="3:24" ht="27.6" x14ac:dyDescent="0.3">
      <c r="D391" s="90" t="s">
        <v>102</v>
      </c>
      <c r="I391" s="91" t="s">
        <v>80</v>
      </c>
      <c r="K391" s="91" t="s">
        <v>432</v>
      </c>
      <c r="M391" s="42" t="s">
        <v>107</v>
      </c>
      <c r="O391" s="42" t="s">
        <v>108</v>
      </c>
      <c r="Q391" s="42" t="s">
        <v>105</v>
      </c>
      <c r="S391" s="42" t="s">
        <v>106</v>
      </c>
      <c r="U391" s="350" t="s">
        <v>185</v>
      </c>
      <c r="V391" s="351"/>
      <c r="W391" s="351"/>
      <c r="X391" s="351"/>
    </row>
    <row r="392" spans="3:24" x14ac:dyDescent="0.3">
      <c r="D392" s="356" t="s">
        <v>109</v>
      </c>
      <c r="E392" s="356"/>
      <c r="F392" s="356"/>
      <c r="G392" s="356"/>
      <c r="I392" s="48">
        <v>0</v>
      </c>
      <c r="K392" s="48">
        <v>0</v>
      </c>
      <c r="M392" s="40">
        <f t="shared" ref="M392:M416" si="24">IFERROR(IF(DD_ACT_2_Meet1_Curr=1,INDEX($M$556:$M$590,MATCH(D392,LU_ACT_2_Allowances,0)),INDEX($Q$556:$Q$590,MATCH(D392,LU_ACT_2_Allowances,0))),0)</f>
        <v>0</v>
      </c>
      <c r="O392" s="40">
        <f t="shared" ref="O392:O416" si="25">IFERROR(IF(DD_ACT_2_Meet1_Curr=1,INDEX($O$556:$O$590,MATCH(D392,LU_ACT_2_Allowances,0)),INDEX($S$556:$S$590,MATCH(D392,LU_ACT_2_Allowances,0))),0)</f>
        <v>0</v>
      </c>
      <c r="Q392" s="293">
        <f t="shared" ref="Q392:Q416" si="26">I392*K392*M392</f>
        <v>0</v>
      </c>
      <c r="S392" s="293">
        <f t="shared" ref="S392:S416" si="27">I392*K392*O392</f>
        <v>0</v>
      </c>
      <c r="U392" s="356"/>
      <c r="V392" s="356"/>
      <c r="W392" s="356"/>
      <c r="X392" s="356"/>
    </row>
    <row r="393" spans="3:24" x14ac:dyDescent="0.3">
      <c r="D393" s="356" t="s">
        <v>110</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111</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112</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x14ac:dyDescent="0.3">
      <c r="D396" s="356" t="s">
        <v>113</v>
      </c>
      <c r="E396" s="356"/>
      <c r="F396" s="356"/>
      <c r="G396" s="356"/>
      <c r="I396" s="48">
        <v>0</v>
      </c>
      <c r="K396" s="48">
        <v>0</v>
      </c>
      <c r="M396" s="40">
        <f t="shared" si="24"/>
        <v>0</v>
      </c>
      <c r="O396" s="40">
        <f t="shared" si="25"/>
        <v>0</v>
      </c>
      <c r="Q396" s="293">
        <f t="shared" si="26"/>
        <v>0</v>
      </c>
      <c r="S396" s="293">
        <f t="shared" si="27"/>
        <v>0</v>
      </c>
      <c r="U396" s="356"/>
      <c r="V396" s="356"/>
      <c r="W396" s="356"/>
      <c r="X396" s="356"/>
    </row>
    <row r="397" spans="3:24" x14ac:dyDescent="0.3">
      <c r="D397" s="356" t="s">
        <v>114</v>
      </c>
      <c r="E397" s="356"/>
      <c r="F397" s="356"/>
      <c r="G397" s="356"/>
      <c r="I397" s="48">
        <v>0</v>
      </c>
      <c r="K397" s="48">
        <v>0</v>
      </c>
      <c r="M397" s="40">
        <f t="shared" si="24"/>
        <v>0</v>
      </c>
      <c r="O397" s="40">
        <f t="shared" si="25"/>
        <v>0</v>
      </c>
      <c r="Q397" s="293">
        <f t="shared" si="26"/>
        <v>0</v>
      </c>
      <c r="S397" s="293">
        <f t="shared" si="27"/>
        <v>0</v>
      </c>
      <c r="U397" s="356"/>
      <c r="V397" s="356"/>
      <c r="W397" s="356"/>
      <c r="X397" s="356"/>
    </row>
    <row r="398" spans="3:24" x14ac:dyDescent="0.3">
      <c r="D398" s="356" t="s">
        <v>115</v>
      </c>
      <c r="E398" s="356"/>
      <c r="F398" s="356"/>
      <c r="G398" s="356"/>
      <c r="I398" s="48">
        <v>0</v>
      </c>
      <c r="K398" s="48">
        <v>0</v>
      </c>
      <c r="M398" s="40">
        <f t="shared" si="24"/>
        <v>0</v>
      </c>
      <c r="O398" s="40">
        <f t="shared" si="25"/>
        <v>0</v>
      </c>
      <c r="Q398" s="293">
        <f t="shared" si="26"/>
        <v>0</v>
      </c>
      <c r="S398" s="293">
        <f t="shared" si="27"/>
        <v>0</v>
      </c>
      <c r="U398" s="356"/>
      <c r="V398" s="356"/>
      <c r="W398" s="356"/>
      <c r="X398" s="356"/>
    </row>
    <row r="399" spans="3:24" x14ac:dyDescent="0.3">
      <c r="D399" s="356" t="s">
        <v>116</v>
      </c>
      <c r="E399" s="356"/>
      <c r="F399" s="356"/>
      <c r="G399" s="356"/>
      <c r="I399" s="48">
        <v>0</v>
      </c>
      <c r="K399" s="48">
        <v>0</v>
      </c>
      <c r="M399" s="40">
        <f t="shared" si="24"/>
        <v>0</v>
      </c>
      <c r="O399" s="40">
        <f t="shared" si="25"/>
        <v>0</v>
      </c>
      <c r="Q399" s="293">
        <f t="shared" si="26"/>
        <v>0</v>
      </c>
      <c r="S399" s="293">
        <f t="shared" si="27"/>
        <v>0</v>
      </c>
      <c r="U399" s="356"/>
      <c r="V399" s="356"/>
      <c r="W399" s="356"/>
      <c r="X399" s="356"/>
    </row>
    <row r="400" spans="3:24" s="277" customFormat="1" x14ac:dyDescent="0.3">
      <c r="D400" s="356" t="s">
        <v>838</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839</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840</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841</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842</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843</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844</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845</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850</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851</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852</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853</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972</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s="277" customFormat="1" x14ac:dyDescent="0.3">
      <c r="D413" s="356" t="s">
        <v>977</v>
      </c>
      <c r="E413" s="356"/>
      <c r="F413" s="356"/>
      <c r="G413" s="356"/>
      <c r="I413" s="48">
        <v>0</v>
      </c>
      <c r="K413" s="48">
        <v>0</v>
      </c>
      <c r="M413" s="279">
        <f t="shared" si="24"/>
        <v>0</v>
      </c>
      <c r="O413" s="279">
        <f t="shared" si="25"/>
        <v>0</v>
      </c>
      <c r="Q413" s="293">
        <f t="shared" si="26"/>
        <v>0</v>
      </c>
      <c r="S413" s="293">
        <f t="shared" si="27"/>
        <v>0</v>
      </c>
      <c r="U413" s="385"/>
      <c r="V413" s="385"/>
      <c r="W413" s="385"/>
      <c r="X413" s="385"/>
    </row>
    <row r="414" spans="4:24" s="277" customFormat="1" x14ac:dyDescent="0.3">
      <c r="D414" s="356" t="s">
        <v>978</v>
      </c>
      <c r="E414" s="356"/>
      <c r="F414" s="356"/>
      <c r="G414" s="356"/>
      <c r="I414" s="48">
        <v>0</v>
      </c>
      <c r="K414" s="48">
        <v>0</v>
      </c>
      <c r="M414" s="279">
        <f t="shared" si="24"/>
        <v>0</v>
      </c>
      <c r="O414" s="279">
        <f t="shared" si="25"/>
        <v>0</v>
      </c>
      <c r="Q414" s="293">
        <f t="shared" si="26"/>
        <v>0</v>
      </c>
      <c r="S414" s="293">
        <f t="shared" si="27"/>
        <v>0</v>
      </c>
      <c r="U414" s="385"/>
      <c r="V414" s="385"/>
      <c r="W414" s="385"/>
      <c r="X414" s="385"/>
    </row>
    <row r="415" spans="4:24" s="277" customFormat="1" x14ac:dyDescent="0.3">
      <c r="D415" s="356" t="s">
        <v>979</v>
      </c>
      <c r="E415" s="356"/>
      <c r="F415" s="356"/>
      <c r="G415" s="356"/>
      <c r="I415" s="48">
        <v>0</v>
      </c>
      <c r="K415" s="48">
        <v>0</v>
      </c>
      <c r="M415" s="279">
        <f t="shared" si="24"/>
        <v>0</v>
      </c>
      <c r="O415" s="279">
        <f t="shared" si="25"/>
        <v>0</v>
      </c>
      <c r="Q415" s="293">
        <f t="shared" si="26"/>
        <v>0</v>
      </c>
      <c r="S415" s="293">
        <f t="shared" si="27"/>
        <v>0</v>
      </c>
      <c r="U415" s="385"/>
      <c r="V415" s="385"/>
      <c r="W415" s="385"/>
      <c r="X415" s="385"/>
    </row>
    <row r="416" spans="4:24" s="277" customFormat="1" x14ac:dyDescent="0.3">
      <c r="D416" s="356" t="s">
        <v>980</v>
      </c>
      <c r="E416" s="356"/>
      <c r="F416" s="356"/>
      <c r="G416" s="356"/>
      <c r="I416" s="48">
        <v>0</v>
      </c>
      <c r="K416" s="48">
        <v>0</v>
      </c>
      <c r="M416" s="279">
        <f t="shared" si="24"/>
        <v>0</v>
      </c>
      <c r="O416" s="279">
        <f t="shared" si="25"/>
        <v>0</v>
      </c>
      <c r="Q416" s="293">
        <f t="shared" si="26"/>
        <v>0</v>
      </c>
      <c r="S416" s="293">
        <f t="shared" si="27"/>
        <v>0</v>
      </c>
      <c r="U416" s="385"/>
      <c r="V416" s="385"/>
      <c r="W416" s="385"/>
      <c r="X416" s="385"/>
    </row>
    <row r="417" spans="3:24" ht="14.4" x14ac:dyDescent="0.3">
      <c r="D417" s="420" t="s">
        <v>82</v>
      </c>
      <c r="E417" s="421"/>
      <c r="F417" s="421"/>
      <c r="G417" s="421"/>
      <c r="I417" s="43"/>
      <c r="K417" s="43"/>
      <c r="M417" s="43"/>
      <c r="O417" s="43"/>
      <c r="Q417" s="294">
        <f>SUM(Q392:Q416)</f>
        <v>0</v>
      </c>
      <c r="S417" s="294">
        <f>SUM(S392:S416)</f>
        <v>0</v>
      </c>
    </row>
    <row r="420" spans="3:24" ht="15.6" x14ac:dyDescent="0.3">
      <c r="C420" s="92" t="s">
        <v>84</v>
      </c>
    </row>
    <row r="421" spans="3:24" ht="27.6" x14ac:dyDescent="0.3">
      <c r="D421" s="90" t="s">
        <v>102</v>
      </c>
      <c r="I421" s="91" t="s">
        <v>87</v>
      </c>
      <c r="K421" s="91" t="s">
        <v>432</v>
      </c>
      <c r="M421" s="42" t="s">
        <v>107</v>
      </c>
      <c r="O421" s="42" t="s">
        <v>108</v>
      </c>
      <c r="Q421" s="42" t="s">
        <v>105</v>
      </c>
      <c r="S421" s="42" t="s">
        <v>106</v>
      </c>
      <c r="U421" s="350" t="s">
        <v>185</v>
      </c>
      <c r="V421" s="351"/>
      <c r="W421" s="351"/>
      <c r="X421" s="351"/>
    </row>
    <row r="422" spans="3:24" x14ac:dyDescent="0.3">
      <c r="D422" s="356" t="s">
        <v>892</v>
      </c>
      <c r="E422" s="356"/>
      <c r="F422" s="356"/>
      <c r="G422" s="356"/>
      <c r="I422" s="48">
        <v>0</v>
      </c>
      <c r="K422" s="48">
        <v>0</v>
      </c>
      <c r="M422" s="40">
        <f t="shared" ref="M422:M446" si="28">IFERROR(IF(DD_ACT_2_Meet1_Curr=1,INDEX($M$594:$M$628,MATCH(D422,LU_ACT_2_Supplies,0)),INDEX($Q$594:$Q$628,MATCH(D422,LU_ACT_2_Supplies,0))),0)</f>
        <v>0</v>
      </c>
      <c r="O422" s="40">
        <f t="shared" ref="O422:O446" si="29">IFERROR(IF(DD_ACT_2_Meet1_Curr=1,INDEX($O$594:$O$628,MATCH(D422,LU_ACT_2_Supplies,0)),INDEX($S$594:$S$628,MATCH(D422,LU_ACT_2_Supplies,0))),0)</f>
        <v>0</v>
      </c>
      <c r="Q422" s="295">
        <f t="shared" ref="Q422:Q446" si="30">I422*K422*M422</f>
        <v>0</v>
      </c>
      <c r="S422" s="293">
        <f t="shared" ref="S422:S446" si="31">I422*K422*O422</f>
        <v>0</v>
      </c>
      <c r="U422" s="356"/>
      <c r="V422" s="356"/>
      <c r="W422" s="356"/>
      <c r="X422" s="356"/>
    </row>
    <row r="423" spans="3:24" x14ac:dyDescent="0.3">
      <c r="D423" s="356" t="s">
        <v>893</v>
      </c>
      <c r="E423" s="356"/>
      <c r="F423" s="356"/>
      <c r="G423" s="356"/>
      <c r="I423" s="48">
        <v>0</v>
      </c>
      <c r="K423" s="48">
        <v>0</v>
      </c>
      <c r="M423" s="40">
        <f t="shared" si="28"/>
        <v>0</v>
      </c>
      <c r="O423" s="40">
        <f t="shared" si="29"/>
        <v>0</v>
      </c>
      <c r="Q423" s="295">
        <f t="shared" si="30"/>
        <v>0</v>
      </c>
      <c r="S423" s="293">
        <f t="shared" si="31"/>
        <v>0</v>
      </c>
      <c r="U423" s="356"/>
      <c r="V423" s="356"/>
      <c r="W423" s="356"/>
      <c r="X423" s="356"/>
    </row>
    <row r="424" spans="3:24" s="277" customFormat="1" x14ac:dyDescent="0.3">
      <c r="D424" s="356" t="s">
        <v>854</v>
      </c>
      <c r="E424" s="356"/>
      <c r="F424" s="356"/>
      <c r="G424" s="356"/>
      <c r="I424" s="48">
        <v>0</v>
      </c>
      <c r="K424" s="48">
        <v>0</v>
      </c>
      <c r="M424" s="279">
        <f t="shared" si="28"/>
        <v>0</v>
      </c>
      <c r="O424" s="279">
        <f t="shared" si="29"/>
        <v>0</v>
      </c>
      <c r="Q424" s="295">
        <f t="shared" si="30"/>
        <v>0</v>
      </c>
      <c r="S424" s="293">
        <f t="shared" si="31"/>
        <v>0</v>
      </c>
      <c r="U424" s="385"/>
      <c r="V424" s="385"/>
      <c r="W424" s="385"/>
      <c r="X424" s="385"/>
    </row>
    <row r="425" spans="3:24" s="277" customFormat="1" x14ac:dyDescent="0.3">
      <c r="D425" s="356" t="s">
        <v>855</v>
      </c>
      <c r="E425" s="356"/>
      <c r="F425" s="356"/>
      <c r="G425" s="356"/>
      <c r="I425" s="48">
        <v>0</v>
      </c>
      <c r="K425" s="48">
        <v>0</v>
      </c>
      <c r="M425" s="279">
        <f t="shared" si="28"/>
        <v>0</v>
      </c>
      <c r="O425" s="279">
        <f t="shared" si="29"/>
        <v>0</v>
      </c>
      <c r="Q425" s="295">
        <f t="shared" si="30"/>
        <v>0</v>
      </c>
      <c r="S425" s="293">
        <f t="shared" si="31"/>
        <v>0</v>
      </c>
      <c r="U425" s="385"/>
      <c r="V425" s="385"/>
      <c r="W425" s="385"/>
      <c r="X425" s="385"/>
    </row>
    <row r="426" spans="3:24" s="277" customFormat="1" x14ac:dyDescent="0.3">
      <c r="D426" s="356" t="s">
        <v>856</v>
      </c>
      <c r="E426" s="356"/>
      <c r="F426" s="356"/>
      <c r="G426" s="356"/>
      <c r="I426" s="48">
        <v>0</v>
      </c>
      <c r="K426" s="48">
        <v>0</v>
      </c>
      <c r="M426" s="279">
        <f t="shared" si="28"/>
        <v>0</v>
      </c>
      <c r="O426" s="279">
        <f t="shared" si="29"/>
        <v>0</v>
      </c>
      <c r="Q426" s="295">
        <f t="shared" si="30"/>
        <v>0</v>
      </c>
      <c r="S426" s="293">
        <f t="shared" si="31"/>
        <v>0</v>
      </c>
      <c r="U426" s="385"/>
      <c r="V426" s="385"/>
      <c r="W426" s="385"/>
      <c r="X426" s="385"/>
    </row>
    <row r="427" spans="3:24" s="277" customFormat="1" x14ac:dyDescent="0.3">
      <c r="D427" s="356" t="s">
        <v>857</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858</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859</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860</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861</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862</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4:24" s="277" customFormat="1" x14ac:dyDescent="0.3">
      <c r="D433" s="356" t="s">
        <v>863</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4:24" s="277" customFormat="1" x14ac:dyDescent="0.3">
      <c r="D434" s="356" t="s">
        <v>864</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4:24" s="277" customFormat="1" x14ac:dyDescent="0.3">
      <c r="D435" s="356" t="s">
        <v>865</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4:24" s="277" customFormat="1" x14ac:dyDescent="0.3">
      <c r="D436" s="356" t="s">
        <v>866</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4:24" s="277" customFormat="1" x14ac:dyDescent="0.3">
      <c r="D437" s="356" t="s">
        <v>867</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4:24" s="277" customFormat="1" x14ac:dyDescent="0.3">
      <c r="D438" s="356" t="s">
        <v>868</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4:24" s="277" customFormat="1" x14ac:dyDescent="0.3">
      <c r="D439" s="356" t="s">
        <v>869</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4:24" s="277" customFormat="1" x14ac:dyDescent="0.3">
      <c r="D440" s="356" t="s">
        <v>870</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4:24" s="277" customFormat="1" x14ac:dyDescent="0.3">
      <c r="D441" s="356" t="s">
        <v>871</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4:24" s="277" customFormat="1" x14ac:dyDescent="0.3">
      <c r="D442" s="356" t="s">
        <v>981</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4:24" s="277" customFormat="1" x14ac:dyDescent="0.3">
      <c r="D443" s="356" t="s">
        <v>982</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4:24" s="277" customFormat="1" x14ac:dyDescent="0.3">
      <c r="D444" s="356" t="s">
        <v>983</v>
      </c>
      <c r="E444" s="356"/>
      <c r="F444" s="356"/>
      <c r="G444" s="356"/>
      <c r="I444" s="48">
        <v>0</v>
      </c>
      <c r="K444" s="48">
        <v>0</v>
      </c>
      <c r="M444" s="279">
        <f t="shared" si="28"/>
        <v>0</v>
      </c>
      <c r="O444" s="279">
        <f t="shared" si="29"/>
        <v>0</v>
      </c>
      <c r="Q444" s="295">
        <f t="shared" si="30"/>
        <v>0</v>
      </c>
      <c r="S444" s="293">
        <f t="shared" si="31"/>
        <v>0</v>
      </c>
      <c r="U444" s="385"/>
      <c r="V444" s="385"/>
      <c r="W444" s="385"/>
      <c r="X444" s="385"/>
    </row>
    <row r="445" spans="4:24" s="277" customFormat="1" x14ac:dyDescent="0.3">
      <c r="D445" s="356" t="s">
        <v>984</v>
      </c>
      <c r="E445" s="356"/>
      <c r="F445" s="356"/>
      <c r="G445" s="356"/>
      <c r="I445" s="48">
        <v>0</v>
      </c>
      <c r="K445" s="48">
        <v>0</v>
      </c>
      <c r="M445" s="279">
        <f t="shared" si="28"/>
        <v>0</v>
      </c>
      <c r="O445" s="279">
        <f t="shared" si="29"/>
        <v>0</v>
      </c>
      <c r="Q445" s="295">
        <f t="shared" si="30"/>
        <v>0</v>
      </c>
      <c r="S445" s="293">
        <f t="shared" si="31"/>
        <v>0</v>
      </c>
      <c r="U445" s="385"/>
      <c r="V445" s="385"/>
      <c r="W445" s="385"/>
      <c r="X445" s="385"/>
    </row>
    <row r="446" spans="4:24" s="277" customFormat="1" x14ac:dyDescent="0.3">
      <c r="D446" s="356" t="s">
        <v>985</v>
      </c>
      <c r="E446" s="356"/>
      <c r="F446" s="356"/>
      <c r="G446" s="356"/>
      <c r="I446" s="48">
        <v>0</v>
      </c>
      <c r="K446" s="48">
        <v>0</v>
      </c>
      <c r="M446" s="279">
        <f t="shared" si="28"/>
        <v>0</v>
      </c>
      <c r="O446" s="279">
        <f t="shared" si="29"/>
        <v>0</v>
      </c>
      <c r="Q446" s="295">
        <f t="shared" si="30"/>
        <v>0</v>
      </c>
      <c r="S446" s="293">
        <f t="shared" si="31"/>
        <v>0</v>
      </c>
      <c r="U446" s="385"/>
      <c r="V446" s="385"/>
      <c r="W446" s="385"/>
      <c r="X446" s="385"/>
    </row>
    <row r="447" spans="4:24" ht="14.4" x14ac:dyDescent="0.3">
      <c r="D447" s="420" t="s">
        <v>85</v>
      </c>
      <c r="E447" s="421"/>
      <c r="F447" s="421"/>
      <c r="G447" s="421"/>
      <c r="I447" s="43"/>
      <c r="K447" s="43"/>
      <c r="M447" s="43"/>
      <c r="O447" s="43"/>
      <c r="Q447" s="296">
        <f>SUM(Q422:Q446)</f>
        <v>0</v>
      </c>
      <c r="S447" s="294">
        <f>SUM(S422:S446)</f>
        <v>0</v>
      </c>
      <c r="U447" s="43"/>
      <c r="V447" s="43"/>
      <c r="W447" s="43"/>
      <c r="X447" s="43"/>
    </row>
    <row r="449" spans="3:24" ht="27.6" x14ac:dyDescent="0.3">
      <c r="C449" s="92" t="s">
        <v>130</v>
      </c>
      <c r="Q449" s="44" t="str">
        <f>"FINANCIAL COST ("&amp;INDEX(LU_ACT_2_Meet_Curr,DD_ACT_2_Meet1_Curr)&amp;")"</f>
        <v>FINANCIAL COST (GOZ)</v>
      </c>
      <c r="S449" s="44" t="str">
        <f>"ECONOMIC COST ("&amp;INDEX(LU_ACT_2_Meet_Curr,DD_ACT_2_Meet1_Curr)&amp;")"</f>
        <v>ECONOMIC COST (GOZ)</v>
      </c>
    </row>
    <row r="450" spans="3:24" ht="14.4" x14ac:dyDescent="0.3">
      <c r="D450" s="90" t="s">
        <v>86</v>
      </c>
      <c r="I450" s="91" t="s">
        <v>186</v>
      </c>
      <c r="M450" s="91" t="s">
        <v>81</v>
      </c>
      <c r="O450" s="91" t="s">
        <v>83</v>
      </c>
      <c r="U450" s="350" t="s">
        <v>185</v>
      </c>
      <c r="V450" s="351"/>
      <c r="W450" s="351"/>
      <c r="X450" s="351"/>
    </row>
    <row r="451" spans="3:24" x14ac:dyDescent="0.3">
      <c r="D451" s="356" t="s">
        <v>70</v>
      </c>
      <c r="E451" s="356"/>
      <c r="F451" s="356"/>
      <c r="G451" s="356"/>
      <c r="I451" s="48">
        <v>0</v>
      </c>
      <c r="M451" s="40">
        <f t="shared" ref="M451:M475" si="32">IFERROR(IF(DD_ACT_2_Meet1_Curr=1,INDEX($M$631:$M$665,MATCH(D451,LU_ACT_2_Equipment,0)),INDEX($Q$631:$Q$665,MATCH(D451,LU_ACT_2_Equipment,0))),0)</f>
        <v>0</v>
      </c>
      <c r="O451" s="40">
        <f t="shared" ref="O451:O475" si="33">IFERROR(IF(DD_ACT_2_Meet1_Curr=1,INDEX($O$631:$O$665,MATCH(D451,LU_ACT_2_Equipment,0)),INDEX($S$631:$S$665,MATCH(D451,LU_ACT_2_Equipment,0))),0)</f>
        <v>0</v>
      </c>
      <c r="Q451" s="279">
        <f t="shared" ref="Q451:Q475" si="34">I451*M451</f>
        <v>0</v>
      </c>
      <c r="S451" s="279">
        <f t="shared" ref="S451:S475" si="35">I451*O451</f>
        <v>0</v>
      </c>
      <c r="U451" s="356"/>
      <c r="V451" s="356"/>
      <c r="W451" s="356"/>
      <c r="X451" s="356"/>
    </row>
    <row r="452" spans="3:24" x14ac:dyDescent="0.3">
      <c r="D452" s="356" t="s">
        <v>122</v>
      </c>
      <c r="E452" s="356"/>
      <c r="F452" s="356"/>
      <c r="G452" s="356"/>
      <c r="I452" s="48">
        <v>0</v>
      </c>
      <c r="M452" s="40">
        <f t="shared" si="32"/>
        <v>0</v>
      </c>
      <c r="O452" s="40">
        <f t="shared" si="33"/>
        <v>0</v>
      </c>
      <c r="Q452" s="279">
        <f t="shared" si="34"/>
        <v>0</v>
      </c>
      <c r="S452" s="279">
        <f t="shared" si="35"/>
        <v>0</v>
      </c>
      <c r="U452" s="356"/>
      <c r="V452" s="356"/>
      <c r="W452" s="356"/>
      <c r="X452" s="356"/>
    </row>
    <row r="453" spans="3:24" s="277" customFormat="1" x14ac:dyDescent="0.3">
      <c r="D453" s="356" t="s">
        <v>872</v>
      </c>
      <c r="E453" s="356"/>
      <c r="F453" s="356"/>
      <c r="G453" s="356"/>
      <c r="I453" s="48">
        <v>0</v>
      </c>
      <c r="M453" s="279">
        <f t="shared" si="32"/>
        <v>0</v>
      </c>
      <c r="O453" s="279">
        <f t="shared" si="33"/>
        <v>0</v>
      </c>
      <c r="Q453" s="279">
        <f t="shared" si="34"/>
        <v>0</v>
      </c>
      <c r="S453" s="279">
        <f t="shared" si="35"/>
        <v>0</v>
      </c>
      <c r="U453" s="385"/>
      <c r="V453" s="385"/>
      <c r="W453" s="385"/>
      <c r="X453" s="385"/>
    </row>
    <row r="454" spans="3:24" s="277" customFormat="1" x14ac:dyDescent="0.3">
      <c r="D454" s="356" t="s">
        <v>873</v>
      </c>
      <c r="E454" s="356"/>
      <c r="F454" s="356"/>
      <c r="G454" s="356"/>
      <c r="I454" s="48">
        <v>0</v>
      </c>
      <c r="M454" s="279">
        <f t="shared" si="32"/>
        <v>0</v>
      </c>
      <c r="O454" s="279">
        <f t="shared" si="33"/>
        <v>0</v>
      </c>
      <c r="Q454" s="279">
        <f t="shared" si="34"/>
        <v>0</v>
      </c>
      <c r="S454" s="279">
        <f t="shared" si="35"/>
        <v>0</v>
      </c>
      <c r="U454" s="385"/>
      <c r="V454" s="385"/>
      <c r="W454" s="385"/>
      <c r="X454" s="385"/>
    </row>
    <row r="455" spans="3:24" s="277" customFormat="1" x14ac:dyDescent="0.3">
      <c r="D455" s="356" t="s">
        <v>874</v>
      </c>
      <c r="E455" s="356"/>
      <c r="F455" s="356"/>
      <c r="G455" s="356"/>
      <c r="I455" s="48">
        <v>0</v>
      </c>
      <c r="M455" s="279">
        <f t="shared" si="32"/>
        <v>0</v>
      </c>
      <c r="O455" s="279">
        <f t="shared" si="33"/>
        <v>0</v>
      </c>
      <c r="Q455" s="279">
        <f t="shared" si="34"/>
        <v>0</v>
      </c>
      <c r="S455" s="279">
        <f t="shared" si="35"/>
        <v>0</v>
      </c>
      <c r="U455" s="385"/>
      <c r="V455" s="385"/>
      <c r="W455" s="385"/>
      <c r="X455" s="385"/>
    </row>
    <row r="456" spans="3:24" s="277" customFormat="1" x14ac:dyDescent="0.3">
      <c r="D456" s="356" t="s">
        <v>875</v>
      </c>
      <c r="E456" s="356"/>
      <c r="F456" s="356"/>
      <c r="G456" s="356"/>
      <c r="I456" s="48">
        <v>0</v>
      </c>
      <c r="M456" s="279">
        <f t="shared" si="32"/>
        <v>0</v>
      </c>
      <c r="O456" s="279">
        <f t="shared" si="33"/>
        <v>0</v>
      </c>
      <c r="Q456" s="279">
        <f t="shared" si="34"/>
        <v>0</v>
      </c>
      <c r="S456" s="279">
        <f t="shared" si="35"/>
        <v>0</v>
      </c>
      <c r="U456" s="385"/>
      <c r="V456" s="385"/>
      <c r="W456" s="385"/>
      <c r="X456" s="385"/>
    </row>
    <row r="457" spans="3:24" s="277" customFormat="1" x14ac:dyDescent="0.3">
      <c r="D457" s="356" t="s">
        <v>778</v>
      </c>
      <c r="E457" s="356"/>
      <c r="F457" s="356"/>
      <c r="G457" s="356"/>
      <c r="I457" s="48">
        <v>0</v>
      </c>
      <c r="M457" s="279">
        <f t="shared" si="32"/>
        <v>0</v>
      </c>
      <c r="O457" s="279">
        <f t="shared" si="33"/>
        <v>0</v>
      </c>
      <c r="Q457" s="279">
        <f t="shared" si="34"/>
        <v>0</v>
      </c>
      <c r="S457" s="279">
        <f t="shared" si="35"/>
        <v>0</v>
      </c>
      <c r="U457" s="385"/>
      <c r="V457" s="385"/>
      <c r="W457" s="385"/>
      <c r="X457" s="385"/>
    </row>
    <row r="458" spans="3:24" s="277" customFormat="1" x14ac:dyDescent="0.3">
      <c r="D458" s="356" t="s">
        <v>779</v>
      </c>
      <c r="E458" s="356"/>
      <c r="F458" s="356"/>
      <c r="G458" s="356"/>
      <c r="I458" s="48">
        <v>0</v>
      </c>
      <c r="M458" s="279">
        <f t="shared" si="32"/>
        <v>0</v>
      </c>
      <c r="O458" s="279">
        <f t="shared" si="33"/>
        <v>0</v>
      </c>
      <c r="Q458" s="279">
        <f t="shared" si="34"/>
        <v>0</v>
      </c>
      <c r="S458" s="279">
        <f t="shared" si="35"/>
        <v>0</v>
      </c>
      <c r="U458" s="385"/>
      <c r="V458" s="385"/>
      <c r="W458" s="385"/>
      <c r="X458" s="385"/>
    </row>
    <row r="459" spans="3:24" s="277" customFormat="1" x14ac:dyDescent="0.3">
      <c r="D459" s="356" t="s">
        <v>780</v>
      </c>
      <c r="E459" s="356"/>
      <c r="F459" s="356"/>
      <c r="G459" s="356"/>
      <c r="I459" s="48">
        <v>0</v>
      </c>
      <c r="M459" s="279">
        <f t="shared" si="32"/>
        <v>0</v>
      </c>
      <c r="O459" s="279">
        <f t="shared" si="33"/>
        <v>0</v>
      </c>
      <c r="Q459" s="279">
        <f t="shared" si="34"/>
        <v>0</v>
      </c>
      <c r="S459" s="279">
        <f t="shared" si="35"/>
        <v>0</v>
      </c>
      <c r="U459" s="385"/>
      <c r="V459" s="385"/>
      <c r="W459" s="385"/>
      <c r="X459" s="385"/>
    </row>
    <row r="460" spans="3:24" s="277" customFormat="1" x14ac:dyDescent="0.3">
      <c r="D460" s="356" t="s">
        <v>781</v>
      </c>
      <c r="E460" s="356"/>
      <c r="F460" s="356"/>
      <c r="G460" s="356"/>
      <c r="I460" s="48">
        <v>0</v>
      </c>
      <c r="M460" s="279">
        <f t="shared" si="32"/>
        <v>0</v>
      </c>
      <c r="O460" s="279">
        <f t="shared" si="33"/>
        <v>0</v>
      </c>
      <c r="Q460" s="279">
        <f t="shared" si="34"/>
        <v>0</v>
      </c>
      <c r="S460" s="279">
        <f t="shared" si="35"/>
        <v>0</v>
      </c>
      <c r="U460" s="385"/>
      <c r="V460" s="385"/>
      <c r="W460" s="385"/>
      <c r="X460" s="385"/>
    </row>
    <row r="461" spans="3:24" s="277" customFormat="1" x14ac:dyDescent="0.3">
      <c r="D461" s="356" t="s">
        <v>782</v>
      </c>
      <c r="E461" s="356"/>
      <c r="F461" s="356"/>
      <c r="G461" s="356"/>
      <c r="I461" s="48">
        <v>0</v>
      </c>
      <c r="M461" s="279">
        <f t="shared" si="32"/>
        <v>0</v>
      </c>
      <c r="O461" s="279">
        <f t="shared" si="33"/>
        <v>0</v>
      </c>
      <c r="Q461" s="279">
        <f t="shared" si="34"/>
        <v>0</v>
      </c>
      <c r="S461" s="279">
        <f t="shared" si="35"/>
        <v>0</v>
      </c>
      <c r="U461" s="385"/>
      <c r="V461" s="385"/>
      <c r="W461" s="385"/>
      <c r="X461" s="385"/>
    </row>
    <row r="462" spans="3:24" s="277" customFormat="1" x14ac:dyDescent="0.3">
      <c r="D462" s="356" t="s">
        <v>783</v>
      </c>
      <c r="E462" s="356"/>
      <c r="F462" s="356"/>
      <c r="G462" s="356"/>
      <c r="I462" s="48">
        <v>0</v>
      </c>
      <c r="M462" s="279">
        <f t="shared" si="32"/>
        <v>0</v>
      </c>
      <c r="O462" s="279">
        <f t="shared" si="33"/>
        <v>0</v>
      </c>
      <c r="Q462" s="279">
        <f t="shared" si="34"/>
        <v>0</v>
      </c>
      <c r="S462" s="279">
        <f t="shared" si="35"/>
        <v>0</v>
      </c>
      <c r="U462" s="385"/>
      <c r="V462" s="385"/>
      <c r="W462" s="385"/>
      <c r="X462" s="385"/>
    </row>
    <row r="463" spans="3:24" s="277" customFormat="1" x14ac:dyDescent="0.3">
      <c r="D463" s="356" t="s">
        <v>784</v>
      </c>
      <c r="E463" s="356"/>
      <c r="F463" s="356"/>
      <c r="G463" s="356"/>
      <c r="I463" s="48">
        <v>0</v>
      </c>
      <c r="M463" s="279">
        <f t="shared" si="32"/>
        <v>0</v>
      </c>
      <c r="O463" s="279">
        <f t="shared" si="33"/>
        <v>0</v>
      </c>
      <c r="Q463" s="279">
        <f t="shared" si="34"/>
        <v>0</v>
      </c>
      <c r="S463" s="279">
        <f t="shared" si="35"/>
        <v>0</v>
      </c>
      <c r="U463" s="385"/>
      <c r="V463" s="385"/>
      <c r="W463" s="385"/>
      <c r="X463" s="385"/>
    </row>
    <row r="464" spans="3:24" s="277" customFormat="1" x14ac:dyDescent="0.3">
      <c r="D464" s="356" t="s">
        <v>785</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786</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787</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788</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789</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790</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791</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792</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793</v>
      </c>
      <c r="E472" s="356"/>
      <c r="F472" s="356"/>
      <c r="G472" s="356"/>
      <c r="I472" s="48">
        <v>0</v>
      </c>
      <c r="M472" s="279">
        <f t="shared" si="32"/>
        <v>0</v>
      </c>
      <c r="O472" s="279">
        <f t="shared" si="33"/>
        <v>0</v>
      </c>
      <c r="Q472" s="279">
        <f t="shared" si="34"/>
        <v>0</v>
      </c>
      <c r="S472" s="279">
        <f t="shared" si="35"/>
        <v>0</v>
      </c>
      <c r="U472" s="385"/>
      <c r="V472" s="385"/>
      <c r="W472" s="385"/>
      <c r="X472" s="385"/>
    </row>
    <row r="473" spans="3:24" s="277" customFormat="1" x14ac:dyDescent="0.3">
      <c r="D473" s="356" t="s">
        <v>794</v>
      </c>
      <c r="E473" s="356"/>
      <c r="F473" s="356"/>
      <c r="G473" s="356"/>
      <c r="I473" s="48">
        <v>0</v>
      </c>
      <c r="M473" s="279">
        <f t="shared" si="32"/>
        <v>0</v>
      </c>
      <c r="O473" s="279">
        <f t="shared" si="33"/>
        <v>0</v>
      </c>
      <c r="Q473" s="279">
        <f t="shared" si="34"/>
        <v>0</v>
      </c>
      <c r="S473" s="279">
        <f t="shared" si="35"/>
        <v>0</v>
      </c>
      <c r="U473" s="385"/>
      <c r="V473" s="385"/>
      <c r="W473" s="385"/>
      <c r="X473" s="385"/>
    </row>
    <row r="474" spans="3:24" s="277" customFormat="1" x14ac:dyDescent="0.3">
      <c r="D474" s="356" t="s">
        <v>795</v>
      </c>
      <c r="E474" s="356"/>
      <c r="F474" s="356"/>
      <c r="G474" s="356"/>
      <c r="I474" s="48">
        <v>0</v>
      </c>
      <c r="M474" s="279">
        <f t="shared" si="32"/>
        <v>0</v>
      </c>
      <c r="O474" s="279">
        <f t="shared" si="33"/>
        <v>0</v>
      </c>
      <c r="Q474" s="279">
        <f t="shared" si="34"/>
        <v>0</v>
      </c>
      <c r="S474" s="279">
        <f t="shared" si="35"/>
        <v>0</v>
      </c>
      <c r="U474" s="385"/>
      <c r="V474" s="385"/>
      <c r="W474" s="385"/>
      <c r="X474" s="385"/>
    </row>
    <row r="475" spans="3:24" s="277" customFormat="1" x14ac:dyDescent="0.3">
      <c r="D475" s="356" t="s">
        <v>796</v>
      </c>
      <c r="E475" s="356"/>
      <c r="F475" s="356"/>
      <c r="G475" s="356"/>
      <c r="I475" s="48">
        <v>0</v>
      </c>
      <c r="M475" s="279">
        <f t="shared" si="32"/>
        <v>0</v>
      </c>
      <c r="O475" s="279">
        <f t="shared" si="33"/>
        <v>0</v>
      </c>
      <c r="Q475" s="279">
        <f t="shared" si="34"/>
        <v>0</v>
      </c>
      <c r="S475" s="279">
        <f t="shared" si="35"/>
        <v>0</v>
      </c>
      <c r="U475" s="385"/>
      <c r="V475" s="385"/>
      <c r="W475" s="385"/>
      <c r="X475" s="385"/>
    </row>
    <row r="476" spans="3:24" ht="14.4" x14ac:dyDescent="0.3">
      <c r="D476" s="420" t="s">
        <v>88</v>
      </c>
      <c r="E476" s="421"/>
      <c r="F476" s="421"/>
      <c r="G476" s="421"/>
      <c r="I476" s="40"/>
      <c r="M476" s="40"/>
      <c r="O476" s="40"/>
      <c r="Q476" s="294">
        <f>SUM(Q451:Q475)</f>
        <v>0</v>
      </c>
      <c r="S476" s="294">
        <f>SUM(S451:S475)</f>
        <v>0</v>
      </c>
    </row>
    <row r="478" spans="3:24" ht="15.6" x14ac:dyDescent="0.3">
      <c r="C478" s="92" t="s">
        <v>89</v>
      </c>
    </row>
    <row r="479" spans="3:24" ht="27.6" x14ac:dyDescent="0.3">
      <c r="Q479" s="44" t="str">
        <f>"FINANCIAL COST ("&amp;INDEX(LU_ACT_2_Meet_Curr,DD_ACT_2_Meet1_Curr)&amp;")"</f>
        <v>FINANCIAL COST (GOZ)</v>
      </c>
      <c r="S479" s="44" t="str">
        <f>"ECONOMIC COST ("&amp;INDEX(LU_ACT_2_Meet_Curr,DD_ACT_2_Meet1_Curr)&amp;")"</f>
        <v>ECONOMIC COST (GOZ)</v>
      </c>
    </row>
    <row r="480" spans="3:24" ht="27.6" x14ac:dyDescent="0.3">
      <c r="D480" s="90" t="s">
        <v>86</v>
      </c>
      <c r="I480" s="91" t="s">
        <v>186</v>
      </c>
      <c r="K480" s="91" t="s">
        <v>432</v>
      </c>
      <c r="M480" s="42" t="s">
        <v>81</v>
      </c>
      <c r="O480" s="42" t="s">
        <v>83</v>
      </c>
      <c r="U480" s="350" t="s">
        <v>185</v>
      </c>
      <c r="V480" s="351"/>
      <c r="W480" s="351"/>
      <c r="X480" s="351"/>
    </row>
    <row r="481" spans="4:24" x14ac:dyDescent="0.3">
      <c r="D481" s="356" t="s">
        <v>71</v>
      </c>
      <c r="E481" s="356"/>
      <c r="F481" s="356"/>
      <c r="G481" s="356"/>
      <c r="I481" s="48">
        <v>0</v>
      </c>
      <c r="K481" s="48">
        <v>0</v>
      </c>
      <c r="M481" s="40">
        <f t="shared" ref="M481:M505" si="36">IFERROR(IF(DD_ACT_2_Meet1_Curr=1,INDEX($M$669:$M$703,MATCH(D481,LU_ACT_2_ODCS,0)),INDEX($Q$669:$Q$703,MATCH(D481,LU_ACT_2_ODCS,0))),0)</f>
        <v>0</v>
      </c>
      <c r="O481" s="40">
        <f t="shared" ref="O481:O505" si="37">IFERROR(IF(DD_ACT_2_Meet1_Curr=1,INDEX($O$669:$O$703,MATCH(D481,LU_ACT_2_ODCS,0)),INDEX($S$669:$S$703,MATCH(D481,LU_ACT_2_ODCS,0))),0)</f>
        <v>0</v>
      </c>
      <c r="Q481" s="279">
        <f t="shared" ref="Q481:Q505" si="38">I481*K481*M481</f>
        <v>0</v>
      </c>
      <c r="S481" s="279">
        <f t="shared" ref="S481:S505" si="39">I481*K481*O481</f>
        <v>0</v>
      </c>
      <c r="U481" s="356"/>
      <c r="V481" s="356"/>
      <c r="W481" s="356"/>
      <c r="X481" s="356"/>
    </row>
    <row r="482" spans="4:24" x14ac:dyDescent="0.3">
      <c r="D482" s="356" t="s">
        <v>72</v>
      </c>
      <c r="E482" s="356"/>
      <c r="F482" s="356"/>
      <c r="G482" s="356"/>
      <c r="I482" s="48">
        <v>0</v>
      </c>
      <c r="K482" s="48">
        <v>0</v>
      </c>
      <c r="M482" s="40">
        <f t="shared" si="36"/>
        <v>0</v>
      </c>
      <c r="O482" s="40">
        <f t="shared" si="37"/>
        <v>0</v>
      </c>
      <c r="Q482" s="279">
        <f t="shared" si="38"/>
        <v>0</v>
      </c>
      <c r="S482" s="279">
        <f t="shared" si="39"/>
        <v>0</v>
      </c>
      <c r="U482" s="356"/>
      <c r="V482" s="356"/>
      <c r="W482" s="356"/>
      <c r="X482" s="356"/>
    </row>
    <row r="483" spans="4:24" x14ac:dyDescent="0.3">
      <c r="D483" s="356" t="s">
        <v>73</v>
      </c>
      <c r="E483" s="356"/>
      <c r="F483" s="356"/>
      <c r="G483" s="356"/>
      <c r="I483" s="48">
        <v>0</v>
      </c>
      <c r="K483" s="48">
        <v>0</v>
      </c>
      <c r="M483" s="40">
        <f t="shared" si="36"/>
        <v>0</v>
      </c>
      <c r="O483" s="40">
        <f t="shared" si="37"/>
        <v>0</v>
      </c>
      <c r="Q483" s="279">
        <f t="shared" si="38"/>
        <v>0</v>
      </c>
      <c r="S483" s="279">
        <f t="shared" si="39"/>
        <v>0</v>
      </c>
      <c r="U483" s="356"/>
      <c r="V483" s="356"/>
      <c r="W483" s="356"/>
      <c r="X483" s="356"/>
    </row>
    <row r="484" spans="4:24" x14ac:dyDescent="0.3">
      <c r="D484" s="356" t="s">
        <v>74</v>
      </c>
      <c r="E484" s="356"/>
      <c r="F484" s="356"/>
      <c r="G484" s="356"/>
      <c r="I484" s="48">
        <v>0</v>
      </c>
      <c r="K484" s="48">
        <v>0</v>
      </c>
      <c r="M484" s="40">
        <f t="shared" si="36"/>
        <v>0</v>
      </c>
      <c r="O484" s="40">
        <f t="shared" si="37"/>
        <v>0</v>
      </c>
      <c r="Q484" s="279">
        <f t="shared" si="38"/>
        <v>0</v>
      </c>
      <c r="S484" s="279">
        <f t="shared" si="39"/>
        <v>0</v>
      </c>
      <c r="U484" s="356"/>
      <c r="V484" s="356"/>
      <c r="W484" s="356"/>
      <c r="X484" s="356"/>
    </row>
    <row r="485" spans="4:24" x14ac:dyDescent="0.3">
      <c r="D485" s="356" t="s">
        <v>75</v>
      </c>
      <c r="E485" s="356"/>
      <c r="F485" s="356"/>
      <c r="G485" s="356"/>
      <c r="I485" s="48">
        <v>0</v>
      </c>
      <c r="K485" s="48">
        <v>0</v>
      </c>
      <c r="M485" s="40">
        <f t="shared" si="36"/>
        <v>0</v>
      </c>
      <c r="O485" s="40">
        <f t="shared" si="37"/>
        <v>0</v>
      </c>
      <c r="Q485" s="279">
        <f t="shared" si="38"/>
        <v>0</v>
      </c>
      <c r="S485" s="279">
        <f t="shared" si="39"/>
        <v>0</v>
      </c>
      <c r="U485" s="356"/>
      <c r="V485" s="356"/>
      <c r="W485" s="356"/>
      <c r="X485" s="356"/>
    </row>
    <row r="486" spans="4:24" s="277" customFormat="1" x14ac:dyDescent="0.3">
      <c r="D486" s="356" t="s">
        <v>876</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877</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878</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879</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880</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881</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882</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883</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884</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885</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886</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887</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888</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889</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890</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986</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s="277" customFormat="1" x14ac:dyDescent="0.3">
      <c r="D502" s="356" t="s">
        <v>987</v>
      </c>
      <c r="E502" s="356"/>
      <c r="F502" s="356"/>
      <c r="G502" s="356"/>
      <c r="I502" s="48">
        <v>0</v>
      </c>
      <c r="K502" s="48">
        <v>0</v>
      </c>
      <c r="M502" s="279">
        <f t="shared" si="36"/>
        <v>0</v>
      </c>
      <c r="O502" s="279">
        <f t="shared" si="37"/>
        <v>0</v>
      </c>
      <c r="Q502" s="279">
        <f t="shared" si="38"/>
        <v>0</v>
      </c>
      <c r="S502" s="279">
        <f t="shared" si="39"/>
        <v>0</v>
      </c>
      <c r="U502" s="385"/>
      <c r="V502" s="385"/>
      <c r="W502" s="385"/>
      <c r="X502" s="385"/>
    </row>
    <row r="503" spans="2:24" s="277" customFormat="1" x14ac:dyDescent="0.3">
      <c r="D503" s="356" t="s">
        <v>988</v>
      </c>
      <c r="E503" s="356"/>
      <c r="F503" s="356"/>
      <c r="G503" s="356"/>
      <c r="I503" s="48">
        <v>0</v>
      </c>
      <c r="K503" s="48">
        <v>0</v>
      </c>
      <c r="M503" s="279">
        <f t="shared" si="36"/>
        <v>0</v>
      </c>
      <c r="O503" s="279">
        <f t="shared" si="37"/>
        <v>0</v>
      </c>
      <c r="Q503" s="279">
        <f t="shared" si="38"/>
        <v>0</v>
      </c>
      <c r="S503" s="279">
        <f t="shared" si="39"/>
        <v>0</v>
      </c>
      <c r="U503" s="385"/>
      <c r="V503" s="385"/>
      <c r="W503" s="385"/>
      <c r="X503" s="385"/>
    </row>
    <row r="504" spans="2:24" s="277" customFormat="1" x14ac:dyDescent="0.3">
      <c r="D504" s="356" t="s">
        <v>989</v>
      </c>
      <c r="E504" s="356"/>
      <c r="F504" s="356"/>
      <c r="G504" s="356"/>
      <c r="I504" s="48">
        <v>0</v>
      </c>
      <c r="K504" s="48">
        <v>0</v>
      </c>
      <c r="M504" s="279">
        <f t="shared" si="36"/>
        <v>0</v>
      </c>
      <c r="O504" s="279">
        <f t="shared" si="37"/>
        <v>0</v>
      </c>
      <c r="Q504" s="279">
        <f t="shared" si="38"/>
        <v>0</v>
      </c>
      <c r="S504" s="279">
        <f t="shared" si="39"/>
        <v>0</v>
      </c>
      <c r="U504" s="385"/>
      <c r="V504" s="385"/>
      <c r="W504" s="385"/>
      <c r="X504" s="385"/>
    </row>
    <row r="505" spans="2:24" s="277" customFormat="1" x14ac:dyDescent="0.3">
      <c r="D505" s="356" t="s">
        <v>990</v>
      </c>
      <c r="E505" s="356"/>
      <c r="F505" s="356"/>
      <c r="G505" s="356"/>
      <c r="I505" s="48">
        <v>0</v>
      </c>
      <c r="K505" s="48">
        <v>0</v>
      </c>
      <c r="M505" s="279">
        <f t="shared" si="36"/>
        <v>0</v>
      </c>
      <c r="O505" s="279">
        <f t="shared" si="37"/>
        <v>0</v>
      </c>
      <c r="Q505" s="279">
        <f t="shared" si="38"/>
        <v>0</v>
      </c>
      <c r="S505" s="279">
        <f t="shared" si="39"/>
        <v>0</v>
      </c>
      <c r="U505" s="385"/>
      <c r="V505" s="385"/>
      <c r="W505" s="385"/>
      <c r="X505" s="385"/>
    </row>
    <row r="506" spans="2:24" ht="14.4" x14ac:dyDescent="0.3">
      <c r="D506" s="420" t="s">
        <v>90</v>
      </c>
      <c r="E506" s="421"/>
      <c r="F506" s="421"/>
      <c r="G506" s="421"/>
      <c r="I506" s="40"/>
      <c r="K506" s="40">
        <f>SUM(K481:K505)</f>
        <v>0</v>
      </c>
      <c r="M506" s="40"/>
      <c r="O506" s="40"/>
      <c r="Q506" s="294">
        <f>SUM(Q481:Q505)</f>
        <v>0</v>
      </c>
      <c r="S506" s="294">
        <f>SUM(S481:S505)</f>
        <v>0</v>
      </c>
    </row>
    <row r="508" spans="2:24" ht="27.6" x14ac:dyDescent="0.3">
      <c r="Q508" s="44" t="str">
        <f>"FINANCIAL COST ("&amp;INDEX(LU_ACT_2_Meet_Curr,DD_ACT_2_Meet1_Curr)&amp;")"</f>
        <v>FINANCIAL COST (GOZ)</v>
      </c>
      <c r="S508" s="44" t="str">
        <f>"ECONOMIC COST ("&amp;INDEX(LU_ACT_2_Meet_Curr,DD_ACT_2_Meet1_Curr)&amp;")"</f>
        <v>ECONOMIC COST (GOZ)</v>
      </c>
      <c r="U508" s="44" t="str">
        <f>"FINANCIAL COST ("&amp;IF(DD_ACT_2_Meet1_Curr=2,$D$513,$D$514)&amp;")"</f>
        <v>FINANCIAL COST (USD)</v>
      </c>
      <c r="W508" s="44" t="str">
        <f>"ECONOMIC COST ("&amp;IF(DD_ACT_2_Meet1_Curr=2,$D$513,$D$514)&amp;")"</f>
        <v>ECONOMIC COST (USD)</v>
      </c>
    </row>
    <row r="509" spans="2:24" ht="18.600000000000001" thickBot="1" x14ac:dyDescent="0.35">
      <c r="B509" s="99" t="s">
        <v>91</v>
      </c>
      <c r="Q509" s="46">
        <f>SUM(Q388,Q417,Q447,Q476,Q506)</f>
        <v>0</v>
      </c>
      <c r="S509" s="46">
        <f>SUM(S388,S417,S447,S476,S506)</f>
        <v>0</v>
      </c>
      <c r="U509" s="47">
        <f>IFERROR(IF(DD_ACT_2_Meet1_Curr=2,$Q509/$I$514,$Q509*$I$514), 0)</f>
        <v>0</v>
      </c>
      <c r="W509" s="47">
        <f>IFERROR(IF(DD_ACT_2_Meet1_Curr=2,$S509/$I$514,$S509*$I$514), 0)</f>
        <v>0</v>
      </c>
    </row>
    <row r="510" spans="2:24" ht="14.4" thickTop="1" x14ac:dyDescent="0.3"/>
    <row r="511" spans="2:24" x14ac:dyDescent="0.3">
      <c r="C511" s="91" t="s">
        <v>584</v>
      </c>
    </row>
    <row r="512" spans="2:24" hidden="1" outlineLevel="1" x14ac:dyDescent="0.3"/>
    <row r="513" spans="3:19" ht="12.9" hidden="1" customHeight="1" outlineLevel="1" x14ac:dyDescent="0.3">
      <c r="D513" s="422" t="str">
        <f>CURR_TA!D13</f>
        <v>USD</v>
      </c>
      <c r="E513" s="423"/>
      <c r="F513" s="423"/>
      <c r="G513" s="423"/>
      <c r="I513" s="279">
        <f>CURR_TA!J13</f>
        <v>1</v>
      </c>
      <c r="J513" s="279">
        <f>CURR_TA!K13</f>
        <v>0</v>
      </c>
      <c r="K513" s="279">
        <f>CURR_TA!L13</f>
        <v>0</v>
      </c>
      <c r="L513" s="279">
        <f>CURR_TA!M13</f>
        <v>0</v>
      </c>
    </row>
    <row r="514" spans="3:19" ht="12.9" hidden="1" customHeight="1" outlineLevel="1" x14ac:dyDescent="0.3">
      <c r="D514" s="422" t="str">
        <f>CURR_TA!D14</f>
        <v>GOZ</v>
      </c>
      <c r="E514" s="423"/>
      <c r="F514" s="423"/>
      <c r="G514" s="423"/>
      <c r="I514" s="279">
        <f>CURR_TA!J14</f>
        <v>0</v>
      </c>
      <c r="J514" s="279">
        <f>CURR_TA!K14</f>
        <v>0</v>
      </c>
      <c r="K514" s="279">
        <f>CURR_TA!L14</f>
        <v>0</v>
      </c>
      <c r="L514" s="279">
        <f>CURR_TA!M14</f>
        <v>0</v>
      </c>
    </row>
    <row r="515" spans="3:19" collapsed="1" x14ac:dyDescent="0.3"/>
    <row r="517" spans="3:19" x14ac:dyDescent="0.3">
      <c r="C517" s="91" t="s">
        <v>586</v>
      </c>
    </row>
    <row r="518" spans="3:19" hidden="1" outlineLevel="1" x14ac:dyDescent="0.3">
      <c r="M518" s="40" t="str">
        <f>$D$513</f>
        <v>USD</v>
      </c>
      <c r="O518" s="40" t="str">
        <f>$D$513</f>
        <v>USD</v>
      </c>
      <c r="Q518" s="40" t="str">
        <f>$D$514</f>
        <v>GOZ</v>
      </c>
      <c r="S518" s="40" t="str">
        <f>$D$514</f>
        <v>GOZ</v>
      </c>
    </row>
    <row r="519" spans="3:19" hidden="1" outlineLevel="1" x14ac:dyDescent="0.3">
      <c r="C519" s="89" t="str">
        <f>RES_BA!D14</f>
        <v>Personnel Cadre - Other 1</v>
      </c>
      <c r="M519" s="40">
        <f>RES_BA!R14</f>
        <v>0</v>
      </c>
      <c r="O519" s="40">
        <f>RES_BA!S14</f>
        <v>0</v>
      </c>
      <c r="Q519" s="40">
        <f>RES_BA!T14</f>
        <v>0</v>
      </c>
      <c r="S519" s="40">
        <f>RES_BA!U14</f>
        <v>0</v>
      </c>
    </row>
    <row r="520" spans="3:19" hidden="1" outlineLevel="1" x14ac:dyDescent="0.3">
      <c r="C520" s="89" t="str">
        <f>RES_BA!D15</f>
        <v>Personnel Cadre - Other 2</v>
      </c>
      <c r="M520" s="40">
        <f>RES_BA!R15</f>
        <v>0</v>
      </c>
      <c r="O520" s="40">
        <f>RES_BA!S15</f>
        <v>0</v>
      </c>
      <c r="Q520" s="40">
        <f>RES_BA!T15</f>
        <v>0</v>
      </c>
      <c r="S520" s="40">
        <f>RES_BA!U15</f>
        <v>0</v>
      </c>
    </row>
    <row r="521" spans="3:19" hidden="1" outlineLevel="1" x14ac:dyDescent="0.3">
      <c r="C521" s="89" t="str">
        <f>RES_BA!D16</f>
        <v>Personnel Cadre - Other 3</v>
      </c>
      <c r="M521" s="40">
        <f>RES_BA!R16</f>
        <v>0</v>
      </c>
      <c r="O521" s="40">
        <f>RES_BA!S16</f>
        <v>0</v>
      </c>
      <c r="Q521" s="40">
        <f>RES_BA!T16</f>
        <v>0</v>
      </c>
      <c r="S521" s="40">
        <f>RES_BA!U16</f>
        <v>0</v>
      </c>
    </row>
    <row r="522" spans="3:19" hidden="1" outlineLevel="1" x14ac:dyDescent="0.3">
      <c r="C522" s="89" t="str">
        <f>RES_BA!D17</f>
        <v>Personnel Cadre - Other 4</v>
      </c>
      <c r="M522" s="40">
        <f>RES_BA!R17</f>
        <v>0</v>
      </c>
      <c r="O522" s="40">
        <f>RES_BA!S17</f>
        <v>0</v>
      </c>
      <c r="Q522" s="40">
        <f>RES_BA!T17</f>
        <v>0</v>
      </c>
      <c r="S522" s="40">
        <f>RES_BA!U17</f>
        <v>0</v>
      </c>
    </row>
    <row r="523" spans="3:19" hidden="1" outlineLevel="1" x14ac:dyDescent="0.3">
      <c r="C523" s="89" t="str">
        <f>RES_BA!D18</f>
        <v>Personnel Cadre - Other 5</v>
      </c>
      <c r="M523" s="40">
        <f>RES_BA!R18</f>
        <v>0</v>
      </c>
      <c r="O523" s="40">
        <f>RES_BA!S18</f>
        <v>0</v>
      </c>
      <c r="Q523" s="40">
        <f>RES_BA!T18</f>
        <v>0</v>
      </c>
      <c r="S523" s="40">
        <f>RES_BA!U18</f>
        <v>0</v>
      </c>
    </row>
    <row r="524" spans="3:19" hidden="1" outlineLevel="1" x14ac:dyDescent="0.3">
      <c r="C524" s="89" t="str">
        <f>RES_BA!D19</f>
        <v>Personnel Cadre - Other 6</v>
      </c>
      <c r="M524" s="40">
        <f>RES_BA!R19</f>
        <v>0</v>
      </c>
      <c r="O524" s="40">
        <f>RES_BA!S19</f>
        <v>0</v>
      </c>
      <c r="Q524" s="40">
        <f>RES_BA!T19</f>
        <v>0</v>
      </c>
      <c r="S524" s="40">
        <f>RES_BA!U19</f>
        <v>0</v>
      </c>
    </row>
    <row r="525" spans="3:19" hidden="1" outlineLevel="1" x14ac:dyDescent="0.3">
      <c r="C525" s="89" t="str">
        <f>RES_BA!D20</f>
        <v>Personnel Cadre - Other 7</v>
      </c>
      <c r="M525" s="40">
        <f>RES_BA!R20</f>
        <v>0</v>
      </c>
      <c r="O525" s="40">
        <f>RES_BA!S20</f>
        <v>0</v>
      </c>
      <c r="Q525" s="40">
        <f>RES_BA!T20</f>
        <v>0</v>
      </c>
      <c r="S525" s="40">
        <f>RES_BA!U20</f>
        <v>0</v>
      </c>
    </row>
    <row r="526" spans="3:19" hidden="1" outlineLevel="1" x14ac:dyDescent="0.3">
      <c r="C526" s="89" t="str">
        <f>RES_BA!D21</f>
        <v>Personnel Cadre - Other 8</v>
      </c>
      <c r="M526" s="40">
        <f>RES_BA!R21</f>
        <v>0</v>
      </c>
      <c r="O526" s="40">
        <f>RES_BA!S21</f>
        <v>0</v>
      </c>
      <c r="Q526" s="40">
        <f>RES_BA!T21</f>
        <v>0</v>
      </c>
      <c r="S526" s="40">
        <f>RES_BA!U21</f>
        <v>0</v>
      </c>
    </row>
    <row r="527" spans="3:19" hidden="1" outlineLevel="1" x14ac:dyDescent="0.3">
      <c r="C527" s="89" t="str">
        <f>RES_BA!D22</f>
        <v>Personnel Cadre - Other 9</v>
      </c>
      <c r="M527" s="40">
        <f>RES_BA!R22</f>
        <v>0</v>
      </c>
      <c r="O527" s="40">
        <f>RES_BA!S22</f>
        <v>0</v>
      </c>
      <c r="Q527" s="40">
        <f>RES_BA!T22</f>
        <v>0</v>
      </c>
      <c r="S527" s="40">
        <f>RES_BA!U22</f>
        <v>0</v>
      </c>
    </row>
    <row r="528" spans="3:19" hidden="1" outlineLevel="1" x14ac:dyDescent="0.3">
      <c r="C528" s="89" t="str">
        <f>RES_BA!D23</f>
        <v>Personnel Cadre - Other 10</v>
      </c>
      <c r="M528" s="40">
        <f>RES_BA!R23</f>
        <v>0</v>
      </c>
      <c r="O528" s="40">
        <f>RES_BA!S23</f>
        <v>0</v>
      </c>
      <c r="Q528" s="40">
        <f>RES_BA!T23</f>
        <v>0</v>
      </c>
      <c r="S528" s="40">
        <f>RES_BA!U23</f>
        <v>0</v>
      </c>
    </row>
    <row r="529" spans="3:19" hidden="1" outlineLevel="1" x14ac:dyDescent="0.3">
      <c r="C529" s="89" t="str">
        <f>RES_BA!D24</f>
        <v>Personnel Cadre - Other 11</v>
      </c>
      <c r="M529" s="40">
        <f>RES_BA!R24</f>
        <v>0</v>
      </c>
      <c r="O529" s="40">
        <f>RES_BA!S24</f>
        <v>0</v>
      </c>
      <c r="Q529" s="40">
        <f>RES_BA!T24</f>
        <v>0</v>
      </c>
      <c r="S529" s="40">
        <f>RES_BA!U24</f>
        <v>0</v>
      </c>
    </row>
    <row r="530" spans="3:19" hidden="1" outlineLevel="1" x14ac:dyDescent="0.3">
      <c r="C530" s="89" t="str">
        <f>RES_BA!D25</f>
        <v>Personnel Cadre - Other 12</v>
      </c>
      <c r="M530" s="40">
        <f>RES_BA!R25</f>
        <v>0</v>
      </c>
      <c r="O530" s="40">
        <f>RES_BA!S25</f>
        <v>0</v>
      </c>
      <c r="Q530" s="40">
        <f>RES_BA!T25</f>
        <v>0</v>
      </c>
      <c r="S530" s="40">
        <f>RES_BA!U25</f>
        <v>0</v>
      </c>
    </row>
    <row r="531" spans="3:19" hidden="1" outlineLevel="1" x14ac:dyDescent="0.3">
      <c r="C531" s="89" t="str">
        <f>RES_BA!D26</f>
        <v>Personnel Cadre - Other 13</v>
      </c>
      <c r="M531" s="40">
        <f>RES_BA!R26</f>
        <v>0</v>
      </c>
      <c r="O531" s="40">
        <f>RES_BA!S26</f>
        <v>0</v>
      </c>
      <c r="Q531" s="40">
        <f>RES_BA!T26</f>
        <v>0</v>
      </c>
      <c r="S531" s="40">
        <f>RES_BA!U26</f>
        <v>0</v>
      </c>
    </row>
    <row r="532" spans="3:19" hidden="1" outlineLevel="1" x14ac:dyDescent="0.3">
      <c r="C532" s="89" t="str">
        <f>RES_BA!D27</f>
        <v>Personnel Cadre - Other 14</v>
      </c>
      <c r="M532" s="40">
        <f>RES_BA!R27</f>
        <v>0</v>
      </c>
      <c r="O532" s="40">
        <f>RES_BA!S27</f>
        <v>0</v>
      </c>
      <c r="Q532" s="40">
        <f>RES_BA!T27</f>
        <v>0</v>
      </c>
      <c r="S532" s="40">
        <f>RES_BA!U27</f>
        <v>0</v>
      </c>
    </row>
    <row r="533" spans="3:19" hidden="1" outlineLevel="1" x14ac:dyDescent="0.3">
      <c r="C533" s="89" t="str">
        <f>RES_BA!D28</f>
        <v>Personnel Cadre - Other 15</v>
      </c>
      <c r="M533" s="40">
        <f>RES_BA!R28</f>
        <v>0</v>
      </c>
      <c r="O533" s="40">
        <f>RES_BA!S28</f>
        <v>0</v>
      </c>
      <c r="Q533" s="40">
        <f>RES_BA!T28</f>
        <v>0</v>
      </c>
      <c r="S533" s="40">
        <f>RES_BA!U28</f>
        <v>0</v>
      </c>
    </row>
    <row r="534" spans="3:19" s="277" customFormat="1" hidden="1" outlineLevel="1" collapsed="1" x14ac:dyDescent="0.3">
      <c r="C534" s="283" t="str">
        <f>RES_BA!D29</f>
        <v>Personnel Cadre - Other 16</v>
      </c>
      <c r="M534" s="279">
        <f>RES_BA!R29</f>
        <v>0</v>
      </c>
      <c r="O534" s="279">
        <f>RES_BA!S29</f>
        <v>0</v>
      </c>
      <c r="Q534" s="279">
        <f>RES_BA!T29</f>
        <v>0</v>
      </c>
      <c r="S534" s="279">
        <f>RES_BA!U29</f>
        <v>0</v>
      </c>
    </row>
    <row r="535" spans="3:19" s="277" customFormat="1" hidden="1" outlineLevel="1" collapsed="1" x14ac:dyDescent="0.3">
      <c r="C535" s="283" t="str">
        <f>RES_BA!D30</f>
        <v>Personnel Cadre - Other 17</v>
      </c>
      <c r="M535" s="279">
        <f>RES_BA!R30</f>
        <v>0</v>
      </c>
      <c r="O535" s="279">
        <f>RES_BA!S30</f>
        <v>0</v>
      </c>
      <c r="Q535" s="279">
        <f>RES_BA!T30</f>
        <v>0</v>
      </c>
      <c r="S535" s="279">
        <f>RES_BA!U30</f>
        <v>0</v>
      </c>
    </row>
    <row r="536" spans="3:19" s="277" customFormat="1" hidden="1" outlineLevel="1" collapsed="1" x14ac:dyDescent="0.3">
      <c r="C536" s="283" t="str">
        <f>RES_BA!D31</f>
        <v>Personnel Cadre - Other 18</v>
      </c>
      <c r="M536" s="279">
        <f>RES_BA!R31</f>
        <v>0</v>
      </c>
      <c r="O536" s="279">
        <f>RES_BA!S31</f>
        <v>0</v>
      </c>
      <c r="Q536" s="279">
        <f>RES_BA!T31</f>
        <v>0</v>
      </c>
      <c r="S536" s="279">
        <f>RES_BA!U31</f>
        <v>0</v>
      </c>
    </row>
    <row r="537" spans="3:19" s="277" customFormat="1" hidden="1" outlineLevel="1" x14ac:dyDescent="0.3">
      <c r="C537" s="283" t="str">
        <f>RES_BA!D32</f>
        <v>Personnel Cadre - Other 19</v>
      </c>
      <c r="M537" s="279">
        <f>RES_BA!R32</f>
        <v>0</v>
      </c>
      <c r="O537" s="279">
        <f>RES_BA!S32</f>
        <v>0</v>
      </c>
      <c r="Q537" s="279">
        <f>RES_BA!T32</f>
        <v>0</v>
      </c>
      <c r="S537" s="279">
        <f>RES_BA!U32</f>
        <v>0</v>
      </c>
    </row>
    <row r="538" spans="3:19" s="277" customFormat="1" hidden="1" outlineLevel="1" x14ac:dyDescent="0.3">
      <c r="C538" s="283" t="str">
        <f>RES_BA!D33</f>
        <v>Personnel Cadre - Other 20</v>
      </c>
      <c r="M538" s="279">
        <f>RES_BA!R33</f>
        <v>0</v>
      </c>
      <c r="O538" s="279">
        <f>RES_BA!S33</f>
        <v>0</v>
      </c>
      <c r="Q538" s="279">
        <f>RES_BA!T33</f>
        <v>0</v>
      </c>
      <c r="S538" s="279">
        <f>RES_BA!U33</f>
        <v>0</v>
      </c>
    </row>
    <row r="539" spans="3:19" s="277" customFormat="1" hidden="1" outlineLevel="1" collapsed="1" x14ac:dyDescent="0.3">
      <c r="C539" s="283" t="str">
        <f>RES_BA!D34</f>
        <v>Personnel Cadre - Other 21</v>
      </c>
      <c r="M539" s="279">
        <f>RES_BA!R34</f>
        <v>0</v>
      </c>
      <c r="O539" s="279">
        <f>RES_BA!S34</f>
        <v>0</v>
      </c>
      <c r="Q539" s="279">
        <f>RES_BA!T34</f>
        <v>0</v>
      </c>
      <c r="S539" s="279">
        <f>RES_BA!U34</f>
        <v>0</v>
      </c>
    </row>
    <row r="540" spans="3:19" s="277" customFormat="1" hidden="1" outlineLevel="1" x14ac:dyDescent="0.3">
      <c r="C540" s="283" t="str">
        <f>RES_BA!D35</f>
        <v>Personnel Cadre - Other 22</v>
      </c>
      <c r="M540" s="279">
        <f>RES_BA!R35</f>
        <v>0</v>
      </c>
      <c r="O540" s="279">
        <f>RES_BA!S35</f>
        <v>0</v>
      </c>
      <c r="Q540" s="279">
        <f>RES_BA!T35</f>
        <v>0</v>
      </c>
      <c r="S540" s="279">
        <f>RES_BA!U35</f>
        <v>0</v>
      </c>
    </row>
    <row r="541" spans="3:19" s="277" customFormat="1" hidden="1" outlineLevel="1" x14ac:dyDescent="0.3">
      <c r="C541" s="283" t="str">
        <f>RES_BA!D36</f>
        <v>Personnel Cadre - Other 23</v>
      </c>
      <c r="M541" s="279">
        <f>RES_BA!R36</f>
        <v>0</v>
      </c>
      <c r="O541" s="279">
        <f>RES_BA!S36</f>
        <v>0</v>
      </c>
      <c r="Q541" s="279">
        <f>RES_BA!T36</f>
        <v>0</v>
      </c>
      <c r="S541" s="279">
        <f>RES_BA!U36</f>
        <v>0</v>
      </c>
    </row>
    <row r="542" spans="3:19" s="277" customFormat="1" hidden="1" outlineLevel="1" x14ac:dyDescent="0.3">
      <c r="C542" s="283" t="str">
        <f>RES_BA!D37</f>
        <v>Personnel Cadre - Other 24</v>
      </c>
      <c r="M542" s="279">
        <f>RES_BA!R37</f>
        <v>0</v>
      </c>
      <c r="O542" s="279">
        <f>RES_BA!S37</f>
        <v>0</v>
      </c>
      <c r="Q542" s="279">
        <f>RES_BA!T37</f>
        <v>0</v>
      </c>
      <c r="S542" s="279">
        <f>RES_BA!U37</f>
        <v>0</v>
      </c>
    </row>
    <row r="543" spans="3:19" s="277" customFormat="1" hidden="1" outlineLevel="1" x14ac:dyDescent="0.3">
      <c r="C543" s="283" t="str">
        <f>RES_BA!D38</f>
        <v>Personnel Cadre - Other 25</v>
      </c>
      <c r="M543" s="279">
        <f>RES_BA!R38</f>
        <v>0</v>
      </c>
      <c r="O543" s="279">
        <f>RES_BA!S38</f>
        <v>0</v>
      </c>
      <c r="Q543" s="279">
        <f>RES_BA!T38</f>
        <v>0</v>
      </c>
      <c r="S543" s="279">
        <f>RES_BA!U38</f>
        <v>0</v>
      </c>
    </row>
    <row r="544" spans="3:19" s="277" customFormat="1" hidden="1" outlineLevel="1" x14ac:dyDescent="0.3">
      <c r="C544" s="283" t="str">
        <f>RES_BA!D39</f>
        <v>Personnel Cadre - Other 26</v>
      </c>
      <c r="M544" s="279">
        <f>RES_BA!R39</f>
        <v>0</v>
      </c>
      <c r="O544" s="279">
        <f>RES_BA!S39</f>
        <v>0</v>
      </c>
      <c r="Q544" s="279">
        <f>RES_BA!T39</f>
        <v>0</v>
      </c>
      <c r="S544" s="279">
        <f>RES_BA!U39</f>
        <v>0</v>
      </c>
    </row>
    <row r="545" spans="3:19" s="277" customFormat="1" hidden="1" outlineLevel="1" x14ac:dyDescent="0.3">
      <c r="C545" s="283" t="str">
        <f>RES_BA!D40</f>
        <v>Personnel Cadre - Other 27</v>
      </c>
      <c r="M545" s="279">
        <f>RES_BA!R40</f>
        <v>0</v>
      </c>
      <c r="O545" s="279">
        <f>RES_BA!S40</f>
        <v>0</v>
      </c>
      <c r="Q545" s="279">
        <f>RES_BA!T40</f>
        <v>0</v>
      </c>
      <c r="S545" s="279">
        <f>RES_BA!U40</f>
        <v>0</v>
      </c>
    </row>
    <row r="546" spans="3:19" s="277" customFormat="1" hidden="1" outlineLevel="1" x14ac:dyDescent="0.3">
      <c r="C546" s="283" t="str">
        <f>RES_BA!D41</f>
        <v>Personnel Cadre - Other 28</v>
      </c>
      <c r="M546" s="279">
        <f>RES_BA!R41</f>
        <v>0</v>
      </c>
      <c r="O546" s="279">
        <f>RES_BA!S41</f>
        <v>0</v>
      </c>
      <c r="Q546" s="279">
        <f>RES_BA!T41</f>
        <v>0</v>
      </c>
      <c r="S546" s="279">
        <f>RES_BA!U41</f>
        <v>0</v>
      </c>
    </row>
    <row r="547" spans="3:19" s="277" customFormat="1" hidden="1" outlineLevel="1" x14ac:dyDescent="0.3">
      <c r="C547" s="283" t="str">
        <f>RES_BA!D42</f>
        <v>Personnel Cadre - Other 29</v>
      </c>
      <c r="M547" s="279">
        <f>RES_BA!R42</f>
        <v>0</v>
      </c>
      <c r="O547" s="279">
        <f>RES_BA!S42</f>
        <v>0</v>
      </c>
      <c r="Q547" s="279">
        <f>RES_BA!T42</f>
        <v>0</v>
      </c>
      <c r="S547" s="279">
        <f>RES_BA!U42</f>
        <v>0</v>
      </c>
    </row>
    <row r="548" spans="3:19" s="277" customFormat="1" hidden="1" outlineLevel="1" x14ac:dyDescent="0.3">
      <c r="C548" s="283" t="str">
        <f>RES_BA!D43</f>
        <v>Personnel Cadre - Other 30</v>
      </c>
      <c r="M548" s="279">
        <f>RES_BA!R43</f>
        <v>0</v>
      </c>
      <c r="O548" s="279">
        <f>RES_BA!S43</f>
        <v>0</v>
      </c>
      <c r="Q548" s="279">
        <f>RES_BA!T43</f>
        <v>0</v>
      </c>
      <c r="S548" s="279">
        <f>RES_BA!U43</f>
        <v>0</v>
      </c>
    </row>
    <row r="549" spans="3:19" s="277" customFormat="1" hidden="1" outlineLevel="1" x14ac:dyDescent="0.3">
      <c r="C549" s="283" t="str">
        <f>RES_BA!D44</f>
        <v>Personnel Cadre - Other 31</v>
      </c>
      <c r="M549" s="279">
        <f>RES_BA!R44</f>
        <v>0</v>
      </c>
      <c r="O549" s="279">
        <f>RES_BA!S44</f>
        <v>0</v>
      </c>
      <c r="Q549" s="279">
        <f>RES_BA!T44</f>
        <v>0</v>
      </c>
      <c r="S549" s="279">
        <f>RES_BA!U44</f>
        <v>0</v>
      </c>
    </row>
    <row r="550" spans="3:19" s="277" customFormat="1" hidden="1" outlineLevel="1" x14ac:dyDescent="0.3">
      <c r="C550" s="283" t="str">
        <f>RES_BA!D45</f>
        <v>Personnel Cadre - Other 32</v>
      </c>
      <c r="M550" s="279">
        <f>RES_BA!R45</f>
        <v>0</v>
      </c>
      <c r="O550" s="279">
        <f>RES_BA!S45</f>
        <v>0</v>
      </c>
      <c r="Q550" s="279">
        <f>RES_BA!T45</f>
        <v>0</v>
      </c>
      <c r="S550" s="279">
        <f>RES_BA!U45</f>
        <v>0</v>
      </c>
    </row>
    <row r="551" spans="3:19" s="277" customFormat="1" hidden="1" outlineLevel="1" x14ac:dyDescent="0.3">
      <c r="C551" s="283" t="str">
        <f>RES_BA!D46</f>
        <v>Personnel Cadre - Other 33</v>
      </c>
      <c r="M551" s="279">
        <f>RES_BA!R46</f>
        <v>0</v>
      </c>
      <c r="O551" s="279">
        <f>RES_BA!S46</f>
        <v>0</v>
      </c>
      <c r="Q551" s="279">
        <f>RES_BA!T46</f>
        <v>0</v>
      </c>
      <c r="S551" s="279">
        <f>RES_BA!U46</f>
        <v>0</v>
      </c>
    </row>
    <row r="552" spans="3:19" s="277" customFormat="1" hidden="1" outlineLevel="1" x14ac:dyDescent="0.3">
      <c r="C552" s="283" t="str">
        <f>RES_BA!D47</f>
        <v>Personnel Cadre - Other 34</v>
      </c>
      <c r="M552" s="279">
        <f>RES_BA!R47</f>
        <v>0</v>
      </c>
      <c r="O552" s="279">
        <f>RES_BA!S47</f>
        <v>0</v>
      </c>
      <c r="Q552" s="279">
        <f>RES_BA!T47</f>
        <v>0</v>
      </c>
      <c r="S552" s="279">
        <f>RES_BA!U47</f>
        <v>0</v>
      </c>
    </row>
    <row r="553" spans="3:19" s="277" customFormat="1" hidden="1" outlineLevel="1" x14ac:dyDescent="0.3">
      <c r="C553" s="283" t="str">
        <f>RES_BA!D48</f>
        <v>Personnel Cadre - Other 35</v>
      </c>
      <c r="M553" s="279">
        <f>RES_BA!R48</f>
        <v>0</v>
      </c>
      <c r="O553" s="279">
        <f>RES_BA!S48</f>
        <v>0</v>
      </c>
      <c r="Q553" s="279">
        <f>RES_BA!T48</f>
        <v>0</v>
      </c>
      <c r="S553" s="279">
        <f>RES_BA!U48</f>
        <v>0</v>
      </c>
    </row>
    <row r="554" spans="3:19" hidden="1" outlineLevel="1" x14ac:dyDescent="0.3"/>
    <row r="555" spans="3:19" hidden="1" outlineLevel="1" x14ac:dyDescent="0.3">
      <c r="M555" s="40" t="str">
        <f>$D$513</f>
        <v>USD</v>
      </c>
      <c r="O555" s="40" t="str">
        <f>$D$513</f>
        <v>USD</v>
      </c>
      <c r="Q555" s="40" t="str">
        <f>$D$514</f>
        <v>GOZ</v>
      </c>
      <c r="S555" s="40" t="str">
        <f>$D$514</f>
        <v>GOZ</v>
      </c>
    </row>
    <row r="556" spans="3:19" hidden="1" outlineLevel="1" x14ac:dyDescent="0.3">
      <c r="C556" s="89" t="str">
        <f>RES_BA!D53</f>
        <v>Allowances Category 1</v>
      </c>
      <c r="M556" s="40">
        <f>RES_BA!R53</f>
        <v>0</v>
      </c>
      <c r="O556" s="40">
        <f>RES_BA!S53</f>
        <v>0</v>
      </c>
      <c r="Q556" s="40">
        <f>RES_BA!T53</f>
        <v>0</v>
      </c>
      <c r="S556" s="40">
        <f>RES_BA!U53</f>
        <v>0</v>
      </c>
    </row>
    <row r="557" spans="3:19" hidden="1" outlineLevel="1" x14ac:dyDescent="0.3">
      <c r="C557" s="89" t="str">
        <f>RES_BA!D54</f>
        <v>Allowances Category 2</v>
      </c>
      <c r="M557" s="40">
        <f>RES_BA!R54</f>
        <v>0</v>
      </c>
      <c r="O557" s="40">
        <f>RES_BA!S54</f>
        <v>0</v>
      </c>
      <c r="Q557" s="40">
        <f>RES_BA!T54</f>
        <v>0</v>
      </c>
      <c r="S557" s="40">
        <f>RES_BA!U54</f>
        <v>0</v>
      </c>
    </row>
    <row r="558" spans="3:19" hidden="1" outlineLevel="1" x14ac:dyDescent="0.3">
      <c r="C558" s="89" t="str">
        <f>RES_BA!D55</f>
        <v>Allowances Category 3</v>
      </c>
      <c r="M558" s="40">
        <f>RES_BA!R55</f>
        <v>0</v>
      </c>
      <c r="O558" s="40">
        <f>RES_BA!S55</f>
        <v>0</v>
      </c>
      <c r="Q558" s="40">
        <f>RES_BA!T55</f>
        <v>0</v>
      </c>
      <c r="S558" s="40">
        <f>RES_BA!U55</f>
        <v>0</v>
      </c>
    </row>
    <row r="559" spans="3:19" hidden="1" outlineLevel="1" x14ac:dyDescent="0.3">
      <c r="C559" s="89" t="str">
        <f>RES_BA!D56</f>
        <v>Allowances Category 4</v>
      </c>
      <c r="M559" s="40">
        <f>RES_BA!R56</f>
        <v>0</v>
      </c>
      <c r="O559" s="40">
        <f>RES_BA!S56</f>
        <v>0</v>
      </c>
      <c r="Q559" s="40">
        <f>RES_BA!T56</f>
        <v>0</v>
      </c>
      <c r="S559" s="40">
        <f>RES_BA!U56</f>
        <v>0</v>
      </c>
    </row>
    <row r="560" spans="3:19" hidden="1" outlineLevel="1" x14ac:dyDescent="0.3">
      <c r="C560" s="89" t="str">
        <f>RES_BA!D57</f>
        <v>Allowances Category 5</v>
      </c>
      <c r="M560" s="40">
        <f>RES_BA!R57</f>
        <v>0</v>
      </c>
      <c r="O560" s="40">
        <f>RES_BA!S57</f>
        <v>0</v>
      </c>
      <c r="Q560" s="40">
        <f>RES_BA!T57</f>
        <v>0</v>
      </c>
      <c r="S560" s="40">
        <f>RES_BA!U57</f>
        <v>0</v>
      </c>
    </row>
    <row r="561" spans="3:19" s="277" customFormat="1" hidden="1" outlineLevel="1" collapsed="1" x14ac:dyDescent="0.3">
      <c r="C561" s="283" t="str">
        <f>RES_BA!D58</f>
        <v>Allowances Category 6</v>
      </c>
      <c r="M561" s="279">
        <f>RES_BA!R58</f>
        <v>0</v>
      </c>
      <c r="O561" s="279">
        <f>RES_BA!S58</f>
        <v>0</v>
      </c>
      <c r="Q561" s="279">
        <f>RES_BA!T58</f>
        <v>0</v>
      </c>
      <c r="S561" s="279">
        <f>RES_BA!U58</f>
        <v>0</v>
      </c>
    </row>
    <row r="562" spans="3:19" s="277" customFormat="1" hidden="1" outlineLevel="1" x14ac:dyDescent="0.3">
      <c r="C562" s="283" t="str">
        <f>RES_BA!D59</f>
        <v>Allowances Category 7</v>
      </c>
      <c r="M562" s="279">
        <f>RES_BA!R59</f>
        <v>0</v>
      </c>
      <c r="O562" s="279">
        <f>RES_BA!S59</f>
        <v>0</v>
      </c>
      <c r="Q562" s="279">
        <f>RES_BA!T59</f>
        <v>0</v>
      </c>
      <c r="S562" s="279">
        <f>RES_BA!U59</f>
        <v>0</v>
      </c>
    </row>
    <row r="563" spans="3:19" s="277" customFormat="1" hidden="1" outlineLevel="1" x14ac:dyDescent="0.3">
      <c r="C563" s="283" t="str">
        <f>RES_BA!D60</f>
        <v>Allowances Category 8</v>
      </c>
      <c r="M563" s="279">
        <f>RES_BA!R60</f>
        <v>0</v>
      </c>
      <c r="O563" s="279">
        <f>RES_BA!S60</f>
        <v>0</v>
      </c>
      <c r="Q563" s="279">
        <f>RES_BA!T60</f>
        <v>0</v>
      </c>
      <c r="S563" s="279">
        <f>RES_BA!U60</f>
        <v>0</v>
      </c>
    </row>
    <row r="564" spans="3:19" s="277" customFormat="1" hidden="1" outlineLevel="1" x14ac:dyDescent="0.3">
      <c r="C564" s="283" t="str">
        <f>RES_BA!D61</f>
        <v>Allowances Category 9</v>
      </c>
      <c r="M564" s="279">
        <f>RES_BA!R61</f>
        <v>0</v>
      </c>
      <c r="O564" s="279">
        <f>RES_BA!S61</f>
        <v>0</v>
      </c>
      <c r="Q564" s="279">
        <f>RES_BA!T61</f>
        <v>0</v>
      </c>
      <c r="S564" s="279">
        <f>RES_BA!U61</f>
        <v>0</v>
      </c>
    </row>
    <row r="565" spans="3:19" s="277" customFormat="1" hidden="1" outlineLevel="1" x14ac:dyDescent="0.3">
      <c r="C565" s="283" t="str">
        <f>RES_BA!D62</f>
        <v>Allowances Category 10</v>
      </c>
      <c r="M565" s="279">
        <f>RES_BA!R62</f>
        <v>0</v>
      </c>
      <c r="O565" s="279">
        <f>RES_BA!S62</f>
        <v>0</v>
      </c>
      <c r="Q565" s="279">
        <f>RES_BA!T62</f>
        <v>0</v>
      </c>
      <c r="S565" s="279">
        <f>RES_BA!U62</f>
        <v>0</v>
      </c>
    </row>
    <row r="566" spans="3:19" s="277" customFormat="1" hidden="1" outlineLevel="1" x14ac:dyDescent="0.3">
      <c r="C566" s="283" t="str">
        <f>RES_BA!D63</f>
        <v>Allowances Category 11</v>
      </c>
      <c r="M566" s="279">
        <f>RES_BA!R63</f>
        <v>0</v>
      </c>
      <c r="O566" s="279">
        <f>RES_BA!S63</f>
        <v>0</v>
      </c>
      <c r="Q566" s="279">
        <f>RES_BA!T63</f>
        <v>0</v>
      </c>
      <c r="S566" s="279">
        <f>RES_BA!U63</f>
        <v>0</v>
      </c>
    </row>
    <row r="567" spans="3:19" s="277" customFormat="1" hidden="1" outlineLevel="1" x14ac:dyDescent="0.3">
      <c r="C567" s="283" t="str">
        <f>RES_BA!D64</f>
        <v>Allowances Category 12</v>
      </c>
      <c r="M567" s="279">
        <f>RES_BA!R64</f>
        <v>0</v>
      </c>
      <c r="O567" s="279">
        <f>RES_BA!S64</f>
        <v>0</v>
      </c>
      <c r="Q567" s="279">
        <f>RES_BA!T64</f>
        <v>0</v>
      </c>
      <c r="S567" s="279">
        <f>RES_BA!U64</f>
        <v>0</v>
      </c>
    </row>
    <row r="568" spans="3:19" s="277" customFormat="1" hidden="1" outlineLevel="1" x14ac:dyDescent="0.3">
      <c r="C568" s="283" t="str">
        <f>RES_BA!D65</f>
        <v>Allowances Category 13</v>
      </c>
      <c r="M568" s="279">
        <f>RES_BA!R65</f>
        <v>0</v>
      </c>
      <c r="O568" s="279">
        <f>RES_BA!S65</f>
        <v>0</v>
      </c>
      <c r="Q568" s="279">
        <f>RES_BA!T65</f>
        <v>0</v>
      </c>
      <c r="S568" s="279">
        <f>RES_BA!U65</f>
        <v>0</v>
      </c>
    </row>
    <row r="569" spans="3:19" s="277" customFormat="1" hidden="1" outlineLevel="1" x14ac:dyDescent="0.3">
      <c r="C569" s="283" t="str">
        <f>RES_BA!D66</f>
        <v>Allowances Category 14</v>
      </c>
      <c r="M569" s="279">
        <f>RES_BA!R66</f>
        <v>0</v>
      </c>
      <c r="O569" s="279">
        <f>RES_BA!S66</f>
        <v>0</v>
      </c>
      <c r="Q569" s="279">
        <f>RES_BA!T66</f>
        <v>0</v>
      </c>
      <c r="S569" s="279">
        <f>RES_BA!U66</f>
        <v>0</v>
      </c>
    </row>
    <row r="570" spans="3:19" s="277" customFormat="1" hidden="1" outlineLevel="1" x14ac:dyDescent="0.3">
      <c r="C570" s="283" t="str">
        <f>RES_BA!D67</f>
        <v>Allowances Category 15</v>
      </c>
      <c r="M570" s="279">
        <f>RES_BA!R67</f>
        <v>0</v>
      </c>
      <c r="O570" s="279">
        <f>RES_BA!S67</f>
        <v>0</v>
      </c>
      <c r="Q570" s="279">
        <f>RES_BA!T67</f>
        <v>0</v>
      </c>
      <c r="S570" s="279">
        <f>RES_BA!U67</f>
        <v>0</v>
      </c>
    </row>
    <row r="571" spans="3:19" s="277" customFormat="1" hidden="1" outlineLevel="1" x14ac:dyDescent="0.3">
      <c r="C571" s="283" t="str">
        <f>RES_BA!D68</f>
        <v>Allowances Category 16</v>
      </c>
      <c r="M571" s="279">
        <f>RES_BA!R68</f>
        <v>0</v>
      </c>
      <c r="O571" s="279">
        <f>RES_BA!S68</f>
        <v>0</v>
      </c>
      <c r="Q571" s="279">
        <f>RES_BA!T68</f>
        <v>0</v>
      </c>
      <c r="S571" s="279">
        <f>RES_BA!U68</f>
        <v>0</v>
      </c>
    </row>
    <row r="572" spans="3:19" hidden="1" outlineLevel="1" x14ac:dyDescent="0.3">
      <c r="C572" s="89" t="str">
        <f>RES_BA!D69</f>
        <v>Allowances Category 17</v>
      </c>
      <c r="M572" s="40">
        <f>RES_BA!R69</f>
        <v>0</v>
      </c>
      <c r="O572" s="40">
        <f>RES_BA!S69</f>
        <v>0</v>
      </c>
      <c r="Q572" s="40">
        <f>RES_BA!T69</f>
        <v>0</v>
      </c>
      <c r="S572" s="40">
        <f>RES_BA!U69</f>
        <v>0</v>
      </c>
    </row>
    <row r="573" spans="3:19" hidden="1" outlineLevel="1" x14ac:dyDescent="0.3">
      <c r="C573" s="89" t="str">
        <f>RES_BA!D70</f>
        <v>Allowances Category 18</v>
      </c>
      <c r="M573" s="40">
        <f>RES_BA!R70</f>
        <v>0</v>
      </c>
      <c r="O573" s="40">
        <f>RES_BA!S70</f>
        <v>0</v>
      </c>
      <c r="Q573" s="40">
        <f>RES_BA!T70</f>
        <v>0</v>
      </c>
      <c r="S573" s="40">
        <f>RES_BA!U70</f>
        <v>0</v>
      </c>
    </row>
    <row r="574" spans="3:19" hidden="1" outlineLevel="1" x14ac:dyDescent="0.3">
      <c r="C574" s="89" t="str">
        <f>RES_BA!D71</f>
        <v>Allowances Category 19</v>
      </c>
      <c r="M574" s="40">
        <f>RES_BA!R71</f>
        <v>0</v>
      </c>
      <c r="O574" s="40">
        <f>RES_BA!S71</f>
        <v>0</v>
      </c>
      <c r="Q574" s="40">
        <f>RES_BA!T71</f>
        <v>0</v>
      </c>
      <c r="S574" s="40">
        <f>RES_BA!U71</f>
        <v>0</v>
      </c>
    </row>
    <row r="575" spans="3:19" hidden="1" outlineLevel="1" x14ac:dyDescent="0.3">
      <c r="C575" s="89" t="str">
        <f>RES_BA!D72</f>
        <v>Allowances Category 20</v>
      </c>
      <c r="M575" s="40">
        <f>RES_BA!R72</f>
        <v>0</v>
      </c>
      <c r="O575" s="40">
        <f>RES_BA!S72</f>
        <v>0</v>
      </c>
      <c r="Q575" s="40">
        <f>RES_BA!T72</f>
        <v>0</v>
      </c>
      <c r="S575" s="40">
        <f>RES_BA!U72</f>
        <v>0</v>
      </c>
    </row>
    <row r="576" spans="3:19" hidden="1" outlineLevel="1" x14ac:dyDescent="0.3">
      <c r="C576" s="89" t="str">
        <f>RES_BA!D73</f>
        <v>Allowances Category 21</v>
      </c>
      <c r="M576" s="40">
        <f>RES_BA!R73</f>
        <v>0</v>
      </c>
      <c r="O576" s="40">
        <f>RES_BA!S73</f>
        <v>0</v>
      </c>
      <c r="Q576" s="40">
        <f>RES_BA!T73</f>
        <v>0</v>
      </c>
      <c r="S576" s="40">
        <f>RES_BA!U73</f>
        <v>0</v>
      </c>
    </row>
    <row r="577" spans="3:19" hidden="1" outlineLevel="1" x14ac:dyDescent="0.3">
      <c r="C577" s="89" t="str">
        <f>RES_BA!D74</f>
        <v>Allowances Category 22</v>
      </c>
      <c r="M577" s="40">
        <f>RES_BA!R74</f>
        <v>0</v>
      </c>
      <c r="O577" s="40">
        <f>RES_BA!S74</f>
        <v>0</v>
      </c>
      <c r="Q577" s="40">
        <f>RES_BA!T74</f>
        <v>0</v>
      </c>
      <c r="S577" s="40">
        <f>RES_BA!U74</f>
        <v>0</v>
      </c>
    </row>
    <row r="578" spans="3:19" hidden="1" outlineLevel="1" x14ac:dyDescent="0.3">
      <c r="C578" s="89" t="str">
        <f>RES_BA!D75</f>
        <v>Allowances Category 23</v>
      </c>
      <c r="M578" s="40">
        <f>RES_BA!R75</f>
        <v>0</v>
      </c>
      <c r="O578" s="40">
        <f>RES_BA!S75</f>
        <v>0</v>
      </c>
      <c r="Q578" s="40">
        <f>RES_BA!T75</f>
        <v>0</v>
      </c>
      <c r="S578" s="40">
        <f>RES_BA!U75</f>
        <v>0</v>
      </c>
    </row>
    <row r="579" spans="3:19" s="277" customFormat="1" hidden="1" outlineLevel="1" collapsed="1" x14ac:dyDescent="0.3">
      <c r="C579" s="283" t="str">
        <f>RES_BA!D76</f>
        <v>Allowances Category 24</v>
      </c>
      <c r="M579" s="279">
        <f>RES_BA!R76</f>
        <v>0</v>
      </c>
      <c r="O579" s="279">
        <f>RES_BA!S76</f>
        <v>0</v>
      </c>
      <c r="Q579" s="279">
        <f>RES_BA!T76</f>
        <v>0</v>
      </c>
      <c r="S579" s="279">
        <f>RES_BA!U76</f>
        <v>0</v>
      </c>
    </row>
    <row r="580" spans="3:19" s="277" customFormat="1" hidden="1" outlineLevel="1" x14ac:dyDescent="0.3">
      <c r="C580" s="283" t="str">
        <f>RES_BA!D77</f>
        <v>Allowances Category 25</v>
      </c>
      <c r="M580" s="279">
        <f>RES_BA!R77</f>
        <v>0</v>
      </c>
      <c r="O580" s="279">
        <f>RES_BA!S77</f>
        <v>0</v>
      </c>
      <c r="Q580" s="279">
        <f>RES_BA!T77</f>
        <v>0</v>
      </c>
      <c r="S580" s="279">
        <f>RES_BA!U77</f>
        <v>0</v>
      </c>
    </row>
    <row r="581" spans="3:19" s="277" customFormat="1" hidden="1" outlineLevel="1" x14ac:dyDescent="0.3">
      <c r="C581" s="283" t="str">
        <f>RES_BA!D78</f>
        <v>Allowances Category 26</v>
      </c>
      <c r="M581" s="279">
        <f>RES_BA!R78</f>
        <v>0</v>
      </c>
      <c r="O581" s="279">
        <f>RES_BA!S78</f>
        <v>0</v>
      </c>
      <c r="Q581" s="279">
        <f>RES_BA!T78</f>
        <v>0</v>
      </c>
      <c r="S581" s="279">
        <f>RES_BA!U78</f>
        <v>0</v>
      </c>
    </row>
    <row r="582" spans="3:19" s="277" customFormat="1" hidden="1" outlineLevel="1" x14ac:dyDescent="0.3">
      <c r="C582" s="283" t="str">
        <f>RES_BA!D79</f>
        <v>Allowances Category 27</v>
      </c>
      <c r="M582" s="279">
        <f>RES_BA!R79</f>
        <v>0</v>
      </c>
      <c r="O582" s="279">
        <f>RES_BA!S79</f>
        <v>0</v>
      </c>
      <c r="Q582" s="279">
        <f>RES_BA!T79</f>
        <v>0</v>
      </c>
      <c r="S582" s="279">
        <f>RES_BA!U79</f>
        <v>0</v>
      </c>
    </row>
    <row r="583" spans="3:19" s="277" customFormat="1" hidden="1" outlineLevel="1" x14ac:dyDescent="0.3">
      <c r="C583" s="283" t="str">
        <f>RES_BA!D80</f>
        <v>Allowances Category 28</v>
      </c>
      <c r="M583" s="279">
        <f>RES_BA!R80</f>
        <v>0</v>
      </c>
      <c r="O583" s="279">
        <f>RES_BA!S80</f>
        <v>0</v>
      </c>
      <c r="Q583" s="279">
        <f>RES_BA!T80</f>
        <v>0</v>
      </c>
      <c r="S583" s="279">
        <f>RES_BA!U80</f>
        <v>0</v>
      </c>
    </row>
    <row r="584" spans="3:19" s="277" customFormat="1" hidden="1" outlineLevel="1" x14ac:dyDescent="0.3">
      <c r="C584" s="283" t="str">
        <f>RES_BA!D81</f>
        <v>Allowances Category 29</v>
      </c>
      <c r="M584" s="279">
        <f>RES_BA!R81</f>
        <v>0</v>
      </c>
      <c r="O584" s="279">
        <f>RES_BA!S81</f>
        <v>0</v>
      </c>
      <c r="Q584" s="279">
        <f>RES_BA!T81</f>
        <v>0</v>
      </c>
      <c r="S584" s="279">
        <f>RES_BA!U81</f>
        <v>0</v>
      </c>
    </row>
    <row r="585" spans="3:19" s="277" customFormat="1" hidden="1" outlineLevel="1" x14ac:dyDescent="0.3">
      <c r="C585" s="283" t="str">
        <f>RES_BA!D82</f>
        <v>Allowances Category 30</v>
      </c>
      <c r="M585" s="279">
        <f>RES_BA!R82</f>
        <v>0</v>
      </c>
      <c r="O585" s="279">
        <f>RES_BA!S82</f>
        <v>0</v>
      </c>
      <c r="Q585" s="279">
        <f>RES_BA!T82</f>
        <v>0</v>
      </c>
      <c r="S585" s="279">
        <f>RES_BA!U82</f>
        <v>0</v>
      </c>
    </row>
    <row r="586" spans="3:19" hidden="1" outlineLevel="1" x14ac:dyDescent="0.3">
      <c r="C586" s="89" t="str">
        <f>RES_BA!D83</f>
        <v>Allowances Category 31</v>
      </c>
      <c r="M586" s="40">
        <f>RES_BA!R83</f>
        <v>0</v>
      </c>
      <c r="O586" s="40">
        <f>RES_BA!S83</f>
        <v>0</v>
      </c>
      <c r="Q586" s="40">
        <f>RES_BA!T83</f>
        <v>0</v>
      </c>
      <c r="S586" s="40">
        <f>RES_BA!U83</f>
        <v>0</v>
      </c>
    </row>
    <row r="587" spans="3:19" hidden="1" outlineLevel="1" x14ac:dyDescent="0.3">
      <c r="C587" s="89" t="str">
        <f>RES_BA!D84</f>
        <v>Allowances Category 32</v>
      </c>
      <c r="M587" s="40">
        <f>RES_BA!R84</f>
        <v>0</v>
      </c>
      <c r="O587" s="40">
        <f>RES_BA!S84</f>
        <v>0</v>
      </c>
      <c r="Q587" s="40">
        <f>RES_BA!T84</f>
        <v>0</v>
      </c>
      <c r="S587" s="40">
        <f>RES_BA!U84</f>
        <v>0</v>
      </c>
    </row>
    <row r="588" spans="3:19" hidden="1" outlineLevel="1" x14ac:dyDescent="0.3">
      <c r="C588" s="89" t="str">
        <f>RES_BA!D85</f>
        <v>Allowances Category 33</v>
      </c>
      <c r="M588" s="40">
        <f>RES_BA!R85</f>
        <v>0</v>
      </c>
      <c r="O588" s="40">
        <f>RES_BA!S85</f>
        <v>0</v>
      </c>
      <c r="Q588" s="40">
        <f>RES_BA!T85</f>
        <v>0</v>
      </c>
      <c r="S588" s="40">
        <f>RES_BA!U85</f>
        <v>0</v>
      </c>
    </row>
    <row r="589" spans="3:19" hidden="1" outlineLevel="1" x14ac:dyDescent="0.3">
      <c r="C589" s="89" t="str">
        <f>RES_BA!D86</f>
        <v>Allowances Category 34</v>
      </c>
      <c r="M589" s="40">
        <f>RES_BA!R86</f>
        <v>0</v>
      </c>
      <c r="O589" s="40">
        <f>RES_BA!S86</f>
        <v>0</v>
      </c>
      <c r="Q589" s="40">
        <f>RES_BA!T86</f>
        <v>0</v>
      </c>
      <c r="S589" s="40">
        <f>RES_BA!U86</f>
        <v>0</v>
      </c>
    </row>
    <row r="590" spans="3:19" hidden="1" outlineLevel="1" x14ac:dyDescent="0.3">
      <c r="C590" s="89" t="str">
        <f>RES_BA!D87</f>
        <v>Allowances Category 35</v>
      </c>
      <c r="M590" s="40">
        <f>RES_BA!R87</f>
        <v>0</v>
      </c>
      <c r="O590" s="40">
        <f>RES_BA!S87</f>
        <v>0</v>
      </c>
      <c r="Q590" s="40">
        <f>RES_BA!T87</f>
        <v>0</v>
      </c>
      <c r="S590" s="40">
        <f>RES_BA!U87</f>
        <v>0</v>
      </c>
    </row>
    <row r="591" spans="3:19" hidden="1" outlineLevel="1" x14ac:dyDescent="0.3"/>
    <row r="592" spans="3:19" hidden="1" outlineLevel="1" x14ac:dyDescent="0.3"/>
    <row r="593" spans="3:19" hidden="1" outlineLevel="1" x14ac:dyDescent="0.3">
      <c r="M593" s="40" t="str">
        <f>$D$513</f>
        <v>USD</v>
      </c>
      <c r="O593" s="40" t="str">
        <f>$D$513</f>
        <v>USD</v>
      </c>
      <c r="Q593" s="40" t="str">
        <f>$D$514</f>
        <v>GOZ</v>
      </c>
      <c r="S593" s="40" t="str">
        <f>$D$514</f>
        <v>GOZ</v>
      </c>
    </row>
    <row r="594" spans="3:19" hidden="1" outlineLevel="1" x14ac:dyDescent="0.3">
      <c r="C594" s="89" t="str">
        <f>RES_BA!D91</f>
        <v>Supplies Category 1</v>
      </c>
      <c r="M594" s="40">
        <f>RES_BA!R91</f>
        <v>0</v>
      </c>
      <c r="O594" s="40">
        <f>RES_BA!S91</f>
        <v>0</v>
      </c>
      <c r="Q594" s="40">
        <f>RES_BA!T91</f>
        <v>0</v>
      </c>
      <c r="S594" s="40">
        <f>RES_BA!U91</f>
        <v>0</v>
      </c>
    </row>
    <row r="595" spans="3:19" hidden="1" outlineLevel="1" x14ac:dyDescent="0.3">
      <c r="C595" s="89" t="str">
        <f>RES_BA!D92</f>
        <v>Supplies Category 2</v>
      </c>
      <c r="M595" s="40">
        <f>RES_BA!R92</f>
        <v>0</v>
      </c>
      <c r="O595" s="40">
        <f>RES_BA!S92</f>
        <v>0</v>
      </c>
      <c r="Q595" s="40">
        <f>RES_BA!T92</f>
        <v>0</v>
      </c>
      <c r="S595" s="40">
        <f>RES_BA!U92</f>
        <v>0</v>
      </c>
    </row>
    <row r="596" spans="3:19" hidden="1" outlineLevel="1" x14ac:dyDescent="0.3">
      <c r="C596" s="89" t="str">
        <f>RES_BA!D93</f>
        <v>Supplies Category 3</v>
      </c>
      <c r="M596" s="40">
        <f>RES_BA!R93</f>
        <v>0</v>
      </c>
      <c r="O596" s="40">
        <f>RES_BA!S93</f>
        <v>0</v>
      </c>
      <c r="Q596" s="40">
        <f>RES_BA!T93</f>
        <v>0</v>
      </c>
      <c r="S596" s="40">
        <f>RES_BA!U93</f>
        <v>0</v>
      </c>
    </row>
    <row r="597" spans="3:19" hidden="1" outlineLevel="1" x14ac:dyDescent="0.3">
      <c r="C597" s="89" t="str">
        <f>RES_BA!D94</f>
        <v>Supplies Category 4</v>
      </c>
      <c r="M597" s="40">
        <f>RES_BA!R94</f>
        <v>0</v>
      </c>
      <c r="O597" s="40">
        <f>RES_BA!S94</f>
        <v>0</v>
      </c>
      <c r="Q597" s="40">
        <f>RES_BA!T94</f>
        <v>0</v>
      </c>
      <c r="S597" s="40">
        <f>RES_BA!U94</f>
        <v>0</v>
      </c>
    </row>
    <row r="598" spans="3:19" hidden="1" outlineLevel="1" x14ac:dyDescent="0.3">
      <c r="C598" s="89" t="str">
        <f>RES_BA!D95</f>
        <v>Supplies Category 5</v>
      </c>
      <c r="M598" s="40">
        <f>RES_BA!R95</f>
        <v>0</v>
      </c>
      <c r="O598" s="40">
        <f>RES_BA!S95</f>
        <v>0</v>
      </c>
      <c r="Q598" s="40">
        <f>RES_BA!T95</f>
        <v>0</v>
      </c>
      <c r="S598" s="40">
        <f>RES_BA!U95</f>
        <v>0</v>
      </c>
    </row>
    <row r="599" spans="3:19" hidden="1" outlineLevel="1" x14ac:dyDescent="0.3">
      <c r="C599" s="89" t="str">
        <f>RES_BA!D96</f>
        <v>Supplies Category 6</v>
      </c>
      <c r="M599" s="40">
        <f>RES_BA!R96</f>
        <v>0</v>
      </c>
      <c r="O599" s="40">
        <f>RES_BA!S96</f>
        <v>0</v>
      </c>
      <c r="Q599" s="40">
        <f>RES_BA!T96</f>
        <v>0</v>
      </c>
      <c r="S599" s="40">
        <f>RES_BA!U96</f>
        <v>0</v>
      </c>
    </row>
    <row r="600" spans="3:19" hidden="1" outlineLevel="1" x14ac:dyDescent="0.3">
      <c r="C600" s="89" t="str">
        <f>RES_BA!D97</f>
        <v>Supplies Category 7</v>
      </c>
      <c r="M600" s="40">
        <f>RES_BA!R97</f>
        <v>0</v>
      </c>
      <c r="O600" s="40">
        <f>RES_BA!S97</f>
        <v>0</v>
      </c>
      <c r="Q600" s="40">
        <f>RES_BA!T97</f>
        <v>0</v>
      </c>
      <c r="S600" s="40">
        <f>RES_BA!U97</f>
        <v>0</v>
      </c>
    </row>
    <row r="601" spans="3:19" hidden="1" outlineLevel="1" x14ac:dyDescent="0.3">
      <c r="C601" s="89" t="str">
        <f>RES_BA!D98</f>
        <v>Supplies Category 8</v>
      </c>
      <c r="M601" s="40">
        <f>RES_BA!R98</f>
        <v>0</v>
      </c>
      <c r="O601" s="40">
        <f>RES_BA!S98</f>
        <v>0</v>
      </c>
      <c r="Q601" s="40">
        <f>RES_BA!T98</f>
        <v>0</v>
      </c>
      <c r="S601" s="40">
        <f>RES_BA!U98</f>
        <v>0</v>
      </c>
    </row>
    <row r="602" spans="3:19" hidden="1" outlineLevel="1" x14ac:dyDescent="0.3">
      <c r="C602" s="89" t="str">
        <f>RES_BA!D99</f>
        <v>Supplies Category 9</v>
      </c>
      <c r="M602" s="40">
        <f>RES_BA!R99</f>
        <v>0</v>
      </c>
      <c r="O602" s="40">
        <f>RES_BA!S99</f>
        <v>0</v>
      </c>
      <c r="Q602" s="40">
        <f>RES_BA!T99</f>
        <v>0</v>
      </c>
      <c r="S602" s="40">
        <f>RES_BA!U99</f>
        <v>0</v>
      </c>
    </row>
    <row r="603" spans="3:19" hidden="1" outlineLevel="1" x14ac:dyDescent="0.3">
      <c r="C603" s="89" t="str">
        <f>RES_BA!D100</f>
        <v>Supplies Category 10</v>
      </c>
      <c r="M603" s="40">
        <f>RES_BA!R100</f>
        <v>0</v>
      </c>
      <c r="O603" s="40">
        <f>RES_BA!S100</f>
        <v>0</v>
      </c>
      <c r="Q603" s="40">
        <f>RES_BA!T100</f>
        <v>0</v>
      </c>
      <c r="S603" s="40">
        <f>RES_BA!U100</f>
        <v>0</v>
      </c>
    </row>
    <row r="604" spans="3:19" hidden="1" outlineLevel="1" x14ac:dyDescent="0.3">
      <c r="C604" s="89" t="str">
        <f>RES_BA!D101</f>
        <v>Supplies Category 11</v>
      </c>
      <c r="M604" s="40">
        <f>RES_BA!R101</f>
        <v>0</v>
      </c>
      <c r="O604" s="40">
        <f>RES_BA!S101</f>
        <v>0</v>
      </c>
      <c r="Q604" s="40">
        <f>RES_BA!T101</f>
        <v>0</v>
      </c>
      <c r="S604" s="40">
        <f>RES_BA!U101</f>
        <v>0</v>
      </c>
    </row>
    <row r="605" spans="3:19" hidden="1" outlineLevel="1" x14ac:dyDescent="0.3">
      <c r="C605" s="89" t="str">
        <f>RES_BA!D102</f>
        <v>Supplies Category 12</v>
      </c>
      <c r="M605" s="40">
        <f>RES_BA!R102</f>
        <v>0</v>
      </c>
      <c r="O605" s="40">
        <f>RES_BA!S102</f>
        <v>0</v>
      </c>
      <c r="Q605" s="40">
        <f>RES_BA!T102</f>
        <v>0</v>
      </c>
      <c r="S605" s="40">
        <f>RES_BA!U102</f>
        <v>0</v>
      </c>
    </row>
    <row r="606" spans="3:19" hidden="1" outlineLevel="1" x14ac:dyDescent="0.3">
      <c r="C606" s="89" t="str">
        <f>RES_BA!D103</f>
        <v>Supplies Category 13</v>
      </c>
      <c r="M606" s="40">
        <f>RES_BA!R103</f>
        <v>0</v>
      </c>
      <c r="O606" s="40">
        <f>RES_BA!S103</f>
        <v>0</v>
      </c>
      <c r="Q606" s="40">
        <f>RES_BA!T103</f>
        <v>0</v>
      </c>
      <c r="S606" s="40">
        <f>RES_BA!U103</f>
        <v>0</v>
      </c>
    </row>
    <row r="607" spans="3:19" hidden="1" outlineLevel="1" x14ac:dyDescent="0.3">
      <c r="C607" s="89" t="str">
        <f>RES_BA!D104</f>
        <v>Supplies Category 14</v>
      </c>
      <c r="M607" s="40">
        <f>RES_BA!R104</f>
        <v>0</v>
      </c>
      <c r="O607" s="40">
        <f>RES_BA!S104</f>
        <v>0</v>
      </c>
      <c r="Q607" s="40">
        <f>RES_BA!T104</f>
        <v>0</v>
      </c>
      <c r="S607" s="40">
        <f>RES_BA!U104</f>
        <v>0</v>
      </c>
    </row>
    <row r="608" spans="3:19" hidden="1" outlineLevel="1" x14ac:dyDescent="0.3">
      <c r="C608" s="89" t="str">
        <f>RES_BA!D105</f>
        <v>Supplies Category 15</v>
      </c>
      <c r="M608" s="40">
        <f>RES_BA!R105</f>
        <v>0</v>
      </c>
      <c r="O608" s="40">
        <f>RES_BA!S105</f>
        <v>0</v>
      </c>
      <c r="Q608" s="40">
        <f>RES_BA!T105</f>
        <v>0</v>
      </c>
      <c r="S608" s="40">
        <f>RES_BA!U105</f>
        <v>0</v>
      </c>
    </row>
    <row r="609" spans="3:19" hidden="1" outlineLevel="1" x14ac:dyDescent="0.3">
      <c r="C609" s="89" t="str">
        <f>RES_BA!D106</f>
        <v>Supplies Category 16</v>
      </c>
      <c r="M609" s="40">
        <f>RES_BA!R106</f>
        <v>0</v>
      </c>
      <c r="O609" s="40">
        <f>RES_BA!S106</f>
        <v>0</v>
      </c>
      <c r="Q609" s="40">
        <f>RES_BA!T106</f>
        <v>0</v>
      </c>
      <c r="S609" s="40">
        <f>RES_BA!U106</f>
        <v>0</v>
      </c>
    </row>
    <row r="610" spans="3:19" s="277" customFormat="1" hidden="1" outlineLevel="1" collapsed="1" x14ac:dyDescent="0.3">
      <c r="C610" s="283" t="str">
        <f>RES_BA!D107</f>
        <v>Supplies Category 17</v>
      </c>
      <c r="M610" s="279">
        <f>RES_BA!R107</f>
        <v>0</v>
      </c>
      <c r="O610" s="279">
        <f>RES_BA!S107</f>
        <v>0</v>
      </c>
      <c r="Q610" s="279">
        <f>RES_BA!T107</f>
        <v>0</v>
      </c>
      <c r="S610" s="279">
        <f>RES_BA!U107</f>
        <v>0</v>
      </c>
    </row>
    <row r="611" spans="3:19" s="277" customFormat="1" hidden="1" outlineLevel="1" x14ac:dyDescent="0.3">
      <c r="C611" s="283" t="str">
        <f>RES_BA!D108</f>
        <v>Supplies Category 18</v>
      </c>
      <c r="M611" s="279">
        <f>RES_BA!R108</f>
        <v>0</v>
      </c>
      <c r="O611" s="279">
        <f>RES_BA!S108</f>
        <v>0</v>
      </c>
      <c r="Q611" s="279">
        <f>RES_BA!T108</f>
        <v>0</v>
      </c>
      <c r="S611" s="279">
        <f>RES_BA!U108</f>
        <v>0</v>
      </c>
    </row>
    <row r="612" spans="3:19" s="277" customFormat="1" hidden="1" outlineLevel="1" x14ac:dyDescent="0.3">
      <c r="C612" s="283" t="str">
        <f>RES_BA!D109</f>
        <v>Supplies Category 19</v>
      </c>
      <c r="M612" s="279">
        <f>RES_BA!R109</f>
        <v>0</v>
      </c>
      <c r="O612" s="279">
        <f>RES_BA!S109</f>
        <v>0</v>
      </c>
      <c r="Q612" s="279">
        <f>RES_BA!T109</f>
        <v>0</v>
      </c>
      <c r="S612" s="279">
        <f>RES_BA!U109</f>
        <v>0</v>
      </c>
    </row>
    <row r="613" spans="3:19" s="277" customFormat="1" hidden="1" outlineLevel="1" x14ac:dyDescent="0.3">
      <c r="C613" s="283" t="str">
        <f>RES_BA!D110</f>
        <v>Supplies Category 20</v>
      </c>
      <c r="M613" s="279">
        <f>RES_BA!R110</f>
        <v>0</v>
      </c>
      <c r="O613" s="279">
        <f>RES_BA!S110</f>
        <v>0</v>
      </c>
      <c r="Q613" s="279">
        <f>RES_BA!T110</f>
        <v>0</v>
      </c>
      <c r="S613" s="279">
        <f>RES_BA!U110</f>
        <v>0</v>
      </c>
    </row>
    <row r="614" spans="3:19" s="277" customFormat="1" hidden="1" outlineLevel="1" x14ac:dyDescent="0.3">
      <c r="C614" s="283" t="str">
        <f>RES_BA!D111</f>
        <v>Supplies Category 21</v>
      </c>
      <c r="M614" s="279">
        <f>RES_BA!R111</f>
        <v>0</v>
      </c>
      <c r="O614" s="279">
        <f>RES_BA!S111</f>
        <v>0</v>
      </c>
      <c r="Q614" s="279">
        <f>RES_BA!T111</f>
        <v>0</v>
      </c>
      <c r="S614" s="279">
        <f>RES_BA!U111</f>
        <v>0</v>
      </c>
    </row>
    <row r="615" spans="3:19" s="277" customFormat="1" hidden="1" outlineLevel="1" x14ac:dyDescent="0.3">
      <c r="C615" s="283" t="str">
        <f>RES_BA!D112</f>
        <v>Supplies Category 22</v>
      </c>
      <c r="M615" s="279">
        <f>RES_BA!R112</f>
        <v>0</v>
      </c>
      <c r="O615" s="279">
        <f>RES_BA!S112</f>
        <v>0</v>
      </c>
      <c r="Q615" s="279">
        <f>RES_BA!T112</f>
        <v>0</v>
      </c>
      <c r="S615" s="279">
        <f>RES_BA!U112</f>
        <v>0</v>
      </c>
    </row>
    <row r="616" spans="3:19" s="277" customFormat="1" hidden="1" outlineLevel="1" x14ac:dyDescent="0.3">
      <c r="C616" s="283" t="str">
        <f>RES_BA!D113</f>
        <v>Supplies Category 23</v>
      </c>
      <c r="M616" s="279">
        <f>RES_BA!R113</f>
        <v>0</v>
      </c>
      <c r="O616" s="279">
        <f>RES_BA!S113</f>
        <v>0</v>
      </c>
      <c r="Q616" s="279">
        <f>RES_BA!T113</f>
        <v>0</v>
      </c>
      <c r="S616" s="279">
        <f>RES_BA!U113</f>
        <v>0</v>
      </c>
    </row>
    <row r="617" spans="3:19" s="277" customFormat="1" hidden="1" outlineLevel="1" x14ac:dyDescent="0.3">
      <c r="C617" s="283" t="str">
        <f>RES_BA!D114</f>
        <v>Supplies Category 24</v>
      </c>
      <c r="M617" s="279">
        <f>RES_BA!R114</f>
        <v>0</v>
      </c>
      <c r="O617" s="279">
        <f>RES_BA!S114</f>
        <v>0</v>
      </c>
      <c r="Q617" s="279">
        <f>RES_BA!T114</f>
        <v>0</v>
      </c>
      <c r="S617" s="279">
        <f>RES_BA!U114</f>
        <v>0</v>
      </c>
    </row>
    <row r="618" spans="3:19" s="277" customFormat="1" hidden="1" outlineLevel="1" x14ac:dyDescent="0.3">
      <c r="C618" s="283" t="str">
        <f>RES_BA!D115</f>
        <v>Supplies Category 25</v>
      </c>
      <c r="M618" s="279">
        <f>RES_BA!R115</f>
        <v>0</v>
      </c>
      <c r="O618" s="279">
        <f>RES_BA!S115</f>
        <v>0</v>
      </c>
      <c r="Q618" s="279">
        <f>RES_BA!T115</f>
        <v>0</v>
      </c>
      <c r="S618" s="279">
        <f>RES_BA!U115</f>
        <v>0</v>
      </c>
    </row>
    <row r="619" spans="3:19" s="277" customFormat="1" hidden="1" outlineLevel="1" x14ac:dyDescent="0.3">
      <c r="C619" s="283" t="str">
        <f>RES_BA!D116</f>
        <v>Supplies Category 26</v>
      </c>
      <c r="M619" s="279">
        <f>RES_BA!R116</f>
        <v>0</v>
      </c>
      <c r="O619" s="279">
        <f>RES_BA!S116</f>
        <v>0</v>
      </c>
      <c r="Q619" s="279">
        <f>RES_BA!T116</f>
        <v>0</v>
      </c>
      <c r="S619" s="279">
        <f>RES_BA!U116</f>
        <v>0</v>
      </c>
    </row>
    <row r="620" spans="3:19" s="277" customFormat="1" hidden="1" outlineLevel="1" x14ac:dyDescent="0.3">
      <c r="C620" s="283" t="str">
        <f>RES_BA!D117</f>
        <v>Supplies Category 27</v>
      </c>
      <c r="M620" s="279">
        <f>RES_BA!R117</f>
        <v>0</v>
      </c>
      <c r="O620" s="279">
        <f>RES_BA!S117</f>
        <v>0</v>
      </c>
      <c r="Q620" s="279">
        <f>RES_BA!T117</f>
        <v>0</v>
      </c>
      <c r="S620" s="279">
        <f>RES_BA!U117</f>
        <v>0</v>
      </c>
    </row>
    <row r="621" spans="3:19" s="277" customFormat="1" hidden="1" outlineLevel="1" x14ac:dyDescent="0.3">
      <c r="C621" s="283" t="str">
        <f>RES_BA!D118</f>
        <v>Supplies Category 28</v>
      </c>
      <c r="M621" s="279">
        <f>RES_BA!R118</f>
        <v>0</v>
      </c>
      <c r="O621" s="279">
        <f>RES_BA!S118</f>
        <v>0</v>
      </c>
      <c r="Q621" s="279">
        <f>RES_BA!T118</f>
        <v>0</v>
      </c>
      <c r="S621" s="279">
        <f>RES_BA!U118</f>
        <v>0</v>
      </c>
    </row>
    <row r="622" spans="3:19" s="277" customFormat="1" hidden="1" outlineLevel="1" x14ac:dyDescent="0.3">
      <c r="C622" s="283" t="str">
        <f>RES_BA!D119</f>
        <v>Supplies Category 29</v>
      </c>
      <c r="M622" s="279">
        <f>RES_BA!R119</f>
        <v>0</v>
      </c>
      <c r="O622" s="279">
        <f>RES_BA!S119</f>
        <v>0</v>
      </c>
      <c r="Q622" s="279">
        <f>RES_BA!T119</f>
        <v>0</v>
      </c>
      <c r="S622" s="279">
        <f>RES_BA!U119</f>
        <v>0</v>
      </c>
    </row>
    <row r="623" spans="3:19" s="277" customFormat="1" hidden="1" outlineLevel="1" collapsed="1" x14ac:dyDescent="0.3">
      <c r="C623" s="283" t="str">
        <f>RES_BA!D120</f>
        <v>Supplies Category 30</v>
      </c>
      <c r="M623" s="279">
        <f>RES_BA!R120</f>
        <v>0</v>
      </c>
      <c r="O623" s="279">
        <f>RES_BA!S120</f>
        <v>0</v>
      </c>
      <c r="Q623" s="279">
        <f>RES_BA!T120</f>
        <v>0</v>
      </c>
      <c r="S623" s="279">
        <f>RES_BA!U120</f>
        <v>0</v>
      </c>
    </row>
    <row r="624" spans="3:19" s="277" customFormat="1" hidden="1" outlineLevel="1" x14ac:dyDescent="0.3">
      <c r="C624" s="283" t="str">
        <f>RES_BA!D121</f>
        <v>Supplies Category 31</v>
      </c>
      <c r="M624" s="279">
        <f>RES_BA!R121</f>
        <v>0</v>
      </c>
      <c r="O624" s="279">
        <f>RES_BA!S121</f>
        <v>0</v>
      </c>
      <c r="Q624" s="279">
        <f>RES_BA!T121</f>
        <v>0</v>
      </c>
      <c r="S624" s="279">
        <f>RES_BA!U121</f>
        <v>0</v>
      </c>
    </row>
    <row r="625" spans="3:19" s="277" customFormat="1" hidden="1" outlineLevel="1" x14ac:dyDescent="0.3">
      <c r="C625" s="283" t="str">
        <f>RES_BA!D122</f>
        <v>Supplies Category 32</v>
      </c>
      <c r="M625" s="279">
        <f>RES_BA!R122</f>
        <v>0</v>
      </c>
      <c r="O625" s="279">
        <f>RES_BA!S122</f>
        <v>0</v>
      </c>
      <c r="Q625" s="279">
        <f>RES_BA!T122</f>
        <v>0</v>
      </c>
      <c r="S625" s="279">
        <f>RES_BA!U122</f>
        <v>0</v>
      </c>
    </row>
    <row r="626" spans="3:19" s="277" customFormat="1" hidden="1" outlineLevel="1" x14ac:dyDescent="0.3">
      <c r="C626" s="283" t="str">
        <f>RES_BA!D123</f>
        <v>Supplies Category 33</v>
      </c>
      <c r="M626" s="279">
        <f>RES_BA!R123</f>
        <v>0</v>
      </c>
      <c r="O626" s="279">
        <f>RES_BA!S123</f>
        <v>0</v>
      </c>
      <c r="Q626" s="279">
        <f>RES_BA!T123</f>
        <v>0</v>
      </c>
      <c r="S626" s="279">
        <f>RES_BA!U123</f>
        <v>0</v>
      </c>
    </row>
    <row r="627" spans="3:19" s="277" customFormat="1" hidden="1" outlineLevel="1" x14ac:dyDescent="0.3">
      <c r="C627" s="283" t="str">
        <f>RES_BA!D124</f>
        <v>Supplies Category 34</v>
      </c>
      <c r="M627" s="279">
        <f>RES_BA!R124</f>
        <v>0</v>
      </c>
      <c r="O627" s="279">
        <f>RES_BA!S124</f>
        <v>0</v>
      </c>
      <c r="Q627" s="279">
        <f>RES_BA!T124</f>
        <v>0</v>
      </c>
      <c r="S627" s="279">
        <f>RES_BA!U124</f>
        <v>0</v>
      </c>
    </row>
    <row r="628" spans="3:19" s="277" customFormat="1" hidden="1" outlineLevel="1" x14ac:dyDescent="0.3">
      <c r="C628" s="283" t="str">
        <f>RES_BA!D125</f>
        <v>Supplies Category 35</v>
      </c>
      <c r="M628" s="279">
        <f>RES_BA!R125</f>
        <v>0</v>
      </c>
      <c r="O628" s="279">
        <f>RES_BA!S125</f>
        <v>0</v>
      </c>
      <c r="Q628" s="279">
        <f>RES_BA!T125</f>
        <v>0</v>
      </c>
      <c r="S628" s="279">
        <f>RES_BA!U125</f>
        <v>0</v>
      </c>
    </row>
    <row r="629" spans="3:19" hidden="1" outlineLevel="1" x14ac:dyDescent="0.3"/>
    <row r="630" spans="3:19" hidden="1" outlineLevel="1" x14ac:dyDescent="0.3">
      <c r="M630" s="40" t="str">
        <f>$D$513</f>
        <v>USD</v>
      </c>
      <c r="O630" s="40" t="str">
        <f>$D$513</f>
        <v>USD</v>
      </c>
      <c r="Q630" s="40" t="str">
        <f>$D$514</f>
        <v>GOZ</v>
      </c>
      <c r="S630" s="40" t="str">
        <f>$D$514</f>
        <v>GOZ</v>
      </c>
    </row>
    <row r="631" spans="3:19" hidden="1" outlineLevel="1" x14ac:dyDescent="0.3">
      <c r="C631" s="89" t="str">
        <f>RES_BA!D130</f>
        <v>Equipment Category 1</v>
      </c>
      <c r="M631" s="40">
        <f>RES_BA!R130</f>
        <v>0</v>
      </c>
      <c r="O631" s="40">
        <f>RES_BA!S130</f>
        <v>0</v>
      </c>
      <c r="Q631" s="40">
        <f>RES_BA!T130</f>
        <v>0</v>
      </c>
      <c r="S631" s="40">
        <f>RES_BA!U130</f>
        <v>0</v>
      </c>
    </row>
    <row r="632" spans="3:19" hidden="1" outlineLevel="1" x14ac:dyDescent="0.3">
      <c r="C632" s="89" t="str">
        <f>RES_BA!D131</f>
        <v>Equipment Category 2</v>
      </c>
      <c r="M632" s="40">
        <f>RES_BA!R131</f>
        <v>0</v>
      </c>
      <c r="O632" s="40">
        <f>RES_BA!S131</f>
        <v>0</v>
      </c>
      <c r="Q632" s="40">
        <f>RES_BA!T131</f>
        <v>0</v>
      </c>
      <c r="S632" s="40">
        <f>RES_BA!U131</f>
        <v>0</v>
      </c>
    </row>
    <row r="633" spans="3:19" hidden="1" outlineLevel="1" x14ac:dyDescent="0.3">
      <c r="C633" s="89" t="str">
        <f>RES_BA!D132</f>
        <v>Equipment Category 3</v>
      </c>
      <c r="M633" s="40">
        <f>RES_BA!R132</f>
        <v>0</v>
      </c>
      <c r="O633" s="40">
        <f>RES_BA!S132</f>
        <v>0</v>
      </c>
      <c r="Q633" s="40">
        <f>RES_BA!T132</f>
        <v>0</v>
      </c>
      <c r="S633" s="40">
        <f>RES_BA!U132</f>
        <v>0</v>
      </c>
    </row>
    <row r="634" spans="3:19" hidden="1" outlineLevel="1" x14ac:dyDescent="0.3">
      <c r="C634" s="89" t="str">
        <f>RES_BA!D133</f>
        <v>Equipment Category 4</v>
      </c>
      <c r="M634" s="40">
        <f>RES_BA!R133</f>
        <v>0</v>
      </c>
      <c r="O634" s="40">
        <f>RES_BA!S133</f>
        <v>0</v>
      </c>
      <c r="Q634" s="40">
        <f>RES_BA!T133</f>
        <v>0</v>
      </c>
      <c r="S634" s="40">
        <f>RES_BA!U133</f>
        <v>0</v>
      </c>
    </row>
    <row r="635" spans="3:19" hidden="1" outlineLevel="1" x14ac:dyDescent="0.3">
      <c r="C635" s="89" t="str">
        <f>RES_BA!D134</f>
        <v>Equipment Category 5</v>
      </c>
      <c r="M635" s="40">
        <f>RES_BA!R134</f>
        <v>0</v>
      </c>
      <c r="O635" s="40">
        <f>RES_BA!S134</f>
        <v>0</v>
      </c>
      <c r="Q635" s="40">
        <f>RES_BA!T134</f>
        <v>0</v>
      </c>
      <c r="S635" s="40">
        <f>RES_BA!U134</f>
        <v>0</v>
      </c>
    </row>
    <row r="636" spans="3:19" hidden="1" outlineLevel="1" x14ac:dyDescent="0.3">
      <c r="C636" s="89" t="str">
        <f>RES_BA!D135</f>
        <v>Equipment Category 6</v>
      </c>
      <c r="M636" s="40">
        <f>RES_BA!R135</f>
        <v>0</v>
      </c>
      <c r="O636" s="40">
        <f>RES_BA!S135</f>
        <v>0</v>
      </c>
      <c r="Q636" s="40">
        <f>RES_BA!T135</f>
        <v>0</v>
      </c>
      <c r="S636" s="40">
        <f>RES_BA!U135</f>
        <v>0</v>
      </c>
    </row>
    <row r="637" spans="3:19" s="277" customFormat="1" hidden="1" outlineLevel="1" collapsed="1" x14ac:dyDescent="0.3">
      <c r="C637" s="283" t="str">
        <f>RES_BA!D136</f>
        <v>Equipment Category 7</v>
      </c>
      <c r="M637" s="279">
        <f>RES_BA!R136</f>
        <v>0</v>
      </c>
      <c r="O637" s="279">
        <f>RES_BA!S136</f>
        <v>0</v>
      </c>
      <c r="Q637" s="279">
        <f>RES_BA!T136</f>
        <v>0</v>
      </c>
      <c r="S637" s="279">
        <f>RES_BA!U136</f>
        <v>0</v>
      </c>
    </row>
    <row r="638" spans="3:19" s="277" customFormat="1" hidden="1" outlineLevel="1" x14ac:dyDescent="0.3">
      <c r="C638" s="283" t="str">
        <f>RES_BA!D137</f>
        <v>Equipment Category 8</v>
      </c>
      <c r="M638" s="279">
        <f>RES_BA!R137</f>
        <v>0</v>
      </c>
      <c r="O638" s="279">
        <f>RES_BA!S137</f>
        <v>0</v>
      </c>
      <c r="Q638" s="279">
        <f>RES_BA!T137</f>
        <v>0</v>
      </c>
      <c r="S638" s="279">
        <f>RES_BA!U137</f>
        <v>0</v>
      </c>
    </row>
    <row r="639" spans="3:19" s="277" customFormat="1" hidden="1" outlineLevel="1" x14ac:dyDescent="0.3">
      <c r="C639" s="283" t="str">
        <f>RES_BA!D138</f>
        <v>Equipment Category 9</v>
      </c>
      <c r="M639" s="279">
        <f>RES_BA!R138</f>
        <v>0</v>
      </c>
      <c r="O639" s="279">
        <f>RES_BA!S138</f>
        <v>0</v>
      </c>
      <c r="Q639" s="279">
        <f>RES_BA!T138</f>
        <v>0</v>
      </c>
      <c r="S639" s="279">
        <f>RES_BA!U138</f>
        <v>0</v>
      </c>
    </row>
    <row r="640" spans="3:19" s="277" customFormat="1" hidden="1" outlineLevel="1" x14ac:dyDescent="0.3">
      <c r="C640" s="283" t="str">
        <f>RES_BA!D139</f>
        <v>Equipment Category 10</v>
      </c>
      <c r="M640" s="279">
        <f>RES_BA!R139</f>
        <v>0</v>
      </c>
      <c r="O640" s="279">
        <f>RES_BA!S139</f>
        <v>0</v>
      </c>
      <c r="Q640" s="279">
        <f>RES_BA!T139</f>
        <v>0</v>
      </c>
      <c r="S640" s="279">
        <f>RES_BA!U139</f>
        <v>0</v>
      </c>
    </row>
    <row r="641" spans="3:19" s="277" customFormat="1" hidden="1" outlineLevel="1" x14ac:dyDescent="0.3">
      <c r="C641" s="283" t="str">
        <f>RES_BA!D140</f>
        <v>Equipment Category 11</v>
      </c>
      <c r="M641" s="279">
        <f>RES_BA!R140</f>
        <v>0</v>
      </c>
      <c r="O641" s="279">
        <f>RES_BA!S140</f>
        <v>0</v>
      </c>
      <c r="Q641" s="279">
        <f>RES_BA!T140</f>
        <v>0</v>
      </c>
      <c r="S641" s="279">
        <f>RES_BA!U140</f>
        <v>0</v>
      </c>
    </row>
    <row r="642" spans="3:19" s="277" customFormat="1" hidden="1" outlineLevel="1" x14ac:dyDescent="0.3">
      <c r="C642" s="283" t="str">
        <f>RES_BA!D141</f>
        <v>Equipment Category 12</v>
      </c>
      <c r="M642" s="279">
        <f>RES_BA!R141</f>
        <v>0</v>
      </c>
      <c r="O642" s="279">
        <f>RES_BA!S141</f>
        <v>0</v>
      </c>
      <c r="Q642" s="279">
        <f>RES_BA!T141</f>
        <v>0</v>
      </c>
      <c r="S642" s="279">
        <f>RES_BA!U141</f>
        <v>0</v>
      </c>
    </row>
    <row r="643" spans="3:19" s="277" customFormat="1" hidden="1" outlineLevel="1" collapsed="1" x14ac:dyDescent="0.3">
      <c r="C643" s="283" t="str">
        <f>RES_BA!D142</f>
        <v>Equipment Category 13</v>
      </c>
      <c r="M643" s="279">
        <f>RES_BA!R142</f>
        <v>0</v>
      </c>
      <c r="O643" s="279">
        <f>RES_BA!S142</f>
        <v>0</v>
      </c>
      <c r="Q643" s="279">
        <f>RES_BA!T142</f>
        <v>0</v>
      </c>
      <c r="S643" s="279">
        <f>RES_BA!U142</f>
        <v>0</v>
      </c>
    </row>
    <row r="644" spans="3:19" s="277" customFormat="1" hidden="1" outlineLevel="1" x14ac:dyDescent="0.3">
      <c r="C644" s="283" t="str">
        <f>RES_BA!D143</f>
        <v>Equipment Category 14</v>
      </c>
      <c r="M644" s="279">
        <f>RES_BA!R143</f>
        <v>0</v>
      </c>
      <c r="O644" s="279">
        <f>RES_BA!S143</f>
        <v>0</v>
      </c>
      <c r="Q644" s="279">
        <f>RES_BA!T143</f>
        <v>0</v>
      </c>
      <c r="S644" s="279">
        <f>RES_BA!U143</f>
        <v>0</v>
      </c>
    </row>
    <row r="645" spans="3:19" s="277" customFormat="1" hidden="1" outlineLevel="1" x14ac:dyDescent="0.3">
      <c r="C645" s="283" t="str">
        <f>RES_BA!D144</f>
        <v>Equipment Category 15</v>
      </c>
      <c r="M645" s="279">
        <f>RES_BA!R144</f>
        <v>0</v>
      </c>
      <c r="O645" s="279">
        <f>RES_BA!S144</f>
        <v>0</v>
      </c>
      <c r="Q645" s="279">
        <f>RES_BA!T144</f>
        <v>0</v>
      </c>
      <c r="S645" s="279">
        <f>RES_BA!U144</f>
        <v>0</v>
      </c>
    </row>
    <row r="646" spans="3:19" s="277" customFormat="1" hidden="1" outlineLevel="1" x14ac:dyDescent="0.3">
      <c r="C646" s="283" t="str">
        <f>RES_BA!D145</f>
        <v>Equipment Category 16</v>
      </c>
      <c r="M646" s="279">
        <f>RES_BA!R145</f>
        <v>0</v>
      </c>
      <c r="O646" s="279">
        <f>RES_BA!S145</f>
        <v>0</v>
      </c>
      <c r="Q646" s="279">
        <f>RES_BA!T145</f>
        <v>0</v>
      </c>
      <c r="S646" s="279">
        <f>RES_BA!U145</f>
        <v>0</v>
      </c>
    </row>
    <row r="647" spans="3:19" s="277" customFormat="1" hidden="1" outlineLevel="1" x14ac:dyDescent="0.3">
      <c r="C647" s="283" t="str">
        <f>RES_BA!D146</f>
        <v>Equipment Category 17</v>
      </c>
      <c r="M647" s="279">
        <f>RES_BA!R146</f>
        <v>0</v>
      </c>
      <c r="O647" s="279">
        <f>RES_BA!S146</f>
        <v>0</v>
      </c>
      <c r="Q647" s="279">
        <f>RES_BA!T146</f>
        <v>0</v>
      </c>
      <c r="S647" s="279">
        <f>RES_BA!U146</f>
        <v>0</v>
      </c>
    </row>
    <row r="648" spans="3:19" s="277" customFormat="1" hidden="1" outlineLevel="1" x14ac:dyDescent="0.3">
      <c r="C648" s="283" t="str">
        <f>RES_BA!D147</f>
        <v>Equipment Category 18</v>
      </c>
      <c r="M648" s="279">
        <f>RES_BA!R147</f>
        <v>0</v>
      </c>
      <c r="O648" s="279">
        <f>RES_BA!S147</f>
        <v>0</v>
      </c>
      <c r="Q648" s="279">
        <f>RES_BA!T147</f>
        <v>0</v>
      </c>
      <c r="S648" s="279">
        <f>RES_BA!U147</f>
        <v>0</v>
      </c>
    </row>
    <row r="649" spans="3:19" s="277" customFormat="1" hidden="1" outlineLevel="1" x14ac:dyDescent="0.3">
      <c r="C649" s="283" t="str">
        <f>RES_BA!D148</f>
        <v>Equipment Category 19</v>
      </c>
      <c r="M649" s="279">
        <f>RES_BA!R148</f>
        <v>0</v>
      </c>
      <c r="O649" s="279">
        <f>RES_BA!S148</f>
        <v>0</v>
      </c>
      <c r="Q649" s="279">
        <f>RES_BA!T148</f>
        <v>0</v>
      </c>
      <c r="S649" s="279">
        <f>RES_BA!U148</f>
        <v>0</v>
      </c>
    </row>
    <row r="650" spans="3:19" s="277" customFormat="1" hidden="1" outlineLevel="1" x14ac:dyDescent="0.3">
      <c r="C650" s="283" t="str">
        <f>RES_BA!D149</f>
        <v>Equipment Category 20</v>
      </c>
      <c r="M650" s="279">
        <f>RES_BA!R149</f>
        <v>0</v>
      </c>
      <c r="O650" s="279">
        <f>RES_BA!S149</f>
        <v>0</v>
      </c>
      <c r="Q650" s="279">
        <f>RES_BA!T149</f>
        <v>0</v>
      </c>
      <c r="S650" s="279">
        <f>RES_BA!U149</f>
        <v>0</v>
      </c>
    </row>
    <row r="651" spans="3:19" s="277" customFormat="1" hidden="1" outlineLevel="1" x14ac:dyDescent="0.3">
      <c r="C651" s="283" t="str">
        <f>RES_BA!D150</f>
        <v>Equipment Category 21</v>
      </c>
      <c r="M651" s="279">
        <f>RES_BA!R150</f>
        <v>0</v>
      </c>
      <c r="O651" s="279">
        <f>RES_BA!S150</f>
        <v>0</v>
      </c>
      <c r="Q651" s="279">
        <f>RES_BA!T150</f>
        <v>0</v>
      </c>
      <c r="S651" s="279">
        <f>RES_BA!U150</f>
        <v>0</v>
      </c>
    </row>
    <row r="652" spans="3:19" s="277" customFormat="1" hidden="1" outlineLevel="1" x14ac:dyDescent="0.3">
      <c r="C652" s="283" t="str">
        <f>RES_BA!D151</f>
        <v>Equipment Category 22</v>
      </c>
      <c r="M652" s="279">
        <f>RES_BA!R151</f>
        <v>0</v>
      </c>
      <c r="O652" s="279">
        <f>RES_BA!S151</f>
        <v>0</v>
      </c>
      <c r="Q652" s="279">
        <f>RES_BA!T151</f>
        <v>0</v>
      </c>
      <c r="S652" s="279">
        <f>RES_BA!U151</f>
        <v>0</v>
      </c>
    </row>
    <row r="653" spans="3:19" s="277" customFormat="1" hidden="1" outlineLevel="1" x14ac:dyDescent="0.3">
      <c r="C653" s="283" t="str">
        <f>RES_BA!D152</f>
        <v>Equipment Category 23</v>
      </c>
      <c r="M653" s="279">
        <f>RES_BA!R152</f>
        <v>0</v>
      </c>
      <c r="O653" s="279">
        <f>RES_BA!S152</f>
        <v>0</v>
      </c>
      <c r="Q653" s="279">
        <f>RES_BA!T152</f>
        <v>0</v>
      </c>
      <c r="S653" s="279">
        <f>RES_BA!U152</f>
        <v>0</v>
      </c>
    </row>
    <row r="654" spans="3:19" s="277" customFormat="1" hidden="1" outlineLevel="1" collapsed="1" x14ac:dyDescent="0.3">
      <c r="C654" s="283" t="str">
        <f>RES_BA!D153</f>
        <v>Equipment Category 24</v>
      </c>
      <c r="M654" s="279">
        <f>RES_BA!R153</f>
        <v>0</v>
      </c>
      <c r="O654" s="279">
        <f>RES_BA!S153</f>
        <v>0</v>
      </c>
      <c r="Q654" s="279">
        <f>RES_BA!T153</f>
        <v>0</v>
      </c>
      <c r="S654" s="279">
        <f>RES_BA!U153</f>
        <v>0</v>
      </c>
    </row>
    <row r="655" spans="3:19" s="277" customFormat="1" hidden="1" outlineLevel="1" x14ac:dyDescent="0.3">
      <c r="C655" s="283" t="str">
        <f>RES_BA!D154</f>
        <v>Equipment Category 25</v>
      </c>
      <c r="M655" s="279">
        <f>RES_BA!R154</f>
        <v>0</v>
      </c>
      <c r="O655" s="279">
        <f>RES_BA!S154</f>
        <v>0</v>
      </c>
      <c r="Q655" s="279">
        <f>RES_BA!T154</f>
        <v>0</v>
      </c>
      <c r="S655" s="279">
        <f>RES_BA!U154</f>
        <v>0</v>
      </c>
    </row>
    <row r="656" spans="3:19" s="277" customFormat="1" hidden="1" outlineLevel="1" x14ac:dyDescent="0.3">
      <c r="C656" s="283" t="str">
        <f>RES_BA!D155</f>
        <v>Equipment Category 26</v>
      </c>
      <c r="M656" s="279">
        <f>RES_BA!R155</f>
        <v>0</v>
      </c>
      <c r="O656" s="279">
        <f>RES_BA!S155</f>
        <v>0</v>
      </c>
      <c r="Q656" s="279">
        <f>RES_BA!T155</f>
        <v>0</v>
      </c>
      <c r="S656" s="279">
        <f>RES_BA!U155</f>
        <v>0</v>
      </c>
    </row>
    <row r="657" spans="3:19" s="277" customFormat="1" hidden="1" outlineLevel="1" x14ac:dyDescent="0.3">
      <c r="C657" s="283" t="str">
        <f>RES_BA!D156</f>
        <v>Equipment Category 27</v>
      </c>
      <c r="M657" s="279">
        <f>RES_BA!R156</f>
        <v>0</v>
      </c>
      <c r="O657" s="279">
        <f>RES_BA!S156</f>
        <v>0</v>
      </c>
      <c r="Q657" s="279">
        <f>RES_BA!T156</f>
        <v>0</v>
      </c>
      <c r="S657" s="279">
        <f>RES_BA!U156</f>
        <v>0</v>
      </c>
    </row>
    <row r="658" spans="3:19" s="277" customFormat="1" hidden="1" outlineLevel="1" x14ac:dyDescent="0.3">
      <c r="C658" s="283" t="str">
        <f>RES_BA!D157</f>
        <v>Equipment Category 28</v>
      </c>
      <c r="M658" s="279">
        <f>RES_BA!R157</f>
        <v>0</v>
      </c>
      <c r="O658" s="279">
        <f>RES_BA!S157</f>
        <v>0</v>
      </c>
      <c r="Q658" s="279">
        <f>RES_BA!T157</f>
        <v>0</v>
      </c>
      <c r="S658" s="279">
        <f>RES_BA!U157</f>
        <v>0</v>
      </c>
    </row>
    <row r="659" spans="3:19" s="277" customFormat="1" hidden="1" outlineLevel="1" x14ac:dyDescent="0.3">
      <c r="C659" s="283" t="str">
        <f>RES_BA!D158</f>
        <v>Equipment Category 29</v>
      </c>
      <c r="M659" s="279">
        <f>RES_BA!R158</f>
        <v>0</v>
      </c>
      <c r="O659" s="279">
        <f>RES_BA!S158</f>
        <v>0</v>
      </c>
      <c r="Q659" s="279">
        <f>RES_BA!T158</f>
        <v>0</v>
      </c>
      <c r="S659" s="279">
        <f>RES_BA!U158</f>
        <v>0</v>
      </c>
    </row>
    <row r="660" spans="3:19" s="277" customFormat="1" hidden="1" outlineLevel="1" x14ac:dyDescent="0.3">
      <c r="C660" s="283" t="str">
        <f>RES_BA!D159</f>
        <v>Equipment Category 30</v>
      </c>
      <c r="M660" s="279">
        <f>RES_BA!R159</f>
        <v>0</v>
      </c>
      <c r="O660" s="279">
        <f>RES_BA!S159</f>
        <v>0</v>
      </c>
      <c r="Q660" s="279">
        <f>RES_BA!T159</f>
        <v>0</v>
      </c>
      <c r="S660" s="279">
        <f>RES_BA!U159</f>
        <v>0</v>
      </c>
    </row>
    <row r="661" spans="3:19" s="277" customFormat="1" hidden="1" outlineLevel="1" x14ac:dyDescent="0.3">
      <c r="C661" s="283" t="str">
        <f>RES_BA!D160</f>
        <v>Equipment Category 31</v>
      </c>
      <c r="M661" s="279">
        <f>RES_BA!R160</f>
        <v>0</v>
      </c>
      <c r="O661" s="279">
        <f>RES_BA!S160</f>
        <v>0</v>
      </c>
      <c r="Q661" s="279">
        <f>RES_BA!T160</f>
        <v>0</v>
      </c>
      <c r="S661" s="279">
        <f>RES_BA!U160</f>
        <v>0</v>
      </c>
    </row>
    <row r="662" spans="3:19" s="277" customFormat="1" hidden="1" outlineLevel="1" x14ac:dyDescent="0.3">
      <c r="C662" s="283" t="str">
        <f>RES_BA!D161</f>
        <v>Equipment Category 32</v>
      </c>
      <c r="M662" s="279">
        <f>RES_BA!R161</f>
        <v>0</v>
      </c>
      <c r="O662" s="279">
        <f>RES_BA!S161</f>
        <v>0</v>
      </c>
      <c r="Q662" s="279">
        <f>RES_BA!T161</f>
        <v>0</v>
      </c>
      <c r="S662" s="279">
        <f>RES_BA!U161</f>
        <v>0</v>
      </c>
    </row>
    <row r="663" spans="3:19" s="277" customFormat="1" hidden="1" outlineLevel="1" x14ac:dyDescent="0.3">
      <c r="C663" s="283" t="str">
        <f>RES_BA!D162</f>
        <v>Equipment Category 33</v>
      </c>
      <c r="M663" s="279">
        <f>RES_BA!R162</f>
        <v>0</v>
      </c>
      <c r="O663" s="279">
        <f>RES_BA!S162</f>
        <v>0</v>
      </c>
      <c r="Q663" s="279">
        <f>RES_BA!T162</f>
        <v>0</v>
      </c>
      <c r="S663" s="279">
        <f>RES_BA!U162</f>
        <v>0</v>
      </c>
    </row>
    <row r="664" spans="3:19" s="277" customFormat="1" hidden="1" outlineLevel="1" collapsed="1" x14ac:dyDescent="0.3">
      <c r="C664" s="283" t="str">
        <f>RES_BA!D163</f>
        <v>Equipment Category 34</v>
      </c>
      <c r="M664" s="279">
        <f>RES_BA!R163</f>
        <v>0</v>
      </c>
      <c r="O664" s="279">
        <f>RES_BA!S163</f>
        <v>0</v>
      </c>
      <c r="Q664" s="279">
        <f>RES_BA!T163</f>
        <v>0</v>
      </c>
      <c r="S664" s="279">
        <f>RES_BA!U163</f>
        <v>0</v>
      </c>
    </row>
    <row r="665" spans="3:19" s="277" customFormat="1" hidden="1" outlineLevel="1" x14ac:dyDescent="0.3">
      <c r="C665" s="283" t="str">
        <f>RES_BA!D164</f>
        <v>Equipment Category 35</v>
      </c>
      <c r="M665" s="279">
        <f>RES_BA!R164</f>
        <v>0</v>
      </c>
      <c r="O665" s="279">
        <f>RES_BA!S164</f>
        <v>0</v>
      </c>
      <c r="Q665" s="279">
        <f>RES_BA!T164</f>
        <v>0</v>
      </c>
      <c r="S665" s="279">
        <f>RES_BA!U164</f>
        <v>0</v>
      </c>
    </row>
    <row r="666" spans="3:19" hidden="1" outlineLevel="1" x14ac:dyDescent="0.3"/>
    <row r="667" spans="3:19" hidden="1" outlineLevel="1" x14ac:dyDescent="0.3"/>
    <row r="668" spans="3:19" hidden="1" outlineLevel="1" x14ac:dyDescent="0.3">
      <c r="M668" s="40" t="str">
        <f>$D$513</f>
        <v>USD</v>
      </c>
      <c r="O668" s="40" t="str">
        <f>$D$513</f>
        <v>USD</v>
      </c>
      <c r="Q668" s="40" t="str">
        <f>$D$514</f>
        <v>GOZ</v>
      </c>
      <c r="S668" s="40" t="str">
        <f>$D$514</f>
        <v>GOZ</v>
      </c>
    </row>
    <row r="669" spans="3:19" hidden="1" outlineLevel="1" x14ac:dyDescent="0.3">
      <c r="C669" s="89" t="str">
        <f>RES_BA!D169</f>
        <v>Other Direct Costs Category 1</v>
      </c>
      <c r="M669" s="40">
        <f>RES_BA!R169</f>
        <v>0</v>
      </c>
      <c r="O669" s="40">
        <f>RES_BA!S169</f>
        <v>0</v>
      </c>
      <c r="Q669" s="40">
        <f>RES_BA!T169</f>
        <v>0</v>
      </c>
      <c r="S669" s="40">
        <f>RES_BA!U169</f>
        <v>0</v>
      </c>
    </row>
    <row r="670" spans="3:19" hidden="1" outlineLevel="1" x14ac:dyDescent="0.3">
      <c r="C670" s="89" t="str">
        <f>RES_BA!D170</f>
        <v>Other Direct Costs Category 2</v>
      </c>
      <c r="M670" s="40">
        <f>RES_BA!R170</f>
        <v>0</v>
      </c>
      <c r="O670" s="40">
        <f>RES_BA!S170</f>
        <v>0</v>
      </c>
      <c r="Q670" s="40">
        <f>RES_BA!T170</f>
        <v>0</v>
      </c>
      <c r="S670" s="40">
        <f>RES_BA!U170</f>
        <v>0</v>
      </c>
    </row>
    <row r="671" spans="3:19" hidden="1" outlineLevel="1" collapsed="1" x14ac:dyDescent="0.3">
      <c r="C671" s="89" t="str">
        <f>RES_BA!D171</f>
        <v>Other Direct Costs Category 3</v>
      </c>
      <c r="M671" s="40">
        <f>RES_BA!R171</f>
        <v>0</v>
      </c>
      <c r="O671" s="40">
        <f>RES_BA!S171</f>
        <v>0</v>
      </c>
      <c r="Q671" s="40">
        <f>RES_BA!T171</f>
        <v>0</v>
      </c>
      <c r="S671" s="40">
        <f>RES_BA!U171</f>
        <v>0</v>
      </c>
    </row>
    <row r="672" spans="3:19" hidden="1" outlineLevel="1" collapsed="1" x14ac:dyDescent="0.3">
      <c r="C672" s="289" t="str">
        <f>RES_BA!D172</f>
        <v>Other Direct Costs Category 4</v>
      </c>
      <c r="M672" s="290">
        <f>RES_BA!R172</f>
        <v>0</v>
      </c>
      <c r="O672" s="290">
        <f>RES_BA!S172</f>
        <v>0</v>
      </c>
      <c r="Q672" s="290">
        <f>RES_BA!T172</f>
        <v>0</v>
      </c>
      <c r="S672" s="290">
        <f>RES_BA!U172</f>
        <v>0</v>
      </c>
    </row>
    <row r="673" spans="3:19" hidden="1" outlineLevel="1" x14ac:dyDescent="0.3">
      <c r="C673" s="289" t="str">
        <f>RES_BA!D173</f>
        <v>Other Direct Costs Category 5</v>
      </c>
      <c r="M673" s="290">
        <f>RES_BA!R173</f>
        <v>0</v>
      </c>
      <c r="O673" s="290">
        <f>RES_BA!S173</f>
        <v>0</v>
      </c>
      <c r="Q673" s="290">
        <f>RES_BA!T173</f>
        <v>0</v>
      </c>
      <c r="S673" s="290">
        <f>RES_BA!U173</f>
        <v>0</v>
      </c>
    </row>
    <row r="674" spans="3:19" hidden="1" outlineLevel="1" x14ac:dyDescent="0.3">
      <c r="C674" s="289" t="str">
        <f>RES_BA!D174</f>
        <v>Other Direct Costs Category 6</v>
      </c>
      <c r="M674" s="290">
        <f>RES_BA!R174</f>
        <v>0</v>
      </c>
      <c r="O674" s="290">
        <f>RES_BA!S174</f>
        <v>0</v>
      </c>
      <c r="Q674" s="290">
        <f>RES_BA!T174</f>
        <v>0</v>
      </c>
      <c r="S674" s="290">
        <f>RES_BA!U174</f>
        <v>0</v>
      </c>
    </row>
    <row r="675" spans="3:19" hidden="1" outlineLevel="1" x14ac:dyDescent="0.3">
      <c r="C675" s="289" t="str">
        <f>RES_BA!D175</f>
        <v>Other Direct Costs Category 7</v>
      </c>
      <c r="M675" s="290">
        <f>RES_BA!R175</f>
        <v>0</v>
      </c>
      <c r="O675" s="290">
        <f>RES_BA!S175</f>
        <v>0</v>
      </c>
      <c r="Q675" s="290">
        <f>RES_BA!T175</f>
        <v>0</v>
      </c>
      <c r="S675" s="290">
        <f>RES_BA!U175</f>
        <v>0</v>
      </c>
    </row>
    <row r="676" spans="3:19" hidden="1" outlineLevel="1" x14ac:dyDescent="0.3">
      <c r="C676" s="289" t="str">
        <f>RES_BA!D176</f>
        <v>Other Direct Costs Category 8</v>
      </c>
      <c r="M676" s="290">
        <f>RES_BA!R176</f>
        <v>0</v>
      </c>
      <c r="O676" s="290">
        <f>RES_BA!S176</f>
        <v>0</v>
      </c>
      <c r="Q676" s="290">
        <f>RES_BA!T176</f>
        <v>0</v>
      </c>
      <c r="S676" s="290">
        <f>RES_BA!U176</f>
        <v>0</v>
      </c>
    </row>
    <row r="677" spans="3:19" hidden="1" outlineLevel="1" x14ac:dyDescent="0.3">
      <c r="C677" s="289" t="str">
        <f>RES_BA!D177</f>
        <v>Other Direct Costs Category 9</v>
      </c>
      <c r="M677" s="290">
        <f>RES_BA!R177</f>
        <v>0</v>
      </c>
      <c r="O677" s="290">
        <f>RES_BA!S177</f>
        <v>0</v>
      </c>
      <c r="Q677" s="290">
        <f>RES_BA!T177</f>
        <v>0</v>
      </c>
      <c r="S677" s="290">
        <f>RES_BA!U177</f>
        <v>0</v>
      </c>
    </row>
    <row r="678" spans="3:19" hidden="1" outlineLevel="1" x14ac:dyDescent="0.3">
      <c r="C678" s="289" t="str">
        <f>RES_BA!D178</f>
        <v>Other Direct Costs Category 10</v>
      </c>
      <c r="M678" s="290">
        <f>RES_BA!R178</f>
        <v>0</v>
      </c>
      <c r="O678" s="290">
        <f>RES_BA!S178</f>
        <v>0</v>
      </c>
      <c r="Q678" s="290">
        <f>RES_BA!T178</f>
        <v>0</v>
      </c>
      <c r="S678" s="290">
        <f>RES_BA!U178</f>
        <v>0</v>
      </c>
    </row>
    <row r="679" spans="3:19" hidden="1" outlineLevel="1" x14ac:dyDescent="0.3">
      <c r="C679" s="289" t="str">
        <f>RES_BA!D179</f>
        <v>Other Direct Costs Category 11</v>
      </c>
      <c r="M679" s="290">
        <f>RES_BA!R179</f>
        <v>0</v>
      </c>
      <c r="O679" s="290">
        <f>RES_BA!S179</f>
        <v>0</v>
      </c>
      <c r="Q679" s="290">
        <f>RES_BA!T179</f>
        <v>0</v>
      </c>
      <c r="S679" s="290">
        <f>RES_BA!U179</f>
        <v>0</v>
      </c>
    </row>
    <row r="680" spans="3:19" s="277" customFormat="1" hidden="1" outlineLevel="1" collapsed="1" x14ac:dyDescent="0.3">
      <c r="C680" s="283" t="str">
        <f>RES_BA!D180</f>
        <v>Other Direct Costs Category 12</v>
      </c>
      <c r="M680" s="279">
        <f>RES_BA!R180</f>
        <v>0</v>
      </c>
      <c r="O680" s="279">
        <f>RES_BA!S180</f>
        <v>0</v>
      </c>
      <c r="Q680" s="279">
        <f>RES_BA!T180</f>
        <v>0</v>
      </c>
      <c r="S680" s="279">
        <f>RES_BA!U180</f>
        <v>0</v>
      </c>
    </row>
    <row r="681" spans="3:19" s="277" customFormat="1" hidden="1" outlineLevel="1" x14ac:dyDescent="0.3">
      <c r="C681" s="283" t="str">
        <f>RES_BA!D181</f>
        <v>Other Direct Costs Category 13</v>
      </c>
      <c r="M681" s="279">
        <f>RES_BA!R181</f>
        <v>0</v>
      </c>
      <c r="O681" s="279">
        <f>RES_BA!S181</f>
        <v>0</v>
      </c>
      <c r="Q681" s="279">
        <f>RES_BA!T181</f>
        <v>0</v>
      </c>
      <c r="S681" s="279">
        <f>RES_BA!U181</f>
        <v>0</v>
      </c>
    </row>
    <row r="682" spans="3:19" s="277" customFormat="1" hidden="1" outlineLevel="1" x14ac:dyDescent="0.3">
      <c r="C682" s="283" t="str">
        <f>RES_BA!D182</f>
        <v>Other Direct Costs Category 14</v>
      </c>
      <c r="M682" s="279">
        <f>RES_BA!R182</f>
        <v>0</v>
      </c>
      <c r="O682" s="279">
        <f>RES_BA!S182</f>
        <v>0</v>
      </c>
      <c r="Q682" s="279">
        <f>RES_BA!T182</f>
        <v>0</v>
      </c>
      <c r="S682" s="279">
        <f>RES_BA!U182</f>
        <v>0</v>
      </c>
    </row>
    <row r="683" spans="3:19" s="277" customFormat="1" hidden="1" outlineLevel="1" x14ac:dyDescent="0.3">
      <c r="C683" s="283" t="str">
        <f>RES_BA!D183</f>
        <v>Other Direct Costs Category 15</v>
      </c>
      <c r="M683" s="279">
        <f>RES_BA!R183</f>
        <v>0</v>
      </c>
      <c r="O683" s="279">
        <f>RES_BA!S183</f>
        <v>0</v>
      </c>
      <c r="Q683" s="279">
        <f>RES_BA!T183</f>
        <v>0</v>
      </c>
      <c r="S683" s="279">
        <f>RES_BA!U183</f>
        <v>0</v>
      </c>
    </row>
    <row r="684" spans="3:19" s="277" customFormat="1" hidden="1" outlineLevel="1" x14ac:dyDescent="0.3">
      <c r="C684" s="283" t="str">
        <f>RES_BA!D184</f>
        <v>Other Direct Costs Category 16</v>
      </c>
      <c r="M684" s="279">
        <f>RES_BA!R184</f>
        <v>0</v>
      </c>
      <c r="O684" s="279">
        <f>RES_BA!S184</f>
        <v>0</v>
      </c>
      <c r="Q684" s="279">
        <f>RES_BA!T184</f>
        <v>0</v>
      </c>
      <c r="S684" s="279">
        <f>RES_BA!U184</f>
        <v>0</v>
      </c>
    </row>
    <row r="685" spans="3:19" s="277" customFormat="1" hidden="1" outlineLevel="1" x14ac:dyDescent="0.3">
      <c r="C685" s="283" t="str">
        <f>RES_BA!D185</f>
        <v>Other Direct Costs Category 17</v>
      </c>
      <c r="M685" s="279">
        <f>RES_BA!R185</f>
        <v>0</v>
      </c>
      <c r="O685" s="279">
        <f>RES_BA!S185</f>
        <v>0</v>
      </c>
      <c r="Q685" s="279">
        <f>RES_BA!T185</f>
        <v>0</v>
      </c>
      <c r="S685" s="279">
        <f>RES_BA!U185</f>
        <v>0</v>
      </c>
    </row>
    <row r="686" spans="3:19" s="277" customFormat="1" hidden="1" outlineLevel="1" x14ac:dyDescent="0.3">
      <c r="C686" s="283" t="str">
        <f>RES_BA!D186</f>
        <v>Other Direct Costs Category 18</v>
      </c>
      <c r="M686" s="279">
        <f>RES_BA!R186</f>
        <v>0</v>
      </c>
      <c r="O686" s="279">
        <f>RES_BA!S186</f>
        <v>0</v>
      </c>
      <c r="Q686" s="279">
        <f>RES_BA!T186</f>
        <v>0</v>
      </c>
      <c r="S686" s="279">
        <f>RES_BA!U186</f>
        <v>0</v>
      </c>
    </row>
    <row r="687" spans="3:19" s="277" customFormat="1" hidden="1" outlineLevel="1" x14ac:dyDescent="0.3">
      <c r="C687" s="283" t="str">
        <f>RES_BA!D187</f>
        <v>Other Direct Costs Category 19</v>
      </c>
      <c r="M687" s="279">
        <f>RES_BA!R187</f>
        <v>0</v>
      </c>
      <c r="O687" s="279">
        <f>RES_BA!S187</f>
        <v>0</v>
      </c>
      <c r="Q687" s="279">
        <f>RES_BA!T187</f>
        <v>0</v>
      </c>
      <c r="S687" s="279">
        <f>RES_BA!U187</f>
        <v>0</v>
      </c>
    </row>
    <row r="688" spans="3:19" s="277" customFormat="1" hidden="1" outlineLevel="1" x14ac:dyDescent="0.3">
      <c r="C688" s="283" t="str">
        <f>RES_BA!D188</f>
        <v>Other Direct Costs Category 20</v>
      </c>
      <c r="M688" s="279">
        <f>RES_BA!R188</f>
        <v>0</v>
      </c>
      <c r="O688" s="279">
        <f>RES_BA!S188</f>
        <v>0</v>
      </c>
      <c r="Q688" s="279">
        <f>RES_BA!T188</f>
        <v>0</v>
      </c>
      <c r="S688" s="279">
        <f>RES_BA!U188</f>
        <v>0</v>
      </c>
    </row>
    <row r="689" spans="3:19" s="277" customFormat="1" hidden="1" outlineLevel="1" x14ac:dyDescent="0.3">
      <c r="C689" s="283" t="str">
        <f>RES_BA!D189</f>
        <v>Other Direct Costs Category 21</v>
      </c>
      <c r="M689" s="279">
        <f>RES_BA!R189</f>
        <v>0</v>
      </c>
      <c r="O689" s="279">
        <f>RES_BA!S189</f>
        <v>0</v>
      </c>
      <c r="Q689" s="279">
        <f>RES_BA!T189</f>
        <v>0</v>
      </c>
      <c r="S689" s="279">
        <f>RES_BA!U189</f>
        <v>0</v>
      </c>
    </row>
    <row r="690" spans="3:19" hidden="1" outlineLevel="1" x14ac:dyDescent="0.3">
      <c r="C690" s="289" t="str">
        <f>RES_BA!D190</f>
        <v>Other Direct Costs Category 22</v>
      </c>
      <c r="M690" s="290">
        <f>RES_BA!R190</f>
        <v>0</v>
      </c>
      <c r="O690" s="290">
        <f>RES_BA!S190</f>
        <v>0</v>
      </c>
      <c r="Q690" s="290">
        <f>RES_BA!T190</f>
        <v>0</v>
      </c>
      <c r="S690" s="290">
        <f>RES_BA!U190</f>
        <v>0</v>
      </c>
    </row>
    <row r="691" spans="3:19" hidden="1" outlineLevel="1" x14ac:dyDescent="0.3">
      <c r="C691" s="289" t="str">
        <f>RES_BA!D191</f>
        <v>Other Direct Costs Category 23</v>
      </c>
      <c r="M691" s="290">
        <f>RES_BA!R191</f>
        <v>0</v>
      </c>
      <c r="O691" s="290">
        <f>RES_BA!S191</f>
        <v>0</v>
      </c>
      <c r="Q691" s="290">
        <f>RES_BA!T191</f>
        <v>0</v>
      </c>
      <c r="S691" s="290">
        <f>RES_BA!U191</f>
        <v>0</v>
      </c>
    </row>
    <row r="692" spans="3:19" hidden="1" outlineLevel="1" collapsed="1" x14ac:dyDescent="0.3">
      <c r="C692" s="289" t="str">
        <f>RES_BA!D192</f>
        <v>Other Direct Costs Category 24</v>
      </c>
      <c r="M692" s="290">
        <f>RES_BA!R192</f>
        <v>0</v>
      </c>
      <c r="O692" s="290">
        <f>RES_BA!S192</f>
        <v>0</v>
      </c>
      <c r="Q692" s="290">
        <f>RES_BA!T192</f>
        <v>0</v>
      </c>
      <c r="S692" s="290">
        <f>RES_BA!U192</f>
        <v>0</v>
      </c>
    </row>
    <row r="693" spans="3:19" hidden="1" outlineLevel="1" x14ac:dyDescent="0.3">
      <c r="C693" s="289" t="str">
        <f>RES_BA!D193</f>
        <v>Other Direct Costs Category 25</v>
      </c>
      <c r="M693" s="290">
        <f>RES_BA!R193</f>
        <v>0</v>
      </c>
      <c r="O693" s="290">
        <f>RES_BA!S193</f>
        <v>0</v>
      </c>
      <c r="Q693" s="290">
        <f>RES_BA!T193</f>
        <v>0</v>
      </c>
      <c r="S693" s="290">
        <f>RES_BA!U193</f>
        <v>0</v>
      </c>
    </row>
    <row r="694" spans="3:19" hidden="1" outlineLevel="1" x14ac:dyDescent="0.3">
      <c r="C694" s="289" t="str">
        <f>RES_BA!D194</f>
        <v>Other Direct Costs Category 26</v>
      </c>
      <c r="M694" s="290">
        <f>RES_BA!R194</f>
        <v>0</v>
      </c>
      <c r="O694" s="290">
        <f>RES_BA!S194</f>
        <v>0</v>
      </c>
      <c r="Q694" s="290">
        <f>RES_BA!T194</f>
        <v>0</v>
      </c>
      <c r="S694" s="290">
        <f>RES_BA!U194</f>
        <v>0</v>
      </c>
    </row>
    <row r="695" spans="3:19" hidden="1" outlineLevel="1" x14ac:dyDescent="0.3">
      <c r="C695" s="289" t="str">
        <f>RES_BA!D195</f>
        <v>Other Direct Costs Category 27</v>
      </c>
      <c r="M695" s="290">
        <f>RES_BA!R195</f>
        <v>0</v>
      </c>
      <c r="O695" s="290">
        <f>RES_BA!S195</f>
        <v>0</v>
      </c>
      <c r="Q695" s="290">
        <f>RES_BA!T195</f>
        <v>0</v>
      </c>
      <c r="S695" s="290">
        <f>RES_BA!U195</f>
        <v>0</v>
      </c>
    </row>
    <row r="696" spans="3:19" hidden="1" outlineLevel="1" x14ac:dyDescent="0.3">
      <c r="C696" s="289" t="str">
        <f>RES_BA!D196</f>
        <v>Other Direct Costs Category 28</v>
      </c>
      <c r="M696" s="290">
        <f>RES_BA!R196</f>
        <v>0</v>
      </c>
      <c r="O696" s="290">
        <f>RES_BA!S196</f>
        <v>0</v>
      </c>
      <c r="Q696" s="290">
        <f>RES_BA!T196</f>
        <v>0</v>
      </c>
      <c r="S696" s="290">
        <f>RES_BA!U196</f>
        <v>0</v>
      </c>
    </row>
    <row r="697" spans="3:19" hidden="1" outlineLevel="1" x14ac:dyDescent="0.3">
      <c r="C697" s="289" t="str">
        <f>RES_BA!D197</f>
        <v>Other Direct Costs Category 29</v>
      </c>
      <c r="M697" s="290">
        <f>RES_BA!R197</f>
        <v>0</v>
      </c>
      <c r="O697" s="290">
        <f>RES_BA!S197</f>
        <v>0</v>
      </c>
      <c r="Q697" s="290">
        <f>RES_BA!T197</f>
        <v>0</v>
      </c>
      <c r="S697" s="290">
        <f>RES_BA!U197</f>
        <v>0</v>
      </c>
    </row>
    <row r="698" spans="3:19" hidden="1" outlineLevel="1" x14ac:dyDescent="0.3">
      <c r="C698" s="289" t="str">
        <f>RES_BA!D198</f>
        <v>Other Direct Costs Category 30</v>
      </c>
      <c r="M698" s="290">
        <f>RES_BA!R198</f>
        <v>0</v>
      </c>
      <c r="O698" s="290">
        <f>RES_BA!S198</f>
        <v>0</v>
      </c>
      <c r="Q698" s="290">
        <f>RES_BA!T198</f>
        <v>0</v>
      </c>
      <c r="S698" s="290">
        <f>RES_BA!U198</f>
        <v>0</v>
      </c>
    </row>
    <row r="699" spans="3:19" hidden="1" outlineLevel="1" x14ac:dyDescent="0.3">
      <c r="C699" s="289" t="str">
        <f>RES_BA!D199</f>
        <v>Other Direct Costs Category 31</v>
      </c>
      <c r="M699" s="290">
        <f>RES_BA!R199</f>
        <v>0</v>
      </c>
      <c r="O699" s="290">
        <f>RES_BA!S199</f>
        <v>0</v>
      </c>
      <c r="Q699" s="290">
        <f>RES_BA!T199</f>
        <v>0</v>
      </c>
      <c r="S699" s="290">
        <f>RES_BA!U199</f>
        <v>0</v>
      </c>
    </row>
    <row r="700" spans="3:19" hidden="1" outlineLevel="1" x14ac:dyDescent="0.3">
      <c r="C700" s="289" t="str">
        <f>RES_BA!D200</f>
        <v>Other Direct Costs Category 32</v>
      </c>
      <c r="M700" s="290">
        <f>RES_BA!R200</f>
        <v>0</v>
      </c>
      <c r="O700" s="290">
        <f>RES_BA!S200</f>
        <v>0</v>
      </c>
      <c r="Q700" s="290">
        <f>RES_BA!T200</f>
        <v>0</v>
      </c>
      <c r="S700" s="290">
        <f>RES_BA!U200</f>
        <v>0</v>
      </c>
    </row>
    <row r="701" spans="3:19" hidden="1" outlineLevel="1" x14ac:dyDescent="0.3">
      <c r="C701" s="289" t="str">
        <f>RES_BA!D201</f>
        <v>Other Direct Costs Category 33</v>
      </c>
      <c r="M701" s="290">
        <f>RES_BA!R201</f>
        <v>0</v>
      </c>
      <c r="O701" s="290">
        <f>RES_BA!S201</f>
        <v>0</v>
      </c>
      <c r="Q701" s="290">
        <f>RES_BA!T201</f>
        <v>0</v>
      </c>
      <c r="S701" s="290">
        <f>RES_BA!U201</f>
        <v>0</v>
      </c>
    </row>
    <row r="702" spans="3:19" hidden="1" outlineLevel="1" x14ac:dyDescent="0.3">
      <c r="C702" s="289" t="str">
        <f>RES_BA!D202</f>
        <v>Other Direct Costs Category 34</v>
      </c>
      <c r="M702" s="290">
        <f>RES_BA!R202</f>
        <v>0</v>
      </c>
      <c r="O702" s="290">
        <f>RES_BA!S202</f>
        <v>0</v>
      </c>
      <c r="Q702" s="290">
        <f>RES_BA!T202</f>
        <v>0</v>
      </c>
      <c r="S702" s="290">
        <f>RES_BA!U202</f>
        <v>0</v>
      </c>
    </row>
    <row r="703" spans="3:19" hidden="1" outlineLevel="1" x14ac:dyDescent="0.3">
      <c r="C703" s="289" t="str">
        <f>RES_BA!D203</f>
        <v>Other Direct Costs Category 35</v>
      </c>
      <c r="M703" s="290">
        <f>RES_BA!R203</f>
        <v>0</v>
      </c>
      <c r="O703" s="290">
        <f>RES_BA!S203</f>
        <v>0</v>
      </c>
      <c r="Q703" s="290">
        <f>RES_BA!T203</f>
        <v>0</v>
      </c>
      <c r="S703" s="290">
        <f>RES_BA!U203</f>
        <v>0</v>
      </c>
    </row>
    <row r="704" spans="3:19" collapsed="1" x14ac:dyDescent="0.3"/>
  </sheetData>
  <sheetProtection algorithmName="SHA-512" hashValue="6fpMPDmq9E/C9H718kAGGqu6yhibdAL40EoKB9yX9+tgh/XPfJKXMwNUCmb8XKzpEL+h+UWKtjDqd5Q+231E+Q==" saltValue="Hboh5ZEOnw/QTykjhUQjqw==" spinCount="100000" sheet="1" scenarios="1"/>
  <mergeCells count="527">
    <mergeCell ref="U150:X150"/>
    <mergeCell ref="U151:X151"/>
    <mergeCell ref="U152:X152"/>
    <mergeCell ref="D116:G116"/>
    <mergeCell ref="D117:G117"/>
    <mergeCell ref="D118:G118"/>
    <mergeCell ref="D153:G153"/>
    <mergeCell ref="D154:G154"/>
    <mergeCell ref="D155:G155"/>
    <mergeCell ref="D156:G156"/>
    <mergeCell ref="D157:G157"/>
    <mergeCell ref="U153:X153"/>
    <mergeCell ref="U154:X154"/>
    <mergeCell ref="U155:X155"/>
    <mergeCell ref="U156:X156"/>
    <mergeCell ref="U157:X157"/>
    <mergeCell ref="D92:G92"/>
    <mergeCell ref="D93:G93"/>
    <mergeCell ref="D94:G94"/>
    <mergeCell ref="D95:G95"/>
    <mergeCell ref="D96:G96"/>
    <mergeCell ref="U92:X92"/>
    <mergeCell ref="U93:X93"/>
    <mergeCell ref="U94:X94"/>
    <mergeCell ref="U95:X95"/>
    <mergeCell ref="U96:X96"/>
    <mergeCell ref="D102:G102"/>
    <mergeCell ref="U102:X102"/>
    <mergeCell ref="D103:G103"/>
    <mergeCell ref="U103:X103"/>
    <mergeCell ref="D127:G127"/>
    <mergeCell ref="U132:X132"/>
    <mergeCell ref="D104:G104"/>
    <mergeCell ref="U505:X505"/>
    <mergeCell ref="D32:G32"/>
    <mergeCell ref="D33:G33"/>
    <mergeCell ref="D34:G34"/>
    <mergeCell ref="D35:G35"/>
    <mergeCell ref="D36:G36"/>
    <mergeCell ref="U32:X32"/>
    <mergeCell ref="U33:X33"/>
    <mergeCell ref="U34:X34"/>
    <mergeCell ref="U35:X35"/>
    <mergeCell ref="U36:X36"/>
    <mergeCell ref="D62:G62"/>
    <mergeCell ref="D63:G63"/>
    <mergeCell ref="D64:G64"/>
    <mergeCell ref="D65:G65"/>
    <mergeCell ref="D66:G66"/>
    <mergeCell ref="U62:X62"/>
    <mergeCell ref="U63:X63"/>
    <mergeCell ref="U64:X64"/>
    <mergeCell ref="U65:X65"/>
    <mergeCell ref="U66:X66"/>
    <mergeCell ref="D122:G122"/>
    <mergeCell ref="D123:G123"/>
    <mergeCell ref="D124:G124"/>
    <mergeCell ref="D501:G501"/>
    <mergeCell ref="D502:G502"/>
    <mergeCell ref="D503:G503"/>
    <mergeCell ref="D504:G504"/>
    <mergeCell ref="D505:G505"/>
    <mergeCell ref="U486:X486"/>
    <mergeCell ref="U487:X487"/>
    <mergeCell ref="U488:X488"/>
    <mergeCell ref="U489:X489"/>
    <mergeCell ref="U490:X490"/>
    <mergeCell ref="U491:X491"/>
    <mergeCell ref="U492:X492"/>
    <mergeCell ref="U493:X493"/>
    <mergeCell ref="U494:X494"/>
    <mergeCell ref="U495:X495"/>
    <mergeCell ref="U496:X496"/>
    <mergeCell ref="U497:X497"/>
    <mergeCell ref="U498:X498"/>
    <mergeCell ref="U499:X499"/>
    <mergeCell ref="U500:X500"/>
    <mergeCell ref="U501:X501"/>
    <mergeCell ref="U502:X502"/>
    <mergeCell ref="U503:X503"/>
    <mergeCell ref="U504:X504"/>
    <mergeCell ref="D442:G442"/>
    <mergeCell ref="D443:G443"/>
    <mergeCell ref="D444:G444"/>
    <mergeCell ref="D445:G445"/>
    <mergeCell ref="D446:G446"/>
    <mergeCell ref="U442:X442"/>
    <mergeCell ref="U443:X443"/>
    <mergeCell ref="U444:X444"/>
    <mergeCell ref="U445:X445"/>
    <mergeCell ref="U446:X446"/>
    <mergeCell ref="D471:G471"/>
    <mergeCell ref="D472:G472"/>
    <mergeCell ref="D473:G473"/>
    <mergeCell ref="D474:G474"/>
    <mergeCell ref="D475:G475"/>
    <mergeCell ref="U471:X471"/>
    <mergeCell ref="U472:X472"/>
    <mergeCell ref="U473:X473"/>
    <mergeCell ref="U474:X474"/>
    <mergeCell ref="U475:X475"/>
    <mergeCell ref="D412:G412"/>
    <mergeCell ref="D413:G413"/>
    <mergeCell ref="D414:G414"/>
    <mergeCell ref="D415:G415"/>
    <mergeCell ref="D416:G416"/>
    <mergeCell ref="U412:X412"/>
    <mergeCell ref="U413:X413"/>
    <mergeCell ref="U414:X414"/>
    <mergeCell ref="U415:X415"/>
    <mergeCell ref="U416:X416"/>
    <mergeCell ref="U433:X433"/>
    <mergeCell ref="U434:X434"/>
    <mergeCell ref="U435:X435"/>
    <mergeCell ref="U436:X436"/>
    <mergeCell ref="U437:X437"/>
    <mergeCell ref="U438:X438"/>
    <mergeCell ref="U439:X439"/>
    <mergeCell ref="U440:X440"/>
    <mergeCell ref="U441:X441"/>
    <mergeCell ref="U424:X424"/>
    <mergeCell ref="U425:X425"/>
    <mergeCell ref="U426:X426"/>
    <mergeCell ref="U427:X427"/>
    <mergeCell ref="U428:X428"/>
    <mergeCell ref="U429:X429"/>
    <mergeCell ref="U430:X430"/>
    <mergeCell ref="U431:X431"/>
    <mergeCell ref="U432:X432"/>
    <mergeCell ref="D433:G433"/>
    <mergeCell ref="D434:G434"/>
    <mergeCell ref="D435:G435"/>
    <mergeCell ref="D436:G436"/>
    <mergeCell ref="D437:G437"/>
    <mergeCell ref="D438:G438"/>
    <mergeCell ref="D439:G439"/>
    <mergeCell ref="D440:G440"/>
    <mergeCell ref="D441:G441"/>
    <mergeCell ref="D424:G424"/>
    <mergeCell ref="D425:G425"/>
    <mergeCell ref="D426:G426"/>
    <mergeCell ref="D427:G427"/>
    <mergeCell ref="D428:G428"/>
    <mergeCell ref="D429:G429"/>
    <mergeCell ref="D430:G430"/>
    <mergeCell ref="D431:G431"/>
    <mergeCell ref="D432:G432"/>
    <mergeCell ref="D465:G465"/>
    <mergeCell ref="D466:G466"/>
    <mergeCell ref="D467:G467"/>
    <mergeCell ref="D468:G468"/>
    <mergeCell ref="D469:G469"/>
    <mergeCell ref="D470:G470"/>
    <mergeCell ref="U453:X453"/>
    <mergeCell ref="U454:X454"/>
    <mergeCell ref="U455:X455"/>
    <mergeCell ref="U456:X456"/>
    <mergeCell ref="U457:X457"/>
    <mergeCell ref="U458:X458"/>
    <mergeCell ref="U459:X459"/>
    <mergeCell ref="U460:X460"/>
    <mergeCell ref="U461:X461"/>
    <mergeCell ref="U462:X462"/>
    <mergeCell ref="U463:X463"/>
    <mergeCell ref="U464:X464"/>
    <mergeCell ref="U465:X465"/>
    <mergeCell ref="U466:X466"/>
    <mergeCell ref="U467:X467"/>
    <mergeCell ref="U468:X468"/>
    <mergeCell ref="U469:X469"/>
    <mergeCell ref="U470:X470"/>
    <mergeCell ref="D408:G408"/>
    <mergeCell ref="D409:G409"/>
    <mergeCell ref="D410:G410"/>
    <mergeCell ref="D411:G411"/>
    <mergeCell ref="U408:X408"/>
    <mergeCell ref="U409:X409"/>
    <mergeCell ref="U410:X410"/>
    <mergeCell ref="U411:X411"/>
    <mergeCell ref="U404:X404"/>
    <mergeCell ref="U405:X405"/>
    <mergeCell ref="U406:X406"/>
    <mergeCell ref="U407:X407"/>
    <mergeCell ref="D379:G379"/>
    <mergeCell ref="D380:G380"/>
    <mergeCell ref="D381:G381"/>
    <mergeCell ref="D382:G382"/>
    <mergeCell ref="U379:X379"/>
    <mergeCell ref="U380:X380"/>
    <mergeCell ref="U381:X381"/>
    <mergeCell ref="U382:X382"/>
    <mergeCell ref="D383:G383"/>
    <mergeCell ref="D384:G384"/>
    <mergeCell ref="D385:G385"/>
    <mergeCell ref="D386:G386"/>
    <mergeCell ref="D387:G387"/>
    <mergeCell ref="U383:X383"/>
    <mergeCell ref="U384:X384"/>
    <mergeCell ref="U385:X385"/>
    <mergeCell ref="U386:X386"/>
    <mergeCell ref="U387:X387"/>
    <mergeCell ref="D371:G371"/>
    <mergeCell ref="D372:G372"/>
    <mergeCell ref="D373:G373"/>
    <mergeCell ref="D374:G374"/>
    <mergeCell ref="D375:G375"/>
    <mergeCell ref="D376:G376"/>
    <mergeCell ref="D377:G377"/>
    <mergeCell ref="D378:G378"/>
    <mergeCell ref="U371:X371"/>
    <mergeCell ref="U372:X372"/>
    <mergeCell ref="U373:X373"/>
    <mergeCell ref="U374:X374"/>
    <mergeCell ref="U375:X375"/>
    <mergeCell ref="U376:X376"/>
    <mergeCell ref="U377:X377"/>
    <mergeCell ref="U378:X378"/>
    <mergeCell ref="D12:G12"/>
    <mergeCell ref="U12:X12"/>
    <mergeCell ref="D13:G13"/>
    <mergeCell ref="U13:X13"/>
    <mergeCell ref="D14:G14"/>
    <mergeCell ref="U14:X14"/>
    <mergeCell ref="B3:F3"/>
    <mergeCell ref="I8:M8"/>
    <mergeCell ref="U11:X11"/>
    <mergeCell ref="D15:G15"/>
    <mergeCell ref="U15:X15"/>
    <mergeCell ref="D16:G16"/>
    <mergeCell ref="U16:X16"/>
    <mergeCell ref="D17:G17"/>
    <mergeCell ref="U17:X17"/>
    <mergeCell ref="D20:G20"/>
    <mergeCell ref="D25:G25"/>
    <mergeCell ref="D26:G26"/>
    <mergeCell ref="U20:X20"/>
    <mergeCell ref="U25:X25"/>
    <mergeCell ref="U26:X26"/>
    <mergeCell ref="D18:G18"/>
    <mergeCell ref="U18:X18"/>
    <mergeCell ref="D19:G19"/>
    <mergeCell ref="U19:X19"/>
    <mergeCell ref="D37:G37"/>
    <mergeCell ref="U41:X41"/>
    <mergeCell ref="D27:G27"/>
    <mergeCell ref="D28:G28"/>
    <mergeCell ref="D29:G29"/>
    <mergeCell ref="D30:G30"/>
    <mergeCell ref="D31:G31"/>
    <mergeCell ref="U27:X27"/>
    <mergeCell ref="D21:G21"/>
    <mergeCell ref="D22:G22"/>
    <mergeCell ref="D23:G23"/>
    <mergeCell ref="D24:G24"/>
    <mergeCell ref="U21:X21"/>
    <mergeCell ref="U22:X22"/>
    <mergeCell ref="U23:X23"/>
    <mergeCell ref="U24:X24"/>
    <mergeCell ref="U28:X28"/>
    <mergeCell ref="U29:X29"/>
    <mergeCell ref="U30:X30"/>
    <mergeCell ref="U31:X31"/>
    <mergeCell ref="D72:G72"/>
    <mergeCell ref="U72:X72"/>
    <mergeCell ref="D73:G73"/>
    <mergeCell ref="U73:X73"/>
    <mergeCell ref="D97:G97"/>
    <mergeCell ref="U101:X101"/>
    <mergeCell ref="D48:G48"/>
    <mergeCell ref="U48:X48"/>
    <mergeCell ref="D49:G49"/>
    <mergeCell ref="U49:X49"/>
    <mergeCell ref="D67:G67"/>
    <mergeCell ref="U71:X71"/>
    <mergeCell ref="D59:G59"/>
    <mergeCell ref="D60:G60"/>
    <mergeCell ref="D61:G61"/>
    <mergeCell ref="U59:X59"/>
    <mergeCell ref="U60:X60"/>
    <mergeCell ref="U61:X61"/>
    <mergeCell ref="D74:G74"/>
    <mergeCell ref="D75:G75"/>
    <mergeCell ref="U74:X74"/>
    <mergeCell ref="U75:X75"/>
    <mergeCell ref="D76:G76"/>
    <mergeCell ref="D77:G77"/>
    <mergeCell ref="D105:G105"/>
    <mergeCell ref="D106:G106"/>
    <mergeCell ref="D107:G107"/>
    <mergeCell ref="D108:G108"/>
    <mergeCell ref="D109:G109"/>
    <mergeCell ref="D110:G110"/>
    <mergeCell ref="D111:G111"/>
    <mergeCell ref="D112:G112"/>
    <mergeCell ref="D113:G113"/>
    <mergeCell ref="D114:G114"/>
    <mergeCell ref="D115:G115"/>
    <mergeCell ref="D125:G125"/>
    <mergeCell ref="D126:G126"/>
    <mergeCell ref="U122:X122"/>
    <mergeCell ref="U123:X123"/>
    <mergeCell ref="U124:X124"/>
    <mergeCell ref="U125:X125"/>
    <mergeCell ref="D166:G166"/>
    <mergeCell ref="D119:G119"/>
    <mergeCell ref="D120:G120"/>
    <mergeCell ref="D121:G121"/>
    <mergeCell ref="D151:G151"/>
    <mergeCell ref="D152:G152"/>
    <mergeCell ref="D149:G149"/>
    <mergeCell ref="D133:G133"/>
    <mergeCell ref="D134:G134"/>
    <mergeCell ref="D135:G135"/>
    <mergeCell ref="U147:X147"/>
    <mergeCell ref="U148:X148"/>
    <mergeCell ref="U149:X149"/>
    <mergeCell ref="U144:X144"/>
    <mergeCell ref="U145:X145"/>
    <mergeCell ref="U146:X146"/>
    <mergeCell ref="I359:M359"/>
    <mergeCell ref="U362:X362"/>
    <mergeCell ref="D363:G363"/>
    <mergeCell ref="U363:X363"/>
    <mergeCell ref="D364:G364"/>
    <mergeCell ref="U364:X364"/>
    <mergeCell ref="D136:G136"/>
    <mergeCell ref="U136:X136"/>
    <mergeCell ref="D137:G137"/>
    <mergeCell ref="U137:X137"/>
    <mergeCell ref="D158:G158"/>
    <mergeCell ref="D165:G165"/>
    <mergeCell ref="D138:G138"/>
    <mergeCell ref="D139:G139"/>
    <mergeCell ref="D140:G140"/>
    <mergeCell ref="D141:G141"/>
    <mergeCell ref="D142:G142"/>
    <mergeCell ref="D143:G143"/>
    <mergeCell ref="D144:G144"/>
    <mergeCell ref="D145:G145"/>
    <mergeCell ref="D146:G146"/>
    <mergeCell ref="D147:G147"/>
    <mergeCell ref="D148:G148"/>
    <mergeCell ref="D150:G150"/>
    <mergeCell ref="D368:G368"/>
    <mergeCell ref="U368:X368"/>
    <mergeCell ref="D369:G369"/>
    <mergeCell ref="U369:X369"/>
    <mergeCell ref="D370:G370"/>
    <mergeCell ref="U370:X370"/>
    <mergeCell ref="D365:G365"/>
    <mergeCell ref="U365:X365"/>
    <mergeCell ref="D366:G366"/>
    <mergeCell ref="U366:X366"/>
    <mergeCell ref="D367:G367"/>
    <mergeCell ref="U367:X367"/>
    <mergeCell ref="D394:G394"/>
    <mergeCell ref="U394:X394"/>
    <mergeCell ref="D395:G395"/>
    <mergeCell ref="U395:X395"/>
    <mergeCell ref="D396:G396"/>
    <mergeCell ref="U396:X396"/>
    <mergeCell ref="D388:G388"/>
    <mergeCell ref="U391:X391"/>
    <mergeCell ref="D392:G392"/>
    <mergeCell ref="U392:X392"/>
    <mergeCell ref="D393:G393"/>
    <mergeCell ref="U393:X393"/>
    <mergeCell ref="D417:G417"/>
    <mergeCell ref="U421:X421"/>
    <mergeCell ref="D422:G422"/>
    <mergeCell ref="U422:X422"/>
    <mergeCell ref="D423:G423"/>
    <mergeCell ref="U423:X423"/>
    <mergeCell ref="D397:G397"/>
    <mergeCell ref="U397:X397"/>
    <mergeCell ref="D398:G398"/>
    <mergeCell ref="U398:X398"/>
    <mergeCell ref="D399:G399"/>
    <mergeCell ref="U399:X399"/>
    <mergeCell ref="D400:G400"/>
    <mergeCell ref="D401:G401"/>
    <mergeCell ref="D402:G402"/>
    <mergeCell ref="D403:G403"/>
    <mergeCell ref="D404:G404"/>
    <mergeCell ref="D405:G405"/>
    <mergeCell ref="D406:G406"/>
    <mergeCell ref="D407:G407"/>
    <mergeCell ref="U400:X400"/>
    <mergeCell ref="U401:X401"/>
    <mergeCell ref="U402:X402"/>
    <mergeCell ref="U403:X403"/>
    <mergeCell ref="D476:G476"/>
    <mergeCell ref="U480:X480"/>
    <mergeCell ref="D481:G481"/>
    <mergeCell ref="U481:X481"/>
    <mergeCell ref="D482:G482"/>
    <mergeCell ref="U482:X482"/>
    <mergeCell ref="D447:G447"/>
    <mergeCell ref="U450:X450"/>
    <mergeCell ref="D451:G451"/>
    <mergeCell ref="U451:X451"/>
    <mergeCell ref="D452:G452"/>
    <mergeCell ref="U452:X452"/>
    <mergeCell ref="D453:G453"/>
    <mergeCell ref="D454:G454"/>
    <mergeCell ref="D455:G455"/>
    <mergeCell ref="D456:G456"/>
    <mergeCell ref="D457:G457"/>
    <mergeCell ref="D458:G458"/>
    <mergeCell ref="D459:G459"/>
    <mergeCell ref="D460:G460"/>
    <mergeCell ref="D461:G461"/>
    <mergeCell ref="D462:G462"/>
    <mergeCell ref="D463:G463"/>
    <mergeCell ref="D464:G464"/>
    <mergeCell ref="D506:G506"/>
    <mergeCell ref="D513:G513"/>
    <mergeCell ref="D514:G514"/>
    <mergeCell ref="D483:G483"/>
    <mergeCell ref="U483:X483"/>
    <mergeCell ref="D484:G484"/>
    <mergeCell ref="U484:X484"/>
    <mergeCell ref="D485:G485"/>
    <mergeCell ref="U485:X485"/>
    <mergeCell ref="D486:G486"/>
    <mergeCell ref="D487:G487"/>
    <mergeCell ref="D488:G488"/>
    <mergeCell ref="D489:G489"/>
    <mergeCell ref="D490:G490"/>
    <mergeCell ref="D491:G491"/>
    <mergeCell ref="D492:G492"/>
    <mergeCell ref="D493:G493"/>
    <mergeCell ref="D494:G494"/>
    <mergeCell ref="D495:G495"/>
    <mergeCell ref="D496:G496"/>
    <mergeCell ref="D497:G497"/>
    <mergeCell ref="D498:G498"/>
    <mergeCell ref="D499:G499"/>
    <mergeCell ref="D500:G500"/>
    <mergeCell ref="D55:G55"/>
    <mergeCell ref="D56:G56"/>
    <mergeCell ref="D57:G57"/>
    <mergeCell ref="D58:G58"/>
    <mergeCell ref="U50:X50"/>
    <mergeCell ref="U55:X55"/>
    <mergeCell ref="U56:X56"/>
    <mergeCell ref="U57:X57"/>
    <mergeCell ref="U58:X58"/>
    <mergeCell ref="D52:G52"/>
    <mergeCell ref="D53:G53"/>
    <mergeCell ref="D54:G54"/>
    <mergeCell ref="U52:X52"/>
    <mergeCell ref="U53:X53"/>
    <mergeCell ref="U54:X54"/>
    <mergeCell ref="D51:G51"/>
    <mergeCell ref="U51:X51"/>
    <mergeCell ref="D50:G50"/>
    <mergeCell ref="D45:G45"/>
    <mergeCell ref="U45:X45"/>
    <mergeCell ref="D46:G46"/>
    <mergeCell ref="U46:X46"/>
    <mergeCell ref="D47:G47"/>
    <mergeCell ref="U47:X47"/>
    <mergeCell ref="D42:G42"/>
    <mergeCell ref="U42:X42"/>
    <mergeCell ref="D43:G43"/>
    <mergeCell ref="U43:X43"/>
    <mergeCell ref="D44:G44"/>
    <mergeCell ref="U44:X44"/>
    <mergeCell ref="D78:G78"/>
    <mergeCell ref="D79:G79"/>
    <mergeCell ref="U76:X76"/>
    <mergeCell ref="U77:X77"/>
    <mergeCell ref="U78:X78"/>
    <mergeCell ref="U79:X79"/>
    <mergeCell ref="D80:G80"/>
    <mergeCell ref="D81:G81"/>
    <mergeCell ref="D82:G82"/>
    <mergeCell ref="U80:X80"/>
    <mergeCell ref="U81:X81"/>
    <mergeCell ref="U82:X82"/>
    <mergeCell ref="D83:G83"/>
    <mergeCell ref="D84:G84"/>
    <mergeCell ref="D85:G85"/>
    <mergeCell ref="D86:G86"/>
    <mergeCell ref="D87:G87"/>
    <mergeCell ref="D88:G88"/>
    <mergeCell ref="D89:G89"/>
    <mergeCell ref="D90:G90"/>
    <mergeCell ref="D91:G91"/>
    <mergeCell ref="U83:X83"/>
    <mergeCell ref="U84:X84"/>
    <mergeCell ref="U85:X85"/>
    <mergeCell ref="U86:X86"/>
    <mergeCell ref="U87:X87"/>
    <mergeCell ref="U88:X88"/>
    <mergeCell ref="U89:X89"/>
    <mergeCell ref="U90:X90"/>
    <mergeCell ref="U91:X91"/>
    <mergeCell ref="U104:X104"/>
    <mergeCell ref="U105:X105"/>
    <mergeCell ref="U106:X106"/>
    <mergeCell ref="U107:X107"/>
    <mergeCell ref="U108:X108"/>
    <mergeCell ref="U109:X109"/>
    <mergeCell ref="U110:X110"/>
    <mergeCell ref="U111:X111"/>
    <mergeCell ref="U112:X112"/>
    <mergeCell ref="U113:X113"/>
    <mergeCell ref="U114:X114"/>
    <mergeCell ref="U115:X115"/>
    <mergeCell ref="U138:X138"/>
    <mergeCell ref="U139:X139"/>
    <mergeCell ref="U140:X140"/>
    <mergeCell ref="U141:X141"/>
    <mergeCell ref="U142:X142"/>
    <mergeCell ref="U143:X143"/>
    <mergeCell ref="U116:X116"/>
    <mergeCell ref="U117:X117"/>
    <mergeCell ref="U118:X118"/>
    <mergeCell ref="U119:X119"/>
    <mergeCell ref="U120:X120"/>
    <mergeCell ref="U121:X121"/>
    <mergeCell ref="U133:X133"/>
    <mergeCell ref="U134:X134"/>
    <mergeCell ref="U135:X135"/>
    <mergeCell ref="U126:X126"/>
  </mergeCells>
  <dataValidations disablePrompts="1" count="12">
    <dataValidation type="list" allowBlank="1" showInputMessage="1" showErrorMessage="1" sqref="D12:G19 D20:G20 D21:G24 D25:G31 D32:G36" xr:uid="{00000000-0002-0000-0C00-000000000000}">
      <formula1>LU_ACT_Pers_Res</formula1>
    </dataValidation>
    <dataValidation type="list" allowBlank="1" showInputMessage="1" showErrorMessage="1" sqref="D42:G49 D50:G50 D51:G54 D55:G61 D62:G66" xr:uid="{00000000-0002-0000-0C00-000001000000}">
      <formula1>LU_ACT_Allowances</formula1>
    </dataValidation>
    <dataValidation type="list" allowBlank="1" showInputMessage="1" showErrorMessage="1" sqref="D72:G73 D74:G75 D76:G79 D80:G91 D92:G96" xr:uid="{00000000-0002-0000-0C00-000002000000}">
      <formula1>LU_ACT_Supplies</formula1>
    </dataValidation>
    <dataValidation type="list" allowBlank="1" showInputMessage="1" showErrorMessage="1" sqref="D102:G103 D104:G121 D122:G126" xr:uid="{00000000-0002-0000-0C00-000003000000}">
      <formula1>LU_ACT_Equipment</formula1>
    </dataValidation>
    <dataValidation type="list" allowBlank="1" showInputMessage="1" showErrorMessage="1" sqref="D133:G137 D138:G152 D153:G157" xr:uid="{00000000-0002-0000-0C00-000004000000}">
      <formula1>LU_ACT_ODCS</formula1>
    </dataValidation>
    <dataValidation type="list" allowBlank="1" showInputMessage="1" showErrorMessage="1" sqref="D364:G370 D371:G378 D363:G363 D379:G382 D383:G387" xr:uid="{00000000-0002-0000-0C00-000006000000}">
      <formula1>LU_ACT_2_Pers_Res</formula1>
    </dataValidation>
    <dataValidation type="list" allowBlank="1" showInputMessage="1" showErrorMessage="1" sqref="D393:G399 D400:G407 D392:G392 D408:G411 D412:G416" xr:uid="{00000000-0002-0000-0C00-000007000000}">
      <formula1>LU_ACT_2_Allowances</formula1>
    </dataValidation>
    <dataValidation type="list" allowBlank="1" showInputMessage="1" showErrorMessage="1" sqref="D422:G423 D424:G441 D442:G446" xr:uid="{00000000-0002-0000-0C00-000008000000}">
      <formula1>LU_ACT_2_Supplies</formula1>
    </dataValidation>
    <dataValidation type="list" allowBlank="1" showInputMessage="1" showErrorMessage="1" sqref="D451:G452 D453:G470 D471:G475" xr:uid="{00000000-0002-0000-0C00-000009000000}">
      <formula1>LU_ACT_2_Equipment</formula1>
    </dataValidation>
    <dataValidation type="list" allowBlank="1" showInputMessage="1" showErrorMessage="1" sqref="D481:G485 D486:G505" xr:uid="{00000000-0002-0000-0C00-00000A000000}">
      <formula1>LU_ACT_2_ODCS</formula1>
    </dataValidation>
    <dataValidation type="whole" showDropDown="1" showErrorMessage="1" errorTitle="Drop Down Box Cell Link" error="The value in a drop down box cell link must be a whole number within the control's lookup range rows." sqref="I9" xr:uid="{CF461789-A24B-4785-8481-638AB8B8C8E8}">
      <formula1>1</formula1>
      <formula2>ROWS(LU_ACT_Meet_Curr)</formula2>
    </dataValidation>
    <dataValidation type="whole" showDropDown="1" showErrorMessage="1" errorTitle="Drop Down Box Cell Link" error="The value in a drop down box cell link must be a whole number within the control's lookup range rows." sqref="I360" xr:uid="{31CF62EA-EAEA-4B8C-8A2D-0D5CA32E29B0}">
      <formula1>1</formula1>
      <formula2>ROWS(LU_ACT_2_Meet_Curr)</formula2>
    </dataValidation>
  </dataValidations>
  <hyperlinks>
    <hyperlink ref="A4" location="$B$5" tooltip="Go to Top of Sheet" display="$B$5" xr:uid="{00000000-0004-0000-0C00-000000000000}"/>
    <hyperlink ref="C4" location="HL_Sheet_Main_41" tooltip="Go to Next Sheet" display="HL_Sheet_Main_41" xr:uid="{00000000-0004-0000-0C00-000001000000}"/>
    <hyperlink ref="B4" location="HL_Sheet_Main_49" tooltip="Go to Previous Sheet" display="HL_Sheet_Main_49" xr:uid="{00000000-0004-0000-0C00-000002000000}"/>
    <hyperlink ref="B162" location="HL_ACT_Nat_Micrp_Out" tooltip="Click to follow hyperlink." display="HL_ACT_Nat_Micrp_Out" xr:uid="{00000000-0004-0000-0C00-000003000000}"/>
    <hyperlink ref="B3" location="HL_Home" tooltip="Go to Table of Contents" display="HL_Home" xr:uid="{00000000-0004-0000-0C00-000004000000}"/>
    <hyperlink ref="D4" location="HL_Err_Chk" tooltip="Go to Error Checks" display="HL_Err_Chk" xr:uid="{00000000-0004-0000-0C00-000005000000}"/>
    <hyperlink ref="F4" location="HL_Alt_Chk" tooltip="Go to Alert Checks" display="HL_Alt_Chk" xr:uid="{00000000-0004-0000-0C00-000006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pmDropDownACT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51202" r:id="rId5" name="bpmDropDownACT_21">
              <controlPr defaultSize="0" autoFill="0" autoPict="0">
                <anchor moveWithCells="1">
                  <from>
                    <xdr:col>8</xdr:col>
                    <xdr:colOff>0</xdr:colOff>
                    <xdr:row>359</xdr:row>
                    <xdr:rowOff>0</xdr:rowOff>
                  </from>
                  <to>
                    <xdr:col>9</xdr:col>
                    <xdr:colOff>0</xdr:colOff>
                    <xdr:row>360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autoPageBreaks="0"/>
  </sheetPr>
  <dimension ref="A1:K334"/>
  <sheetViews>
    <sheetView showGridLines="0" zoomScaleNormal="100" workbookViewId="0">
      <pane xSplit="1" ySplit="11" topLeftCell="B12" activePane="bottomRight" state="frozen"/>
      <selection activeCell="H63" sqref="H63:P63"/>
      <selection pane="topRight" activeCell="H63" sqref="H63:P63"/>
      <selection pane="bottomLeft" activeCell="H63" sqref="H63:P63"/>
      <selection pane="bottomRight" activeCell="C30" sqref="C30"/>
    </sheetView>
  </sheetViews>
  <sheetFormatPr defaultColWidth="11.6640625" defaultRowHeight="13.8" outlineLevelRow="2" x14ac:dyDescent="0.3"/>
  <cols>
    <col min="1" max="5" width="3.6640625" style="22" customWidth="1"/>
    <col min="6" max="16384" width="11.6640625" style="22"/>
  </cols>
  <sheetData>
    <row r="1" spans="1:11" ht="23.4" x14ac:dyDescent="0.3">
      <c r="B1" s="24" t="s">
        <v>363</v>
      </c>
    </row>
    <row r="2" spans="1:11" ht="18" x14ac:dyDescent="0.3">
      <c r="B2" s="23" t="str">
        <f>Model_Name</f>
        <v>Oral Cholera Vaccine Activity-Based Costing</v>
      </c>
    </row>
    <row r="3" spans="1:11" x14ac:dyDescent="0.3">
      <c r="B3" s="349" t="s">
        <v>2</v>
      </c>
      <c r="C3" s="349"/>
      <c r="D3" s="349"/>
      <c r="E3" s="349"/>
      <c r="F3" s="349"/>
    </row>
    <row r="4" spans="1:11" x14ac:dyDescent="0.3">
      <c r="A4" s="25" t="s">
        <v>5</v>
      </c>
      <c r="B4" s="26" t="s">
        <v>10</v>
      </c>
      <c r="C4" s="27" t="s">
        <v>11</v>
      </c>
      <c r="D4" s="28" t="s">
        <v>25</v>
      </c>
      <c r="F4" s="29" t="s">
        <v>26</v>
      </c>
    </row>
    <row r="7" spans="1:11" x14ac:dyDescent="0.3">
      <c r="B7" s="63" t="str">
        <f>"Year Ending "&amp;INDEX(LU_TS_Mth_Names,DD_TS_Fin_Yr_End_Mth)</f>
        <v>Year Ending December</v>
      </c>
      <c r="C7" s="64"/>
      <c r="D7" s="64"/>
      <c r="E7" s="64"/>
      <c r="F7" s="64"/>
      <c r="G7" s="64"/>
      <c r="H7" s="64"/>
      <c r="I7" s="64"/>
      <c r="J7" s="64"/>
      <c r="K7" s="65">
        <f>K11</f>
        <v>2020</v>
      </c>
    </row>
    <row r="8" spans="1:11" hidden="1" outlineLevel="2" x14ac:dyDescent="0.3">
      <c r="B8" s="91" t="s">
        <v>98</v>
      </c>
      <c r="K8" s="62">
        <f>EDATE(TS_Start_Date,(K10-1)*TS_Mths_In_Yr)</f>
        <v>43831</v>
      </c>
    </row>
    <row r="9" spans="1:11" hidden="1" outlineLevel="2" x14ac:dyDescent="0.3">
      <c r="B9" s="91" t="s">
        <v>99</v>
      </c>
      <c r="K9" s="62">
        <f>EDATE(K8,TS_Mths_In_Yr)-1</f>
        <v>44196</v>
      </c>
    </row>
    <row r="10" spans="1:11" hidden="1" outlineLevel="2" x14ac:dyDescent="0.3">
      <c r="B10" s="91" t="s">
        <v>100</v>
      </c>
      <c r="K10" s="45">
        <f>COLUMNS($K10:K10)</f>
        <v>1</v>
      </c>
    </row>
    <row r="11" spans="1:11" hidden="1" outlineLevel="2" x14ac:dyDescent="0.3">
      <c r="B11" s="66" t="s">
        <v>101</v>
      </c>
      <c r="C11" s="64"/>
      <c r="D11" s="64"/>
      <c r="E11" s="64"/>
      <c r="F11" s="64"/>
      <c r="G11" s="64"/>
      <c r="H11" s="64"/>
      <c r="I11" s="64"/>
      <c r="J11" s="64"/>
      <c r="K11" s="67">
        <f>YEAR(K9)</f>
        <v>2020</v>
      </c>
    </row>
    <row r="12" spans="1:11" collapsed="1" x14ac:dyDescent="0.3"/>
    <row r="14" spans="1:11" ht="14.4" x14ac:dyDescent="0.3">
      <c r="B14" s="90" t="s">
        <v>123</v>
      </c>
    </row>
    <row r="15" spans="1:11" x14ac:dyDescent="0.3">
      <c r="C15" s="379" t="s">
        <v>218</v>
      </c>
      <c r="D15" s="425"/>
      <c r="E15" s="425"/>
      <c r="F15" s="425"/>
      <c r="G15" s="425"/>
      <c r="K15" s="48">
        <v>1</v>
      </c>
    </row>
    <row r="16" spans="1:11" x14ac:dyDescent="0.3">
      <c r="C16" s="379" t="s">
        <v>219</v>
      </c>
      <c r="D16" s="425"/>
      <c r="E16" s="425"/>
      <c r="F16" s="425"/>
      <c r="G16" s="425"/>
      <c r="K16" s="48">
        <v>1</v>
      </c>
    </row>
    <row r="18" spans="2:11" ht="14.4" x14ac:dyDescent="0.3">
      <c r="B18" s="90" t="s">
        <v>226</v>
      </c>
    </row>
    <row r="19" spans="2:11" x14ac:dyDescent="0.3">
      <c r="C19" s="91" t="s">
        <v>227</v>
      </c>
      <c r="K19" s="48">
        <v>0</v>
      </c>
    </row>
    <row r="20" spans="2:11" x14ac:dyDescent="0.3">
      <c r="C20" s="91" t="s">
        <v>467</v>
      </c>
      <c r="K20" s="48">
        <v>0</v>
      </c>
    </row>
    <row r="21" spans="2:11" x14ac:dyDescent="0.3">
      <c r="C21" s="91" t="s">
        <v>468</v>
      </c>
      <c r="K21" s="48">
        <v>0</v>
      </c>
    </row>
    <row r="23" spans="2:11" ht="14.4" x14ac:dyDescent="0.3">
      <c r="B23" s="90" t="s">
        <v>469</v>
      </c>
    </row>
    <row r="24" spans="2:11" x14ac:dyDescent="0.3">
      <c r="C24" s="91" t="s">
        <v>470</v>
      </c>
      <c r="K24" s="48">
        <v>0</v>
      </c>
    </row>
    <row r="25" spans="2:11" x14ac:dyDescent="0.3">
      <c r="C25" s="91" t="s">
        <v>471</v>
      </c>
      <c r="K25" s="48">
        <v>0</v>
      </c>
    </row>
    <row r="27" spans="2:11" ht="14.4" x14ac:dyDescent="0.3">
      <c r="B27" s="90" t="s">
        <v>472</v>
      </c>
    </row>
    <row r="28" spans="2:11" x14ac:dyDescent="0.3">
      <c r="C28" s="91" t="s">
        <v>473</v>
      </c>
    </row>
    <row r="46" spans="2:2" ht="18" x14ac:dyDescent="0.3">
      <c r="B46" s="99" t="s">
        <v>317</v>
      </c>
    </row>
    <row r="64" spans="2:2" ht="18" x14ac:dyDescent="0.3">
      <c r="B64" s="99" t="s">
        <v>320</v>
      </c>
    </row>
    <row r="82" spans="2:2" ht="18" x14ac:dyDescent="0.3">
      <c r="B82" s="99" t="s">
        <v>323</v>
      </c>
    </row>
    <row r="100" spans="2:2" ht="18" x14ac:dyDescent="0.3">
      <c r="B100" s="99" t="s">
        <v>350</v>
      </c>
    </row>
    <row r="118" spans="2:2" ht="18" x14ac:dyDescent="0.3">
      <c r="B118" s="99" t="s">
        <v>353</v>
      </c>
    </row>
    <row r="136" spans="2:2" ht="18" x14ac:dyDescent="0.3">
      <c r="B136" s="99" t="s">
        <v>356</v>
      </c>
    </row>
    <row r="154" spans="2:2" ht="18" x14ac:dyDescent="0.3">
      <c r="B154" s="99" t="s">
        <v>359</v>
      </c>
    </row>
    <row r="172" spans="2:2" ht="18" x14ac:dyDescent="0.3">
      <c r="B172" s="99" t="s">
        <v>539</v>
      </c>
    </row>
    <row r="190" spans="2:2" ht="18" x14ac:dyDescent="0.3">
      <c r="B190" s="99" t="s">
        <v>667</v>
      </c>
    </row>
    <row r="208" spans="2:2" ht="18" x14ac:dyDescent="0.3">
      <c r="B208" s="99" t="s">
        <v>670</v>
      </c>
    </row>
    <row r="226" spans="2:2" ht="18" x14ac:dyDescent="0.3">
      <c r="B226" s="99" t="s">
        <v>676</v>
      </c>
    </row>
    <row r="244" spans="2:2" ht="18" x14ac:dyDescent="0.3">
      <c r="B244" s="99" t="s">
        <v>682</v>
      </c>
    </row>
    <row r="262" spans="2:2" ht="18" x14ac:dyDescent="0.3">
      <c r="B262" s="99" t="s">
        <v>661</v>
      </c>
    </row>
    <row r="280" spans="2:2" ht="18" x14ac:dyDescent="0.3">
      <c r="B280" s="99" t="s">
        <v>664</v>
      </c>
    </row>
    <row r="298" spans="2:2" ht="18" x14ac:dyDescent="0.3">
      <c r="B298" s="99" t="s">
        <v>673</v>
      </c>
    </row>
    <row r="316" spans="2:2" ht="18" x14ac:dyDescent="0.3">
      <c r="B316" s="99" t="s">
        <v>679</v>
      </c>
    </row>
    <row r="334" spans="2:2" ht="18" x14ac:dyDescent="0.3">
      <c r="B334" s="99" t="s">
        <v>685</v>
      </c>
    </row>
  </sheetData>
  <sheetProtection algorithmName="SHA-512" hashValue="w/dlPjJp+rSyTkx6zNIEmtm0xpyyGefh5dFNhecVTWPyRTB1cxgS+ITPdq4CaV33bl+GU6KPRKBSHGV3X7g6LA==" saltValue="u1laXp5kl1AfMvDi5VX2lw==" spinCount="100000" sheet="1" objects="1" scenarios="1" formatColumns="0" formatRows="0"/>
  <mergeCells count="3">
    <mergeCell ref="B3:F3"/>
    <mergeCell ref="C15:G15"/>
    <mergeCell ref="C16:G16"/>
  </mergeCells>
  <hyperlinks>
    <hyperlink ref="A4" location="$B$12" tooltip="Go to Top of Sheet" display="$B$12" xr:uid="{00000000-0004-0000-0D00-000000000000}"/>
    <hyperlink ref="C4" location="HL_Sheet_Main_43" tooltip="Go to Next Sheet" display="HL_Sheet_Main_43" xr:uid="{00000000-0004-0000-0D00-000001000000}"/>
    <hyperlink ref="B4" location="HL_Sheet_Main_10" tooltip="Go to Previous Sheet" display="HL_Sheet_Main_10" xr:uid="{00000000-0004-0000-0D00-000002000000}"/>
    <hyperlink ref="B3" location="HL_Home" tooltip="Go to Table of Contents" display="HL_Home" xr:uid="{00000000-0004-0000-0D00-000003000000}"/>
    <hyperlink ref="D4" location="HL_Err_Chk" tooltip="Go to Error Checks" display="HL_Err_Chk" xr:uid="{00000000-0004-0000-0D00-000004000000}"/>
    <hyperlink ref="F4" location="HL_Alt_Chk" tooltip="Go to Alert Checks" display="HL_Alt_Chk" xr:uid="{00000000-0004-0000-0D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sheetPr>
  <dimension ref="A1:X1050"/>
  <sheetViews>
    <sheetView showGridLines="0" zoomScaleNormal="100" workbookViewId="0">
      <pane xSplit="1" ySplit="4" topLeftCell="B5" activePane="bottomRight" state="frozen"/>
      <selection pane="topRight" activeCell="B1" sqref="B1"/>
      <selection pane="bottomLeft" activeCell="A5" sqref="A5"/>
      <selection pane="bottomRight" activeCell="W1050" sqref="W1050"/>
    </sheetView>
  </sheetViews>
  <sheetFormatPr defaultColWidth="11.6640625" defaultRowHeight="13.8" outlineLevelRow="1" x14ac:dyDescent="0.3"/>
  <cols>
    <col min="1" max="5" width="3.6640625" style="22" customWidth="1"/>
    <col min="6" max="6" width="11.6640625" style="22"/>
    <col min="7" max="7" width="16" style="22" bestFit="1" customWidth="1"/>
    <col min="8" max="8" width="2.109375" style="22" customWidth="1"/>
    <col min="9" max="9" width="11.6640625" style="22"/>
    <col min="10" max="10" width="2.6640625" style="22" bestFit="1" customWidth="1"/>
    <col min="11" max="11" width="11.6640625" style="22"/>
    <col min="12" max="12" width="2.44140625" style="22" customWidth="1"/>
    <col min="13" max="13" width="13.44140625" style="22" customWidth="1"/>
    <col min="14" max="14" width="2.109375" style="22" customWidth="1"/>
    <col min="15" max="15" width="18.44140625" style="22" bestFit="1" customWidth="1"/>
    <col min="16" max="16" width="2" style="22" customWidth="1"/>
    <col min="17" max="17" width="11.6640625" style="22"/>
    <col min="18" max="18" width="2.109375" style="22" customWidth="1"/>
    <col min="19" max="19" width="17.5546875" style="22" bestFit="1" customWidth="1"/>
    <col min="20" max="21" width="11.6640625" style="22"/>
    <col min="22" max="22" width="1.44140625" style="22" customWidth="1"/>
    <col min="23" max="16384" width="11.6640625" style="22"/>
  </cols>
  <sheetData>
    <row r="1" spans="1:24" ht="23.4" x14ac:dyDescent="0.3">
      <c r="B1" s="24" t="s">
        <v>469</v>
      </c>
    </row>
    <row r="2" spans="1:24" ht="18" x14ac:dyDescent="0.3">
      <c r="B2" s="23" t="str">
        <f>Model_Name</f>
        <v>Oral Cholera Vaccine Activity-Based Costing</v>
      </c>
    </row>
    <row r="3" spans="1:24" x14ac:dyDescent="0.3">
      <c r="B3" s="349" t="s">
        <v>2</v>
      </c>
      <c r="C3" s="349"/>
      <c r="D3" s="349"/>
      <c r="E3" s="349"/>
      <c r="F3" s="349"/>
      <c r="M3" s="248" t="s">
        <v>493</v>
      </c>
      <c r="N3" s="152"/>
      <c r="O3" s="248" t="s">
        <v>494</v>
      </c>
      <c r="P3" s="152"/>
      <c r="Q3" s="248" t="s">
        <v>495</v>
      </c>
      <c r="R3" s="152"/>
      <c r="S3" s="248" t="s">
        <v>496</v>
      </c>
    </row>
    <row r="4" spans="1:24" x14ac:dyDescent="0.3">
      <c r="A4" s="25" t="s">
        <v>5</v>
      </c>
      <c r="B4" s="26" t="s">
        <v>10</v>
      </c>
      <c r="C4" s="27" t="s">
        <v>11</v>
      </c>
      <c r="D4" s="28" t="s">
        <v>25</v>
      </c>
      <c r="F4" s="29" t="s">
        <v>26</v>
      </c>
      <c r="M4" s="152" t="str">
        <f>IF(DD_ACT_22_Meet1_Curr=1,$D$859,$D$860)</f>
        <v>GOZ</v>
      </c>
      <c r="N4" s="152"/>
      <c r="O4" s="152" t="str">
        <f>IF(DD_ACT_22_Meet1_Curr=1,$D$859,$D$860)</f>
        <v>GOZ</v>
      </c>
      <c r="P4" s="152"/>
      <c r="Q4" s="152" t="str">
        <f>IF(DD_ACT_22_Meet1_Curr=1,$D$859,$D$860)</f>
        <v>GOZ</v>
      </c>
      <c r="R4" s="152"/>
      <c r="S4" s="152" t="str">
        <f>IF(DD_ACT_22_Meet1_Curr=1,$D$859,$D$860)</f>
        <v>GOZ</v>
      </c>
    </row>
    <row r="7" spans="1:24" ht="18" x14ac:dyDescent="0.3">
      <c r="B7" s="31" t="str">
        <f>I8</f>
        <v>Communication Materials Activity #1 [not in use]</v>
      </c>
    </row>
    <row r="8" spans="1:24" x14ac:dyDescent="0.3">
      <c r="G8" s="41" t="s">
        <v>119</v>
      </c>
      <c r="I8" s="356" t="s">
        <v>894</v>
      </c>
      <c r="J8" s="356"/>
      <c r="K8" s="356"/>
      <c r="L8" s="356"/>
      <c r="M8" s="356"/>
    </row>
    <row r="9" spans="1:24" ht="10.5" customHeight="1" x14ac:dyDescent="0.3">
      <c r="G9" s="41" t="s">
        <v>76</v>
      </c>
      <c r="I9" s="32">
        <v>2</v>
      </c>
    </row>
    <row r="10" spans="1:24" ht="15.6" hidden="1" x14ac:dyDescent="0.3">
      <c r="C10" s="92" t="s">
        <v>77</v>
      </c>
      <c r="M10" s="40" t="str">
        <f>IF(DD_ACT_6_Meet1_Curr=1,$D$161,$D$162)</f>
        <v>GOZ</v>
      </c>
      <c r="O10" s="40" t="str">
        <f>IF(DD_ACT_6_Meet1_Curr=1,$D$161,$D$162)</f>
        <v>GOZ</v>
      </c>
      <c r="Q10" s="40" t="str">
        <f>IF(DD_ACT_6_Meet1_Curr=1,$D$161,$D$162)</f>
        <v>GOZ</v>
      </c>
      <c r="S10" s="40" t="str">
        <f>IF(DD_ACT_6_Meet1_Curr=1,$D$161,$D$162)</f>
        <v>GOZ</v>
      </c>
    </row>
    <row r="11" spans="1:24" ht="27.6" x14ac:dyDescent="0.3">
      <c r="D11" s="90" t="s">
        <v>77</v>
      </c>
      <c r="I11" s="88" t="s">
        <v>80</v>
      </c>
      <c r="K11" s="91" t="s">
        <v>78</v>
      </c>
      <c r="M11" s="42" t="s">
        <v>103</v>
      </c>
      <c r="O11" s="42" t="s">
        <v>104</v>
      </c>
      <c r="Q11" s="42" t="s">
        <v>105</v>
      </c>
      <c r="S11" s="42" t="s">
        <v>106</v>
      </c>
      <c r="U11" s="350" t="s">
        <v>185</v>
      </c>
      <c r="V11" s="351"/>
      <c r="W11" s="351"/>
      <c r="X11" s="351"/>
    </row>
    <row r="12" spans="1:24" x14ac:dyDescent="0.3">
      <c r="D12" s="356" t="s">
        <v>188</v>
      </c>
      <c r="E12" s="356"/>
      <c r="F12" s="356"/>
      <c r="G12" s="356"/>
      <c r="I12" s="48">
        <v>0</v>
      </c>
      <c r="K12" s="48">
        <v>0</v>
      </c>
      <c r="M12" s="40">
        <f t="shared" ref="M12:M36" si="0">IFERROR(IF(DD_ACT_6_Meet1_Curr=1,INDEX($M$167:$M$201,MATCH(D12,LU_ACT_6_Pers_Res,0)),INDEX($Q$167:$Q$201,MATCH(D12,LU_ACT_6_Pers_Res,0))),0)</f>
        <v>0</v>
      </c>
      <c r="O12" s="40">
        <f t="shared" ref="O12:O36" si="1">IFERROR(IF(DD_ACT_6_Meet1_Curr=1,INDEX($O$167:$O$201,MATCH(D12,LU_ACT_6_Pers_Res,0)),INDEX($S$167:$S$201,MATCH(D12,LU_ACT_6_Pers_Res,0))),0)</f>
        <v>0</v>
      </c>
      <c r="Q12" s="293">
        <f t="shared" ref="Q12:Q36" si="2">I12*K12*M12</f>
        <v>0</v>
      </c>
      <c r="S12" s="293">
        <f t="shared" ref="S12:S36" si="3">I12*K12*O12</f>
        <v>0</v>
      </c>
      <c r="U12" s="356"/>
      <c r="V12" s="356"/>
      <c r="W12" s="356"/>
      <c r="X12" s="356"/>
    </row>
    <row r="13" spans="1:24" x14ac:dyDescent="0.3">
      <c r="D13" s="356" t="s">
        <v>189</v>
      </c>
      <c r="E13" s="356"/>
      <c r="F13" s="356"/>
      <c r="G13" s="356"/>
      <c r="I13" s="48">
        <v>0</v>
      </c>
      <c r="K13" s="48">
        <v>0</v>
      </c>
      <c r="M13" s="40">
        <f t="shared" si="0"/>
        <v>0</v>
      </c>
      <c r="O13" s="40">
        <f t="shared" si="1"/>
        <v>0</v>
      </c>
      <c r="Q13" s="293">
        <f t="shared" si="2"/>
        <v>0</v>
      </c>
      <c r="S13" s="293">
        <f t="shared" si="3"/>
        <v>0</v>
      </c>
      <c r="U13" s="356"/>
      <c r="V13" s="356"/>
      <c r="W13" s="356"/>
      <c r="X13" s="356"/>
    </row>
    <row r="14" spans="1:24" x14ac:dyDescent="0.3">
      <c r="D14" s="356" t="s">
        <v>190</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191</v>
      </c>
      <c r="E15" s="356"/>
      <c r="F15" s="356"/>
      <c r="G15" s="356"/>
      <c r="I15" s="48">
        <v>0</v>
      </c>
      <c r="K15" s="48">
        <v>0</v>
      </c>
      <c r="M15" s="40">
        <f t="shared" si="0"/>
        <v>0</v>
      </c>
      <c r="O15" s="40">
        <f t="shared" si="1"/>
        <v>0</v>
      </c>
      <c r="Q15" s="293">
        <f t="shared" si="2"/>
        <v>0</v>
      </c>
      <c r="S15" s="293">
        <f t="shared" si="3"/>
        <v>0</v>
      </c>
      <c r="U15" s="356"/>
      <c r="V15" s="356"/>
      <c r="W15" s="356"/>
      <c r="X15" s="356"/>
    </row>
    <row r="16" spans="1:24" x14ac:dyDescent="0.3">
      <c r="D16" s="356" t="s">
        <v>192</v>
      </c>
      <c r="E16" s="356"/>
      <c r="F16" s="356"/>
      <c r="G16" s="356"/>
      <c r="I16" s="48">
        <v>0</v>
      </c>
      <c r="K16" s="48">
        <v>0</v>
      </c>
      <c r="M16" s="40">
        <f t="shared" si="0"/>
        <v>0</v>
      </c>
      <c r="O16" s="40">
        <f t="shared" si="1"/>
        <v>0</v>
      </c>
      <c r="Q16" s="293">
        <f t="shared" si="2"/>
        <v>0</v>
      </c>
      <c r="S16" s="293">
        <f t="shared" si="3"/>
        <v>0</v>
      </c>
      <c r="U16" s="356"/>
      <c r="V16" s="356"/>
      <c r="W16" s="356"/>
      <c r="X16" s="356"/>
    </row>
    <row r="17" spans="4:24" x14ac:dyDescent="0.3">
      <c r="D17" s="356" t="s">
        <v>193</v>
      </c>
      <c r="E17" s="356"/>
      <c r="F17" s="356"/>
      <c r="G17" s="356"/>
      <c r="I17" s="48">
        <v>0</v>
      </c>
      <c r="K17" s="48">
        <v>0</v>
      </c>
      <c r="M17" s="40">
        <f t="shared" si="0"/>
        <v>0</v>
      </c>
      <c r="O17" s="40">
        <f t="shared" si="1"/>
        <v>0</v>
      </c>
      <c r="Q17" s="293">
        <f t="shared" si="2"/>
        <v>0</v>
      </c>
      <c r="S17" s="293">
        <f t="shared" si="3"/>
        <v>0</v>
      </c>
      <c r="U17" s="356"/>
      <c r="V17" s="356"/>
      <c r="W17" s="356"/>
      <c r="X17" s="356"/>
    </row>
    <row r="18" spans="4:24" x14ac:dyDescent="0.3">
      <c r="D18" s="356" t="s">
        <v>120</v>
      </c>
      <c r="E18" s="356"/>
      <c r="F18" s="356"/>
      <c r="G18" s="356"/>
      <c r="I18" s="48">
        <v>0</v>
      </c>
      <c r="K18" s="48">
        <v>0</v>
      </c>
      <c r="M18" s="40">
        <f t="shared" si="0"/>
        <v>0</v>
      </c>
      <c r="O18" s="40">
        <f t="shared" si="1"/>
        <v>0</v>
      </c>
      <c r="Q18" s="293">
        <f t="shared" si="2"/>
        <v>0</v>
      </c>
      <c r="S18" s="293">
        <f t="shared" si="3"/>
        <v>0</v>
      </c>
      <c r="U18" s="356"/>
      <c r="V18" s="356"/>
      <c r="W18" s="356"/>
      <c r="X18" s="356"/>
    </row>
    <row r="19" spans="4:24" x14ac:dyDescent="0.3">
      <c r="D19" s="356" t="s">
        <v>121</v>
      </c>
      <c r="E19" s="356"/>
      <c r="F19" s="356"/>
      <c r="G19" s="356"/>
      <c r="I19" s="48">
        <v>0</v>
      </c>
      <c r="K19" s="48">
        <v>0</v>
      </c>
      <c r="M19" s="40">
        <f t="shared" si="0"/>
        <v>0</v>
      </c>
      <c r="O19" s="40">
        <f t="shared" si="1"/>
        <v>0</v>
      </c>
      <c r="Q19" s="293">
        <f t="shared" si="2"/>
        <v>0</v>
      </c>
      <c r="S19" s="293">
        <f t="shared" si="3"/>
        <v>0</v>
      </c>
      <c r="U19" s="356"/>
      <c r="V19" s="356"/>
      <c r="W19" s="356"/>
      <c r="X19" s="356"/>
    </row>
    <row r="20" spans="4:24" s="277" customFormat="1" x14ac:dyDescent="0.3">
      <c r="D20" s="356" t="s">
        <v>830</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831</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832</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833</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834</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835</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836</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837</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846</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847</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848</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849</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971</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973</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974</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975</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976</v>
      </c>
      <c r="E36" s="356"/>
      <c r="F36" s="356"/>
      <c r="G36" s="356"/>
      <c r="I36" s="48">
        <v>0</v>
      </c>
      <c r="K36" s="48">
        <v>0</v>
      </c>
      <c r="M36" s="279">
        <f t="shared" si="0"/>
        <v>0</v>
      </c>
      <c r="O36" s="279">
        <f t="shared" si="1"/>
        <v>0</v>
      </c>
      <c r="Q36" s="293">
        <f t="shared" si="2"/>
        <v>0</v>
      </c>
      <c r="S36" s="293">
        <f t="shared" si="3"/>
        <v>0</v>
      </c>
      <c r="U36" s="385"/>
      <c r="V36" s="385"/>
      <c r="W36" s="385"/>
      <c r="X36" s="385"/>
    </row>
    <row r="37" spans="3:24" ht="14.4" hidden="1" x14ac:dyDescent="0.3">
      <c r="D37" s="420" t="s">
        <v>79</v>
      </c>
      <c r="E37" s="421"/>
      <c r="F37" s="421"/>
      <c r="G37" s="421"/>
      <c r="I37" s="43"/>
      <c r="K37" s="43"/>
      <c r="M37" s="43"/>
      <c r="O37" s="43"/>
      <c r="Q37" s="294">
        <f>SUM(Q12:Q36)</f>
        <v>0</v>
      </c>
      <c r="S37" s="294">
        <f>SUM(S12:S36)</f>
        <v>0</v>
      </c>
    </row>
    <row r="38" spans="3:24" hidden="1" x14ac:dyDescent="0.3"/>
    <row r="39" spans="3:24" ht="15.6" hidden="1" x14ac:dyDescent="0.3">
      <c r="C39" s="92" t="s">
        <v>164</v>
      </c>
    </row>
    <row r="40" spans="3:24" ht="27.6" x14ac:dyDescent="0.3">
      <c r="D40" s="90" t="s">
        <v>102</v>
      </c>
      <c r="I40" s="91" t="s">
        <v>80</v>
      </c>
      <c r="K40" s="91" t="s">
        <v>78</v>
      </c>
      <c r="M40" s="42" t="s">
        <v>103</v>
      </c>
      <c r="O40" s="42" t="s">
        <v>104</v>
      </c>
      <c r="Q40" s="42" t="s">
        <v>105</v>
      </c>
      <c r="S40" s="42" t="s">
        <v>106</v>
      </c>
      <c r="U40" s="350" t="s">
        <v>185</v>
      </c>
      <c r="V40" s="351"/>
      <c r="W40" s="351"/>
      <c r="X40" s="351"/>
    </row>
    <row r="41" spans="3:24" x14ac:dyDescent="0.3">
      <c r="D41" s="356" t="s">
        <v>109</v>
      </c>
      <c r="E41" s="356"/>
      <c r="F41" s="356"/>
      <c r="G41" s="356"/>
      <c r="I41" s="48">
        <v>0</v>
      </c>
      <c r="K41" s="48">
        <v>0</v>
      </c>
      <c r="M41" s="40">
        <f t="shared" ref="M41:M65" si="4">IFERROR(IF(DD_ACT_6_Meet1_Curr=1,INDEX($M$204:$M$238,MATCH(D41,LU_ACT_6_Allowances,0)),INDEX($Q$204:$Q$238,MATCH(D41,LU_ACT_6_Allowances,0))),0)</f>
        <v>0</v>
      </c>
      <c r="O41" s="40">
        <f t="shared" ref="O41:O65" si="5">IFERROR(IF(DD_ACT_6_Meet1_Curr=1,INDEX($O$204:$O$238,MATCH(D41,LU_ACT_6_Allowances,0)),INDEX($S$204:$S$238,MATCH(D41,LU_ACT_6_Allowances,0))),0)</f>
        <v>0</v>
      </c>
      <c r="Q41" s="293">
        <f t="shared" ref="Q41:Q65" si="6">I41*K41*M41</f>
        <v>0</v>
      </c>
      <c r="S41" s="293">
        <f t="shared" ref="S41:S65" si="7">I41*K41*O41</f>
        <v>0</v>
      </c>
      <c r="U41" s="356"/>
      <c r="V41" s="356"/>
      <c r="W41" s="356"/>
      <c r="X41" s="356"/>
    </row>
    <row r="42" spans="3:24" x14ac:dyDescent="0.3">
      <c r="D42" s="356" t="s">
        <v>110</v>
      </c>
      <c r="E42" s="356"/>
      <c r="F42" s="356"/>
      <c r="G42" s="356"/>
      <c r="I42" s="48">
        <v>0</v>
      </c>
      <c r="K42" s="48">
        <v>0</v>
      </c>
      <c r="M42" s="40">
        <f t="shared" si="4"/>
        <v>0</v>
      </c>
      <c r="O42" s="40">
        <f t="shared" si="5"/>
        <v>0</v>
      </c>
      <c r="Q42" s="293">
        <f t="shared" si="6"/>
        <v>0</v>
      </c>
      <c r="S42" s="293">
        <f t="shared" si="7"/>
        <v>0</v>
      </c>
      <c r="U42" s="356"/>
      <c r="V42" s="356"/>
      <c r="W42" s="356"/>
      <c r="X42" s="356"/>
    </row>
    <row r="43" spans="3:24" x14ac:dyDescent="0.3">
      <c r="D43" s="356" t="s">
        <v>111</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112</v>
      </c>
      <c r="E44" s="356"/>
      <c r="F44" s="356"/>
      <c r="G44" s="356"/>
      <c r="I44" s="48">
        <v>0</v>
      </c>
      <c r="K44" s="48">
        <v>0</v>
      </c>
      <c r="M44" s="40">
        <f t="shared" si="4"/>
        <v>0</v>
      </c>
      <c r="O44" s="40">
        <f t="shared" si="5"/>
        <v>0</v>
      </c>
      <c r="Q44" s="293">
        <f t="shared" si="6"/>
        <v>0</v>
      </c>
      <c r="S44" s="293">
        <f t="shared" si="7"/>
        <v>0</v>
      </c>
      <c r="U44" s="356"/>
      <c r="V44" s="356"/>
      <c r="W44" s="356"/>
      <c r="X44" s="356"/>
    </row>
    <row r="45" spans="3:24" x14ac:dyDescent="0.3">
      <c r="D45" s="356" t="s">
        <v>113</v>
      </c>
      <c r="E45" s="356"/>
      <c r="F45" s="356"/>
      <c r="G45" s="356"/>
      <c r="I45" s="48">
        <v>0</v>
      </c>
      <c r="K45" s="48">
        <v>0</v>
      </c>
      <c r="M45" s="40">
        <f t="shared" si="4"/>
        <v>0</v>
      </c>
      <c r="O45" s="40">
        <f t="shared" si="5"/>
        <v>0</v>
      </c>
      <c r="Q45" s="293">
        <f t="shared" si="6"/>
        <v>0</v>
      </c>
      <c r="S45" s="293">
        <f t="shared" si="7"/>
        <v>0</v>
      </c>
      <c r="U45" s="356"/>
      <c r="V45" s="356"/>
      <c r="W45" s="356"/>
      <c r="X45" s="356"/>
    </row>
    <row r="46" spans="3:24" x14ac:dyDescent="0.3">
      <c r="D46" s="356" t="s">
        <v>114</v>
      </c>
      <c r="E46" s="356"/>
      <c r="F46" s="356"/>
      <c r="G46" s="356"/>
      <c r="I46" s="48">
        <v>0</v>
      </c>
      <c r="K46" s="48">
        <v>0</v>
      </c>
      <c r="M46" s="40">
        <f t="shared" si="4"/>
        <v>0</v>
      </c>
      <c r="O46" s="40">
        <f t="shared" si="5"/>
        <v>0</v>
      </c>
      <c r="Q46" s="293">
        <f t="shared" si="6"/>
        <v>0</v>
      </c>
      <c r="S46" s="293">
        <f t="shared" si="7"/>
        <v>0</v>
      </c>
      <c r="U46" s="356"/>
      <c r="V46" s="356"/>
      <c r="W46" s="356"/>
      <c r="X46" s="356"/>
    </row>
    <row r="47" spans="3:24" x14ac:dyDescent="0.3">
      <c r="D47" s="356" t="s">
        <v>115</v>
      </c>
      <c r="E47" s="356"/>
      <c r="F47" s="356"/>
      <c r="G47" s="356"/>
      <c r="I47" s="48">
        <v>0</v>
      </c>
      <c r="K47" s="48">
        <v>0</v>
      </c>
      <c r="M47" s="40">
        <f t="shared" si="4"/>
        <v>0</v>
      </c>
      <c r="O47" s="40">
        <f t="shared" si="5"/>
        <v>0</v>
      </c>
      <c r="Q47" s="293">
        <f t="shared" si="6"/>
        <v>0</v>
      </c>
      <c r="S47" s="293">
        <f t="shared" si="7"/>
        <v>0</v>
      </c>
      <c r="U47" s="356"/>
      <c r="V47" s="356"/>
      <c r="W47" s="356"/>
      <c r="X47" s="356"/>
    </row>
    <row r="48" spans="3:24" x14ac:dyDescent="0.3">
      <c r="D48" s="356" t="s">
        <v>116</v>
      </c>
      <c r="E48" s="356"/>
      <c r="F48" s="356"/>
      <c r="G48" s="356"/>
      <c r="I48" s="48">
        <v>0</v>
      </c>
      <c r="K48" s="48">
        <v>0</v>
      </c>
      <c r="M48" s="40">
        <f t="shared" si="4"/>
        <v>0</v>
      </c>
      <c r="O48" s="40">
        <f t="shared" si="5"/>
        <v>0</v>
      </c>
      <c r="Q48" s="293">
        <f t="shared" si="6"/>
        <v>0</v>
      </c>
      <c r="S48" s="293">
        <f t="shared" si="7"/>
        <v>0</v>
      </c>
      <c r="U48" s="356"/>
      <c r="V48" s="356"/>
      <c r="W48" s="356"/>
      <c r="X48" s="356"/>
    </row>
    <row r="49" spans="4:24" s="277" customFormat="1" x14ac:dyDescent="0.3">
      <c r="D49" s="356" t="s">
        <v>838</v>
      </c>
      <c r="E49" s="356"/>
      <c r="F49" s="356"/>
      <c r="G49" s="356"/>
      <c r="I49" s="48">
        <v>0</v>
      </c>
      <c r="K49" s="48">
        <v>0</v>
      </c>
      <c r="M49" s="279">
        <f t="shared" si="4"/>
        <v>0</v>
      </c>
      <c r="O49" s="279">
        <f t="shared" si="5"/>
        <v>0</v>
      </c>
      <c r="Q49" s="293">
        <f t="shared" si="6"/>
        <v>0</v>
      </c>
      <c r="S49" s="293">
        <f t="shared" si="7"/>
        <v>0</v>
      </c>
      <c r="U49" s="385"/>
      <c r="V49" s="385"/>
      <c r="W49" s="385"/>
      <c r="X49" s="385"/>
    </row>
    <row r="50" spans="4:24" s="277" customFormat="1" x14ac:dyDescent="0.3">
      <c r="D50" s="356" t="s">
        <v>839</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840</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841</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842</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843</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844</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845</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850</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851</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852</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853</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972</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977</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978</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979</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980</v>
      </c>
      <c r="E65" s="356"/>
      <c r="F65" s="356"/>
      <c r="G65" s="356"/>
      <c r="I65" s="48">
        <v>0</v>
      </c>
      <c r="K65" s="48">
        <v>0</v>
      </c>
      <c r="M65" s="279">
        <f t="shared" si="4"/>
        <v>0</v>
      </c>
      <c r="O65" s="279">
        <f t="shared" si="5"/>
        <v>0</v>
      </c>
      <c r="Q65" s="293">
        <f t="shared" si="6"/>
        <v>0</v>
      </c>
      <c r="S65" s="293">
        <f t="shared" si="7"/>
        <v>0</v>
      </c>
      <c r="U65" s="385"/>
      <c r="V65" s="385"/>
      <c r="W65" s="385"/>
      <c r="X65" s="385"/>
    </row>
    <row r="66" spans="3:24" ht="14.4" hidden="1" x14ac:dyDescent="0.3">
      <c r="D66" s="420" t="s">
        <v>82</v>
      </c>
      <c r="E66" s="421"/>
      <c r="F66" s="421"/>
      <c r="G66" s="421"/>
      <c r="I66" s="43"/>
      <c r="K66" s="43"/>
      <c r="M66" s="43"/>
      <c r="O66" s="43"/>
      <c r="Q66" s="294">
        <f>SUM(Q41:Q65)</f>
        <v>0</v>
      </c>
      <c r="S66" s="294">
        <f>SUM(S41:S65)</f>
        <v>0</v>
      </c>
    </row>
    <row r="67" spans="3:24" hidden="1" x14ac:dyDescent="0.3"/>
    <row r="68" spans="3:24" ht="15.6" hidden="1" x14ac:dyDescent="0.3">
      <c r="C68" s="92" t="s">
        <v>84</v>
      </c>
    </row>
    <row r="69" spans="3:24" ht="27.6" x14ac:dyDescent="0.3">
      <c r="D69" s="90" t="s">
        <v>102</v>
      </c>
      <c r="I69" s="91" t="s">
        <v>87</v>
      </c>
      <c r="K69" s="91" t="s">
        <v>432</v>
      </c>
      <c r="M69" s="42" t="s">
        <v>107</v>
      </c>
      <c r="O69" s="42" t="s">
        <v>108</v>
      </c>
      <c r="Q69" s="42" t="s">
        <v>105</v>
      </c>
      <c r="S69" s="42" t="s">
        <v>106</v>
      </c>
      <c r="U69" s="350" t="s">
        <v>185</v>
      </c>
      <c r="V69" s="351"/>
      <c r="W69" s="351"/>
      <c r="X69" s="351"/>
    </row>
    <row r="70" spans="3:24" x14ac:dyDescent="0.3">
      <c r="D70" s="356" t="s">
        <v>892</v>
      </c>
      <c r="E70" s="356"/>
      <c r="F70" s="356"/>
      <c r="G70" s="356"/>
      <c r="I70" s="48">
        <v>0</v>
      </c>
      <c r="K70" s="48">
        <v>0</v>
      </c>
      <c r="M70" s="40">
        <f t="shared" ref="M70:M94" si="8">IFERROR(IF(DD_ACT_6_Meet1_Curr=1,INDEX($M$242:$M$276,MATCH(D70,LU_ACT_6_Supplies,0)),INDEX($Q$242:$Q$276,MATCH(D70,LU_ACT_6_Supplies,0))),0)</f>
        <v>0</v>
      </c>
      <c r="O70" s="40">
        <f t="shared" ref="O70:O94" si="9">IFERROR(IF(DD_ACT_6_Meet1_Curr=1,INDEX($O$242:$O$276,MATCH(D70,LU_ACT_6_Supplies,0)),INDEX($S$242:$S$276,MATCH(D70,LU_ACT_6_Supplies,0))),0)</f>
        <v>0</v>
      </c>
      <c r="Q70" s="295">
        <f t="shared" ref="Q70:Q94" si="10">I70*K70*M70</f>
        <v>0</v>
      </c>
      <c r="S70" s="293">
        <f t="shared" ref="S70:S94" si="11">I70*K70*O70</f>
        <v>0</v>
      </c>
      <c r="U70" s="356"/>
      <c r="V70" s="356"/>
      <c r="W70" s="356"/>
      <c r="X70" s="356"/>
    </row>
    <row r="71" spans="3:24" x14ac:dyDescent="0.3">
      <c r="D71" s="356" t="s">
        <v>893</v>
      </c>
      <c r="E71" s="356"/>
      <c r="F71" s="356"/>
      <c r="G71" s="356"/>
      <c r="I71" s="48">
        <v>0</v>
      </c>
      <c r="K71" s="48">
        <v>0</v>
      </c>
      <c r="M71" s="40">
        <f t="shared" si="8"/>
        <v>0</v>
      </c>
      <c r="O71" s="40">
        <f t="shared" si="9"/>
        <v>0</v>
      </c>
      <c r="Q71" s="295">
        <f t="shared" si="10"/>
        <v>0</v>
      </c>
      <c r="S71" s="293">
        <f t="shared" si="11"/>
        <v>0</v>
      </c>
      <c r="U71" s="356"/>
      <c r="V71" s="356"/>
      <c r="W71" s="356"/>
      <c r="X71" s="356"/>
    </row>
    <row r="72" spans="3:24" x14ac:dyDescent="0.3">
      <c r="D72" s="356" t="s">
        <v>854</v>
      </c>
      <c r="E72" s="356"/>
      <c r="F72" s="356"/>
      <c r="G72" s="356"/>
      <c r="I72" s="48">
        <v>0</v>
      </c>
      <c r="K72" s="48">
        <v>0</v>
      </c>
      <c r="M72" s="40">
        <f t="shared" si="8"/>
        <v>0</v>
      </c>
      <c r="O72" s="40">
        <f t="shared" si="9"/>
        <v>0</v>
      </c>
      <c r="Q72" s="295">
        <f t="shared" si="10"/>
        <v>0</v>
      </c>
      <c r="S72" s="293">
        <f t="shared" si="11"/>
        <v>0</v>
      </c>
      <c r="U72" s="356"/>
      <c r="V72" s="356"/>
      <c r="W72" s="356"/>
      <c r="X72" s="356"/>
    </row>
    <row r="73" spans="3:24" x14ac:dyDescent="0.3">
      <c r="D73" s="356" t="s">
        <v>855</v>
      </c>
      <c r="E73" s="356"/>
      <c r="F73" s="356"/>
      <c r="G73" s="356"/>
      <c r="I73" s="48">
        <v>0</v>
      </c>
      <c r="K73" s="48">
        <v>0</v>
      </c>
      <c r="M73" s="40">
        <f t="shared" si="8"/>
        <v>0</v>
      </c>
      <c r="O73" s="40">
        <f t="shared" si="9"/>
        <v>0</v>
      </c>
      <c r="Q73" s="295">
        <f t="shared" si="10"/>
        <v>0</v>
      </c>
      <c r="S73" s="293">
        <f t="shared" si="11"/>
        <v>0</v>
      </c>
      <c r="U73" s="356"/>
      <c r="V73" s="356"/>
      <c r="W73" s="356"/>
      <c r="X73" s="356"/>
    </row>
    <row r="74" spans="3:24" s="277" customFormat="1" x14ac:dyDescent="0.3">
      <c r="D74" s="356" t="s">
        <v>856</v>
      </c>
      <c r="E74" s="356"/>
      <c r="F74" s="356"/>
      <c r="G74" s="356"/>
      <c r="I74" s="48">
        <v>0</v>
      </c>
      <c r="K74" s="48">
        <v>0</v>
      </c>
      <c r="M74" s="279">
        <f t="shared" si="8"/>
        <v>0</v>
      </c>
      <c r="O74" s="279">
        <f t="shared" si="9"/>
        <v>0</v>
      </c>
      <c r="Q74" s="295">
        <f t="shared" si="10"/>
        <v>0</v>
      </c>
      <c r="S74" s="293">
        <f t="shared" si="11"/>
        <v>0</v>
      </c>
      <c r="U74" s="385"/>
      <c r="V74" s="385"/>
      <c r="W74" s="385"/>
      <c r="X74" s="385"/>
    </row>
    <row r="75" spans="3:24" s="277" customFormat="1" x14ac:dyDescent="0.3">
      <c r="D75" s="356" t="s">
        <v>857</v>
      </c>
      <c r="E75" s="356"/>
      <c r="F75" s="356"/>
      <c r="G75" s="356"/>
      <c r="I75" s="48">
        <v>0</v>
      </c>
      <c r="K75" s="48">
        <v>0</v>
      </c>
      <c r="M75" s="279">
        <f t="shared" si="8"/>
        <v>0</v>
      </c>
      <c r="O75" s="279">
        <f t="shared" si="9"/>
        <v>0</v>
      </c>
      <c r="Q75" s="295">
        <f t="shared" si="10"/>
        <v>0</v>
      </c>
      <c r="S75" s="293">
        <f t="shared" si="11"/>
        <v>0</v>
      </c>
      <c r="U75" s="385"/>
      <c r="V75" s="385"/>
      <c r="W75" s="385"/>
      <c r="X75" s="385"/>
    </row>
    <row r="76" spans="3:24" s="277" customFormat="1" x14ac:dyDescent="0.3">
      <c r="D76" s="356" t="s">
        <v>858</v>
      </c>
      <c r="E76" s="356"/>
      <c r="F76" s="356"/>
      <c r="G76" s="356"/>
      <c r="I76" s="48">
        <v>0</v>
      </c>
      <c r="K76" s="48">
        <v>0</v>
      </c>
      <c r="M76" s="279">
        <f t="shared" si="8"/>
        <v>0</v>
      </c>
      <c r="O76" s="279">
        <f t="shared" si="9"/>
        <v>0</v>
      </c>
      <c r="Q76" s="295">
        <f t="shared" si="10"/>
        <v>0</v>
      </c>
      <c r="S76" s="293">
        <f t="shared" si="11"/>
        <v>0</v>
      </c>
      <c r="U76" s="385"/>
      <c r="V76" s="385"/>
      <c r="W76" s="385"/>
      <c r="X76" s="385"/>
    </row>
    <row r="77" spans="3:24" s="277" customFormat="1" x14ac:dyDescent="0.3">
      <c r="D77" s="356" t="s">
        <v>859</v>
      </c>
      <c r="E77" s="356"/>
      <c r="F77" s="356"/>
      <c r="G77" s="356"/>
      <c r="I77" s="48">
        <v>0</v>
      </c>
      <c r="K77" s="48">
        <v>0</v>
      </c>
      <c r="M77" s="279">
        <f t="shared" si="8"/>
        <v>0</v>
      </c>
      <c r="O77" s="279">
        <f t="shared" si="9"/>
        <v>0</v>
      </c>
      <c r="Q77" s="295">
        <f t="shared" si="10"/>
        <v>0</v>
      </c>
      <c r="S77" s="293">
        <f t="shared" si="11"/>
        <v>0</v>
      </c>
      <c r="U77" s="385"/>
      <c r="V77" s="385"/>
      <c r="W77" s="385"/>
      <c r="X77" s="385"/>
    </row>
    <row r="78" spans="3:24" s="277" customFormat="1" x14ac:dyDescent="0.3">
      <c r="D78" s="356" t="s">
        <v>860</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861</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862</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863</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864</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865</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866</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867</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868</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869</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870</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871</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981</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982</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983</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984</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985</v>
      </c>
      <c r="E94" s="356"/>
      <c r="F94" s="356"/>
      <c r="G94" s="356"/>
      <c r="I94" s="48">
        <v>0</v>
      </c>
      <c r="K94" s="48">
        <v>0</v>
      </c>
      <c r="M94" s="279">
        <f t="shared" si="8"/>
        <v>0</v>
      </c>
      <c r="O94" s="279">
        <f t="shared" si="9"/>
        <v>0</v>
      </c>
      <c r="Q94" s="295">
        <f t="shared" si="10"/>
        <v>0</v>
      </c>
      <c r="S94" s="293">
        <f t="shared" si="11"/>
        <v>0</v>
      </c>
      <c r="U94" s="385"/>
      <c r="V94" s="385"/>
      <c r="W94" s="385"/>
      <c r="X94" s="385"/>
    </row>
    <row r="95" spans="4:24" ht="14.4" hidden="1" x14ac:dyDescent="0.3">
      <c r="D95" s="420" t="s">
        <v>85</v>
      </c>
      <c r="E95" s="421"/>
      <c r="F95" s="421"/>
      <c r="G95" s="421"/>
      <c r="I95" s="43"/>
      <c r="K95" s="43"/>
      <c r="M95" s="43"/>
      <c r="O95" s="43"/>
      <c r="Q95" s="296">
        <f>SUM(Q70:Q94)</f>
        <v>0</v>
      </c>
      <c r="S95" s="294">
        <f>SUM(S70:S94)</f>
        <v>0</v>
      </c>
      <c r="U95" s="43"/>
      <c r="V95" s="43"/>
      <c r="W95" s="43"/>
      <c r="X95" s="43"/>
    </row>
    <row r="96" spans="4:24" hidden="1" x14ac:dyDescent="0.3"/>
    <row r="97" spans="3:24" ht="27.6" hidden="1" x14ac:dyDescent="0.3">
      <c r="C97" s="92" t="s">
        <v>130</v>
      </c>
      <c r="Q97" s="44" t="str">
        <f>"FINANCIAL COST ("&amp;INDEX(LU_ACT_6_Meet_Curr,DD_ACT_6_Meet1_Curr)&amp;")"</f>
        <v>FINANCIAL COST (GOZ)</v>
      </c>
      <c r="S97" s="44" t="str">
        <f>"ECONOMIC COST ("&amp;INDEX(LU_ACT_6_Meet_Curr,DD_ACT_6_Meet1_Curr)&amp;")"</f>
        <v>ECONOMIC COST (GOZ)</v>
      </c>
    </row>
    <row r="98" spans="3:24" ht="14.4" x14ac:dyDescent="0.3">
      <c r="D98" s="90" t="s">
        <v>86</v>
      </c>
      <c r="I98" s="91" t="s">
        <v>186</v>
      </c>
      <c r="M98" s="91" t="s">
        <v>81</v>
      </c>
      <c r="O98" s="91" t="s">
        <v>83</v>
      </c>
      <c r="U98" s="350" t="s">
        <v>185</v>
      </c>
      <c r="V98" s="351"/>
      <c r="W98" s="351"/>
      <c r="X98" s="351"/>
    </row>
    <row r="99" spans="3:24" x14ac:dyDescent="0.3">
      <c r="D99" s="356" t="s">
        <v>70</v>
      </c>
      <c r="E99" s="356"/>
      <c r="F99" s="356"/>
      <c r="G99" s="356"/>
      <c r="I99" s="48">
        <v>0</v>
      </c>
      <c r="M99" s="40">
        <f t="shared" ref="M99:M123" si="12">IFERROR(IF(DD_ACT_6_Meet1_Curr=1,INDEX($M$279:$M$313,MATCH(D99,LU_ACT_6_Equipment,0)),INDEX($Q$279:$Q$313,MATCH(D99,LU_ACT_6_Equipment,0))),0)</f>
        <v>0</v>
      </c>
      <c r="O99" s="40">
        <f t="shared" ref="O99:O123" si="13">IFERROR(IF(DD_ACT_6_Meet1_Curr=1,INDEX($O$279:$O$313,MATCH(D99,LU_ACT_6_Equipment,0)),INDEX($S$279:$S$313,MATCH(D99,LU_ACT_6_Equipment,0))),0)</f>
        <v>0</v>
      </c>
      <c r="Q99" s="279">
        <f t="shared" ref="Q99:Q123" si="14">I99*M99</f>
        <v>0</v>
      </c>
      <c r="S99" s="279">
        <f t="shared" ref="S99:S123" si="15">I99*O99</f>
        <v>0</v>
      </c>
      <c r="U99" s="356"/>
      <c r="V99" s="356"/>
      <c r="W99" s="356"/>
      <c r="X99" s="356"/>
    </row>
    <row r="100" spans="3:24" x14ac:dyDescent="0.3">
      <c r="D100" s="356" t="s">
        <v>122</v>
      </c>
      <c r="E100" s="356"/>
      <c r="F100" s="356"/>
      <c r="G100" s="356"/>
      <c r="I100" s="48">
        <v>0</v>
      </c>
      <c r="M100" s="40">
        <f t="shared" si="12"/>
        <v>0</v>
      </c>
      <c r="O100" s="40">
        <f t="shared" si="13"/>
        <v>0</v>
      </c>
      <c r="Q100" s="279">
        <f t="shared" si="14"/>
        <v>0</v>
      </c>
      <c r="S100" s="279">
        <f t="shared" si="15"/>
        <v>0</v>
      </c>
      <c r="U100" s="356"/>
      <c r="V100" s="356"/>
      <c r="W100" s="356"/>
      <c r="X100" s="356"/>
    </row>
    <row r="101" spans="3:24" s="277" customFormat="1" x14ac:dyDescent="0.3">
      <c r="D101" s="356" t="s">
        <v>872</v>
      </c>
      <c r="E101" s="356"/>
      <c r="F101" s="356"/>
      <c r="G101" s="356"/>
      <c r="I101" s="48">
        <v>0</v>
      </c>
      <c r="M101" s="279">
        <f t="shared" si="12"/>
        <v>0</v>
      </c>
      <c r="O101" s="279">
        <f t="shared" si="13"/>
        <v>0</v>
      </c>
      <c r="Q101" s="279">
        <f t="shared" si="14"/>
        <v>0</v>
      </c>
      <c r="S101" s="279">
        <f t="shared" si="15"/>
        <v>0</v>
      </c>
      <c r="U101" s="385"/>
      <c r="V101" s="385"/>
      <c r="W101" s="385"/>
      <c r="X101" s="385"/>
    </row>
    <row r="102" spans="3:24" s="277" customFormat="1" x14ac:dyDescent="0.3">
      <c r="D102" s="356" t="s">
        <v>873</v>
      </c>
      <c r="E102" s="356"/>
      <c r="F102" s="356"/>
      <c r="G102" s="356"/>
      <c r="I102" s="48">
        <v>0</v>
      </c>
      <c r="M102" s="279">
        <f t="shared" si="12"/>
        <v>0</v>
      </c>
      <c r="O102" s="279">
        <f t="shared" si="13"/>
        <v>0</v>
      </c>
      <c r="Q102" s="279">
        <f t="shared" si="14"/>
        <v>0</v>
      </c>
      <c r="S102" s="279">
        <f t="shared" si="15"/>
        <v>0</v>
      </c>
      <c r="U102" s="385"/>
      <c r="V102" s="385"/>
      <c r="W102" s="385"/>
      <c r="X102" s="385"/>
    </row>
    <row r="103" spans="3:24" s="277" customFormat="1" x14ac:dyDescent="0.3">
      <c r="D103" s="356" t="s">
        <v>874</v>
      </c>
      <c r="E103" s="356"/>
      <c r="F103" s="356"/>
      <c r="G103" s="356"/>
      <c r="I103" s="48">
        <v>0</v>
      </c>
      <c r="M103" s="279">
        <f t="shared" si="12"/>
        <v>0</v>
      </c>
      <c r="O103" s="279">
        <f t="shared" si="13"/>
        <v>0</v>
      </c>
      <c r="Q103" s="279">
        <f t="shared" si="14"/>
        <v>0</v>
      </c>
      <c r="S103" s="279">
        <f t="shared" si="15"/>
        <v>0</v>
      </c>
      <c r="U103" s="385"/>
      <c r="V103" s="385"/>
      <c r="W103" s="385"/>
      <c r="X103" s="385"/>
    </row>
    <row r="104" spans="3:24" s="277" customFormat="1" x14ac:dyDescent="0.3">
      <c r="D104" s="356" t="s">
        <v>875</v>
      </c>
      <c r="E104" s="356"/>
      <c r="F104" s="356"/>
      <c r="G104" s="356"/>
      <c r="I104" s="48">
        <v>0</v>
      </c>
      <c r="M104" s="279">
        <f t="shared" si="12"/>
        <v>0</v>
      </c>
      <c r="O104" s="279">
        <f t="shared" si="13"/>
        <v>0</v>
      </c>
      <c r="Q104" s="279">
        <f t="shared" si="14"/>
        <v>0</v>
      </c>
      <c r="S104" s="279">
        <f t="shared" si="15"/>
        <v>0</v>
      </c>
      <c r="U104" s="385"/>
      <c r="V104" s="385"/>
      <c r="W104" s="385"/>
      <c r="X104" s="385"/>
    </row>
    <row r="105" spans="3:24" s="277" customFormat="1" x14ac:dyDescent="0.3">
      <c r="D105" s="356" t="s">
        <v>778</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779</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780</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781</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782</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783</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784</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785</v>
      </c>
      <c r="E112" s="356"/>
      <c r="F112" s="356"/>
      <c r="G112" s="356"/>
      <c r="I112" s="48">
        <v>0</v>
      </c>
      <c r="M112" s="279">
        <f t="shared" si="12"/>
        <v>0</v>
      </c>
      <c r="O112" s="279">
        <f t="shared" si="13"/>
        <v>0</v>
      </c>
      <c r="Q112" s="279">
        <f t="shared" si="14"/>
        <v>0</v>
      </c>
      <c r="S112" s="279">
        <f t="shared" si="15"/>
        <v>0</v>
      </c>
      <c r="U112" s="385"/>
      <c r="V112" s="385"/>
      <c r="W112" s="385"/>
      <c r="X112" s="385"/>
    </row>
    <row r="113" spans="3:24" s="277" customFormat="1" x14ac:dyDescent="0.3">
      <c r="D113" s="356" t="s">
        <v>786</v>
      </c>
      <c r="E113" s="356"/>
      <c r="F113" s="356"/>
      <c r="G113" s="356"/>
      <c r="I113" s="48">
        <v>0</v>
      </c>
      <c r="M113" s="279">
        <f t="shared" si="12"/>
        <v>0</v>
      </c>
      <c r="O113" s="279">
        <f t="shared" si="13"/>
        <v>0</v>
      </c>
      <c r="Q113" s="279">
        <f t="shared" si="14"/>
        <v>0</v>
      </c>
      <c r="S113" s="279">
        <f t="shared" si="15"/>
        <v>0</v>
      </c>
      <c r="U113" s="385"/>
      <c r="V113" s="385"/>
      <c r="W113" s="385"/>
      <c r="X113" s="385"/>
    </row>
    <row r="114" spans="3:24" s="277" customFormat="1" x14ac:dyDescent="0.3">
      <c r="D114" s="356" t="s">
        <v>787</v>
      </c>
      <c r="E114" s="356"/>
      <c r="F114" s="356"/>
      <c r="G114" s="356"/>
      <c r="I114" s="48">
        <v>0</v>
      </c>
      <c r="M114" s="279">
        <f t="shared" si="12"/>
        <v>0</v>
      </c>
      <c r="O114" s="279">
        <f t="shared" si="13"/>
        <v>0</v>
      </c>
      <c r="Q114" s="279">
        <f t="shared" si="14"/>
        <v>0</v>
      </c>
      <c r="S114" s="279">
        <f t="shared" si="15"/>
        <v>0</v>
      </c>
      <c r="U114" s="385"/>
      <c r="V114" s="385"/>
      <c r="W114" s="385"/>
      <c r="X114" s="385"/>
    </row>
    <row r="115" spans="3:24" s="277" customFormat="1" x14ac:dyDescent="0.3">
      <c r="D115" s="356" t="s">
        <v>788</v>
      </c>
      <c r="E115" s="356"/>
      <c r="F115" s="356"/>
      <c r="G115" s="356"/>
      <c r="I115" s="48">
        <v>0</v>
      </c>
      <c r="M115" s="279">
        <f t="shared" si="12"/>
        <v>0</v>
      </c>
      <c r="O115" s="279">
        <f t="shared" si="13"/>
        <v>0</v>
      </c>
      <c r="Q115" s="279">
        <f t="shared" si="14"/>
        <v>0</v>
      </c>
      <c r="S115" s="279">
        <f t="shared" si="15"/>
        <v>0</v>
      </c>
      <c r="U115" s="385"/>
      <c r="V115" s="385"/>
      <c r="W115" s="385"/>
      <c r="X115" s="385"/>
    </row>
    <row r="116" spans="3:24" s="277" customFormat="1" x14ac:dyDescent="0.3">
      <c r="D116" s="356" t="s">
        <v>789</v>
      </c>
      <c r="E116" s="356"/>
      <c r="F116" s="356"/>
      <c r="G116" s="356"/>
      <c r="I116" s="48">
        <v>0</v>
      </c>
      <c r="M116" s="279">
        <f t="shared" si="12"/>
        <v>0</v>
      </c>
      <c r="O116" s="279">
        <f t="shared" si="13"/>
        <v>0</v>
      </c>
      <c r="Q116" s="279">
        <f t="shared" si="14"/>
        <v>0</v>
      </c>
      <c r="S116" s="279">
        <f t="shared" si="15"/>
        <v>0</v>
      </c>
      <c r="U116" s="385"/>
      <c r="V116" s="385"/>
      <c r="W116" s="385"/>
      <c r="X116" s="385"/>
    </row>
    <row r="117" spans="3:24" s="277" customFormat="1" x14ac:dyDescent="0.3">
      <c r="D117" s="356" t="s">
        <v>790</v>
      </c>
      <c r="E117" s="356"/>
      <c r="F117" s="356"/>
      <c r="G117" s="356"/>
      <c r="I117" s="48">
        <v>0</v>
      </c>
      <c r="M117" s="279">
        <f t="shared" si="12"/>
        <v>0</v>
      </c>
      <c r="O117" s="279">
        <f t="shared" si="13"/>
        <v>0</v>
      </c>
      <c r="Q117" s="279">
        <f t="shared" si="14"/>
        <v>0</v>
      </c>
      <c r="S117" s="279">
        <f t="shared" si="15"/>
        <v>0</v>
      </c>
      <c r="U117" s="385"/>
      <c r="V117" s="385"/>
      <c r="W117" s="385"/>
      <c r="X117" s="385"/>
    </row>
    <row r="118" spans="3:24" s="277" customFormat="1" x14ac:dyDescent="0.3">
      <c r="D118" s="356" t="s">
        <v>791</v>
      </c>
      <c r="E118" s="356"/>
      <c r="F118" s="356"/>
      <c r="G118" s="356"/>
      <c r="I118" s="48">
        <v>0</v>
      </c>
      <c r="M118" s="279">
        <f t="shared" si="12"/>
        <v>0</v>
      </c>
      <c r="O118" s="279">
        <f t="shared" si="13"/>
        <v>0</v>
      </c>
      <c r="Q118" s="279">
        <f t="shared" si="14"/>
        <v>0</v>
      </c>
      <c r="S118" s="279">
        <f t="shared" si="15"/>
        <v>0</v>
      </c>
      <c r="U118" s="385"/>
      <c r="V118" s="385"/>
      <c r="W118" s="385"/>
      <c r="X118" s="385"/>
    </row>
    <row r="119" spans="3:24" s="277" customFormat="1" x14ac:dyDescent="0.3">
      <c r="D119" s="356" t="s">
        <v>792</v>
      </c>
      <c r="E119" s="356"/>
      <c r="F119" s="356"/>
      <c r="G119" s="356"/>
      <c r="I119" s="48">
        <v>0</v>
      </c>
      <c r="M119" s="279">
        <f t="shared" si="12"/>
        <v>0</v>
      </c>
      <c r="O119" s="279">
        <f t="shared" si="13"/>
        <v>0</v>
      </c>
      <c r="Q119" s="279">
        <f t="shared" si="14"/>
        <v>0</v>
      </c>
      <c r="S119" s="279">
        <f t="shared" si="15"/>
        <v>0</v>
      </c>
      <c r="U119" s="385"/>
      <c r="V119" s="385"/>
      <c r="W119" s="385"/>
      <c r="X119" s="385"/>
    </row>
    <row r="120" spans="3:24" s="277" customFormat="1" x14ac:dyDescent="0.3">
      <c r="D120" s="356" t="s">
        <v>793</v>
      </c>
      <c r="E120" s="356"/>
      <c r="F120" s="356"/>
      <c r="G120" s="356"/>
      <c r="I120" s="48">
        <v>0</v>
      </c>
      <c r="M120" s="279">
        <f t="shared" si="12"/>
        <v>0</v>
      </c>
      <c r="O120" s="279">
        <f t="shared" si="13"/>
        <v>0</v>
      </c>
      <c r="Q120" s="279">
        <f t="shared" si="14"/>
        <v>0</v>
      </c>
      <c r="S120" s="279">
        <f t="shared" si="15"/>
        <v>0</v>
      </c>
      <c r="U120" s="385"/>
      <c r="V120" s="385"/>
      <c r="W120" s="385"/>
      <c r="X120" s="385"/>
    </row>
    <row r="121" spans="3:24" s="277" customFormat="1" x14ac:dyDescent="0.3">
      <c r="D121" s="356" t="s">
        <v>794</v>
      </c>
      <c r="E121" s="356"/>
      <c r="F121" s="356"/>
      <c r="G121" s="356"/>
      <c r="I121" s="48">
        <v>0</v>
      </c>
      <c r="M121" s="279">
        <f t="shared" si="12"/>
        <v>0</v>
      </c>
      <c r="O121" s="279">
        <f t="shared" si="13"/>
        <v>0</v>
      </c>
      <c r="Q121" s="279">
        <f t="shared" si="14"/>
        <v>0</v>
      </c>
      <c r="S121" s="279">
        <f t="shared" si="15"/>
        <v>0</v>
      </c>
      <c r="U121" s="385"/>
      <c r="V121" s="385"/>
      <c r="W121" s="385"/>
      <c r="X121" s="385"/>
    </row>
    <row r="122" spans="3:24" s="277" customFormat="1" x14ac:dyDescent="0.3">
      <c r="D122" s="356" t="s">
        <v>795</v>
      </c>
      <c r="E122" s="356"/>
      <c r="F122" s="356"/>
      <c r="G122" s="356"/>
      <c r="I122" s="48">
        <v>0</v>
      </c>
      <c r="M122" s="279">
        <f t="shared" si="12"/>
        <v>0</v>
      </c>
      <c r="O122" s="279">
        <f t="shared" si="13"/>
        <v>0</v>
      </c>
      <c r="Q122" s="279">
        <f t="shared" si="14"/>
        <v>0</v>
      </c>
      <c r="S122" s="279">
        <f t="shared" si="15"/>
        <v>0</v>
      </c>
      <c r="U122" s="385"/>
      <c r="V122" s="385"/>
      <c r="W122" s="385"/>
      <c r="X122" s="385"/>
    </row>
    <row r="123" spans="3:24" s="277" customFormat="1" x14ac:dyDescent="0.3">
      <c r="D123" s="356" t="s">
        <v>796</v>
      </c>
      <c r="E123" s="356"/>
      <c r="F123" s="356"/>
      <c r="G123" s="356"/>
      <c r="I123" s="48">
        <v>0</v>
      </c>
      <c r="M123" s="279">
        <f t="shared" si="12"/>
        <v>0</v>
      </c>
      <c r="O123" s="279">
        <f t="shared" si="13"/>
        <v>0</v>
      </c>
      <c r="Q123" s="279">
        <f t="shared" si="14"/>
        <v>0</v>
      </c>
      <c r="S123" s="279">
        <f t="shared" si="15"/>
        <v>0</v>
      </c>
      <c r="U123" s="385"/>
      <c r="V123" s="385"/>
      <c r="W123" s="385"/>
      <c r="X123" s="385"/>
    </row>
    <row r="124" spans="3:24" ht="14.4" hidden="1" x14ac:dyDescent="0.3">
      <c r="D124" s="420" t="s">
        <v>88</v>
      </c>
      <c r="E124" s="421"/>
      <c r="F124" s="421"/>
      <c r="G124" s="421"/>
      <c r="I124" s="40"/>
      <c r="M124" s="40"/>
      <c r="O124" s="40"/>
      <c r="Q124" s="294">
        <f>SUM(Q99:Q123)</f>
        <v>0</v>
      </c>
      <c r="S124" s="294">
        <f>SUM(S99:S123)</f>
        <v>0</v>
      </c>
    </row>
    <row r="125" spans="3:24" hidden="1" x14ac:dyDescent="0.3"/>
    <row r="126" spans="3:24" ht="15.6" hidden="1" x14ac:dyDescent="0.3">
      <c r="C126" s="92" t="s">
        <v>89</v>
      </c>
    </row>
    <row r="127" spans="3:24" ht="27.6" x14ac:dyDescent="0.3">
      <c r="Q127" s="44" t="str">
        <f>"FINANCIAL COST ("&amp;INDEX(LU_ACT_6_Meet_Curr,DD_ACT_6_Meet1_Curr)&amp;")"</f>
        <v>FINANCIAL COST (GOZ)</v>
      </c>
      <c r="S127" s="44" t="str">
        <f>"ECONOMIC COST ("&amp;INDEX(LU_ACT_6_Meet_Curr,DD_ACT_6_Meet1_Curr)&amp;")"</f>
        <v>ECONOMIC COST (GOZ)</v>
      </c>
    </row>
    <row r="128" spans="3:24" ht="27.6" x14ac:dyDescent="0.3">
      <c r="D128" s="90" t="s">
        <v>86</v>
      </c>
      <c r="I128" s="91" t="s">
        <v>186</v>
      </c>
      <c r="K128" s="91" t="s">
        <v>187</v>
      </c>
      <c r="M128" s="42" t="s">
        <v>81</v>
      </c>
      <c r="O128" s="42" t="s">
        <v>83</v>
      </c>
      <c r="U128" s="350" t="s">
        <v>185</v>
      </c>
      <c r="V128" s="351"/>
      <c r="W128" s="351"/>
      <c r="X128" s="351"/>
    </row>
    <row r="129" spans="4:24" x14ac:dyDescent="0.3">
      <c r="D129" s="356" t="s">
        <v>71</v>
      </c>
      <c r="E129" s="356"/>
      <c r="F129" s="356"/>
      <c r="G129" s="356"/>
      <c r="I129" s="48">
        <v>0</v>
      </c>
      <c r="K129" s="48">
        <v>0</v>
      </c>
      <c r="M129" s="40">
        <f t="shared" ref="M129:M153" si="16">IFERROR(IF(DD_ACT_6_Meet1_Curr=1,INDEX($M$317:$M$351,MATCH(D129,LU_ACT_6_ODCS,0)),INDEX($Q$317:$Q$351,MATCH(D129,LU_ACT_6_ODCS,0))),0)</f>
        <v>0</v>
      </c>
      <c r="O129" s="40">
        <f t="shared" ref="O129:O153" si="17">IFERROR(IF(DD_ACT_6_Meet1_Curr=1,INDEX($O$317:$O$351,MATCH(D129,LU_ACT_6_ODCS,0)),INDEX($S$317:$S$351,MATCH(D129,LU_ACT_6_ODCS,0))),0)</f>
        <v>0</v>
      </c>
      <c r="Q129" s="279">
        <f t="shared" ref="Q129:Q153" si="18">I129*K129*M129</f>
        <v>0</v>
      </c>
      <c r="S129" s="279">
        <f t="shared" ref="S129:S153" si="19">I129*K129*O129</f>
        <v>0</v>
      </c>
      <c r="U129" s="356"/>
      <c r="V129" s="356"/>
      <c r="W129" s="356"/>
      <c r="X129" s="356"/>
    </row>
    <row r="130" spans="4:24" x14ac:dyDescent="0.3">
      <c r="D130" s="356" t="s">
        <v>72</v>
      </c>
      <c r="E130" s="356"/>
      <c r="F130" s="356"/>
      <c r="G130" s="356"/>
      <c r="I130" s="48">
        <v>0</v>
      </c>
      <c r="K130" s="48">
        <v>0</v>
      </c>
      <c r="M130" s="40">
        <f t="shared" si="16"/>
        <v>0</v>
      </c>
      <c r="O130" s="40">
        <f t="shared" si="17"/>
        <v>0</v>
      </c>
      <c r="Q130" s="279">
        <f t="shared" si="18"/>
        <v>0</v>
      </c>
      <c r="S130" s="279">
        <f t="shared" si="19"/>
        <v>0</v>
      </c>
      <c r="U130" s="356"/>
      <c r="V130" s="356"/>
      <c r="W130" s="356"/>
      <c r="X130" s="356"/>
    </row>
    <row r="131" spans="4:24" x14ac:dyDescent="0.3">
      <c r="D131" s="356" t="s">
        <v>73</v>
      </c>
      <c r="E131" s="356"/>
      <c r="F131" s="356"/>
      <c r="G131" s="356"/>
      <c r="I131" s="48">
        <v>0</v>
      </c>
      <c r="K131" s="48">
        <v>0</v>
      </c>
      <c r="M131" s="40">
        <f t="shared" si="16"/>
        <v>0</v>
      </c>
      <c r="O131" s="40">
        <f t="shared" si="17"/>
        <v>0</v>
      </c>
      <c r="Q131" s="279">
        <f t="shared" si="18"/>
        <v>0</v>
      </c>
      <c r="S131" s="279">
        <f t="shared" si="19"/>
        <v>0</v>
      </c>
      <c r="U131" s="356"/>
      <c r="V131" s="356"/>
      <c r="W131" s="356"/>
      <c r="X131" s="356"/>
    </row>
    <row r="132" spans="4:24" x14ac:dyDescent="0.3">
      <c r="D132" s="356" t="s">
        <v>74</v>
      </c>
      <c r="E132" s="356"/>
      <c r="F132" s="356"/>
      <c r="G132" s="356"/>
      <c r="I132" s="48">
        <v>0</v>
      </c>
      <c r="K132" s="48">
        <v>0</v>
      </c>
      <c r="M132" s="40">
        <f t="shared" si="16"/>
        <v>0</v>
      </c>
      <c r="O132" s="40">
        <f t="shared" si="17"/>
        <v>0</v>
      </c>
      <c r="Q132" s="279">
        <f t="shared" si="18"/>
        <v>0</v>
      </c>
      <c r="S132" s="279">
        <f t="shared" si="19"/>
        <v>0</v>
      </c>
      <c r="U132" s="356"/>
      <c r="V132" s="356"/>
      <c r="W132" s="356"/>
      <c r="X132" s="356"/>
    </row>
    <row r="133" spans="4:24" x14ac:dyDescent="0.3">
      <c r="D133" s="356" t="s">
        <v>75</v>
      </c>
      <c r="E133" s="356"/>
      <c r="F133" s="356"/>
      <c r="G133" s="356"/>
      <c r="I133" s="48">
        <v>0</v>
      </c>
      <c r="K133" s="48">
        <v>0</v>
      </c>
      <c r="M133" s="40">
        <f t="shared" si="16"/>
        <v>0</v>
      </c>
      <c r="O133" s="40">
        <f t="shared" si="17"/>
        <v>0</v>
      </c>
      <c r="Q133" s="279">
        <f t="shared" si="18"/>
        <v>0</v>
      </c>
      <c r="S133" s="279">
        <f t="shared" si="19"/>
        <v>0</v>
      </c>
      <c r="U133" s="356"/>
      <c r="V133" s="356"/>
      <c r="W133" s="356"/>
      <c r="X133" s="356"/>
    </row>
    <row r="134" spans="4:24" s="277" customFormat="1" x14ac:dyDescent="0.3">
      <c r="D134" s="356" t="s">
        <v>876</v>
      </c>
      <c r="E134" s="356"/>
      <c r="F134" s="356"/>
      <c r="G134" s="356"/>
      <c r="I134" s="48">
        <v>0</v>
      </c>
      <c r="K134" s="48">
        <v>0</v>
      </c>
      <c r="M134" s="279">
        <f t="shared" si="16"/>
        <v>0</v>
      </c>
      <c r="O134" s="279">
        <f t="shared" si="17"/>
        <v>0</v>
      </c>
      <c r="Q134" s="279">
        <f t="shared" si="18"/>
        <v>0</v>
      </c>
      <c r="S134" s="279">
        <f t="shared" si="19"/>
        <v>0</v>
      </c>
      <c r="U134" s="385"/>
      <c r="V134" s="385"/>
      <c r="W134" s="385"/>
      <c r="X134" s="385"/>
    </row>
    <row r="135" spans="4:24" s="277" customFormat="1" x14ac:dyDescent="0.3">
      <c r="D135" s="356" t="s">
        <v>877</v>
      </c>
      <c r="E135" s="356"/>
      <c r="F135" s="356"/>
      <c r="G135" s="356"/>
      <c r="I135" s="48">
        <v>0</v>
      </c>
      <c r="K135" s="48">
        <v>0</v>
      </c>
      <c r="M135" s="279">
        <f t="shared" si="16"/>
        <v>0</v>
      </c>
      <c r="O135" s="279">
        <f t="shared" si="17"/>
        <v>0</v>
      </c>
      <c r="Q135" s="279">
        <f t="shared" si="18"/>
        <v>0</v>
      </c>
      <c r="S135" s="279">
        <f t="shared" si="19"/>
        <v>0</v>
      </c>
      <c r="U135" s="385"/>
      <c r="V135" s="385"/>
      <c r="W135" s="385"/>
      <c r="X135" s="385"/>
    </row>
    <row r="136" spans="4:24" s="277" customFormat="1" x14ac:dyDescent="0.3">
      <c r="D136" s="356" t="s">
        <v>878</v>
      </c>
      <c r="E136" s="356"/>
      <c r="F136" s="356"/>
      <c r="G136" s="356"/>
      <c r="I136" s="48">
        <v>0</v>
      </c>
      <c r="K136" s="48">
        <v>0</v>
      </c>
      <c r="M136" s="279">
        <f t="shared" si="16"/>
        <v>0</v>
      </c>
      <c r="O136" s="279">
        <f t="shared" si="17"/>
        <v>0</v>
      </c>
      <c r="Q136" s="279">
        <f t="shared" si="18"/>
        <v>0</v>
      </c>
      <c r="S136" s="279">
        <f t="shared" si="19"/>
        <v>0</v>
      </c>
      <c r="U136" s="385"/>
      <c r="V136" s="385"/>
      <c r="W136" s="385"/>
      <c r="X136" s="385"/>
    </row>
    <row r="137" spans="4:24" s="277" customFormat="1" x14ac:dyDescent="0.3">
      <c r="D137" s="356" t="s">
        <v>879</v>
      </c>
      <c r="E137" s="356"/>
      <c r="F137" s="356"/>
      <c r="G137" s="356"/>
      <c r="I137" s="48">
        <v>0</v>
      </c>
      <c r="K137" s="48">
        <v>0</v>
      </c>
      <c r="M137" s="279">
        <f t="shared" si="16"/>
        <v>0</v>
      </c>
      <c r="O137" s="279">
        <f t="shared" si="17"/>
        <v>0</v>
      </c>
      <c r="Q137" s="279">
        <f t="shared" si="18"/>
        <v>0</v>
      </c>
      <c r="S137" s="279">
        <f t="shared" si="19"/>
        <v>0</v>
      </c>
      <c r="U137" s="385"/>
      <c r="V137" s="385"/>
      <c r="W137" s="385"/>
      <c r="X137" s="385"/>
    </row>
    <row r="138" spans="4:24" s="277" customFormat="1" x14ac:dyDescent="0.3">
      <c r="D138" s="356" t="s">
        <v>880</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4:24" s="277" customFormat="1" x14ac:dyDescent="0.3">
      <c r="D139" s="356" t="s">
        <v>881</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4:24" s="277" customFormat="1" x14ac:dyDescent="0.3">
      <c r="D140" s="356" t="s">
        <v>882</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4:24" s="277" customFormat="1" x14ac:dyDescent="0.3">
      <c r="D141" s="356" t="s">
        <v>883</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4:24" s="277" customFormat="1" x14ac:dyDescent="0.3">
      <c r="D142" s="356" t="s">
        <v>884</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4:24" s="277" customFormat="1" x14ac:dyDescent="0.3">
      <c r="D143" s="356" t="s">
        <v>885</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4:24" s="277" customFormat="1" x14ac:dyDescent="0.3">
      <c r="D144" s="356" t="s">
        <v>886</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2:24" s="277" customFormat="1" x14ac:dyDescent="0.3">
      <c r="D145" s="356" t="s">
        <v>887</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2:24" s="277" customFormat="1" x14ac:dyDescent="0.3">
      <c r="D146" s="356" t="s">
        <v>888</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2:24" s="277" customFormat="1" x14ac:dyDescent="0.3">
      <c r="D147" s="356" t="s">
        <v>889</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2:24" s="277" customFormat="1" x14ac:dyDescent="0.3">
      <c r="D148" s="356" t="s">
        <v>890</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2:24" s="277" customFormat="1" x14ac:dyDescent="0.3">
      <c r="D149" s="356" t="s">
        <v>986</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2:24" s="277" customFormat="1" x14ac:dyDescent="0.3">
      <c r="D150" s="356" t="s">
        <v>987</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2:24" s="277" customFormat="1" x14ac:dyDescent="0.3">
      <c r="D151" s="356" t="s">
        <v>988</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2:24" s="277" customFormat="1" x14ac:dyDescent="0.3">
      <c r="D152" s="356" t="s">
        <v>989</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2:24" s="277" customFormat="1" x14ac:dyDescent="0.3">
      <c r="D153" s="356" t="s">
        <v>990</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2:24" ht="14.4" hidden="1" x14ac:dyDescent="0.3">
      <c r="D154" s="420" t="s">
        <v>90</v>
      </c>
      <c r="E154" s="421"/>
      <c r="F154" s="421"/>
      <c r="G154" s="421"/>
      <c r="I154" s="40"/>
      <c r="K154" s="40"/>
      <c r="M154" s="40"/>
      <c r="O154" s="40"/>
      <c r="Q154" s="294">
        <f>SUM(Q129:Q153)</f>
        <v>0</v>
      </c>
      <c r="S154" s="294">
        <f>SUM(S129:S153)</f>
        <v>0</v>
      </c>
    </row>
    <row r="155" spans="2:24" collapsed="1" x14ac:dyDescent="0.3"/>
    <row r="156" spans="2:24" ht="27.6" x14ac:dyDescent="0.3">
      <c r="Q156" s="44" t="str">
        <f>"FINANCIAL COST ("&amp;INDEX(LU_ACT_6_Meet_Curr,DD_ACT_6_Meet1_Curr)&amp;")"</f>
        <v>FINANCIAL COST (GOZ)</v>
      </c>
      <c r="S156" s="44" t="str">
        <f>"ECONOMIC COST ("&amp;INDEX(LU_ACT_6_Meet_Curr,DD_ACT_6_Meet1_Curr)&amp;")"</f>
        <v>ECONOMIC COST (GOZ)</v>
      </c>
      <c r="U156" s="44" t="str">
        <f>"FINANCIAL COST ("&amp;IF(DD_ACT_6_Meet1_Curr=2,$D$161,$D$162)&amp;")"</f>
        <v>FINANCIAL COST (USD)</v>
      </c>
      <c r="W156" s="44" t="str">
        <f>"ECONOMIC COST ("&amp;IF(DD_ACT_6_Meet1_Curr=2,$D$161,$D$162)&amp;")"</f>
        <v>ECONOMIC COST (USD)</v>
      </c>
    </row>
    <row r="157" spans="2:24" ht="18.600000000000001" thickBot="1" x14ac:dyDescent="0.35">
      <c r="B157" s="99" t="s">
        <v>91</v>
      </c>
      <c r="Q157" s="46">
        <f>SUM(Q37,Q66,Q95,Q124,Q154)</f>
        <v>0</v>
      </c>
      <c r="S157" s="46">
        <f>SUM(S37,S66,S95,S124,S154)</f>
        <v>0</v>
      </c>
      <c r="U157" s="47">
        <f>IFERROR(IF(DD_ACT_6_Meet1_Curr=2,$Q157/$I$162,$Q157*$I$162), 0)</f>
        <v>0</v>
      </c>
      <c r="W157" s="47">
        <f>IFERROR(IF(DD_ACT_6_Meet1_Curr=2,$S157/$I$162,$S157*$I$162), 0)</f>
        <v>0</v>
      </c>
    </row>
    <row r="158" spans="2:24" ht="14.4" thickTop="1" x14ac:dyDescent="0.3"/>
    <row r="159" spans="2:24" x14ac:dyDescent="0.3">
      <c r="C159" s="91" t="s">
        <v>584</v>
      </c>
    </row>
    <row r="160" spans="2:24" hidden="1" outlineLevel="1" x14ac:dyDescent="0.3"/>
    <row r="161" spans="3:19" ht="12.9" hidden="1" customHeight="1" outlineLevel="1" x14ac:dyDescent="0.3">
      <c r="D161" s="422" t="str">
        <f>CURR_TA!D13</f>
        <v>USD</v>
      </c>
      <c r="E161" s="423"/>
      <c r="F161" s="423"/>
      <c r="G161" s="423"/>
      <c r="I161" s="279">
        <f>CURR_TA!J13</f>
        <v>1</v>
      </c>
      <c r="J161" s="279">
        <f>CURR_TA!K13</f>
        <v>0</v>
      </c>
      <c r="K161" s="279">
        <f>CURR_TA!L13</f>
        <v>0</v>
      </c>
      <c r="L161" s="279">
        <f>CURR_TA!M13</f>
        <v>0</v>
      </c>
    </row>
    <row r="162" spans="3:19" ht="12.9" hidden="1" customHeight="1" outlineLevel="1" x14ac:dyDescent="0.3">
      <c r="D162" s="422" t="str">
        <f>CURR_TA!D14</f>
        <v>GOZ</v>
      </c>
      <c r="E162" s="423"/>
      <c r="F162" s="423"/>
      <c r="G162" s="423"/>
      <c r="I162" s="279">
        <f>CURR_TA!J14</f>
        <v>0</v>
      </c>
      <c r="J162" s="279">
        <f>CURR_TA!K14</f>
        <v>0</v>
      </c>
      <c r="K162" s="279">
        <f>CURR_TA!L14</f>
        <v>0</v>
      </c>
      <c r="L162" s="279">
        <f>CURR_TA!M14</f>
        <v>0</v>
      </c>
    </row>
    <row r="163" spans="3:19" collapsed="1" x14ac:dyDescent="0.3"/>
    <row r="165" spans="3:19" x14ac:dyDescent="0.3">
      <c r="C165" s="91" t="s">
        <v>586</v>
      </c>
    </row>
    <row r="166" spans="3:19" hidden="1" outlineLevel="1" x14ac:dyDescent="0.3">
      <c r="M166" s="40" t="str">
        <f>$D$161</f>
        <v>USD</v>
      </c>
      <c r="O166" s="40" t="str">
        <f>$D$161</f>
        <v>USD</v>
      </c>
      <c r="Q166" s="40" t="str">
        <f>$D$162</f>
        <v>GOZ</v>
      </c>
      <c r="S166" s="40" t="str">
        <f>$D$162</f>
        <v>GOZ</v>
      </c>
    </row>
    <row r="167" spans="3:19" hidden="1" outlineLevel="1" x14ac:dyDescent="0.3">
      <c r="C167" s="89" t="str">
        <f>RES_BA!D14</f>
        <v>Personnel Cadre - Other 1</v>
      </c>
      <c r="M167" s="40">
        <f>RES_BA!R14</f>
        <v>0</v>
      </c>
      <c r="O167" s="40">
        <f>RES_BA!S14</f>
        <v>0</v>
      </c>
      <c r="Q167" s="40">
        <f>RES_BA!T14</f>
        <v>0</v>
      </c>
      <c r="S167" s="40">
        <f>RES_BA!U14</f>
        <v>0</v>
      </c>
    </row>
    <row r="168" spans="3:19" hidden="1" outlineLevel="1" x14ac:dyDescent="0.3">
      <c r="C168" s="89" t="str">
        <f>RES_BA!D15</f>
        <v>Personnel Cadre - Other 2</v>
      </c>
      <c r="M168" s="40">
        <f>RES_BA!R15</f>
        <v>0</v>
      </c>
      <c r="O168" s="40">
        <f>RES_BA!S15</f>
        <v>0</v>
      </c>
      <c r="Q168" s="40">
        <f>RES_BA!T15</f>
        <v>0</v>
      </c>
      <c r="S168" s="40">
        <f>RES_BA!U15</f>
        <v>0</v>
      </c>
    </row>
    <row r="169" spans="3:19" hidden="1" outlineLevel="1" x14ac:dyDescent="0.3">
      <c r="C169" s="89" t="str">
        <f>RES_BA!D16</f>
        <v>Personnel Cadre - Other 3</v>
      </c>
      <c r="M169" s="40">
        <f>RES_BA!R16</f>
        <v>0</v>
      </c>
      <c r="O169" s="40">
        <f>RES_BA!S16</f>
        <v>0</v>
      </c>
      <c r="Q169" s="40">
        <f>RES_BA!T16</f>
        <v>0</v>
      </c>
      <c r="S169" s="40">
        <f>RES_BA!U16</f>
        <v>0</v>
      </c>
    </row>
    <row r="170" spans="3:19" hidden="1" outlineLevel="1" x14ac:dyDescent="0.3">
      <c r="C170" s="89" t="str">
        <f>RES_BA!D17</f>
        <v>Personnel Cadre - Other 4</v>
      </c>
      <c r="M170" s="40">
        <f>RES_BA!R17</f>
        <v>0</v>
      </c>
      <c r="O170" s="40">
        <f>RES_BA!S17</f>
        <v>0</v>
      </c>
      <c r="Q170" s="40">
        <f>RES_BA!T17</f>
        <v>0</v>
      </c>
      <c r="S170" s="40">
        <f>RES_BA!U17</f>
        <v>0</v>
      </c>
    </row>
    <row r="171" spans="3:19" hidden="1" outlineLevel="1" x14ac:dyDescent="0.3">
      <c r="C171" s="89" t="str">
        <f>RES_BA!D18</f>
        <v>Personnel Cadre - Other 5</v>
      </c>
      <c r="M171" s="40">
        <f>RES_BA!R18</f>
        <v>0</v>
      </c>
      <c r="O171" s="40">
        <f>RES_BA!S18</f>
        <v>0</v>
      </c>
      <c r="Q171" s="40">
        <f>RES_BA!T18</f>
        <v>0</v>
      </c>
      <c r="S171" s="40">
        <f>RES_BA!U18</f>
        <v>0</v>
      </c>
    </row>
    <row r="172" spans="3:19" hidden="1" outlineLevel="1" x14ac:dyDescent="0.3">
      <c r="C172" s="89" t="str">
        <f>RES_BA!D19</f>
        <v>Personnel Cadre - Other 6</v>
      </c>
      <c r="M172" s="40">
        <f>RES_BA!R19</f>
        <v>0</v>
      </c>
      <c r="O172" s="40">
        <f>RES_BA!S19</f>
        <v>0</v>
      </c>
      <c r="Q172" s="40">
        <f>RES_BA!T19</f>
        <v>0</v>
      </c>
      <c r="S172" s="40">
        <f>RES_BA!U19</f>
        <v>0</v>
      </c>
    </row>
    <row r="173" spans="3:19" hidden="1" outlineLevel="1" x14ac:dyDescent="0.3">
      <c r="C173" s="89" t="str">
        <f>RES_BA!D20</f>
        <v>Personnel Cadre - Other 7</v>
      </c>
      <c r="M173" s="40">
        <f>RES_BA!R20</f>
        <v>0</v>
      </c>
      <c r="O173" s="40">
        <f>RES_BA!S20</f>
        <v>0</v>
      </c>
      <c r="Q173" s="40">
        <f>RES_BA!T20</f>
        <v>0</v>
      </c>
      <c r="S173" s="40">
        <f>RES_BA!U20</f>
        <v>0</v>
      </c>
    </row>
    <row r="174" spans="3:19" hidden="1" outlineLevel="1" x14ac:dyDescent="0.3">
      <c r="C174" s="89" t="str">
        <f>RES_BA!D21</f>
        <v>Personnel Cadre - Other 8</v>
      </c>
      <c r="M174" s="40">
        <f>RES_BA!R21</f>
        <v>0</v>
      </c>
      <c r="O174" s="40">
        <f>RES_BA!S21</f>
        <v>0</v>
      </c>
      <c r="Q174" s="40">
        <f>RES_BA!T21</f>
        <v>0</v>
      </c>
      <c r="S174" s="40">
        <f>RES_BA!U21</f>
        <v>0</v>
      </c>
    </row>
    <row r="175" spans="3:19" hidden="1" outlineLevel="1" x14ac:dyDescent="0.3">
      <c r="C175" s="89" t="str">
        <f>RES_BA!D22</f>
        <v>Personnel Cadre - Other 9</v>
      </c>
      <c r="M175" s="40">
        <f>RES_BA!R22</f>
        <v>0</v>
      </c>
      <c r="O175" s="40">
        <f>RES_BA!S22</f>
        <v>0</v>
      </c>
      <c r="Q175" s="40">
        <f>RES_BA!T22</f>
        <v>0</v>
      </c>
      <c r="S175" s="40">
        <f>RES_BA!U22</f>
        <v>0</v>
      </c>
    </row>
    <row r="176" spans="3:19" hidden="1" outlineLevel="1" x14ac:dyDescent="0.3">
      <c r="C176" s="89" t="str">
        <f>RES_BA!D23</f>
        <v>Personnel Cadre - Other 10</v>
      </c>
      <c r="M176" s="40">
        <f>RES_BA!R23</f>
        <v>0</v>
      </c>
      <c r="O176" s="40">
        <f>RES_BA!S23</f>
        <v>0</v>
      </c>
      <c r="Q176" s="40">
        <f>RES_BA!T23</f>
        <v>0</v>
      </c>
      <c r="S176" s="40">
        <f>RES_BA!U23</f>
        <v>0</v>
      </c>
    </row>
    <row r="177" spans="3:19" hidden="1" outlineLevel="1" x14ac:dyDescent="0.3">
      <c r="C177" s="89" t="str">
        <f>RES_BA!D24</f>
        <v>Personnel Cadre - Other 11</v>
      </c>
      <c r="M177" s="40">
        <f>RES_BA!R24</f>
        <v>0</v>
      </c>
      <c r="O177" s="40">
        <f>RES_BA!S24</f>
        <v>0</v>
      </c>
      <c r="Q177" s="40">
        <f>RES_BA!T24</f>
        <v>0</v>
      </c>
      <c r="S177" s="40">
        <f>RES_BA!U24</f>
        <v>0</v>
      </c>
    </row>
    <row r="178" spans="3:19" hidden="1" outlineLevel="1" x14ac:dyDescent="0.3">
      <c r="C178" s="89" t="str">
        <f>RES_BA!D25</f>
        <v>Personnel Cadre - Other 12</v>
      </c>
      <c r="M178" s="40">
        <f>RES_BA!R25</f>
        <v>0</v>
      </c>
      <c r="O178" s="40">
        <f>RES_BA!S25</f>
        <v>0</v>
      </c>
      <c r="Q178" s="40">
        <f>RES_BA!T25</f>
        <v>0</v>
      </c>
      <c r="S178" s="40">
        <f>RES_BA!U25</f>
        <v>0</v>
      </c>
    </row>
    <row r="179" spans="3:19" hidden="1" outlineLevel="1" x14ac:dyDescent="0.3">
      <c r="C179" s="89" t="str">
        <f>RES_BA!D26</f>
        <v>Personnel Cadre - Other 13</v>
      </c>
      <c r="M179" s="40">
        <f>RES_BA!R26</f>
        <v>0</v>
      </c>
      <c r="O179" s="40">
        <f>RES_BA!S26</f>
        <v>0</v>
      </c>
      <c r="Q179" s="40">
        <f>RES_BA!T26</f>
        <v>0</v>
      </c>
      <c r="S179" s="40">
        <f>RES_BA!U26</f>
        <v>0</v>
      </c>
    </row>
    <row r="180" spans="3:19" hidden="1" outlineLevel="1" x14ac:dyDescent="0.3">
      <c r="C180" s="89" t="str">
        <f>RES_BA!D27</f>
        <v>Personnel Cadre - Other 14</v>
      </c>
      <c r="M180" s="40">
        <f>RES_BA!R27</f>
        <v>0</v>
      </c>
      <c r="O180" s="40">
        <f>RES_BA!S27</f>
        <v>0</v>
      </c>
      <c r="Q180" s="40">
        <f>RES_BA!T27</f>
        <v>0</v>
      </c>
      <c r="S180" s="40">
        <f>RES_BA!U27</f>
        <v>0</v>
      </c>
    </row>
    <row r="181" spans="3:19" hidden="1" outlineLevel="1" x14ac:dyDescent="0.3">
      <c r="C181" s="89" t="str">
        <f>RES_BA!D28</f>
        <v>Personnel Cadre - Other 15</v>
      </c>
      <c r="M181" s="40">
        <f>RES_BA!R28</f>
        <v>0</v>
      </c>
      <c r="O181" s="40">
        <f>RES_BA!S28</f>
        <v>0</v>
      </c>
      <c r="Q181" s="40">
        <f>RES_BA!T28</f>
        <v>0</v>
      </c>
      <c r="S181" s="40">
        <f>RES_BA!U28</f>
        <v>0</v>
      </c>
    </row>
    <row r="182" spans="3:19" s="277" customFormat="1" hidden="1" outlineLevel="1" collapsed="1" x14ac:dyDescent="0.3">
      <c r="C182" s="283" t="str">
        <f>RES_BA!D29</f>
        <v>Personnel Cadre - Other 16</v>
      </c>
      <c r="M182" s="279">
        <f>RES_BA!R29</f>
        <v>0</v>
      </c>
      <c r="O182" s="279">
        <f>RES_BA!S29</f>
        <v>0</v>
      </c>
      <c r="Q182" s="279">
        <f>RES_BA!T29</f>
        <v>0</v>
      </c>
      <c r="S182" s="279">
        <f>RES_BA!U29</f>
        <v>0</v>
      </c>
    </row>
    <row r="183" spans="3:19" s="277" customFormat="1" hidden="1" outlineLevel="1" collapsed="1" x14ac:dyDescent="0.3">
      <c r="C183" s="283" t="str">
        <f>RES_BA!D30</f>
        <v>Personnel Cadre - Other 17</v>
      </c>
      <c r="M183" s="279">
        <f>RES_BA!R30</f>
        <v>0</v>
      </c>
      <c r="O183" s="279">
        <f>RES_BA!S30</f>
        <v>0</v>
      </c>
      <c r="Q183" s="279">
        <f>RES_BA!T30</f>
        <v>0</v>
      </c>
      <c r="S183" s="279">
        <f>RES_BA!U30</f>
        <v>0</v>
      </c>
    </row>
    <row r="184" spans="3:19" s="277" customFormat="1" hidden="1" outlineLevel="1" collapsed="1" x14ac:dyDescent="0.3">
      <c r="C184" s="283" t="str">
        <f>RES_BA!D31</f>
        <v>Personnel Cadre - Other 18</v>
      </c>
      <c r="M184" s="279">
        <f>RES_BA!R31</f>
        <v>0</v>
      </c>
      <c r="O184" s="279">
        <f>RES_BA!S31</f>
        <v>0</v>
      </c>
      <c r="Q184" s="279">
        <f>RES_BA!T31</f>
        <v>0</v>
      </c>
      <c r="S184" s="279">
        <f>RES_BA!U31</f>
        <v>0</v>
      </c>
    </row>
    <row r="185" spans="3:19" s="277" customFormat="1" hidden="1" outlineLevel="1" x14ac:dyDescent="0.3">
      <c r="C185" s="283" t="str">
        <f>RES_BA!D32</f>
        <v>Personnel Cadre - Other 19</v>
      </c>
      <c r="M185" s="279">
        <f>RES_BA!R32</f>
        <v>0</v>
      </c>
      <c r="O185" s="279">
        <f>RES_BA!S32</f>
        <v>0</v>
      </c>
      <c r="Q185" s="279">
        <f>RES_BA!T32</f>
        <v>0</v>
      </c>
      <c r="S185" s="279">
        <f>RES_BA!U32</f>
        <v>0</v>
      </c>
    </row>
    <row r="186" spans="3:19" s="277" customFormat="1" hidden="1" outlineLevel="1" x14ac:dyDescent="0.3">
      <c r="C186" s="283" t="str">
        <f>RES_BA!D33</f>
        <v>Personnel Cadre - Other 20</v>
      </c>
      <c r="M186" s="279">
        <f>RES_BA!R33</f>
        <v>0</v>
      </c>
      <c r="O186" s="279">
        <f>RES_BA!S33</f>
        <v>0</v>
      </c>
      <c r="Q186" s="279">
        <f>RES_BA!T33</f>
        <v>0</v>
      </c>
      <c r="S186" s="279">
        <f>RES_BA!U33</f>
        <v>0</v>
      </c>
    </row>
    <row r="187" spans="3:19" s="277" customFormat="1" hidden="1" outlineLevel="1" collapsed="1" x14ac:dyDescent="0.3">
      <c r="C187" s="283" t="str">
        <f>RES_BA!D34</f>
        <v>Personnel Cadre - Other 21</v>
      </c>
      <c r="M187" s="279">
        <f>RES_BA!R34</f>
        <v>0</v>
      </c>
      <c r="O187" s="279">
        <f>RES_BA!S34</f>
        <v>0</v>
      </c>
      <c r="Q187" s="279">
        <f>RES_BA!T34</f>
        <v>0</v>
      </c>
      <c r="S187" s="279">
        <f>RES_BA!U34</f>
        <v>0</v>
      </c>
    </row>
    <row r="188" spans="3:19" s="277" customFormat="1" hidden="1" outlineLevel="1" x14ac:dyDescent="0.3">
      <c r="C188" s="283" t="str">
        <f>RES_BA!D35</f>
        <v>Personnel Cadre - Other 22</v>
      </c>
      <c r="M188" s="279">
        <f>RES_BA!R35</f>
        <v>0</v>
      </c>
      <c r="O188" s="279">
        <f>RES_BA!S35</f>
        <v>0</v>
      </c>
      <c r="Q188" s="279">
        <f>RES_BA!T35</f>
        <v>0</v>
      </c>
      <c r="S188" s="279">
        <f>RES_BA!U35</f>
        <v>0</v>
      </c>
    </row>
    <row r="189" spans="3:19" s="277" customFormat="1" hidden="1" outlineLevel="1" x14ac:dyDescent="0.3">
      <c r="C189" s="283" t="str">
        <f>RES_BA!D36</f>
        <v>Personnel Cadre - Other 23</v>
      </c>
      <c r="M189" s="279">
        <f>RES_BA!R36</f>
        <v>0</v>
      </c>
      <c r="O189" s="279">
        <f>RES_BA!S36</f>
        <v>0</v>
      </c>
      <c r="Q189" s="279">
        <f>RES_BA!T36</f>
        <v>0</v>
      </c>
      <c r="S189" s="279">
        <f>RES_BA!U36</f>
        <v>0</v>
      </c>
    </row>
    <row r="190" spans="3:19" s="277" customFormat="1" hidden="1" outlineLevel="1" x14ac:dyDescent="0.3">
      <c r="C190" s="283" t="str">
        <f>RES_BA!D37</f>
        <v>Personnel Cadre - Other 24</v>
      </c>
      <c r="M190" s="279">
        <f>RES_BA!R37</f>
        <v>0</v>
      </c>
      <c r="O190" s="279">
        <f>RES_BA!S37</f>
        <v>0</v>
      </c>
      <c r="Q190" s="279">
        <f>RES_BA!T37</f>
        <v>0</v>
      </c>
      <c r="S190" s="279">
        <f>RES_BA!U37</f>
        <v>0</v>
      </c>
    </row>
    <row r="191" spans="3:19" s="277" customFormat="1" hidden="1" outlineLevel="1" x14ac:dyDescent="0.3">
      <c r="C191" s="283" t="str">
        <f>RES_BA!D38</f>
        <v>Personnel Cadre - Other 25</v>
      </c>
      <c r="M191" s="279">
        <f>RES_BA!R38</f>
        <v>0</v>
      </c>
      <c r="O191" s="279">
        <f>RES_BA!S38</f>
        <v>0</v>
      </c>
      <c r="Q191" s="279">
        <f>RES_BA!T38</f>
        <v>0</v>
      </c>
      <c r="S191" s="279">
        <f>RES_BA!U38</f>
        <v>0</v>
      </c>
    </row>
    <row r="192" spans="3:19" s="277" customFormat="1" hidden="1" outlineLevel="1" x14ac:dyDescent="0.3">
      <c r="C192" s="283" t="str">
        <f>RES_BA!D39</f>
        <v>Personnel Cadre - Other 26</v>
      </c>
      <c r="M192" s="279">
        <f>RES_BA!R39</f>
        <v>0</v>
      </c>
      <c r="O192" s="279">
        <f>RES_BA!S39</f>
        <v>0</v>
      </c>
      <c r="Q192" s="279">
        <f>RES_BA!T39</f>
        <v>0</v>
      </c>
      <c r="S192" s="279">
        <f>RES_BA!U39</f>
        <v>0</v>
      </c>
    </row>
    <row r="193" spans="3:19" s="277" customFormat="1" hidden="1" outlineLevel="1" x14ac:dyDescent="0.3">
      <c r="C193" s="283" t="str">
        <f>RES_BA!D40</f>
        <v>Personnel Cadre - Other 27</v>
      </c>
      <c r="M193" s="279">
        <f>RES_BA!R40</f>
        <v>0</v>
      </c>
      <c r="O193" s="279">
        <f>RES_BA!S40</f>
        <v>0</v>
      </c>
      <c r="Q193" s="279">
        <f>RES_BA!T40</f>
        <v>0</v>
      </c>
      <c r="S193" s="279">
        <f>RES_BA!U40</f>
        <v>0</v>
      </c>
    </row>
    <row r="194" spans="3:19" s="277" customFormat="1" hidden="1" outlineLevel="1" x14ac:dyDescent="0.3">
      <c r="C194" s="283" t="str">
        <f>RES_BA!D41</f>
        <v>Personnel Cadre - Other 28</v>
      </c>
      <c r="M194" s="279">
        <f>RES_BA!R41</f>
        <v>0</v>
      </c>
      <c r="O194" s="279">
        <f>RES_BA!S41</f>
        <v>0</v>
      </c>
      <c r="Q194" s="279">
        <f>RES_BA!T41</f>
        <v>0</v>
      </c>
      <c r="S194" s="279">
        <f>RES_BA!U41</f>
        <v>0</v>
      </c>
    </row>
    <row r="195" spans="3:19" s="277" customFormat="1" hidden="1" outlineLevel="1" x14ac:dyDescent="0.3">
      <c r="C195" s="283" t="str">
        <f>RES_BA!D42</f>
        <v>Personnel Cadre - Other 29</v>
      </c>
      <c r="M195" s="279">
        <f>RES_BA!R42</f>
        <v>0</v>
      </c>
      <c r="O195" s="279">
        <f>RES_BA!S42</f>
        <v>0</v>
      </c>
      <c r="Q195" s="279">
        <f>RES_BA!T42</f>
        <v>0</v>
      </c>
      <c r="S195" s="279">
        <f>RES_BA!U42</f>
        <v>0</v>
      </c>
    </row>
    <row r="196" spans="3:19" s="277" customFormat="1" hidden="1" outlineLevel="1" x14ac:dyDescent="0.3">
      <c r="C196" s="283" t="str">
        <f>RES_BA!D43</f>
        <v>Personnel Cadre - Other 30</v>
      </c>
      <c r="M196" s="279">
        <f>RES_BA!R43</f>
        <v>0</v>
      </c>
      <c r="O196" s="279">
        <f>RES_BA!S43</f>
        <v>0</v>
      </c>
      <c r="Q196" s="279">
        <f>RES_BA!T43</f>
        <v>0</v>
      </c>
      <c r="S196" s="279">
        <f>RES_BA!U43</f>
        <v>0</v>
      </c>
    </row>
    <row r="197" spans="3:19" s="277" customFormat="1" hidden="1" outlineLevel="1" x14ac:dyDescent="0.3">
      <c r="C197" s="283" t="str">
        <f>RES_BA!D44</f>
        <v>Personnel Cadre - Other 31</v>
      </c>
      <c r="M197" s="279">
        <f>RES_BA!R44</f>
        <v>0</v>
      </c>
      <c r="O197" s="279">
        <f>RES_BA!S44</f>
        <v>0</v>
      </c>
      <c r="Q197" s="279">
        <f>RES_BA!T44</f>
        <v>0</v>
      </c>
      <c r="S197" s="279">
        <f>RES_BA!U44</f>
        <v>0</v>
      </c>
    </row>
    <row r="198" spans="3:19" s="277" customFormat="1" hidden="1" outlineLevel="1" x14ac:dyDescent="0.3">
      <c r="C198" s="283" t="str">
        <f>RES_BA!D45</f>
        <v>Personnel Cadre - Other 32</v>
      </c>
      <c r="M198" s="279">
        <f>RES_BA!R45</f>
        <v>0</v>
      </c>
      <c r="O198" s="279">
        <f>RES_BA!S45</f>
        <v>0</v>
      </c>
      <c r="Q198" s="279">
        <f>RES_BA!T45</f>
        <v>0</v>
      </c>
      <c r="S198" s="279">
        <f>RES_BA!U45</f>
        <v>0</v>
      </c>
    </row>
    <row r="199" spans="3:19" s="277" customFormat="1" hidden="1" outlineLevel="1" x14ac:dyDescent="0.3">
      <c r="C199" s="283" t="str">
        <f>RES_BA!D46</f>
        <v>Personnel Cadre - Other 33</v>
      </c>
      <c r="M199" s="279">
        <f>RES_BA!R46</f>
        <v>0</v>
      </c>
      <c r="O199" s="279">
        <f>RES_BA!S46</f>
        <v>0</v>
      </c>
      <c r="Q199" s="279">
        <f>RES_BA!T46</f>
        <v>0</v>
      </c>
      <c r="S199" s="279">
        <f>RES_BA!U46</f>
        <v>0</v>
      </c>
    </row>
    <row r="200" spans="3:19" s="277" customFormat="1" hidden="1" outlineLevel="1" x14ac:dyDescent="0.3">
      <c r="C200" s="283" t="str">
        <f>RES_BA!D47</f>
        <v>Personnel Cadre - Other 34</v>
      </c>
      <c r="M200" s="279">
        <f>RES_BA!R47</f>
        <v>0</v>
      </c>
      <c r="O200" s="279">
        <f>RES_BA!S47</f>
        <v>0</v>
      </c>
      <c r="Q200" s="279">
        <f>RES_BA!T47</f>
        <v>0</v>
      </c>
      <c r="S200" s="279">
        <f>RES_BA!U47</f>
        <v>0</v>
      </c>
    </row>
    <row r="201" spans="3:19" s="277" customFormat="1" hidden="1" outlineLevel="1" x14ac:dyDescent="0.3">
      <c r="C201" s="283" t="str">
        <f>RES_BA!D48</f>
        <v>Personnel Cadre - Other 35</v>
      </c>
      <c r="M201" s="279">
        <f>RES_BA!R48</f>
        <v>0</v>
      </c>
      <c r="O201" s="279">
        <f>RES_BA!S48</f>
        <v>0</v>
      </c>
      <c r="Q201" s="279">
        <f>RES_BA!T48</f>
        <v>0</v>
      </c>
      <c r="S201" s="279">
        <f>RES_BA!U48</f>
        <v>0</v>
      </c>
    </row>
    <row r="202" spans="3:19" hidden="1" outlineLevel="1" x14ac:dyDescent="0.3"/>
    <row r="203" spans="3:19" hidden="1" outlineLevel="1" x14ac:dyDescent="0.3">
      <c r="M203" s="40" t="str">
        <f>$D$161</f>
        <v>USD</v>
      </c>
      <c r="O203" s="40" t="str">
        <f>$D$161</f>
        <v>USD</v>
      </c>
      <c r="Q203" s="40" t="str">
        <f>$D$162</f>
        <v>GOZ</v>
      </c>
      <c r="S203" s="40" t="str">
        <f>$D$162</f>
        <v>GOZ</v>
      </c>
    </row>
    <row r="204" spans="3:19" hidden="1" outlineLevel="1" x14ac:dyDescent="0.3">
      <c r="C204" s="89" t="str">
        <f>RES_BA!D53</f>
        <v>Allowances Category 1</v>
      </c>
      <c r="M204" s="40">
        <f>RES_BA!R53</f>
        <v>0</v>
      </c>
      <c r="O204" s="40">
        <f>RES_BA!S53</f>
        <v>0</v>
      </c>
      <c r="Q204" s="40">
        <f>RES_BA!T53</f>
        <v>0</v>
      </c>
      <c r="S204" s="40">
        <f>RES_BA!U53</f>
        <v>0</v>
      </c>
    </row>
    <row r="205" spans="3:19" hidden="1" outlineLevel="1" x14ac:dyDescent="0.3">
      <c r="C205" s="89" t="str">
        <f>RES_BA!D54</f>
        <v>Allowances Category 2</v>
      </c>
      <c r="M205" s="40">
        <f>RES_BA!R54</f>
        <v>0</v>
      </c>
      <c r="O205" s="40">
        <f>RES_BA!S54</f>
        <v>0</v>
      </c>
      <c r="Q205" s="40">
        <f>RES_BA!T54</f>
        <v>0</v>
      </c>
      <c r="S205" s="40">
        <f>RES_BA!U54</f>
        <v>0</v>
      </c>
    </row>
    <row r="206" spans="3:19" hidden="1" outlineLevel="1" x14ac:dyDescent="0.3">
      <c r="C206" s="89" t="str">
        <f>RES_BA!D55</f>
        <v>Allowances Category 3</v>
      </c>
      <c r="M206" s="40">
        <f>RES_BA!R55</f>
        <v>0</v>
      </c>
      <c r="O206" s="40">
        <f>RES_BA!S55</f>
        <v>0</v>
      </c>
      <c r="Q206" s="40">
        <f>RES_BA!T55</f>
        <v>0</v>
      </c>
      <c r="S206" s="40">
        <f>RES_BA!U55</f>
        <v>0</v>
      </c>
    </row>
    <row r="207" spans="3:19" hidden="1" outlineLevel="1" x14ac:dyDescent="0.3">
      <c r="C207" s="89" t="str">
        <f>RES_BA!D56</f>
        <v>Allowances Category 4</v>
      </c>
      <c r="M207" s="40">
        <f>RES_BA!R56</f>
        <v>0</v>
      </c>
      <c r="O207" s="40">
        <f>RES_BA!S56</f>
        <v>0</v>
      </c>
      <c r="Q207" s="40">
        <f>RES_BA!T56</f>
        <v>0</v>
      </c>
      <c r="S207" s="40">
        <f>RES_BA!U56</f>
        <v>0</v>
      </c>
    </row>
    <row r="208" spans="3:19" hidden="1" outlineLevel="1" x14ac:dyDescent="0.3">
      <c r="C208" s="89" t="str">
        <f>RES_BA!D57</f>
        <v>Allowances Category 5</v>
      </c>
      <c r="M208" s="40">
        <f>RES_BA!R57</f>
        <v>0</v>
      </c>
      <c r="O208" s="40">
        <f>RES_BA!S57</f>
        <v>0</v>
      </c>
      <c r="Q208" s="40">
        <f>RES_BA!T57</f>
        <v>0</v>
      </c>
      <c r="S208" s="40">
        <f>RES_BA!U57</f>
        <v>0</v>
      </c>
    </row>
    <row r="209" spans="3:19" s="277" customFormat="1" hidden="1" outlineLevel="1" collapsed="1" x14ac:dyDescent="0.3">
      <c r="C209" s="283" t="str">
        <f>RES_BA!D58</f>
        <v>Allowances Category 6</v>
      </c>
      <c r="M209" s="279">
        <f>RES_BA!R58</f>
        <v>0</v>
      </c>
      <c r="O209" s="279">
        <f>RES_BA!S58</f>
        <v>0</v>
      </c>
      <c r="Q209" s="279">
        <f>RES_BA!T58</f>
        <v>0</v>
      </c>
      <c r="S209" s="279">
        <f>RES_BA!U58</f>
        <v>0</v>
      </c>
    </row>
    <row r="210" spans="3:19" s="277" customFormat="1" hidden="1" outlineLevel="1" x14ac:dyDescent="0.3">
      <c r="C210" s="283" t="str">
        <f>RES_BA!D59</f>
        <v>Allowances Category 7</v>
      </c>
      <c r="M210" s="279">
        <f>RES_BA!R59</f>
        <v>0</v>
      </c>
      <c r="O210" s="279">
        <f>RES_BA!S59</f>
        <v>0</v>
      </c>
      <c r="Q210" s="279">
        <f>RES_BA!T59</f>
        <v>0</v>
      </c>
      <c r="S210" s="279">
        <f>RES_BA!U59</f>
        <v>0</v>
      </c>
    </row>
    <row r="211" spans="3:19" s="277" customFormat="1" hidden="1" outlineLevel="1" x14ac:dyDescent="0.3">
      <c r="C211" s="283" t="str">
        <f>RES_BA!D60</f>
        <v>Allowances Category 8</v>
      </c>
      <c r="M211" s="279">
        <f>RES_BA!R60</f>
        <v>0</v>
      </c>
      <c r="O211" s="279">
        <f>RES_BA!S60</f>
        <v>0</v>
      </c>
      <c r="Q211" s="279">
        <f>RES_BA!T60</f>
        <v>0</v>
      </c>
      <c r="S211" s="279">
        <f>RES_BA!U60</f>
        <v>0</v>
      </c>
    </row>
    <row r="212" spans="3:19" s="277" customFormat="1" hidden="1" outlineLevel="1" x14ac:dyDescent="0.3">
      <c r="C212" s="283" t="str">
        <f>RES_BA!D61</f>
        <v>Allowances Category 9</v>
      </c>
      <c r="M212" s="279">
        <f>RES_BA!R61</f>
        <v>0</v>
      </c>
      <c r="O212" s="279">
        <f>RES_BA!S61</f>
        <v>0</v>
      </c>
      <c r="Q212" s="279">
        <f>RES_BA!T61</f>
        <v>0</v>
      </c>
      <c r="S212" s="279">
        <f>RES_BA!U61</f>
        <v>0</v>
      </c>
    </row>
    <row r="213" spans="3:19" s="277" customFormat="1" hidden="1" outlineLevel="1" x14ac:dyDescent="0.3">
      <c r="C213" s="283" t="str">
        <f>RES_BA!D62</f>
        <v>Allowances Category 10</v>
      </c>
      <c r="M213" s="279">
        <f>RES_BA!R62</f>
        <v>0</v>
      </c>
      <c r="O213" s="279">
        <f>RES_BA!S62</f>
        <v>0</v>
      </c>
      <c r="Q213" s="279">
        <f>RES_BA!T62</f>
        <v>0</v>
      </c>
      <c r="S213" s="279">
        <f>RES_BA!U62</f>
        <v>0</v>
      </c>
    </row>
    <row r="214" spans="3:19" s="277" customFormat="1" hidden="1" outlineLevel="1" x14ac:dyDescent="0.3">
      <c r="C214" s="283" t="str">
        <f>RES_BA!D63</f>
        <v>Allowances Category 11</v>
      </c>
      <c r="M214" s="279">
        <f>RES_BA!R63</f>
        <v>0</v>
      </c>
      <c r="O214" s="279">
        <f>RES_BA!S63</f>
        <v>0</v>
      </c>
      <c r="Q214" s="279">
        <f>RES_BA!T63</f>
        <v>0</v>
      </c>
      <c r="S214" s="279">
        <f>RES_BA!U63</f>
        <v>0</v>
      </c>
    </row>
    <row r="215" spans="3:19" s="277" customFormat="1" hidden="1" outlineLevel="1" x14ac:dyDescent="0.3">
      <c r="C215" s="283" t="str">
        <f>RES_BA!D64</f>
        <v>Allowances Category 12</v>
      </c>
      <c r="M215" s="279">
        <f>RES_BA!R64</f>
        <v>0</v>
      </c>
      <c r="O215" s="279">
        <f>RES_BA!S64</f>
        <v>0</v>
      </c>
      <c r="Q215" s="279">
        <f>RES_BA!T64</f>
        <v>0</v>
      </c>
      <c r="S215" s="279">
        <f>RES_BA!U64</f>
        <v>0</v>
      </c>
    </row>
    <row r="216" spans="3:19" s="277" customFormat="1" hidden="1" outlineLevel="1" x14ac:dyDescent="0.3">
      <c r="C216" s="283" t="str">
        <f>RES_BA!D65</f>
        <v>Allowances Category 13</v>
      </c>
      <c r="M216" s="279">
        <f>RES_BA!R65</f>
        <v>0</v>
      </c>
      <c r="O216" s="279">
        <f>RES_BA!S65</f>
        <v>0</v>
      </c>
      <c r="Q216" s="279">
        <f>RES_BA!T65</f>
        <v>0</v>
      </c>
      <c r="S216" s="279">
        <f>RES_BA!U65</f>
        <v>0</v>
      </c>
    </row>
    <row r="217" spans="3:19" s="277" customFormat="1" hidden="1" outlineLevel="1" x14ac:dyDescent="0.3">
      <c r="C217" s="283" t="str">
        <f>RES_BA!D66</f>
        <v>Allowances Category 14</v>
      </c>
      <c r="M217" s="279">
        <f>RES_BA!R66</f>
        <v>0</v>
      </c>
      <c r="O217" s="279">
        <f>RES_BA!S66</f>
        <v>0</v>
      </c>
      <c r="Q217" s="279">
        <f>RES_BA!T66</f>
        <v>0</v>
      </c>
      <c r="S217" s="279">
        <f>RES_BA!U66</f>
        <v>0</v>
      </c>
    </row>
    <row r="218" spans="3:19" s="277" customFormat="1" hidden="1" outlineLevel="1" x14ac:dyDescent="0.3">
      <c r="C218" s="283" t="str">
        <f>RES_BA!D67</f>
        <v>Allowances Category 15</v>
      </c>
      <c r="M218" s="279">
        <f>RES_BA!R67</f>
        <v>0</v>
      </c>
      <c r="O218" s="279">
        <f>RES_BA!S67</f>
        <v>0</v>
      </c>
      <c r="Q218" s="279">
        <f>RES_BA!T67</f>
        <v>0</v>
      </c>
      <c r="S218" s="279">
        <f>RES_BA!U67</f>
        <v>0</v>
      </c>
    </row>
    <row r="219" spans="3:19" s="277" customFormat="1" hidden="1" outlineLevel="1" x14ac:dyDescent="0.3">
      <c r="C219" s="283" t="str">
        <f>RES_BA!D68</f>
        <v>Allowances Category 16</v>
      </c>
      <c r="M219" s="279">
        <f>RES_BA!R68</f>
        <v>0</v>
      </c>
      <c r="O219" s="279">
        <f>RES_BA!S68</f>
        <v>0</v>
      </c>
      <c r="Q219" s="279">
        <f>RES_BA!T68</f>
        <v>0</v>
      </c>
      <c r="S219" s="279">
        <f>RES_BA!U68</f>
        <v>0</v>
      </c>
    </row>
    <row r="220" spans="3:19" hidden="1" outlineLevel="1" x14ac:dyDescent="0.3">
      <c r="C220" s="89" t="str">
        <f>RES_BA!D69</f>
        <v>Allowances Category 17</v>
      </c>
      <c r="M220" s="40">
        <f>RES_BA!R69</f>
        <v>0</v>
      </c>
      <c r="O220" s="40">
        <f>RES_BA!S69</f>
        <v>0</v>
      </c>
      <c r="Q220" s="40">
        <f>RES_BA!T69</f>
        <v>0</v>
      </c>
      <c r="S220" s="40">
        <f>RES_BA!U69</f>
        <v>0</v>
      </c>
    </row>
    <row r="221" spans="3:19" hidden="1" outlineLevel="1" x14ac:dyDescent="0.3">
      <c r="C221" s="89" t="str">
        <f>RES_BA!D70</f>
        <v>Allowances Category 18</v>
      </c>
      <c r="M221" s="40">
        <f>RES_BA!R70</f>
        <v>0</v>
      </c>
      <c r="O221" s="40">
        <f>RES_BA!S70</f>
        <v>0</v>
      </c>
      <c r="Q221" s="40">
        <f>RES_BA!T70</f>
        <v>0</v>
      </c>
      <c r="S221" s="40">
        <f>RES_BA!U70</f>
        <v>0</v>
      </c>
    </row>
    <row r="222" spans="3:19" hidden="1" outlineLevel="1" x14ac:dyDescent="0.3">
      <c r="C222" s="89" t="str">
        <f>RES_BA!D71</f>
        <v>Allowances Category 19</v>
      </c>
      <c r="M222" s="40">
        <f>RES_BA!R71</f>
        <v>0</v>
      </c>
      <c r="O222" s="40">
        <f>RES_BA!S71</f>
        <v>0</v>
      </c>
      <c r="Q222" s="40">
        <f>RES_BA!T71</f>
        <v>0</v>
      </c>
      <c r="S222" s="40">
        <f>RES_BA!U71</f>
        <v>0</v>
      </c>
    </row>
    <row r="223" spans="3:19" hidden="1" outlineLevel="1" x14ac:dyDescent="0.3">
      <c r="C223" s="89" t="str">
        <f>RES_BA!D72</f>
        <v>Allowances Category 20</v>
      </c>
      <c r="M223" s="40">
        <f>RES_BA!R72</f>
        <v>0</v>
      </c>
      <c r="O223" s="40">
        <f>RES_BA!S72</f>
        <v>0</v>
      </c>
      <c r="Q223" s="40">
        <f>RES_BA!T72</f>
        <v>0</v>
      </c>
      <c r="S223" s="40">
        <f>RES_BA!U72</f>
        <v>0</v>
      </c>
    </row>
    <row r="224" spans="3:19" hidden="1" outlineLevel="1" x14ac:dyDescent="0.3">
      <c r="C224" s="89" t="str">
        <f>RES_BA!D73</f>
        <v>Allowances Category 21</v>
      </c>
      <c r="M224" s="40">
        <f>RES_BA!R73</f>
        <v>0</v>
      </c>
      <c r="O224" s="40">
        <f>RES_BA!S73</f>
        <v>0</v>
      </c>
      <c r="Q224" s="40">
        <f>RES_BA!T73</f>
        <v>0</v>
      </c>
      <c r="S224" s="40">
        <f>RES_BA!U73</f>
        <v>0</v>
      </c>
    </row>
    <row r="225" spans="3:19" hidden="1" outlineLevel="1" x14ac:dyDescent="0.3">
      <c r="C225" s="89" t="str">
        <f>RES_BA!D74</f>
        <v>Allowances Category 22</v>
      </c>
      <c r="M225" s="40">
        <f>RES_BA!R74</f>
        <v>0</v>
      </c>
      <c r="O225" s="40">
        <f>RES_BA!S74</f>
        <v>0</v>
      </c>
      <c r="Q225" s="40">
        <f>RES_BA!T74</f>
        <v>0</v>
      </c>
      <c r="S225" s="40">
        <f>RES_BA!U74</f>
        <v>0</v>
      </c>
    </row>
    <row r="226" spans="3:19" hidden="1" outlineLevel="1" x14ac:dyDescent="0.3">
      <c r="C226" s="89" t="str">
        <f>RES_BA!D75</f>
        <v>Allowances Category 23</v>
      </c>
      <c r="M226" s="40">
        <f>RES_BA!R75</f>
        <v>0</v>
      </c>
      <c r="O226" s="40">
        <f>RES_BA!S75</f>
        <v>0</v>
      </c>
      <c r="Q226" s="40">
        <f>RES_BA!T75</f>
        <v>0</v>
      </c>
      <c r="S226" s="40">
        <f>RES_BA!U75</f>
        <v>0</v>
      </c>
    </row>
    <row r="227" spans="3:19" s="277" customFormat="1" hidden="1" outlineLevel="1" collapsed="1" x14ac:dyDescent="0.3">
      <c r="C227" s="283" t="str">
        <f>RES_BA!D76</f>
        <v>Allowances Category 24</v>
      </c>
      <c r="M227" s="279">
        <f>RES_BA!R76</f>
        <v>0</v>
      </c>
      <c r="O227" s="279">
        <f>RES_BA!S76</f>
        <v>0</v>
      </c>
      <c r="Q227" s="279">
        <f>RES_BA!T76</f>
        <v>0</v>
      </c>
      <c r="S227" s="279">
        <f>RES_BA!U76</f>
        <v>0</v>
      </c>
    </row>
    <row r="228" spans="3:19" s="277" customFormat="1" hidden="1" outlineLevel="1" x14ac:dyDescent="0.3">
      <c r="C228" s="283" t="str">
        <f>RES_BA!D77</f>
        <v>Allowances Category 25</v>
      </c>
      <c r="M228" s="279">
        <f>RES_BA!R77</f>
        <v>0</v>
      </c>
      <c r="O228" s="279">
        <f>RES_BA!S77</f>
        <v>0</v>
      </c>
      <c r="Q228" s="279">
        <f>RES_BA!T77</f>
        <v>0</v>
      </c>
      <c r="S228" s="279">
        <f>RES_BA!U77</f>
        <v>0</v>
      </c>
    </row>
    <row r="229" spans="3:19" s="277" customFormat="1" hidden="1" outlineLevel="1" x14ac:dyDescent="0.3">
      <c r="C229" s="283" t="str">
        <f>RES_BA!D78</f>
        <v>Allowances Category 26</v>
      </c>
      <c r="M229" s="279">
        <f>RES_BA!R78</f>
        <v>0</v>
      </c>
      <c r="O229" s="279">
        <f>RES_BA!S78</f>
        <v>0</v>
      </c>
      <c r="Q229" s="279">
        <f>RES_BA!T78</f>
        <v>0</v>
      </c>
      <c r="S229" s="279">
        <f>RES_BA!U78</f>
        <v>0</v>
      </c>
    </row>
    <row r="230" spans="3:19" s="277" customFormat="1" hidden="1" outlineLevel="1" x14ac:dyDescent="0.3">
      <c r="C230" s="283" t="str">
        <f>RES_BA!D79</f>
        <v>Allowances Category 27</v>
      </c>
      <c r="M230" s="279">
        <f>RES_BA!R79</f>
        <v>0</v>
      </c>
      <c r="O230" s="279">
        <f>RES_BA!S79</f>
        <v>0</v>
      </c>
      <c r="Q230" s="279">
        <f>RES_BA!T79</f>
        <v>0</v>
      </c>
      <c r="S230" s="279">
        <f>RES_BA!U79</f>
        <v>0</v>
      </c>
    </row>
    <row r="231" spans="3:19" s="277" customFormat="1" hidden="1" outlineLevel="1" x14ac:dyDescent="0.3">
      <c r="C231" s="283" t="str">
        <f>RES_BA!D80</f>
        <v>Allowances Category 28</v>
      </c>
      <c r="M231" s="279">
        <f>RES_BA!R80</f>
        <v>0</v>
      </c>
      <c r="O231" s="279">
        <f>RES_BA!S80</f>
        <v>0</v>
      </c>
      <c r="Q231" s="279">
        <f>RES_BA!T80</f>
        <v>0</v>
      </c>
      <c r="S231" s="279">
        <f>RES_BA!U80</f>
        <v>0</v>
      </c>
    </row>
    <row r="232" spans="3:19" s="277" customFormat="1" hidden="1" outlineLevel="1" x14ac:dyDescent="0.3">
      <c r="C232" s="283" t="str">
        <f>RES_BA!D81</f>
        <v>Allowances Category 29</v>
      </c>
      <c r="M232" s="279">
        <f>RES_BA!R81</f>
        <v>0</v>
      </c>
      <c r="O232" s="279">
        <f>RES_BA!S81</f>
        <v>0</v>
      </c>
      <c r="Q232" s="279">
        <f>RES_BA!T81</f>
        <v>0</v>
      </c>
      <c r="S232" s="279">
        <f>RES_BA!U81</f>
        <v>0</v>
      </c>
    </row>
    <row r="233" spans="3:19" s="277" customFormat="1" hidden="1" outlineLevel="1" x14ac:dyDescent="0.3">
      <c r="C233" s="283" t="str">
        <f>RES_BA!D82</f>
        <v>Allowances Category 30</v>
      </c>
      <c r="M233" s="279">
        <f>RES_BA!R82</f>
        <v>0</v>
      </c>
      <c r="O233" s="279">
        <f>RES_BA!S82</f>
        <v>0</v>
      </c>
      <c r="Q233" s="279">
        <f>RES_BA!T82</f>
        <v>0</v>
      </c>
      <c r="S233" s="279">
        <f>RES_BA!U82</f>
        <v>0</v>
      </c>
    </row>
    <row r="234" spans="3:19" hidden="1" outlineLevel="1" x14ac:dyDescent="0.3">
      <c r="C234" s="89" t="str">
        <f>RES_BA!D83</f>
        <v>Allowances Category 31</v>
      </c>
      <c r="M234" s="40">
        <f>RES_BA!R83</f>
        <v>0</v>
      </c>
      <c r="O234" s="40">
        <f>RES_BA!S83</f>
        <v>0</v>
      </c>
      <c r="Q234" s="40">
        <f>RES_BA!T83</f>
        <v>0</v>
      </c>
      <c r="S234" s="40">
        <f>RES_BA!U83</f>
        <v>0</v>
      </c>
    </row>
    <row r="235" spans="3:19" hidden="1" outlineLevel="1" x14ac:dyDescent="0.3">
      <c r="C235" s="89" t="str">
        <f>RES_BA!D84</f>
        <v>Allowances Category 32</v>
      </c>
      <c r="M235" s="40">
        <f>RES_BA!R84</f>
        <v>0</v>
      </c>
      <c r="O235" s="40">
        <f>RES_BA!S84</f>
        <v>0</v>
      </c>
      <c r="Q235" s="40">
        <f>RES_BA!T84</f>
        <v>0</v>
      </c>
      <c r="S235" s="40">
        <f>RES_BA!U84</f>
        <v>0</v>
      </c>
    </row>
    <row r="236" spans="3:19" hidden="1" outlineLevel="1" x14ac:dyDescent="0.3">
      <c r="C236" s="89" t="str">
        <f>RES_BA!D85</f>
        <v>Allowances Category 33</v>
      </c>
      <c r="M236" s="40">
        <f>RES_BA!R85</f>
        <v>0</v>
      </c>
      <c r="O236" s="40">
        <f>RES_BA!S85</f>
        <v>0</v>
      </c>
      <c r="Q236" s="40">
        <f>RES_BA!T85</f>
        <v>0</v>
      </c>
      <c r="S236" s="40">
        <f>RES_BA!U85</f>
        <v>0</v>
      </c>
    </row>
    <row r="237" spans="3:19" hidden="1" outlineLevel="1" x14ac:dyDescent="0.3">
      <c r="C237" s="89" t="str">
        <f>RES_BA!D86</f>
        <v>Allowances Category 34</v>
      </c>
      <c r="M237" s="40">
        <f>RES_BA!R86</f>
        <v>0</v>
      </c>
      <c r="O237" s="40">
        <f>RES_BA!S86</f>
        <v>0</v>
      </c>
      <c r="Q237" s="40">
        <f>RES_BA!T86</f>
        <v>0</v>
      </c>
      <c r="S237" s="40">
        <f>RES_BA!U86</f>
        <v>0</v>
      </c>
    </row>
    <row r="238" spans="3:19" hidden="1" outlineLevel="1" x14ac:dyDescent="0.3">
      <c r="C238" s="89" t="str">
        <f>RES_BA!D87</f>
        <v>Allowances Category 35</v>
      </c>
      <c r="M238" s="40">
        <f>RES_BA!R87</f>
        <v>0</v>
      </c>
      <c r="O238" s="40">
        <f>RES_BA!S87</f>
        <v>0</v>
      </c>
      <c r="Q238" s="40">
        <f>RES_BA!T87</f>
        <v>0</v>
      </c>
      <c r="S238" s="40">
        <f>RES_BA!U87</f>
        <v>0</v>
      </c>
    </row>
    <row r="239" spans="3:19" hidden="1" outlineLevel="1" x14ac:dyDescent="0.3"/>
    <row r="240" spans="3:19" hidden="1" outlineLevel="1" x14ac:dyDescent="0.3"/>
    <row r="241" spans="3:19" hidden="1" outlineLevel="1" x14ac:dyDescent="0.3">
      <c r="M241" s="40" t="str">
        <f>$D$161</f>
        <v>USD</v>
      </c>
      <c r="O241" s="40" t="str">
        <f>$D$161</f>
        <v>USD</v>
      </c>
      <c r="Q241" s="40" t="str">
        <f>$D$162</f>
        <v>GOZ</v>
      </c>
      <c r="S241" s="40" t="str">
        <f>$D$162</f>
        <v>GOZ</v>
      </c>
    </row>
    <row r="242" spans="3:19" hidden="1" outlineLevel="1" x14ac:dyDescent="0.3">
      <c r="C242" s="89" t="str">
        <f>RES_BA!D91</f>
        <v>Supplies Category 1</v>
      </c>
      <c r="M242" s="40">
        <f>RES_BA!R91</f>
        <v>0</v>
      </c>
      <c r="O242" s="40">
        <f>RES_BA!S91</f>
        <v>0</v>
      </c>
      <c r="Q242" s="40">
        <f>RES_BA!T91</f>
        <v>0</v>
      </c>
      <c r="S242" s="40">
        <f>RES_BA!U91</f>
        <v>0</v>
      </c>
    </row>
    <row r="243" spans="3:19" hidden="1" outlineLevel="1" x14ac:dyDescent="0.3">
      <c r="C243" s="89" t="str">
        <f>RES_BA!D92</f>
        <v>Supplies Category 2</v>
      </c>
      <c r="M243" s="40">
        <f>RES_BA!R92</f>
        <v>0</v>
      </c>
      <c r="O243" s="40">
        <f>RES_BA!S92</f>
        <v>0</v>
      </c>
      <c r="Q243" s="40">
        <f>RES_BA!T92</f>
        <v>0</v>
      </c>
      <c r="S243" s="40">
        <f>RES_BA!U92</f>
        <v>0</v>
      </c>
    </row>
    <row r="244" spans="3:19" hidden="1" outlineLevel="1" x14ac:dyDescent="0.3">
      <c r="C244" s="89" t="str">
        <f>RES_BA!D93</f>
        <v>Supplies Category 3</v>
      </c>
      <c r="M244" s="40">
        <f>RES_BA!R93</f>
        <v>0</v>
      </c>
      <c r="O244" s="40">
        <f>RES_BA!S93</f>
        <v>0</v>
      </c>
      <c r="Q244" s="40">
        <f>RES_BA!T93</f>
        <v>0</v>
      </c>
      <c r="S244" s="40">
        <f>RES_BA!U93</f>
        <v>0</v>
      </c>
    </row>
    <row r="245" spans="3:19" hidden="1" outlineLevel="1" x14ac:dyDescent="0.3">
      <c r="C245" s="89" t="str">
        <f>RES_BA!D94</f>
        <v>Supplies Category 4</v>
      </c>
      <c r="M245" s="40">
        <f>RES_BA!R94</f>
        <v>0</v>
      </c>
      <c r="O245" s="40">
        <f>RES_BA!S94</f>
        <v>0</v>
      </c>
      <c r="Q245" s="40">
        <f>RES_BA!T94</f>
        <v>0</v>
      </c>
      <c r="S245" s="40">
        <f>RES_BA!U94</f>
        <v>0</v>
      </c>
    </row>
    <row r="246" spans="3:19" hidden="1" outlineLevel="1" x14ac:dyDescent="0.3">
      <c r="C246" s="89" t="str">
        <f>RES_BA!D95</f>
        <v>Supplies Category 5</v>
      </c>
      <c r="M246" s="40">
        <f>RES_BA!R95</f>
        <v>0</v>
      </c>
      <c r="O246" s="40">
        <f>RES_BA!S95</f>
        <v>0</v>
      </c>
      <c r="Q246" s="40">
        <f>RES_BA!T95</f>
        <v>0</v>
      </c>
      <c r="S246" s="40">
        <f>RES_BA!U95</f>
        <v>0</v>
      </c>
    </row>
    <row r="247" spans="3:19" hidden="1" outlineLevel="1" x14ac:dyDescent="0.3">
      <c r="C247" s="89" t="str">
        <f>RES_BA!D96</f>
        <v>Supplies Category 6</v>
      </c>
      <c r="M247" s="40">
        <f>RES_BA!R96</f>
        <v>0</v>
      </c>
      <c r="O247" s="40">
        <f>RES_BA!S96</f>
        <v>0</v>
      </c>
      <c r="Q247" s="40">
        <f>RES_BA!T96</f>
        <v>0</v>
      </c>
      <c r="S247" s="40">
        <f>RES_BA!U96</f>
        <v>0</v>
      </c>
    </row>
    <row r="248" spans="3:19" hidden="1" outlineLevel="1" x14ac:dyDescent="0.3">
      <c r="C248" s="89" t="str">
        <f>RES_BA!D97</f>
        <v>Supplies Category 7</v>
      </c>
      <c r="M248" s="40">
        <f>RES_BA!R97</f>
        <v>0</v>
      </c>
      <c r="O248" s="40">
        <f>RES_BA!S97</f>
        <v>0</v>
      </c>
      <c r="Q248" s="40">
        <f>RES_BA!T97</f>
        <v>0</v>
      </c>
      <c r="S248" s="40">
        <f>RES_BA!U97</f>
        <v>0</v>
      </c>
    </row>
    <row r="249" spans="3:19" hidden="1" outlineLevel="1" x14ac:dyDescent="0.3">
      <c r="C249" s="89" t="str">
        <f>RES_BA!D98</f>
        <v>Supplies Category 8</v>
      </c>
      <c r="M249" s="40">
        <f>RES_BA!R98</f>
        <v>0</v>
      </c>
      <c r="O249" s="40">
        <f>RES_BA!S98</f>
        <v>0</v>
      </c>
      <c r="Q249" s="40">
        <f>RES_BA!T98</f>
        <v>0</v>
      </c>
      <c r="S249" s="40">
        <f>RES_BA!U98</f>
        <v>0</v>
      </c>
    </row>
    <row r="250" spans="3:19" hidden="1" outlineLevel="1" x14ac:dyDescent="0.3">
      <c r="C250" s="89" t="str">
        <f>RES_BA!D99</f>
        <v>Supplies Category 9</v>
      </c>
      <c r="M250" s="40">
        <f>RES_BA!R99</f>
        <v>0</v>
      </c>
      <c r="O250" s="40">
        <f>RES_BA!S99</f>
        <v>0</v>
      </c>
      <c r="Q250" s="40">
        <f>RES_BA!T99</f>
        <v>0</v>
      </c>
      <c r="S250" s="40">
        <f>RES_BA!U99</f>
        <v>0</v>
      </c>
    </row>
    <row r="251" spans="3:19" hidden="1" outlineLevel="1" x14ac:dyDescent="0.3">
      <c r="C251" s="89" t="str">
        <f>RES_BA!D100</f>
        <v>Supplies Category 10</v>
      </c>
      <c r="M251" s="40">
        <f>RES_BA!R100</f>
        <v>0</v>
      </c>
      <c r="O251" s="40">
        <f>RES_BA!S100</f>
        <v>0</v>
      </c>
      <c r="Q251" s="40">
        <f>RES_BA!T100</f>
        <v>0</v>
      </c>
      <c r="S251" s="40">
        <f>RES_BA!U100</f>
        <v>0</v>
      </c>
    </row>
    <row r="252" spans="3:19" hidden="1" outlineLevel="1" x14ac:dyDescent="0.3">
      <c r="C252" s="89" t="str">
        <f>RES_BA!D101</f>
        <v>Supplies Category 11</v>
      </c>
      <c r="M252" s="40">
        <f>RES_BA!R101</f>
        <v>0</v>
      </c>
      <c r="O252" s="40">
        <f>RES_BA!S101</f>
        <v>0</v>
      </c>
      <c r="Q252" s="40">
        <f>RES_BA!T101</f>
        <v>0</v>
      </c>
      <c r="S252" s="40">
        <f>RES_BA!U101</f>
        <v>0</v>
      </c>
    </row>
    <row r="253" spans="3:19" hidden="1" outlineLevel="1" x14ac:dyDescent="0.3">
      <c r="C253" s="89" t="str">
        <f>RES_BA!D102</f>
        <v>Supplies Category 12</v>
      </c>
      <c r="M253" s="40">
        <f>RES_BA!R102</f>
        <v>0</v>
      </c>
      <c r="O253" s="40">
        <f>RES_BA!S102</f>
        <v>0</v>
      </c>
      <c r="Q253" s="40">
        <f>RES_BA!T102</f>
        <v>0</v>
      </c>
      <c r="S253" s="40">
        <f>RES_BA!U102</f>
        <v>0</v>
      </c>
    </row>
    <row r="254" spans="3:19" hidden="1" outlineLevel="1" x14ac:dyDescent="0.3">
      <c r="C254" s="89" t="str">
        <f>RES_BA!D103</f>
        <v>Supplies Category 13</v>
      </c>
      <c r="M254" s="40">
        <f>RES_BA!R103</f>
        <v>0</v>
      </c>
      <c r="O254" s="40">
        <f>RES_BA!S103</f>
        <v>0</v>
      </c>
      <c r="Q254" s="40">
        <f>RES_BA!T103</f>
        <v>0</v>
      </c>
      <c r="S254" s="40">
        <f>RES_BA!U103</f>
        <v>0</v>
      </c>
    </row>
    <row r="255" spans="3:19" hidden="1" outlineLevel="1" x14ac:dyDescent="0.3">
      <c r="C255" s="89" t="str">
        <f>RES_BA!D104</f>
        <v>Supplies Category 14</v>
      </c>
      <c r="M255" s="40">
        <f>RES_BA!R104</f>
        <v>0</v>
      </c>
      <c r="O255" s="40">
        <f>RES_BA!S104</f>
        <v>0</v>
      </c>
      <c r="Q255" s="40">
        <f>RES_BA!T104</f>
        <v>0</v>
      </c>
      <c r="S255" s="40">
        <f>RES_BA!U104</f>
        <v>0</v>
      </c>
    </row>
    <row r="256" spans="3:19" hidden="1" outlineLevel="1" x14ac:dyDescent="0.3">
      <c r="C256" s="89" t="str">
        <f>RES_BA!D105</f>
        <v>Supplies Category 15</v>
      </c>
      <c r="M256" s="40">
        <f>RES_BA!R105</f>
        <v>0</v>
      </c>
      <c r="O256" s="40">
        <f>RES_BA!S105</f>
        <v>0</v>
      </c>
      <c r="Q256" s="40">
        <f>RES_BA!T105</f>
        <v>0</v>
      </c>
      <c r="S256" s="40">
        <f>RES_BA!U105</f>
        <v>0</v>
      </c>
    </row>
    <row r="257" spans="3:19" hidden="1" outlineLevel="1" x14ac:dyDescent="0.3">
      <c r="C257" s="89" t="str">
        <f>RES_BA!D106</f>
        <v>Supplies Category 16</v>
      </c>
      <c r="M257" s="40">
        <f>RES_BA!R106</f>
        <v>0</v>
      </c>
      <c r="O257" s="40">
        <f>RES_BA!S106</f>
        <v>0</v>
      </c>
      <c r="Q257" s="40">
        <f>RES_BA!T106</f>
        <v>0</v>
      </c>
      <c r="S257" s="40">
        <f>RES_BA!U106</f>
        <v>0</v>
      </c>
    </row>
    <row r="258" spans="3:19" s="277" customFormat="1" hidden="1" outlineLevel="1" collapsed="1" x14ac:dyDescent="0.3">
      <c r="C258" s="283" t="str">
        <f>RES_BA!D107</f>
        <v>Supplies Category 17</v>
      </c>
      <c r="M258" s="279">
        <f>RES_BA!R107</f>
        <v>0</v>
      </c>
      <c r="O258" s="279">
        <f>RES_BA!S107</f>
        <v>0</v>
      </c>
      <c r="Q258" s="279">
        <f>RES_BA!T107</f>
        <v>0</v>
      </c>
      <c r="S258" s="279">
        <f>RES_BA!U107</f>
        <v>0</v>
      </c>
    </row>
    <row r="259" spans="3:19" s="277" customFormat="1" hidden="1" outlineLevel="1" x14ac:dyDescent="0.3">
      <c r="C259" s="283" t="str">
        <f>RES_BA!D108</f>
        <v>Supplies Category 18</v>
      </c>
      <c r="M259" s="279">
        <f>RES_BA!R108</f>
        <v>0</v>
      </c>
      <c r="O259" s="279">
        <f>RES_BA!S108</f>
        <v>0</v>
      </c>
      <c r="Q259" s="279">
        <f>RES_BA!T108</f>
        <v>0</v>
      </c>
      <c r="S259" s="279">
        <f>RES_BA!U108</f>
        <v>0</v>
      </c>
    </row>
    <row r="260" spans="3:19" s="277" customFormat="1" hidden="1" outlineLevel="1" x14ac:dyDescent="0.3">
      <c r="C260" s="283" t="str">
        <f>RES_BA!D109</f>
        <v>Supplies Category 19</v>
      </c>
      <c r="M260" s="279">
        <f>RES_BA!R109</f>
        <v>0</v>
      </c>
      <c r="O260" s="279">
        <f>RES_BA!S109</f>
        <v>0</v>
      </c>
      <c r="Q260" s="279">
        <f>RES_BA!T109</f>
        <v>0</v>
      </c>
      <c r="S260" s="279">
        <f>RES_BA!U109</f>
        <v>0</v>
      </c>
    </row>
    <row r="261" spans="3:19" s="277" customFormat="1" hidden="1" outlineLevel="1" x14ac:dyDescent="0.3">
      <c r="C261" s="283" t="str">
        <f>RES_BA!D110</f>
        <v>Supplies Category 20</v>
      </c>
      <c r="M261" s="279">
        <f>RES_BA!R110</f>
        <v>0</v>
      </c>
      <c r="O261" s="279">
        <f>RES_BA!S110</f>
        <v>0</v>
      </c>
      <c r="Q261" s="279">
        <f>RES_BA!T110</f>
        <v>0</v>
      </c>
      <c r="S261" s="279">
        <f>RES_BA!U110</f>
        <v>0</v>
      </c>
    </row>
    <row r="262" spans="3:19" s="277" customFormat="1" hidden="1" outlineLevel="1" x14ac:dyDescent="0.3">
      <c r="C262" s="283" t="str">
        <f>RES_BA!D111</f>
        <v>Supplies Category 21</v>
      </c>
      <c r="M262" s="279">
        <f>RES_BA!R111</f>
        <v>0</v>
      </c>
      <c r="O262" s="279">
        <f>RES_BA!S111</f>
        <v>0</v>
      </c>
      <c r="Q262" s="279">
        <f>RES_BA!T111</f>
        <v>0</v>
      </c>
      <c r="S262" s="279">
        <f>RES_BA!U111</f>
        <v>0</v>
      </c>
    </row>
    <row r="263" spans="3:19" s="277" customFormat="1" hidden="1" outlineLevel="1" x14ac:dyDescent="0.3">
      <c r="C263" s="283" t="str">
        <f>RES_BA!D112</f>
        <v>Supplies Category 22</v>
      </c>
      <c r="M263" s="279">
        <f>RES_BA!R112</f>
        <v>0</v>
      </c>
      <c r="O263" s="279">
        <f>RES_BA!S112</f>
        <v>0</v>
      </c>
      <c r="Q263" s="279">
        <f>RES_BA!T112</f>
        <v>0</v>
      </c>
      <c r="S263" s="279">
        <f>RES_BA!U112</f>
        <v>0</v>
      </c>
    </row>
    <row r="264" spans="3:19" s="277" customFormat="1" hidden="1" outlineLevel="1" x14ac:dyDescent="0.3">
      <c r="C264" s="283" t="str">
        <f>RES_BA!D113</f>
        <v>Supplies Category 23</v>
      </c>
      <c r="M264" s="279">
        <f>RES_BA!R113</f>
        <v>0</v>
      </c>
      <c r="O264" s="279">
        <f>RES_BA!S113</f>
        <v>0</v>
      </c>
      <c r="Q264" s="279">
        <f>RES_BA!T113</f>
        <v>0</v>
      </c>
      <c r="S264" s="279">
        <f>RES_BA!U113</f>
        <v>0</v>
      </c>
    </row>
    <row r="265" spans="3:19" s="277" customFormat="1" hidden="1" outlineLevel="1" x14ac:dyDescent="0.3">
      <c r="C265" s="283" t="str">
        <f>RES_BA!D114</f>
        <v>Supplies Category 24</v>
      </c>
      <c r="M265" s="279">
        <f>RES_BA!R114</f>
        <v>0</v>
      </c>
      <c r="O265" s="279">
        <f>RES_BA!S114</f>
        <v>0</v>
      </c>
      <c r="Q265" s="279">
        <f>RES_BA!T114</f>
        <v>0</v>
      </c>
      <c r="S265" s="279">
        <f>RES_BA!U114</f>
        <v>0</v>
      </c>
    </row>
    <row r="266" spans="3:19" s="277" customFormat="1" hidden="1" outlineLevel="1" x14ac:dyDescent="0.3">
      <c r="C266" s="283" t="str">
        <f>RES_BA!D115</f>
        <v>Supplies Category 25</v>
      </c>
      <c r="M266" s="279">
        <f>RES_BA!R115</f>
        <v>0</v>
      </c>
      <c r="O266" s="279">
        <f>RES_BA!S115</f>
        <v>0</v>
      </c>
      <c r="Q266" s="279">
        <f>RES_BA!T115</f>
        <v>0</v>
      </c>
      <c r="S266" s="279">
        <f>RES_BA!U115</f>
        <v>0</v>
      </c>
    </row>
    <row r="267" spans="3:19" s="277" customFormat="1" hidden="1" outlineLevel="1" x14ac:dyDescent="0.3">
      <c r="C267" s="283" t="str">
        <f>RES_BA!D116</f>
        <v>Supplies Category 26</v>
      </c>
      <c r="M267" s="279">
        <f>RES_BA!R116</f>
        <v>0</v>
      </c>
      <c r="O267" s="279">
        <f>RES_BA!S116</f>
        <v>0</v>
      </c>
      <c r="Q267" s="279">
        <f>RES_BA!T116</f>
        <v>0</v>
      </c>
      <c r="S267" s="279">
        <f>RES_BA!U116</f>
        <v>0</v>
      </c>
    </row>
    <row r="268" spans="3:19" s="277" customFormat="1" hidden="1" outlineLevel="1" x14ac:dyDescent="0.3">
      <c r="C268" s="283" t="str">
        <f>RES_BA!D117</f>
        <v>Supplies Category 27</v>
      </c>
      <c r="M268" s="279">
        <f>RES_BA!R117</f>
        <v>0</v>
      </c>
      <c r="O268" s="279">
        <f>RES_BA!S117</f>
        <v>0</v>
      </c>
      <c r="Q268" s="279">
        <f>RES_BA!T117</f>
        <v>0</v>
      </c>
      <c r="S268" s="279">
        <f>RES_BA!U117</f>
        <v>0</v>
      </c>
    </row>
    <row r="269" spans="3:19" s="277" customFormat="1" hidden="1" outlineLevel="1" x14ac:dyDescent="0.3">
      <c r="C269" s="283" t="str">
        <f>RES_BA!D118</f>
        <v>Supplies Category 28</v>
      </c>
      <c r="M269" s="279">
        <f>RES_BA!R118</f>
        <v>0</v>
      </c>
      <c r="O269" s="279">
        <f>RES_BA!S118</f>
        <v>0</v>
      </c>
      <c r="Q269" s="279">
        <f>RES_BA!T118</f>
        <v>0</v>
      </c>
      <c r="S269" s="279">
        <f>RES_BA!U118</f>
        <v>0</v>
      </c>
    </row>
    <row r="270" spans="3:19" s="277" customFormat="1" hidden="1" outlineLevel="1" x14ac:dyDescent="0.3">
      <c r="C270" s="283" t="str">
        <f>RES_BA!D119</f>
        <v>Supplies Category 29</v>
      </c>
      <c r="M270" s="279">
        <f>RES_BA!R119</f>
        <v>0</v>
      </c>
      <c r="O270" s="279">
        <f>RES_BA!S119</f>
        <v>0</v>
      </c>
      <c r="Q270" s="279">
        <f>RES_BA!T119</f>
        <v>0</v>
      </c>
      <c r="S270" s="279">
        <f>RES_BA!U119</f>
        <v>0</v>
      </c>
    </row>
    <row r="271" spans="3:19" s="277" customFormat="1" hidden="1" outlineLevel="1" collapsed="1" x14ac:dyDescent="0.3">
      <c r="C271" s="283" t="str">
        <f>RES_BA!D120</f>
        <v>Supplies Category 30</v>
      </c>
      <c r="M271" s="279">
        <f>RES_BA!R120</f>
        <v>0</v>
      </c>
      <c r="O271" s="279">
        <f>RES_BA!S120</f>
        <v>0</v>
      </c>
      <c r="Q271" s="279">
        <f>RES_BA!T120</f>
        <v>0</v>
      </c>
      <c r="S271" s="279">
        <f>RES_BA!U120</f>
        <v>0</v>
      </c>
    </row>
    <row r="272" spans="3:19" s="277" customFormat="1" hidden="1" outlineLevel="1" x14ac:dyDescent="0.3">
      <c r="C272" s="283" t="str">
        <f>RES_BA!D121</f>
        <v>Supplies Category 31</v>
      </c>
      <c r="M272" s="279">
        <f>RES_BA!R121</f>
        <v>0</v>
      </c>
      <c r="O272" s="279">
        <f>RES_BA!S121</f>
        <v>0</v>
      </c>
      <c r="Q272" s="279">
        <f>RES_BA!T121</f>
        <v>0</v>
      </c>
      <c r="S272" s="279">
        <f>RES_BA!U121</f>
        <v>0</v>
      </c>
    </row>
    <row r="273" spans="3:19" s="277" customFormat="1" hidden="1" outlineLevel="1" x14ac:dyDescent="0.3">
      <c r="C273" s="283" t="str">
        <f>RES_BA!D122</f>
        <v>Supplies Category 32</v>
      </c>
      <c r="M273" s="279">
        <f>RES_BA!R122</f>
        <v>0</v>
      </c>
      <c r="O273" s="279">
        <f>RES_BA!S122</f>
        <v>0</v>
      </c>
      <c r="Q273" s="279">
        <f>RES_BA!T122</f>
        <v>0</v>
      </c>
      <c r="S273" s="279">
        <f>RES_BA!U122</f>
        <v>0</v>
      </c>
    </row>
    <row r="274" spans="3:19" s="277" customFormat="1" hidden="1" outlineLevel="1" x14ac:dyDescent="0.3">
      <c r="C274" s="283" t="str">
        <f>RES_BA!D123</f>
        <v>Supplies Category 33</v>
      </c>
      <c r="M274" s="279">
        <f>RES_BA!R123</f>
        <v>0</v>
      </c>
      <c r="O274" s="279">
        <f>RES_BA!S123</f>
        <v>0</v>
      </c>
      <c r="Q274" s="279">
        <f>RES_BA!T123</f>
        <v>0</v>
      </c>
      <c r="S274" s="279">
        <f>RES_BA!U123</f>
        <v>0</v>
      </c>
    </row>
    <row r="275" spans="3:19" s="277" customFormat="1" hidden="1" outlineLevel="1" x14ac:dyDescent="0.3">
      <c r="C275" s="283" t="str">
        <f>RES_BA!D124</f>
        <v>Supplies Category 34</v>
      </c>
      <c r="M275" s="279">
        <f>RES_BA!R124</f>
        <v>0</v>
      </c>
      <c r="O275" s="279">
        <f>RES_BA!S124</f>
        <v>0</v>
      </c>
      <c r="Q275" s="279">
        <f>RES_BA!T124</f>
        <v>0</v>
      </c>
      <c r="S275" s="279">
        <f>RES_BA!U124</f>
        <v>0</v>
      </c>
    </row>
    <row r="276" spans="3:19" s="277" customFormat="1" hidden="1" outlineLevel="1" x14ac:dyDescent="0.3">
      <c r="C276" s="283" t="str">
        <f>RES_BA!D125</f>
        <v>Supplies Category 35</v>
      </c>
      <c r="M276" s="279">
        <f>RES_BA!R125</f>
        <v>0</v>
      </c>
      <c r="O276" s="279">
        <f>RES_BA!S125</f>
        <v>0</v>
      </c>
      <c r="Q276" s="279">
        <f>RES_BA!T125</f>
        <v>0</v>
      </c>
      <c r="S276" s="279">
        <f>RES_BA!U125</f>
        <v>0</v>
      </c>
    </row>
    <row r="277" spans="3:19" hidden="1" outlineLevel="1" x14ac:dyDescent="0.3"/>
    <row r="278" spans="3:19" hidden="1" outlineLevel="1" x14ac:dyDescent="0.3">
      <c r="M278" s="40" t="str">
        <f>$D$161</f>
        <v>USD</v>
      </c>
      <c r="O278" s="40" t="str">
        <f>$D$161</f>
        <v>USD</v>
      </c>
      <c r="Q278" s="40" t="str">
        <f>$D$162</f>
        <v>GOZ</v>
      </c>
      <c r="S278" s="40" t="str">
        <f>$D$162</f>
        <v>GOZ</v>
      </c>
    </row>
    <row r="279" spans="3:19" hidden="1" outlineLevel="1" x14ac:dyDescent="0.3">
      <c r="C279" s="89" t="str">
        <f>RES_BA!D130</f>
        <v>Equipment Category 1</v>
      </c>
      <c r="M279" s="40">
        <f>RES_BA!R130</f>
        <v>0</v>
      </c>
      <c r="O279" s="40">
        <f>RES_BA!S130</f>
        <v>0</v>
      </c>
      <c r="Q279" s="40">
        <f>RES_BA!T130</f>
        <v>0</v>
      </c>
      <c r="S279" s="40">
        <f>RES_BA!U130</f>
        <v>0</v>
      </c>
    </row>
    <row r="280" spans="3:19" hidden="1" outlineLevel="1" x14ac:dyDescent="0.3">
      <c r="C280" s="89" t="str">
        <f>RES_BA!D131</f>
        <v>Equipment Category 2</v>
      </c>
      <c r="M280" s="40">
        <f>RES_BA!R131</f>
        <v>0</v>
      </c>
      <c r="O280" s="40">
        <f>RES_BA!S131</f>
        <v>0</v>
      </c>
      <c r="Q280" s="40">
        <f>RES_BA!T131</f>
        <v>0</v>
      </c>
      <c r="S280" s="40">
        <f>RES_BA!U131</f>
        <v>0</v>
      </c>
    </row>
    <row r="281" spans="3:19" hidden="1" outlineLevel="1" x14ac:dyDescent="0.3">
      <c r="C281" s="89" t="str">
        <f>RES_BA!D132</f>
        <v>Equipment Category 3</v>
      </c>
      <c r="M281" s="40">
        <f>RES_BA!R132</f>
        <v>0</v>
      </c>
      <c r="O281" s="40">
        <f>RES_BA!S132</f>
        <v>0</v>
      </c>
      <c r="Q281" s="40">
        <f>RES_BA!T132</f>
        <v>0</v>
      </c>
      <c r="S281" s="40">
        <f>RES_BA!U132</f>
        <v>0</v>
      </c>
    </row>
    <row r="282" spans="3:19" hidden="1" outlineLevel="1" x14ac:dyDescent="0.3">
      <c r="C282" s="89" t="str">
        <f>RES_BA!D133</f>
        <v>Equipment Category 4</v>
      </c>
      <c r="M282" s="40">
        <f>RES_BA!R133</f>
        <v>0</v>
      </c>
      <c r="O282" s="40">
        <f>RES_BA!S133</f>
        <v>0</v>
      </c>
      <c r="Q282" s="40">
        <f>RES_BA!T133</f>
        <v>0</v>
      </c>
      <c r="S282" s="40">
        <f>RES_BA!U133</f>
        <v>0</v>
      </c>
    </row>
    <row r="283" spans="3:19" hidden="1" outlineLevel="1" x14ac:dyDescent="0.3">
      <c r="C283" s="89" t="str">
        <f>RES_BA!D134</f>
        <v>Equipment Category 5</v>
      </c>
      <c r="M283" s="40">
        <f>RES_BA!R134</f>
        <v>0</v>
      </c>
      <c r="O283" s="40">
        <f>RES_BA!S134</f>
        <v>0</v>
      </c>
      <c r="Q283" s="40">
        <f>RES_BA!T134</f>
        <v>0</v>
      </c>
      <c r="S283" s="40">
        <f>RES_BA!U134</f>
        <v>0</v>
      </c>
    </row>
    <row r="284" spans="3:19" hidden="1" outlineLevel="1" x14ac:dyDescent="0.3">
      <c r="C284" s="89" t="str">
        <f>RES_BA!D135</f>
        <v>Equipment Category 6</v>
      </c>
      <c r="M284" s="40">
        <f>RES_BA!R135</f>
        <v>0</v>
      </c>
      <c r="O284" s="40">
        <f>RES_BA!S135</f>
        <v>0</v>
      </c>
      <c r="Q284" s="40">
        <f>RES_BA!T135</f>
        <v>0</v>
      </c>
      <c r="S284" s="40">
        <f>RES_BA!U135</f>
        <v>0</v>
      </c>
    </row>
    <row r="285" spans="3:19" s="277" customFormat="1" hidden="1" outlineLevel="1" collapsed="1" x14ac:dyDescent="0.3">
      <c r="C285" s="283" t="str">
        <f>RES_BA!D136</f>
        <v>Equipment Category 7</v>
      </c>
      <c r="M285" s="279">
        <f>RES_BA!R136</f>
        <v>0</v>
      </c>
      <c r="O285" s="279">
        <f>RES_BA!S136</f>
        <v>0</v>
      </c>
      <c r="Q285" s="279">
        <f>RES_BA!T136</f>
        <v>0</v>
      </c>
      <c r="S285" s="279">
        <f>RES_BA!U136</f>
        <v>0</v>
      </c>
    </row>
    <row r="286" spans="3:19" s="277" customFormat="1" hidden="1" outlineLevel="1" x14ac:dyDescent="0.3">
      <c r="C286" s="283" t="str">
        <f>RES_BA!D137</f>
        <v>Equipment Category 8</v>
      </c>
      <c r="M286" s="279">
        <f>RES_BA!R137</f>
        <v>0</v>
      </c>
      <c r="O286" s="279">
        <f>RES_BA!S137</f>
        <v>0</v>
      </c>
      <c r="Q286" s="279">
        <f>RES_BA!T137</f>
        <v>0</v>
      </c>
      <c r="S286" s="279">
        <f>RES_BA!U137</f>
        <v>0</v>
      </c>
    </row>
    <row r="287" spans="3:19" s="277" customFormat="1" hidden="1" outlineLevel="1" x14ac:dyDescent="0.3">
      <c r="C287" s="283" t="str">
        <f>RES_BA!D138</f>
        <v>Equipment Category 9</v>
      </c>
      <c r="M287" s="279">
        <f>RES_BA!R138</f>
        <v>0</v>
      </c>
      <c r="O287" s="279">
        <f>RES_BA!S138</f>
        <v>0</v>
      </c>
      <c r="Q287" s="279">
        <f>RES_BA!T138</f>
        <v>0</v>
      </c>
      <c r="S287" s="279">
        <f>RES_BA!U138</f>
        <v>0</v>
      </c>
    </row>
    <row r="288" spans="3:19" s="277" customFormat="1" hidden="1" outlineLevel="1" x14ac:dyDescent="0.3">
      <c r="C288" s="283" t="str">
        <f>RES_BA!D139</f>
        <v>Equipment Category 10</v>
      </c>
      <c r="M288" s="279">
        <f>RES_BA!R139</f>
        <v>0</v>
      </c>
      <c r="O288" s="279">
        <f>RES_BA!S139</f>
        <v>0</v>
      </c>
      <c r="Q288" s="279">
        <f>RES_BA!T139</f>
        <v>0</v>
      </c>
      <c r="S288" s="279">
        <f>RES_BA!U139</f>
        <v>0</v>
      </c>
    </row>
    <row r="289" spans="3:19" s="277" customFormat="1" hidden="1" outlineLevel="1" x14ac:dyDescent="0.3">
      <c r="C289" s="283" t="str">
        <f>RES_BA!D140</f>
        <v>Equipment Category 11</v>
      </c>
      <c r="M289" s="279">
        <f>RES_BA!R140</f>
        <v>0</v>
      </c>
      <c r="O289" s="279">
        <f>RES_BA!S140</f>
        <v>0</v>
      </c>
      <c r="Q289" s="279">
        <f>RES_BA!T140</f>
        <v>0</v>
      </c>
      <c r="S289" s="279">
        <f>RES_BA!U140</f>
        <v>0</v>
      </c>
    </row>
    <row r="290" spans="3:19" s="277" customFormat="1" hidden="1" outlineLevel="1" x14ac:dyDescent="0.3">
      <c r="C290" s="283" t="str">
        <f>RES_BA!D141</f>
        <v>Equipment Category 12</v>
      </c>
      <c r="M290" s="279">
        <f>RES_BA!R141</f>
        <v>0</v>
      </c>
      <c r="O290" s="279">
        <f>RES_BA!S141</f>
        <v>0</v>
      </c>
      <c r="Q290" s="279">
        <f>RES_BA!T141</f>
        <v>0</v>
      </c>
      <c r="S290" s="279">
        <f>RES_BA!U141</f>
        <v>0</v>
      </c>
    </row>
    <row r="291" spans="3:19" s="277" customFormat="1" hidden="1" outlineLevel="1" collapsed="1" x14ac:dyDescent="0.3">
      <c r="C291" s="283" t="str">
        <f>RES_BA!D142</f>
        <v>Equipment Category 13</v>
      </c>
      <c r="M291" s="279">
        <f>RES_BA!R142</f>
        <v>0</v>
      </c>
      <c r="O291" s="279">
        <f>RES_BA!S142</f>
        <v>0</v>
      </c>
      <c r="Q291" s="279">
        <f>RES_BA!T142</f>
        <v>0</v>
      </c>
      <c r="S291" s="279">
        <f>RES_BA!U142</f>
        <v>0</v>
      </c>
    </row>
    <row r="292" spans="3:19" s="277" customFormat="1" hidden="1" outlineLevel="1" x14ac:dyDescent="0.3">
      <c r="C292" s="283" t="str">
        <f>RES_BA!D143</f>
        <v>Equipment Category 14</v>
      </c>
      <c r="M292" s="279">
        <f>RES_BA!R143</f>
        <v>0</v>
      </c>
      <c r="O292" s="279">
        <f>RES_BA!S143</f>
        <v>0</v>
      </c>
      <c r="Q292" s="279">
        <f>RES_BA!T143</f>
        <v>0</v>
      </c>
      <c r="S292" s="279">
        <f>RES_BA!U143</f>
        <v>0</v>
      </c>
    </row>
    <row r="293" spans="3:19" s="277" customFormat="1" hidden="1" outlineLevel="1" x14ac:dyDescent="0.3">
      <c r="C293" s="283" t="str">
        <f>RES_BA!D144</f>
        <v>Equipment Category 15</v>
      </c>
      <c r="M293" s="279">
        <f>RES_BA!R144</f>
        <v>0</v>
      </c>
      <c r="O293" s="279">
        <f>RES_BA!S144</f>
        <v>0</v>
      </c>
      <c r="Q293" s="279">
        <f>RES_BA!T144</f>
        <v>0</v>
      </c>
      <c r="S293" s="279">
        <f>RES_BA!U144</f>
        <v>0</v>
      </c>
    </row>
    <row r="294" spans="3:19" s="277" customFormat="1" hidden="1" outlineLevel="1" x14ac:dyDescent="0.3">
      <c r="C294" s="283" t="str">
        <f>RES_BA!D145</f>
        <v>Equipment Category 16</v>
      </c>
      <c r="M294" s="279">
        <f>RES_BA!R145</f>
        <v>0</v>
      </c>
      <c r="O294" s="279">
        <f>RES_BA!S145</f>
        <v>0</v>
      </c>
      <c r="Q294" s="279">
        <f>RES_BA!T145</f>
        <v>0</v>
      </c>
      <c r="S294" s="279">
        <f>RES_BA!U145</f>
        <v>0</v>
      </c>
    </row>
    <row r="295" spans="3:19" s="277" customFormat="1" hidden="1" outlineLevel="1" x14ac:dyDescent="0.3">
      <c r="C295" s="283" t="str">
        <f>RES_BA!D146</f>
        <v>Equipment Category 17</v>
      </c>
      <c r="M295" s="279">
        <f>RES_BA!R146</f>
        <v>0</v>
      </c>
      <c r="O295" s="279">
        <f>RES_BA!S146</f>
        <v>0</v>
      </c>
      <c r="Q295" s="279">
        <f>RES_BA!T146</f>
        <v>0</v>
      </c>
      <c r="S295" s="279">
        <f>RES_BA!U146</f>
        <v>0</v>
      </c>
    </row>
    <row r="296" spans="3:19" s="277" customFormat="1" hidden="1" outlineLevel="1" x14ac:dyDescent="0.3">
      <c r="C296" s="283" t="str">
        <f>RES_BA!D147</f>
        <v>Equipment Category 18</v>
      </c>
      <c r="M296" s="279">
        <f>RES_BA!R147</f>
        <v>0</v>
      </c>
      <c r="O296" s="279">
        <f>RES_BA!S147</f>
        <v>0</v>
      </c>
      <c r="Q296" s="279">
        <f>RES_BA!T147</f>
        <v>0</v>
      </c>
      <c r="S296" s="279">
        <f>RES_BA!U147</f>
        <v>0</v>
      </c>
    </row>
    <row r="297" spans="3:19" s="277" customFormat="1" hidden="1" outlineLevel="1" x14ac:dyDescent="0.3">
      <c r="C297" s="283" t="str">
        <f>RES_BA!D148</f>
        <v>Equipment Category 19</v>
      </c>
      <c r="M297" s="279">
        <f>RES_BA!R148</f>
        <v>0</v>
      </c>
      <c r="O297" s="279">
        <f>RES_BA!S148</f>
        <v>0</v>
      </c>
      <c r="Q297" s="279">
        <f>RES_BA!T148</f>
        <v>0</v>
      </c>
      <c r="S297" s="279">
        <f>RES_BA!U148</f>
        <v>0</v>
      </c>
    </row>
    <row r="298" spans="3:19" s="277" customFormat="1" hidden="1" outlineLevel="1" x14ac:dyDescent="0.3">
      <c r="C298" s="283" t="str">
        <f>RES_BA!D149</f>
        <v>Equipment Category 20</v>
      </c>
      <c r="M298" s="279">
        <f>RES_BA!R149</f>
        <v>0</v>
      </c>
      <c r="O298" s="279">
        <f>RES_BA!S149</f>
        <v>0</v>
      </c>
      <c r="Q298" s="279">
        <f>RES_BA!T149</f>
        <v>0</v>
      </c>
      <c r="S298" s="279">
        <f>RES_BA!U149</f>
        <v>0</v>
      </c>
    </row>
    <row r="299" spans="3:19" s="277" customFormat="1" hidden="1" outlineLevel="1" x14ac:dyDescent="0.3">
      <c r="C299" s="283" t="str">
        <f>RES_BA!D150</f>
        <v>Equipment Category 21</v>
      </c>
      <c r="M299" s="279">
        <f>RES_BA!R150</f>
        <v>0</v>
      </c>
      <c r="O299" s="279">
        <f>RES_BA!S150</f>
        <v>0</v>
      </c>
      <c r="Q299" s="279">
        <f>RES_BA!T150</f>
        <v>0</v>
      </c>
      <c r="S299" s="279">
        <f>RES_BA!U150</f>
        <v>0</v>
      </c>
    </row>
    <row r="300" spans="3:19" s="277" customFormat="1" hidden="1" outlineLevel="1" x14ac:dyDescent="0.3">
      <c r="C300" s="283" t="str">
        <f>RES_BA!D151</f>
        <v>Equipment Category 22</v>
      </c>
      <c r="M300" s="279">
        <f>RES_BA!R151</f>
        <v>0</v>
      </c>
      <c r="O300" s="279">
        <f>RES_BA!S151</f>
        <v>0</v>
      </c>
      <c r="Q300" s="279">
        <f>RES_BA!T151</f>
        <v>0</v>
      </c>
      <c r="S300" s="279">
        <f>RES_BA!U151</f>
        <v>0</v>
      </c>
    </row>
    <row r="301" spans="3:19" s="277" customFormat="1" hidden="1" outlineLevel="1" x14ac:dyDescent="0.3">
      <c r="C301" s="283" t="str">
        <f>RES_BA!D152</f>
        <v>Equipment Category 23</v>
      </c>
      <c r="M301" s="279">
        <f>RES_BA!R152</f>
        <v>0</v>
      </c>
      <c r="O301" s="279">
        <f>RES_BA!S152</f>
        <v>0</v>
      </c>
      <c r="Q301" s="279">
        <f>RES_BA!T152</f>
        <v>0</v>
      </c>
      <c r="S301" s="279">
        <f>RES_BA!U152</f>
        <v>0</v>
      </c>
    </row>
    <row r="302" spans="3:19" s="277" customFormat="1" hidden="1" outlineLevel="1" collapsed="1" x14ac:dyDescent="0.3">
      <c r="C302" s="283" t="str">
        <f>RES_BA!D153</f>
        <v>Equipment Category 24</v>
      </c>
      <c r="M302" s="279">
        <f>RES_BA!R153</f>
        <v>0</v>
      </c>
      <c r="O302" s="279">
        <f>RES_BA!S153</f>
        <v>0</v>
      </c>
      <c r="Q302" s="279">
        <f>RES_BA!T153</f>
        <v>0</v>
      </c>
      <c r="S302" s="279">
        <f>RES_BA!U153</f>
        <v>0</v>
      </c>
    </row>
    <row r="303" spans="3:19" s="277" customFormat="1" hidden="1" outlineLevel="1" x14ac:dyDescent="0.3">
      <c r="C303" s="283" t="str">
        <f>RES_BA!D154</f>
        <v>Equipment Category 25</v>
      </c>
      <c r="M303" s="279">
        <f>RES_BA!R154</f>
        <v>0</v>
      </c>
      <c r="O303" s="279">
        <f>RES_BA!S154</f>
        <v>0</v>
      </c>
      <c r="Q303" s="279">
        <f>RES_BA!T154</f>
        <v>0</v>
      </c>
      <c r="S303" s="279">
        <f>RES_BA!U154</f>
        <v>0</v>
      </c>
    </row>
    <row r="304" spans="3:19" s="277" customFormat="1" hidden="1" outlineLevel="1" x14ac:dyDescent="0.3">
      <c r="C304" s="283" t="str">
        <f>RES_BA!D155</f>
        <v>Equipment Category 26</v>
      </c>
      <c r="M304" s="279">
        <f>RES_BA!R155</f>
        <v>0</v>
      </c>
      <c r="O304" s="279">
        <f>RES_BA!S155</f>
        <v>0</v>
      </c>
      <c r="Q304" s="279">
        <f>RES_BA!T155</f>
        <v>0</v>
      </c>
      <c r="S304" s="279">
        <f>RES_BA!U155</f>
        <v>0</v>
      </c>
    </row>
    <row r="305" spans="3:19" s="277" customFormat="1" hidden="1" outlineLevel="1" x14ac:dyDescent="0.3">
      <c r="C305" s="283" t="str">
        <f>RES_BA!D156</f>
        <v>Equipment Category 27</v>
      </c>
      <c r="M305" s="279">
        <f>RES_BA!R156</f>
        <v>0</v>
      </c>
      <c r="O305" s="279">
        <f>RES_BA!S156</f>
        <v>0</v>
      </c>
      <c r="Q305" s="279">
        <f>RES_BA!T156</f>
        <v>0</v>
      </c>
      <c r="S305" s="279">
        <f>RES_BA!U156</f>
        <v>0</v>
      </c>
    </row>
    <row r="306" spans="3:19" s="277" customFormat="1" hidden="1" outlineLevel="1" x14ac:dyDescent="0.3">
      <c r="C306" s="283" t="str">
        <f>RES_BA!D157</f>
        <v>Equipment Category 28</v>
      </c>
      <c r="M306" s="279">
        <f>RES_BA!R157</f>
        <v>0</v>
      </c>
      <c r="O306" s="279">
        <f>RES_BA!S157</f>
        <v>0</v>
      </c>
      <c r="Q306" s="279">
        <f>RES_BA!T157</f>
        <v>0</v>
      </c>
      <c r="S306" s="279">
        <f>RES_BA!U157</f>
        <v>0</v>
      </c>
    </row>
    <row r="307" spans="3:19" s="277" customFormat="1" hidden="1" outlineLevel="1" x14ac:dyDescent="0.3">
      <c r="C307" s="283" t="str">
        <f>RES_BA!D158</f>
        <v>Equipment Category 29</v>
      </c>
      <c r="M307" s="279">
        <f>RES_BA!R158</f>
        <v>0</v>
      </c>
      <c r="O307" s="279">
        <f>RES_BA!S158</f>
        <v>0</v>
      </c>
      <c r="Q307" s="279">
        <f>RES_BA!T158</f>
        <v>0</v>
      </c>
      <c r="S307" s="279">
        <f>RES_BA!U158</f>
        <v>0</v>
      </c>
    </row>
    <row r="308" spans="3:19" s="277" customFormat="1" hidden="1" outlineLevel="1" x14ac:dyDescent="0.3">
      <c r="C308" s="283" t="str">
        <f>RES_BA!D159</f>
        <v>Equipment Category 30</v>
      </c>
      <c r="M308" s="279">
        <f>RES_BA!R159</f>
        <v>0</v>
      </c>
      <c r="O308" s="279">
        <f>RES_BA!S159</f>
        <v>0</v>
      </c>
      <c r="Q308" s="279">
        <f>RES_BA!T159</f>
        <v>0</v>
      </c>
      <c r="S308" s="279">
        <f>RES_BA!U159</f>
        <v>0</v>
      </c>
    </row>
    <row r="309" spans="3:19" s="277" customFormat="1" hidden="1" outlineLevel="1" x14ac:dyDescent="0.3">
      <c r="C309" s="283" t="str">
        <f>RES_BA!D160</f>
        <v>Equipment Category 31</v>
      </c>
      <c r="M309" s="279">
        <f>RES_BA!R160</f>
        <v>0</v>
      </c>
      <c r="O309" s="279">
        <f>RES_BA!S160</f>
        <v>0</v>
      </c>
      <c r="Q309" s="279">
        <f>RES_BA!T160</f>
        <v>0</v>
      </c>
      <c r="S309" s="279">
        <f>RES_BA!U160</f>
        <v>0</v>
      </c>
    </row>
    <row r="310" spans="3:19" s="277" customFormat="1" hidden="1" outlineLevel="1" x14ac:dyDescent="0.3">
      <c r="C310" s="283" t="str">
        <f>RES_BA!D161</f>
        <v>Equipment Category 32</v>
      </c>
      <c r="M310" s="279">
        <f>RES_BA!R161</f>
        <v>0</v>
      </c>
      <c r="O310" s="279">
        <f>RES_BA!S161</f>
        <v>0</v>
      </c>
      <c r="Q310" s="279">
        <f>RES_BA!T161</f>
        <v>0</v>
      </c>
      <c r="S310" s="279">
        <f>RES_BA!U161</f>
        <v>0</v>
      </c>
    </row>
    <row r="311" spans="3:19" s="277" customFormat="1" hidden="1" outlineLevel="1" x14ac:dyDescent="0.3">
      <c r="C311" s="283" t="str">
        <f>RES_BA!D162</f>
        <v>Equipment Category 33</v>
      </c>
      <c r="M311" s="279">
        <f>RES_BA!R162</f>
        <v>0</v>
      </c>
      <c r="O311" s="279">
        <f>RES_BA!S162</f>
        <v>0</v>
      </c>
      <c r="Q311" s="279">
        <f>RES_BA!T162</f>
        <v>0</v>
      </c>
      <c r="S311" s="279">
        <f>RES_BA!U162</f>
        <v>0</v>
      </c>
    </row>
    <row r="312" spans="3:19" s="277" customFormat="1" hidden="1" outlineLevel="1" collapsed="1" x14ac:dyDescent="0.3">
      <c r="C312" s="283" t="str">
        <f>RES_BA!D163</f>
        <v>Equipment Category 34</v>
      </c>
      <c r="M312" s="279">
        <f>RES_BA!R163</f>
        <v>0</v>
      </c>
      <c r="O312" s="279">
        <f>RES_BA!S163</f>
        <v>0</v>
      </c>
      <c r="Q312" s="279">
        <f>RES_BA!T163</f>
        <v>0</v>
      </c>
      <c r="S312" s="279">
        <f>RES_BA!U163</f>
        <v>0</v>
      </c>
    </row>
    <row r="313" spans="3:19" s="277" customFormat="1" hidden="1" outlineLevel="1" x14ac:dyDescent="0.3">
      <c r="C313" s="283" t="str">
        <f>RES_BA!D164</f>
        <v>Equipment Category 35</v>
      </c>
      <c r="M313" s="279">
        <f>RES_BA!R164</f>
        <v>0</v>
      </c>
      <c r="O313" s="279">
        <f>RES_BA!S164</f>
        <v>0</v>
      </c>
      <c r="Q313" s="279">
        <f>RES_BA!T164</f>
        <v>0</v>
      </c>
      <c r="S313" s="279">
        <f>RES_BA!U164</f>
        <v>0</v>
      </c>
    </row>
    <row r="314" spans="3:19" hidden="1" outlineLevel="1" x14ac:dyDescent="0.3"/>
    <row r="315" spans="3:19" hidden="1" outlineLevel="1" x14ac:dyDescent="0.3"/>
    <row r="316" spans="3:19" hidden="1" outlineLevel="1" x14ac:dyDescent="0.3">
      <c r="M316" s="40" t="str">
        <f>$D$161</f>
        <v>USD</v>
      </c>
      <c r="O316" s="40" t="str">
        <f>$D$161</f>
        <v>USD</v>
      </c>
      <c r="Q316" s="40" t="str">
        <f>$D$162</f>
        <v>GOZ</v>
      </c>
      <c r="S316" s="40" t="str">
        <f>$D$162</f>
        <v>GOZ</v>
      </c>
    </row>
    <row r="317" spans="3:19" hidden="1" outlineLevel="1" x14ac:dyDescent="0.3">
      <c r="C317" s="89" t="str">
        <f>RES_BA!D169</f>
        <v>Other Direct Costs Category 1</v>
      </c>
      <c r="M317" s="40">
        <f>RES_BA!R169</f>
        <v>0</v>
      </c>
      <c r="O317" s="40">
        <f>RES_BA!S169</f>
        <v>0</v>
      </c>
      <c r="Q317" s="40">
        <f>RES_BA!T169</f>
        <v>0</v>
      </c>
      <c r="S317" s="40">
        <f>RES_BA!U169</f>
        <v>0</v>
      </c>
    </row>
    <row r="318" spans="3:19" hidden="1" outlineLevel="1" x14ac:dyDescent="0.3">
      <c r="C318" s="89" t="str">
        <f>RES_BA!D170</f>
        <v>Other Direct Costs Category 2</v>
      </c>
      <c r="M318" s="40">
        <f>RES_BA!R170</f>
        <v>0</v>
      </c>
      <c r="O318" s="40">
        <f>RES_BA!S170</f>
        <v>0</v>
      </c>
      <c r="Q318" s="40">
        <f>RES_BA!T170</f>
        <v>0</v>
      </c>
      <c r="S318" s="40">
        <f>RES_BA!U170</f>
        <v>0</v>
      </c>
    </row>
    <row r="319" spans="3:19" hidden="1" outlineLevel="1" x14ac:dyDescent="0.3">
      <c r="C319" s="89" t="str">
        <f>RES_BA!D171</f>
        <v>Other Direct Costs Category 3</v>
      </c>
      <c r="M319" s="40">
        <f>RES_BA!R171</f>
        <v>0</v>
      </c>
      <c r="O319" s="40">
        <f>RES_BA!S171</f>
        <v>0</v>
      </c>
      <c r="Q319" s="40">
        <f>RES_BA!T171</f>
        <v>0</v>
      </c>
      <c r="S319" s="40">
        <f>RES_BA!U171</f>
        <v>0</v>
      </c>
    </row>
    <row r="320" spans="3:19" s="277" customFormat="1" hidden="1" outlineLevel="1" collapsed="1" x14ac:dyDescent="0.3">
      <c r="C320" s="283" t="str">
        <f>RES_BA!D172</f>
        <v>Other Direct Costs Category 4</v>
      </c>
      <c r="M320" s="279">
        <f>RES_BA!R172</f>
        <v>0</v>
      </c>
      <c r="O320" s="279">
        <f>RES_BA!S172</f>
        <v>0</v>
      </c>
      <c r="Q320" s="279">
        <f>RES_BA!T172</f>
        <v>0</v>
      </c>
      <c r="S320" s="279">
        <f>RES_BA!U172</f>
        <v>0</v>
      </c>
    </row>
    <row r="321" spans="3:19" s="277" customFormat="1" hidden="1" outlineLevel="1" x14ac:dyDescent="0.3">
      <c r="C321" s="283" t="str">
        <f>RES_BA!D173</f>
        <v>Other Direct Costs Category 5</v>
      </c>
      <c r="M321" s="279">
        <f>RES_BA!R173</f>
        <v>0</v>
      </c>
      <c r="O321" s="279">
        <f>RES_BA!S173</f>
        <v>0</v>
      </c>
      <c r="Q321" s="279">
        <f>RES_BA!T173</f>
        <v>0</v>
      </c>
      <c r="S321" s="279">
        <f>RES_BA!U173</f>
        <v>0</v>
      </c>
    </row>
    <row r="322" spans="3:19" s="277" customFormat="1" hidden="1" outlineLevel="1" x14ac:dyDescent="0.3">
      <c r="C322" s="283" t="str">
        <f>RES_BA!D174</f>
        <v>Other Direct Costs Category 6</v>
      </c>
      <c r="M322" s="279">
        <f>RES_BA!R174</f>
        <v>0</v>
      </c>
      <c r="O322" s="279">
        <f>RES_BA!S174</f>
        <v>0</v>
      </c>
      <c r="Q322" s="279">
        <f>RES_BA!T174</f>
        <v>0</v>
      </c>
      <c r="S322" s="279">
        <f>RES_BA!U174</f>
        <v>0</v>
      </c>
    </row>
    <row r="323" spans="3:19" s="277" customFormat="1" hidden="1" outlineLevel="1" x14ac:dyDescent="0.3">
      <c r="C323" s="283" t="str">
        <f>RES_BA!D175</f>
        <v>Other Direct Costs Category 7</v>
      </c>
      <c r="M323" s="279">
        <f>RES_BA!R175</f>
        <v>0</v>
      </c>
      <c r="O323" s="279">
        <f>RES_BA!S175</f>
        <v>0</v>
      </c>
      <c r="Q323" s="279">
        <f>RES_BA!T175</f>
        <v>0</v>
      </c>
      <c r="S323" s="279">
        <f>RES_BA!U175</f>
        <v>0</v>
      </c>
    </row>
    <row r="324" spans="3:19" s="277" customFormat="1" hidden="1" outlineLevel="1" x14ac:dyDescent="0.3">
      <c r="C324" s="283" t="str">
        <f>RES_BA!D176</f>
        <v>Other Direct Costs Category 8</v>
      </c>
      <c r="M324" s="279">
        <f>RES_BA!R176</f>
        <v>0</v>
      </c>
      <c r="O324" s="279">
        <f>RES_BA!S176</f>
        <v>0</v>
      </c>
      <c r="Q324" s="279">
        <f>RES_BA!T176</f>
        <v>0</v>
      </c>
      <c r="S324" s="279">
        <f>RES_BA!U176</f>
        <v>0</v>
      </c>
    </row>
    <row r="325" spans="3:19" s="277" customFormat="1" hidden="1" outlineLevel="1" x14ac:dyDescent="0.3">
      <c r="C325" s="283" t="str">
        <f>RES_BA!D177</f>
        <v>Other Direct Costs Category 9</v>
      </c>
      <c r="M325" s="279">
        <f>RES_BA!R177</f>
        <v>0</v>
      </c>
      <c r="O325" s="279">
        <f>RES_BA!S177</f>
        <v>0</v>
      </c>
      <c r="Q325" s="279">
        <f>RES_BA!T177</f>
        <v>0</v>
      </c>
      <c r="S325" s="279">
        <f>RES_BA!U177</f>
        <v>0</v>
      </c>
    </row>
    <row r="326" spans="3:19" s="277" customFormat="1" hidden="1" outlineLevel="1" x14ac:dyDescent="0.3">
      <c r="C326" s="283" t="str">
        <f>RES_BA!D178</f>
        <v>Other Direct Costs Category 10</v>
      </c>
      <c r="M326" s="279">
        <f>RES_BA!R178</f>
        <v>0</v>
      </c>
      <c r="O326" s="279">
        <f>RES_BA!S178</f>
        <v>0</v>
      </c>
      <c r="Q326" s="279">
        <f>RES_BA!T178</f>
        <v>0</v>
      </c>
      <c r="S326" s="279">
        <f>RES_BA!U178</f>
        <v>0</v>
      </c>
    </row>
    <row r="327" spans="3:19" s="277" customFormat="1" hidden="1" outlineLevel="1" x14ac:dyDescent="0.3">
      <c r="C327" s="283" t="str">
        <f>RES_BA!D179</f>
        <v>Other Direct Costs Category 11</v>
      </c>
      <c r="M327" s="279">
        <f>RES_BA!R179</f>
        <v>0</v>
      </c>
      <c r="O327" s="279">
        <f>RES_BA!S179</f>
        <v>0</v>
      </c>
      <c r="Q327" s="279">
        <f>RES_BA!T179</f>
        <v>0</v>
      </c>
      <c r="S327" s="279">
        <f>RES_BA!U179</f>
        <v>0</v>
      </c>
    </row>
    <row r="328" spans="3:19" s="277" customFormat="1" hidden="1" outlineLevel="1" collapsed="1" x14ac:dyDescent="0.3">
      <c r="C328" s="283" t="str">
        <f>RES_BA!D180</f>
        <v>Other Direct Costs Category 12</v>
      </c>
      <c r="M328" s="279">
        <f>RES_BA!R180</f>
        <v>0</v>
      </c>
      <c r="O328" s="279">
        <f>RES_BA!S180</f>
        <v>0</v>
      </c>
      <c r="Q328" s="279">
        <f>RES_BA!T180</f>
        <v>0</v>
      </c>
      <c r="S328" s="279">
        <f>RES_BA!U180</f>
        <v>0</v>
      </c>
    </row>
    <row r="329" spans="3:19" s="277" customFormat="1" hidden="1" outlineLevel="1" x14ac:dyDescent="0.3">
      <c r="C329" s="283" t="str">
        <f>RES_BA!D181</f>
        <v>Other Direct Costs Category 13</v>
      </c>
      <c r="M329" s="279">
        <f>RES_BA!R181</f>
        <v>0</v>
      </c>
      <c r="O329" s="279">
        <f>RES_BA!S181</f>
        <v>0</v>
      </c>
      <c r="Q329" s="279">
        <f>RES_BA!T181</f>
        <v>0</v>
      </c>
      <c r="S329" s="279">
        <f>RES_BA!U181</f>
        <v>0</v>
      </c>
    </row>
    <row r="330" spans="3:19" s="277" customFormat="1" hidden="1" outlineLevel="1" x14ac:dyDescent="0.3">
      <c r="C330" s="283" t="str">
        <f>RES_BA!D182</f>
        <v>Other Direct Costs Category 14</v>
      </c>
      <c r="M330" s="279">
        <f>RES_BA!R182</f>
        <v>0</v>
      </c>
      <c r="O330" s="279">
        <f>RES_BA!S182</f>
        <v>0</v>
      </c>
      <c r="Q330" s="279">
        <f>RES_BA!T182</f>
        <v>0</v>
      </c>
      <c r="S330" s="279">
        <f>RES_BA!U182</f>
        <v>0</v>
      </c>
    </row>
    <row r="331" spans="3:19" s="277" customFormat="1" hidden="1" outlineLevel="1" x14ac:dyDescent="0.3">
      <c r="C331" s="283" t="str">
        <f>RES_BA!D183</f>
        <v>Other Direct Costs Category 15</v>
      </c>
      <c r="M331" s="279">
        <f>RES_BA!R183</f>
        <v>0</v>
      </c>
      <c r="O331" s="279">
        <f>RES_BA!S183</f>
        <v>0</v>
      </c>
      <c r="Q331" s="279">
        <f>RES_BA!T183</f>
        <v>0</v>
      </c>
      <c r="S331" s="279">
        <f>RES_BA!U183</f>
        <v>0</v>
      </c>
    </row>
    <row r="332" spans="3:19" s="277" customFormat="1" hidden="1" outlineLevel="1" x14ac:dyDescent="0.3">
      <c r="C332" s="283" t="str">
        <f>RES_BA!D184</f>
        <v>Other Direct Costs Category 16</v>
      </c>
      <c r="M332" s="279">
        <f>RES_BA!R184</f>
        <v>0</v>
      </c>
      <c r="O332" s="279">
        <f>RES_BA!S184</f>
        <v>0</v>
      </c>
      <c r="Q332" s="279">
        <f>RES_BA!T184</f>
        <v>0</v>
      </c>
      <c r="S332" s="279">
        <f>RES_BA!U184</f>
        <v>0</v>
      </c>
    </row>
    <row r="333" spans="3:19" s="277" customFormat="1" hidden="1" outlineLevel="1" x14ac:dyDescent="0.3">
      <c r="C333" s="283" t="str">
        <f>RES_BA!D185</f>
        <v>Other Direct Costs Category 17</v>
      </c>
      <c r="M333" s="279">
        <f>RES_BA!R185</f>
        <v>0</v>
      </c>
      <c r="O333" s="279">
        <f>RES_BA!S185</f>
        <v>0</v>
      </c>
      <c r="Q333" s="279">
        <f>RES_BA!T185</f>
        <v>0</v>
      </c>
      <c r="S333" s="279">
        <f>RES_BA!U185</f>
        <v>0</v>
      </c>
    </row>
    <row r="334" spans="3:19" s="277" customFormat="1" hidden="1" outlineLevel="1" x14ac:dyDescent="0.3">
      <c r="C334" s="283" t="str">
        <f>RES_BA!D186</f>
        <v>Other Direct Costs Category 18</v>
      </c>
      <c r="M334" s="279">
        <f>RES_BA!R186</f>
        <v>0</v>
      </c>
      <c r="O334" s="279">
        <f>RES_BA!S186</f>
        <v>0</v>
      </c>
      <c r="Q334" s="279">
        <f>RES_BA!T186</f>
        <v>0</v>
      </c>
      <c r="S334" s="279">
        <f>RES_BA!U186</f>
        <v>0</v>
      </c>
    </row>
    <row r="335" spans="3:19" s="277" customFormat="1" hidden="1" outlineLevel="1" x14ac:dyDescent="0.3">
      <c r="C335" s="283" t="str">
        <f>RES_BA!D187</f>
        <v>Other Direct Costs Category 19</v>
      </c>
      <c r="M335" s="279">
        <f>RES_BA!R187</f>
        <v>0</v>
      </c>
      <c r="O335" s="279">
        <f>RES_BA!S187</f>
        <v>0</v>
      </c>
      <c r="Q335" s="279">
        <f>RES_BA!T187</f>
        <v>0</v>
      </c>
      <c r="S335" s="279">
        <f>RES_BA!U187</f>
        <v>0</v>
      </c>
    </row>
    <row r="336" spans="3:19" s="277" customFormat="1" hidden="1" outlineLevel="1" x14ac:dyDescent="0.3">
      <c r="C336" s="283" t="str">
        <f>RES_BA!D188</f>
        <v>Other Direct Costs Category 20</v>
      </c>
      <c r="M336" s="279">
        <f>RES_BA!R188</f>
        <v>0</v>
      </c>
      <c r="O336" s="279">
        <f>RES_BA!S188</f>
        <v>0</v>
      </c>
      <c r="Q336" s="279">
        <f>RES_BA!T188</f>
        <v>0</v>
      </c>
      <c r="S336" s="279">
        <f>RES_BA!U188</f>
        <v>0</v>
      </c>
    </row>
    <row r="337" spans="3:19" s="277" customFormat="1" hidden="1" outlineLevel="1" x14ac:dyDescent="0.3">
      <c r="C337" s="283" t="str">
        <f>RES_BA!D189</f>
        <v>Other Direct Costs Category 21</v>
      </c>
      <c r="M337" s="279">
        <f>RES_BA!R189</f>
        <v>0</v>
      </c>
      <c r="O337" s="279">
        <f>RES_BA!S189</f>
        <v>0</v>
      </c>
      <c r="Q337" s="279">
        <f>RES_BA!T189</f>
        <v>0</v>
      </c>
      <c r="S337" s="279">
        <f>RES_BA!U189</f>
        <v>0</v>
      </c>
    </row>
    <row r="338" spans="3:19" s="277" customFormat="1" hidden="1" outlineLevel="1" x14ac:dyDescent="0.3">
      <c r="C338" s="283" t="str">
        <f>RES_BA!D190</f>
        <v>Other Direct Costs Category 22</v>
      </c>
      <c r="M338" s="279">
        <f>RES_BA!R190</f>
        <v>0</v>
      </c>
      <c r="O338" s="279">
        <f>RES_BA!S190</f>
        <v>0</v>
      </c>
      <c r="Q338" s="279">
        <f>RES_BA!T190</f>
        <v>0</v>
      </c>
      <c r="S338" s="279">
        <f>RES_BA!U190</f>
        <v>0</v>
      </c>
    </row>
    <row r="339" spans="3:19" s="277" customFormat="1" hidden="1" outlineLevel="1" x14ac:dyDescent="0.3">
      <c r="C339" s="283" t="str">
        <f>RES_BA!D191</f>
        <v>Other Direct Costs Category 23</v>
      </c>
      <c r="M339" s="279">
        <f>RES_BA!R191</f>
        <v>0</v>
      </c>
      <c r="O339" s="279">
        <f>RES_BA!S191</f>
        <v>0</v>
      </c>
      <c r="Q339" s="279">
        <f>RES_BA!T191</f>
        <v>0</v>
      </c>
      <c r="S339" s="279">
        <f>RES_BA!U191</f>
        <v>0</v>
      </c>
    </row>
    <row r="340" spans="3:19" s="277" customFormat="1" hidden="1" outlineLevel="1" collapsed="1" x14ac:dyDescent="0.3">
      <c r="C340" s="283" t="str">
        <f>RES_BA!D192</f>
        <v>Other Direct Costs Category 24</v>
      </c>
      <c r="M340" s="279">
        <f>RES_BA!R192</f>
        <v>0</v>
      </c>
      <c r="O340" s="279">
        <f>RES_BA!S192</f>
        <v>0</v>
      </c>
      <c r="Q340" s="279">
        <f>RES_BA!T192</f>
        <v>0</v>
      </c>
      <c r="S340" s="279">
        <f>RES_BA!U192</f>
        <v>0</v>
      </c>
    </row>
    <row r="341" spans="3:19" s="277" customFormat="1" hidden="1" outlineLevel="1" x14ac:dyDescent="0.3">
      <c r="C341" s="283" t="str">
        <f>RES_BA!D193</f>
        <v>Other Direct Costs Category 25</v>
      </c>
      <c r="M341" s="279">
        <f>RES_BA!R193</f>
        <v>0</v>
      </c>
      <c r="O341" s="279">
        <f>RES_BA!S193</f>
        <v>0</v>
      </c>
      <c r="Q341" s="279">
        <f>RES_BA!T193</f>
        <v>0</v>
      </c>
      <c r="S341" s="279">
        <f>RES_BA!U193</f>
        <v>0</v>
      </c>
    </row>
    <row r="342" spans="3:19" s="277" customFormat="1" hidden="1" outlineLevel="1" x14ac:dyDescent="0.3">
      <c r="C342" s="283" t="str">
        <f>RES_BA!D194</f>
        <v>Other Direct Costs Category 26</v>
      </c>
      <c r="M342" s="279">
        <f>RES_BA!R194</f>
        <v>0</v>
      </c>
      <c r="O342" s="279">
        <f>RES_BA!S194</f>
        <v>0</v>
      </c>
      <c r="Q342" s="279">
        <f>RES_BA!T194</f>
        <v>0</v>
      </c>
      <c r="S342" s="279">
        <f>RES_BA!U194</f>
        <v>0</v>
      </c>
    </row>
    <row r="343" spans="3:19" s="277" customFormat="1" hidden="1" outlineLevel="1" x14ac:dyDescent="0.3">
      <c r="C343" s="283" t="str">
        <f>RES_BA!D195</f>
        <v>Other Direct Costs Category 27</v>
      </c>
      <c r="M343" s="279">
        <f>RES_BA!R195</f>
        <v>0</v>
      </c>
      <c r="O343" s="279">
        <f>RES_BA!S195</f>
        <v>0</v>
      </c>
      <c r="Q343" s="279">
        <f>RES_BA!T195</f>
        <v>0</v>
      </c>
      <c r="S343" s="279">
        <f>RES_BA!U195</f>
        <v>0</v>
      </c>
    </row>
    <row r="344" spans="3:19" s="277" customFormat="1" hidden="1" outlineLevel="1" x14ac:dyDescent="0.3">
      <c r="C344" s="283" t="str">
        <f>RES_BA!D196</f>
        <v>Other Direct Costs Category 28</v>
      </c>
      <c r="M344" s="279">
        <f>RES_BA!R196</f>
        <v>0</v>
      </c>
      <c r="O344" s="279">
        <f>RES_BA!S196</f>
        <v>0</v>
      </c>
      <c r="Q344" s="279">
        <f>RES_BA!T196</f>
        <v>0</v>
      </c>
      <c r="S344" s="279">
        <f>RES_BA!U196</f>
        <v>0</v>
      </c>
    </row>
    <row r="345" spans="3:19" s="277" customFormat="1" hidden="1" outlineLevel="1" x14ac:dyDescent="0.3">
      <c r="C345" s="283" t="str">
        <f>RES_BA!D197</f>
        <v>Other Direct Costs Category 29</v>
      </c>
      <c r="M345" s="279">
        <f>RES_BA!R197</f>
        <v>0</v>
      </c>
      <c r="O345" s="279">
        <f>RES_BA!S197</f>
        <v>0</v>
      </c>
      <c r="Q345" s="279">
        <f>RES_BA!T197</f>
        <v>0</v>
      </c>
      <c r="S345" s="279">
        <f>RES_BA!U197</f>
        <v>0</v>
      </c>
    </row>
    <row r="346" spans="3:19" s="277" customFormat="1" hidden="1" outlineLevel="1" x14ac:dyDescent="0.3">
      <c r="C346" s="283" t="str">
        <f>RES_BA!D198</f>
        <v>Other Direct Costs Category 30</v>
      </c>
      <c r="M346" s="279">
        <f>RES_BA!R198</f>
        <v>0</v>
      </c>
      <c r="O346" s="279">
        <f>RES_BA!S198</f>
        <v>0</v>
      </c>
      <c r="Q346" s="279">
        <f>RES_BA!T198</f>
        <v>0</v>
      </c>
      <c r="S346" s="279">
        <f>RES_BA!U198</f>
        <v>0</v>
      </c>
    </row>
    <row r="347" spans="3:19" s="277" customFormat="1" hidden="1" outlineLevel="1" x14ac:dyDescent="0.3">
      <c r="C347" s="283" t="str">
        <f>RES_BA!D199</f>
        <v>Other Direct Costs Category 31</v>
      </c>
      <c r="M347" s="279">
        <f>RES_BA!R199</f>
        <v>0</v>
      </c>
      <c r="O347" s="279">
        <f>RES_BA!S199</f>
        <v>0</v>
      </c>
      <c r="Q347" s="279">
        <f>RES_BA!T199</f>
        <v>0</v>
      </c>
      <c r="S347" s="279">
        <f>RES_BA!U199</f>
        <v>0</v>
      </c>
    </row>
    <row r="348" spans="3:19" s="277" customFormat="1" hidden="1" outlineLevel="1" x14ac:dyDescent="0.3">
      <c r="C348" s="283" t="str">
        <f>RES_BA!D200</f>
        <v>Other Direct Costs Category 32</v>
      </c>
      <c r="M348" s="279">
        <f>RES_BA!R200</f>
        <v>0</v>
      </c>
      <c r="O348" s="279">
        <f>RES_BA!S200</f>
        <v>0</v>
      </c>
      <c r="Q348" s="279">
        <f>RES_BA!T200</f>
        <v>0</v>
      </c>
      <c r="S348" s="279">
        <f>RES_BA!U200</f>
        <v>0</v>
      </c>
    </row>
    <row r="349" spans="3:19" s="277" customFormat="1" hidden="1" outlineLevel="1" x14ac:dyDescent="0.3">
      <c r="C349" s="283" t="str">
        <f>RES_BA!D201</f>
        <v>Other Direct Costs Category 33</v>
      </c>
      <c r="M349" s="279">
        <f>RES_BA!R201</f>
        <v>0</v>
      </c>
      <c r="O349" s="279">
        <f>RES_BA!S201</f>
        <v>0</v>
      </c>
      <c r="Q349" s="279">
        <f>RES_BA!T201</f>
        <v>0</v>
      </c>
      <c r="S349" s="279">
        <f>RES_BA!U201</f>
        <v>0</v>
      </c>
    </row>
    <row r="350" spans="3:19" s="277" customFormat="1" hidden="1" outlineLevel="1" x14ac:dyDescent="0.3">
      <c r="C350" s="283" t="str">
        <f>RES_BA!D202</f>
        <v>Other Direct Costs Category 34</v>
      </c>
      <c r="M350" s="279">
        <f>RES_BA!R202</f>
        <v>0</v>
      </c>
      <c r="O350" s="279">
        <f>RES_BA!S202</f>
        <v>0</v>
      </c>
      <c r="Q350" s="279">
        <f>RES_BA!T202</f>
        <v>0</v>
      </c>
      <c r="S350" s="279">
        <f>RES_BA!U202</f>
        <v>0</v>
      </c>
    </row>
    <row r="351" spans="3:19" s="277" customFormat="1" hidden="1" outlineLevel="1" x14ac:dyDescent="0.3">
      <c r="C351" s="283" t="str">
        <f>RES_BA!D203</f>
        <v>Other Direct Costs Category 35</v>
      </c>
      <c r="M351" s="279">
        <f>RES_BA!R203</f>
        <v>0</v>
      </c>
      <c r="O351" s="279">
        <f>RES_BA!S203</f>
        <v>0</v>
      </c>
      <c r="Q351" s="279">
        <f>RES_BA!T203</f>
        <v>0</v>
      </c>
      <c r="S351" s="279">
        <f>RES_BA!U203</f>
        <v>0</v>
      </c>
    </row>
    <row r="352" spans="3:19" collapsed="1" x14ac:dyDescent="0.3"/>
    <row r="354" spans="2:24" ht="18" x14ac:dyDescent="0.3">
      <c r="B354" s="31" t="str">
        <f>I355</f>
        <v>Communication Materials Activity #2 [not in use]</v>
      </c>
    </row>
    <row r="355" spans="2:24" x14ac:dyDescent="0.3">
      <c r="G355" s="41" t="s">
        <v>119</v>
      </c>
      <c r="I355" s="356" t="s">
        <v>991</v>
      </c>
      <c r="J355" s="356"/>
      <c r="K355" s="356"/>
      <c r="L355" s="356"/>
      <c r="M355" s="356"/>
    </row>
    <row r="356" spans="2:24" ht="10.5" customHeight="1" x14ac:dyDescent="0.3">
      <c r="G356" s="41" t="s">
        <v>76</v>
      </c>
      <c r="I356" s="32">
        <v>2</v>
      </c>
    </row>
    <row r="357" spans="2:24" ht="15.6" x14ac:dyDescent="0.3">
      <c r="C357" s="92" t="s">
        <v>77</v>
      </c>
      <c r="M357" s="40" t="str">
        <f>IF(DD_ACT_21_Meet1_Curr=1,$D$510,$D$511)</f>
        <v>GOZ</v>
      </c>
      <c r="O357" s="40" t="str">
        <f>IF(DD_ACT_21_Meet1_Curr=1,$D$510,$D$511)</f>
        <v>GOZ</v>
      </c>
      <c r="Q357" s="40" t="str">
        <f>IF(DD_ACT_21_Meet1_Curr=1,$D$510,$D$511)</f>
        <v>GOZ</v>
      </c>
      <c r="S357" s="40" t="str">
        <f>IF(DD_ACT_21_Meet1_Curr=1,$D$510,$D$511)</f>
        <v>GOZ</v>
      </c>
    </row>
    <row r="358" spans="2:24" ht="27.6" x14ac:dyDescent="0.3">
      <c r="D358" s="90" t="s">
        <v>77</v>
      </c>
      <c r="I358" s="88" t="s">
        <v>80</v>
      </c>
      <c r="K358" s="91" t="s">
        <v>78</v>
      </c>
      <c r="M358" s="42" t="s">
        <v>103</v>
      </c>
      <c r="O358" s="42" t="s">
        <v>104</v>
      </c>
      <c r="Q358" s="42" t="s">
        <v>105</v>
      </c>
      <c r="S358" s="42" t="s">
        <v>106</v>
      </c>
      <c r="U358" s="350" t="s">
        <v>185</v>
      </c>
      <c r="V358" s="426"/>
      <c r="W358" s="426"/>
      <c r="X358" s="426"/>
    </row>
    <row r="359" spans="2:24" x14ac:dyDescent="0.3">
      <c r="D359" s="356" t="s">
        <v>188</v>
      </c>
      <c r="E359" s="356"/>
      <c r="F359" s="356"/>
      <c r="G359" s="356"/>
      <c r="I359" s="48">
        <v>0</v>
      </c>
      <c r="K359" s="48">
        <v>0</v>
      </c>
      <c r="M359" s="40">
        <f t="shared" ref="M359:M383" si="20">IFERROR(IF(DD_ACT_21_Meet1_Curr=1,INDEX($M$516:$M$550,MATCH(D359,LU_ACT_21_Pers_Res,0)),INDEX($Q$516:$Q$550,MATCH(D359,LU_ACT_21_Pers_Res,0))),0)</f>
        <v>0</v>
      </c>
      <c r="O359" s="40">
        <f t="shared" ref="O359:O383" si="21">IFERROR(IF(DD_ACT_21_Meet1_Curr=1,INDEX($O$516:$O$550,MATCH(D359,LU_ACT_21_Pers_Res,0)),INDEX($S$516:$S$550,MATCH(D359,LU_ACT_21_Pers_Res,0))),0)</f>
        <v>0</v>
      </c>
      <c r="Q359" s="293">
        <f t="shared" ref="Q359:Q383" si="22">I359*K359*M359</f>
        <v>0</v>
      </c>
      <c r="S359" s="293">
        <f t="shared" ref="S359:S383" si="23">I359*K359*O359</f>
        <v>0</v>
      </c>
      <c r="U359" s="356"/>
      <c r="V359" s="356"/>
      <c r="W359" s="356"/>
      <c r="X359" s="356"/>
    </row>
    <row r="360" spans="2:24" x14ac:dyDescent="0.3">
      <c r="D360" s="356" t="s">
        <v>189</v>
      </c>
      <c r="E360" s="356"/>
      <c r="F360" s="356"/>
      <c r="G360" s="356"/>
      <c r="I360" s="48">
        <v>0</v>
      </c>
      <c r="K360" s="48">
        <v>0</v>
      </c>
      <c r="M360" s="40">
        <f t="shared" si="20"/>
        <v>0</v>
      </c>
      <c r="O360" s="40">
        <f t="shared" si="21"/>
        <v>0</v>
      </c>
      <c r="Q360" s="293">
        <f t="shared" si="22"/>
        <v>0</v>
      </c>
      <c r="S360" s="293">
        <f t="shared" si="23"/>
        <v>0</v>
      </c>
      <c r="U360" s="356"/>
      <c r="V360" s="356"/>
      <c r="W360" s="356"/>
      <c r="X360" s="356"/>
    </row>
    <row r="361" spans="2:24" x14ac:dyDescent="0.3">
      <c r="D361" s="356" t="s">
        <v>190</v>
      </c>
      <c r="E361" s="356"/>
      <c r="F361" s="356"/>
      <c r="G361" s="356"/>
      <c r="I361" s="48">
        <v>0</v>
      </c>
      <c r="K361" s="48">
        <v>0</v>
      </c>
      <c r="M361" s="40">
        <f t="shared" si="20"/>
        <v>0</v>
      </c>
      <c r="O361" s="40">
        <f t="shared" si="21"/>
        <v>0</v>
      </c>
      <c r="Q361" s="293">
        <f t="shared" si="22"/>
        <v>0</v>
      </c>
      <c r="S361" s="293">
        <f t="shared" si="23"/>
        <v>0</v>
      </c>
      <c r="U361" s="356"/>
      <c r="V361" s="356"/>
      <c r="W361" s="356"/>
      <c r="X361" s="356"/>
    </row>
    <row r="362" spans="2:24" x14ac:dyDescent="0.3">
      <c r="D362" s="356" t="s">
        <v>191</v>
      </c>
      <c r="E362" s="356"/>
      <c r="F362" s="356"/>
      <c r="G362" s="356"/>
      <c r="I362" s="48">
        <v>0</v>
      </c>
      <c r="K362" s="48">
        <v>0</v>
      </c>
      <c r="M362" s="40">
        <f t="shared" si="20"/>
        <v>0</v>
      </c>
      <c r="O362" s="40">
        <f t="shared" si="21"/>
        <v>0</v>
      </c>
      <c r="Q362" s="293">
        <f t="shared" si="22"/>
        <v>0</v>
      </c>
      <c r="S362" s="293">
        <f t="shared" si="23"/>
        <v>0</v>
      </c>
      <c r="U362" s="356"/>
      <c r="V362" s="356"/>
      <c r="W362" s="356"/>
      <c r="X362" s="356"/>
    </row>
    <row r="363" spans="2:24" x14ac:dyDescent="0.3">
      <c r="D363" s="356" t="s">
        <v>192</v>
      </c>
      <c r="E363" s="356"/>
      <c r="F363" s="356"/>
      <c r="G363" s="356"/>
      <c r="I363" s="48">
        <v>0</v>
      </c>
      <c r="K363" s="48">
        <v>0</v>
      </c>
      <c r="M363" s="40">
        <f t="shared" si="20"/>
        <v>0</v>
      </c>
      <c r="O363" s="40">
        <f t="shared" si="21"/>
        <v>0</v>
      </c>
      <c r="Q363" s="293">
        <f t="shared" si="22"/>
        <v>0</v>
      </c>
      <c r="S363" s="293">
        <f t="shared" si="23"/>
        <v>0</v>
      </c>
      <c r="U363" s="356"/>
      <c r="V363" s="356"/>
      <c r="W363" s="356"/>
      <c r="X363" s="356"/>
    </row>
    <row r="364" spans="2:24" x14ac:dyDescent="0.3">
      <c r="D364" s="356" t="s">
        <v>193</v>
      </c>
      <c r="E364" s="356"/>
      <c r="F364" s="356"/>
      <c r="G364" s="356"/>
      <c r="I364" s="48">
        <v>0</v>
      </c>
      <c r="K364" s="48">
        <v>0</v>
      </c>
      <c r="M364" s="40">
        <f t="shared" si="20"/>
        <v>0</v>
      </c>
      <c r="O364" s="40">
        <f t="shared" si="21"/>
        <v>0</v>
      </c>
      <c r="Q364" s="293">
        <f t="shared" si="22"/>
        <v>0</v>
      </c>
      <c r="S364" s="293">
        <f t="shared" si="23"/>
        <v>0</v>
      </c>
      <c r="U364" s="356"/>
      <c r="V364" s="356"/>
      <c r="W364" s="356"/>
      <c r="X364" s="356"/>
    </row>
    <row r="365" spans="2:24" x14ac:dyDescent="0.3">
      <c r="D365" s="356" t="s">
        <v>120</v>
      </c>
      <c r="E365" s="356"/>
      <c r="F365" s="356"/>
      <c r="G365" s="356"/>
      <c r="I365" s="48">
        <v>0</v>
      </c>
      <c r="K365" s="48">
        <v>0</v>
      </c>
      <c r="M365" s="40">
        <f t="shared" si="20"/>
        <v>0</v>
      </c>
      <c r="O365" s="40">
        <f t="shared" si="21"/>
        <v>0</v>
      </c>
      <c r="Q365" s="293">
        <f t="shared" si="22"/>
        <v>0</v>
      </c>
      <c r="S365" s="293">
        <f t="shared" si="23"/>
        <v>0</v>
      </c>
      <c r="U365" s="356"/>
      <c r="V365" s="356"/>
      <c r="W365" s="356"/>
      <c r="X365" s="356"/>
    </row>
    <row r="366" spans="2:24" x14ac:dyDescent="0.3">
      <c r="D366" s="356" t="s">
        <v>121</v>
      </c>
      <c r="E366" s="356"/>
      <c r="F366" s="356"/>
      <c r="G366" s="356"/>
      <c r="I366" s="48">
        <v>0</v>
      </c>
      <c r="K366" s="48">
        <v>0</v>
      </c>
      <c r="M366" s="40">
        <f t="shared" si="20"/>
        <v>0</v>
      </c>
      <c r="O366" s="40">
        <f t="shared" si="21"/>
        <v>0</v>
      </c>
      <c r="Q366" s="293">
        <f t="shared" si="22"/>
        <v>0</v>
      </c>
      <c r="S366" s="293">
        <f t="shared" si="23"/>
        <v>0</v>
      </c>
      <c r="U366" s="356"/>
      <c r="V366" s="356"/>
      <c r="W366" s="356"/>
      <c r="X366" s="356"/>
    </row>
    <row r="367" spans="2:24" s="277" customFormat="1" x14ac:dyDescent="0.3">
      <c r="D367" s="356" t="s">
        <v>830</v>
      </c>
      <c r="E367" s="356"/>
      <c r="F367" s="356"/>
      <c r="G367" s="356"/>
      <c r="I367" s="48">
        <v>0</v>
      </c>
      <c r="K367" s="48">
        <v>0</v>
      </c>
      <c r="M367" s="279">
        <f t="shared" si="20"/>
        <v>0</v>
      </c>
      <c r="O367" s="279">
        <f t="shared" si="21"/>
        <v>0</v>
      </c>
      <c r="Q367" s="293">
        <f t="shared" si="22"/>
        <v>0</v>
      </c>
      <c r="S367" s="293">
        <f t="shared" si="23"/>
        <v>0</v>
      </c>
      <c r="U367" s="385"/>
      <c r="V367" s="385"/>
      <c r="W367" s="385"/>
      <c r="X367" s="385"/>
    </row>
    <row r="368" spans="2:24" s="277" customFormat="1" x14ac:dyDescent="0.3">
      <c r="D368" s="356" t="s">
        <v>831</v>
      </c>
      <c r="E368" s="356"/>
      <c r="F368" s="356"/>
      <c r="G368" s="356"/>
      <c r="I368" s="48">
        <v>0</v>
      </c>
      <c r="K368" s="48">
        <v>0</v>
      </c>
      <c r="M368" s="279">
        <f t="shared" si="20"/>
        <v>0</v>
      </c>
      <c r="O368" s="279">
        <f t="shared" si="21"/>
        <v>0</v>
      </c>
      <c r="Q368" s="293">
        <f t="shared" si="22"/>
        <v>0</v>
      </c>
      <c r="S368" s="293">
        <f t="shared" si="23"/>
        <v>0</v>
      </c>
      <c r="U368" s="385"/>
      <c r="V368" s="385"/>
      <c r="W368" s="385"/>
      <c r="X368" s="385"/>
    </row>
    <row r="369" spans="4:24" s="277" customFormat="1" x14ac:dyDescent="0.3">
      <c r="D369" s="356" t="s">
        <v>832</v>
      </c>
      <c r="E369" s="356"/>
      <c r="F369" s="356"/>
      <c r="G369" s="356"/>
      <c r="I369" s="48">
        <v>0</v>
      </c>
      <c r="K369" s="48">
        <v>0</v>
      </c>
      <c r="M369" s="279">
        <f t="shared" si="20"/>
        <v>0</v>
      </c>
      <c r="O369" s="279">
        <f t="shared" si="21"/>
        <v>0</v>
      </c>
      <c r="Q369" s="293">
        <f t="shared" si="22"/>
        <v>0</v>
      </c>
      <c r="S369" s="293">
        <f t="shared" si="23"/>
        <v>0</v>
      </c>
      <c r="U369" s="385"/>
      <c r="V369" s="385"/>
      <c r="W369" s="385"/>
      <c r="X369" s="385"/>
    </row>
    <row r="370" spans="4:24" s="277" customFormat="1" x14ac:dyDescent="0.3">
      <c r="D370" s="356" t="s">
        <v>833</v>
      </c>
      <c r="E370" s="356"/>
      <c r="F370" s="356"/>
      <c r="G370" s="356"/>
      <c r="I370" s="48">
        <v>0</v>
      </c>
      <c r="K370" s="48">
        <v>0</v>
      </c>
      <c r="M370" s="279">
        <f t="shared" si="20"/>
        <v>0</v>
      </c>
      <c r="O370" s="279">
        <f t="shared" si="21"/>
        <v>0</v>
      </c>
      <c r="Q370" s="293">
        <f t="shared" si="22"/>
        <v>0</v>
      </c>
      <c r="S370" s="293">
        <f t="shared" si="23"/>
        <v>0</v>
      </c>
      <c r="U370" s="385"/>
      <c r="V370" s="385"/>
      <c r="W370" s="385"/>
      <c r="X370" s="385"/>
    </row>
    <row r="371" spans="4:24" s="277" customFormat="1" x14ac:dyDescent="0.3">
      <c r="D371" s="356" t="s">
        <v>834</v>
      </c>
      <c r="E371" s="356"/>
      <c r="F371" s="356"/>
      <c r="G371" s="356"/>
      <c r="I371" s="48">
        <v>0</v>
      </c>
      <c r="K371" s="48">
        <v>0</v>
      </c>
      <c r="M371" s="279">
        <f t="shared" si="20"/>
        <v>0</v>
      </c>
      <c r="O371" s="279">
        <f t="shared" si="21"/>
        <v>0</v>
      </c>
      <c r="Q371" s="293">
        <f t="shared" si="22"/>
        <v>0</v>
      </c>
      <c r="S371" s="293">
        <f t="shared" si="23"/>
        <v>0</v>
      </c>
      <c r="U371" s="385"/>
      <c r="V371" s="385"/>
      <c r="W371" s="385"/>
      <c r="X371" s="385"/>
    </row>
    <row r="372" spans="4:24" s="277" customFormat="1" x14ac:dyDescent="0.3">
      <c r="D372" s="356" t="s">
        <v>835</v>
      </c>
      <c r="E372" s="356"/>
      <c r="F372" s="356"/>
      <c r="G372" s="356"/>
      <c r="I372" s="48">
        <v>0</v>
      </c>
      <c r="K372" s="48">
        <v>0</v>
      </c>
      <c r="M372" s="279">
        <f t="shared" si="20"/>
        <v>0</v>
      </c>
      <c r="O372" s="279">
        <f t="shared" si="21"/>
        <v>0</v>
      </c>
      <c r="Q372" s="293">
        <f t="shared" si="22"/>
        <v>0</v>
      </c>
      <c r="S372" s="293">
        <f t="shared" si="23"/>
        <v>0</v>
      </c>
      <c r="U372" s="385"/>
      <c r="V372" s="385"/>
      <c r="W372" s="385"/>
      <c r="X372" s="385"/>
    </row>
    <row r="373" spans="4:24" s="277" customFormat="1" x14ac:dyDescent="0.3">
      <c r="D373" s="356" t="s">
        <v>836</v>
      </c>
      <c r="E373" s="356"/>
      <c r="F373" s="356"/>
      <c r="G373" s="356"/>
      <c r="I373" s="48">
        <v>0</v>
      </c>
      <c r="K373" s="48">
        <v>0</v>
      </c>
      <c r="M373" s="279">
        <f t="shared" si="20"/>
        <v>0</v>
      </c>
      <c r="O373" s="279">
        <f t="shared" si="21"/>
        <v>0</v>
      </c>
      <c r="Q373" s="293">
        <f t="shared" si="22"/>
        <v>0</v>
      </c>
      <c r="S373" s="293">
        <f t="shared" si="23"/>
        <v>0</v>
      </c>
      <c r="U373" s="385"/>
      <c r="V373" s="385"/>
      <c r="W373" s="385"/>
      <c r="X373" s="385"/>
    </row>
    <row r="374" spans="4:24" s="277" customFormat="1" x14ac:dyDescent="0.3">
      <c r="D374" s="356" t="s">
        <v>837</v>
      </c>
      <c r="E374" s="356"/>
      <c r="F374" s="356"/>
      <c r="G374" s="356"/>
      <c r="I374" s="48">
        <v>0</v>
      </c>
      <c r="K374" s="48">
        <v>0</v>
      </c>
      <c r="M374" s="279">
        <f t="shared" si="20"/>
        <v>0</v>
      </c>
      <c r="O374" s="279">
        <f t="shared" si="21"/>
        <v>0</v>
      </c>
      <c r="Q374" s="293">
        <f t="shared" si="22"/>
        <v>0</v>
      </c>
      <c r="S374" s="293">
        <f t="shared" si="23"/>
        <v>0</v>
      </c>
      <c r="U374" s="385"/>
      <c r="V374" s="385"/>
      <c r="W374" s="385"/>
      <c r="X374" s="385"/>
    </row>
    <row r="375" spans="4:24" s="277" customFormat="1" x14ac:dyDescent="0.3">
      <c r="D375" s="356" t="s">
        <v>846</v>
      </c>
      <c r="E375" s="356"/>
      <c r="F375" s="356"/>
      <c r="G375" s="356"/>
      <c r="I375" s="48">
        <v>0</v>
      </c>
      <c r="K375" s="48">
        <v>0</v>
      </c>
      <c r="M375" s="279">
        <f t="shared" si="20"/>
        <v>0</v>
      </c>
      <c r="O375" s="279">
        <f t="shared" si="21"/>
        <v>0</v>
      </c>
      <c r="Q375" s="293">
        <f t="shared" si="22"/>
        <v>0</v>
      </c>
      <c r="S375" s="293">
        <f t="shared" si="23"/>
        <v>0</v>
      </c>
      <c r="U375" s="385"/>
      <c r="V375" s="385"/>
      <c r="W375" s="385"/>
      <c r="X375" s="385"/>
    </row>
    <row r="376" spans="4:24" s="277" customFormat="1" x14ac:dyDescent="0.3">
      <c r="D376" s="356" t="s">
        <v>847</v>
      </c>
      <c r="E376" s="356"/>
      <c r="F376" s="356"/>
      <c r="G376" s="356"/>
      <c r="I376" s="48">
        <v>0</v>
      </c>
      <c r="K376" s="48">
        <v>0</v>
      </c>
      <c r="M376" s="279">
        <f t="shared" si="20"/>
        <v>0</v>
      </c>
      <c r="O376" s="279">
        <f t="shared" si="21"/>
        <v>0</v>
      </c>
      <c r="Q376" s="293">
        <f t="shared" si="22"/>
        <v>0</v>
      </c>
      <c r="S376" s="293">
        <f t="shared" si="23"/>
        <v>0</v>
      </c>
      <c r="U376" s="385"/>
      <c r="V376" s="385"/>
      <c r="W376" s="385"/>
      <c r="X376" s="385"/>
    </row>
    <row r="377" spans="4:24" s="277" customFormat="1" x14ac:dyDescent="0.3">
      <c r="D377" s="356" t="s">
        <v>848</v>
      </c>
      <c r="E377" s="356"/>
      <c r="F377" s="356"/>
      <c r="G377" s="356"/>
      <c r="I377" s="48">
        <v>0</v>
      </c>
      <c r="K377" s="48">
        <v>0</v>
      </c>
      <c r="M377" s="279">
        <f t="shared" si="20"/>
        <v>0</v>
      </c>
      <c r="O377" s="279">
        <f t="shared" si="21"/>
        <v>0</v>
      </c>
      <c r="Q377" s="293">
        <f t="shared" si="22"/>
        <v>0</v>
      </c>
      <c r="S377" s="293">
        <f t="shared" si="23"/>
        <v>0</v>
      </c>
      <c r="U377" s="385"/>
      <c r="V377" s="385"/>
      <c r="W377" s="385"/>
      <c r="X377" s="385"/>
    </row>
    <row r="378" spans="4:24" s="277" customFormat="1" x14ac:dyDescent="0.3">
      <c r="D378" s="356" t="s">
        <v>849</v>
      </c>
      <c r="E378" s="356"/>
      <c r="F378" s="356"/>
      <c r="G378" s="356"/>
      <c r="I378" s="48">
        <v>0</v>
      </c>
      <c r="K378" s="48">
        <v>0</v>
      </c>
      <c r="M378" s="279">
        <f t="shared" si="20"/>
        <v>0</v>
      </c>
      <c r="O378" s="279">
        <f t="shared" si="21"/>
        <v>0</v>
      </c>
      <c r="Q378" s="293">
        <f t="shared" si="22"/>
        <v>0</v>
      </c>
      <c r="S378" s="293">
        <f t="shared" si="23"/>
        <v>0</v>
      </c>
      <c r="U378" s="385"/>
      <c r="V378" s="385"/>
      <c r="W378" s="385"/>
      <c r="X378" s="385"/>
    </row>
    <row r="379" spans="4:24" s="277" customFormat="1" x14ac:dyDescent="0.3">
      <c r="D379" s="356" t="s">
        <v>971</v>
      </c>
      <c r="E379" s="356"/>
      <c r="F379" s="356"/>
      <c r="G379" s="356"/>
      <c r="I379" s="48">
        <v>0</v>
      </c>
      <c r="K379" s="48">
        <v>0</v>
      </c>
      <c r="M379" s="279">
        <f t="shared" si="20"/>
        <v>0</v>
      </c>
      <c r="O379" s="279">
        <f t="shared" si="21"/>
        <v>0</v>
      </c>
      <c r="Q379" s="293">
        <f t="shared" si="22"/>
        <v>0</v>
      </c>
      <c r="S379" s="293">
        <f t="shared" si="23"/>
        <v>0</v>
      </c>
      <c r="U379" s="385"/>
      <c r="V379" s="385"/>
      <c r="W379" s="385"/>
      <c r="X379" s="385"/>
    </row>
    <row r="380" spans="4:24" s="277" customFormat="1" x14ac:dyDescent="0.3">
      <c r="D380" s="356" t="s">
        <v>973</v>
      </c>
      <c r="E380" s="356"/>
      <c r="F380" s="356"/>
      <c r="G380" s="356"/>
      <c r="I380" s="48">
        <v>0</v>
      </c>
      <c r="K380" s="48">
        <v>0</v>
      </c>
      <c r="M380" s="279">
        <f t="shared" si="20"/>
        <v>0</v>
      </c>
      <c r="O380" s="279">
        <f t="shared" si="21"/>
        <v>0</v>
      </c>
      <c r="Q380" s="293">
        <f t="shared" si="22"/>
        <v>0</v>
      </c>
      <c r="S380" s="293">
        <f t="shared" si="23"/>
        <v>0</v>
      </c>
      <c r="U380" s="385"/>
      <c r="V380" s="385"/>
      <c r="W380" s="385"/>
      <c r="X380" s="385"/>
    </row>
    <row r="381" spans="4:24" s="277" customFormat="1" x14ac:dyDescent="0.3">
      <c r="D381" s="356" t="s">
        <v>974</v>
      </c>
      <c r="E381" s="356"/>
      <c r="F381" s="356"/>
      <c r="G381" s="356"/>
      <c r="I381" s="48">
        <v>0</v>
      </c>
      <c r="K381" s="48">
        <v>0</v>
      </c>
      <c r="M381" s="279">
        <f t="shared" si="20"/>
        <v>0</v>
      </c>
      <c r="O381" s="279">
        <f t="shared" si="21"/>
        <v>0</v>
      </c>
      <c r="Q381" s="293">
        <f t="shared" si="22"/>
        <v>0</v>
      </c>
      <c r="S381" s="293">
        <f t="shared" si="23"/>
        <v>0</v>
      </c>
      <c r="U381" s="385"/>
      <c r="V381" s="385"/>
      <c r="W381" s="385"/>
      <c r="X381" s="385"/>
    </row>
    <row r="382" spans="4:24" s="277" customFormat="1" x14ac:dyDescent="0.3">
      <c r="D382" s="356" t="s">
        <v>975</v>
      </c>
      <c r="E382" s="356"/>
      <c r="F382" s="356"/>
      <c r="G382" s="356"/>
      <c r="I382" s="48">
        <v>0</v>
      </c>
      <c r="K382" s="48">
        <v>0</v>
      </c>
      <c r="M382" s="279">
        <f t="shared" si="20"/>
        <v>0</v>
      </c>
      <c r="O382" s="279">
        <f t="shared" si="21"/>
        <v>0</v>
      </c>
      <c r="Q382" s="293">
        <f t="shared" si="22"/>
        <v>0</v>
      </c>
      <c r="S382" s="293">
        <f t="shared" si="23"/>
        <v>0</v>
      </c>
      <c r="U382" s="385"/>
      <c r="V382" s="385"/>
      <c r="W382" s="385"/>
      <c r="X382" s="385"/>
    </row>
    <row r="383" spans="4:24" s="277" customFormat="1" x14ac:dyDescent="0.3">
      <c r="D383" s="356" t="s">
        <v>976</v>
      </c>
      <c r="E383" s="356"/>
      <c r="F383" s="356"/>
      <c r="G383" s="356"/>
      <c r="I383" s="48">
        <v>0</v>
      </c>
      <c r="K383" s="48">
        <v>0</v>
      </c>
      <c r="M383" s="279">
        <f t="shared" si="20"/>
        <v>0</v>
      </c>
      <c r="O383" s="279">
        <f t="shared" si="21"/>
        <v>0</v>
      </c>
      <c r="Q383" s="293">
        <f t="shared" si="22"/>
        <v>0</v>
      </c>
      <c r="S383" s="293">
        <f t="shared" si="23"/>
        <v>0</v>
      </c>
      <c r="U383" s="385"/>
      <c r="V383" s="385"/>
      <c r="W383" s="385"/>
      <c r="X383" s="385"/>
    </row>
    <row r="384" spans="4:24" ht="14.4" collapsed="1" x14ac:dyDescent="0.3">
      <c r="D384" s="420" t="s">
        <v>79</v>
      </c>
      <c r="E384" s="427"/>
      <c r="F384" s="427"/>
      <c r="G384" s="427"/>
      <c r="I384" s="43"/>
      <c r="K384" s="43"/>
      <c r="M384" s="43"/>
      <c r="O384" s="43"/>
      <c r="Q384" s="294">
        <f>SUM(Q359:Q383)</f>
        <v>0</v>
      </c>
      <c r="S384" s="294">
        <f>SUM(S359:S383)</f>
        <v>0</v>
      </c>
    </row>
    <row r="386" spans="3:24" ht="15.6" x14ac:dyDescent="0.3">
      <c r="C386" s="92" t="s">
        <v>164</v>
      </c>
    </row>
    <row r="387" spans="3:24" ht="27.6" x14ac:dyDescent="0.3">
      <c r="D387" s="90" t="s">
        <v>102</v>
      </c>
      <c r="I387" s="91" t="s">
        <v>80</v>
      </c>
      <c r="K387" s="91" t="s">
        <v>78</v>
      </c>
      <c r="M387" s="42" t="s">
        <v>103</v>
      </c>
      <c r="O387" s="42" t="s">
        <v>104</v>
      </c>
      <c r="Q387" s="42" t="s">
        <v>105</v>
      </c>
      <c r="S387" s="42" t="s">
        <v>106</v>
      </c>
      <c r="U387" s="350" t="s">
        <v>185</v>
      </c>
      <c r="V387" s="426"/>
      <c r="W387" s="426"/>
      <c r="X387" s="426"/>
    </row>
    <row r="388" spans="3:24" x14ac:dyDescent="0.3">
      <c r="D388" s="356" t="s">
        <v>109</v>
      </c>
      <c r="E388" s="356"/>
      <c r="F388" s="356"/>
      <c r="G388" s="356"/>
      <c r="I388" s="48">
        <v>0</v>
      </c>
      <c r="K388" s="48">
        <v>0</v>
      </c>
      <c r="M388" s="40">
        <f t="shared" ref="M388:M412" si="24">IFERROR(IF(DD_ACT_21_Meet1_Curr=1,INDEX($M$553:$M$587,MATCH(D388,LU_ACT_21_Allowances,0)),INDEX($Q$553:$Q$587,MATCH(D388,LU_ACT_21_Allowances,0))),0)</f>
        <v>0</v>
      </c>
      <c r="O388" s="40">
        <f t="shared" ref="O388:O412" si="25">IFERROR(IF(DD_ACT_21_Meet1_Curr=1,INDEX($O$553:$O$587,MATCH(D388,LU_ACT_21_Allowances,0)),INDEX($S$553:$S$587,MATCH(D388,LU_ACT_21_Allowances,0))),0)</f>
        <v>0</v>
      </c>
      <c r="Q388" s="293">
        <f t="shared" ref="Q388:Q412" si="26">I388*K388*M388</f>
        <v>0</v>
      </c>
      <c r="S388" s="293">
        <f t="shared" ref="S388:S412" si="27">I388*K388*O388</f>
        <v>0</v>
      </c>
      <c r="U388" s="356"/>
      <c r="V388" s="356"/>
      <c r="W388" s="356"/>
      <c r="X388" s="356"/>
    </row>
    <row r="389" spans="3:24" x14ac:dyDescent="0.3">
      <c r="D389" s="356" t="s">
        <v>110</v>
      </c>
      <c r="E389" s="356"/>
      <c r="F389" s="356"/>
      <c r="G389" s="356"/>
      <c r="I389" s="48">
        <v>0</v>
      </c>
      <c r="K389" s="48">
        <v>0</v>
      </c>
      <c r="M389" s="40">
        <f t="shared" si="24"/>
        <v>0</v>
      </c>
      <c r="O389" s="40">
        <f t="shared" si="25"/>
        <v>0</v>
      </c>
      <c r="Q389" s="293">
        <f t="shared" si="26"/>
        <v>0</v>
      </c>
      <c r="S389" s="293">
        <f t="shared" si="27"/>
        <v>0</v>
      </c>
      <c r="U389" s="356"/>
      <c r="V389" s="356"/>
      <c r="W389" s="356"/>
      <c r="X389" s="356"/>
    </row>
    <row r="390" spans="3:24" x14ac:dyDescent="0.3">
      <c r="D390" s="356" t="s">
        <v>111</v>
      </c>
      <c r="E390" s="356"/>
      <c r="F390" s="356"/>
      <c r="G390" s="356"/>
      <c r="I390" s="48">
        <v>0</v>
      </c>
      <c r="K390" s="48">
        <v>0</v>
      </c>
      <c r="M390" s="40">
        <f t="shared" si="24"/>
        <v>0</v>
      </c>
      <c r="O390" s="40">
        <f t="shared" si="25"/>
        <v>0</v>
      </c>
      <c r="Q390" s="293">
        <f t="shared" si="26"/>
        <v>0</v>
      </c>
      <c r="S390" s="293">
        <f t="shared" si="27"/>
        <v>0</v>
      </c>
      <c r="U390" s="356"/>
      <c r="V390" s="356"/>
      <c r="W390" s="356"/>
      <c r="X390" s="356"/>
    </row>
    <row r="391" spans="3:24" x14ac:dyDescent="0.3">
      <c r="D391" s="356" t="s">
        <v>112</v>
      </c>
      <c r="E391" s="356"/>
      <c r="F391" s="356"/>
      <c r="G391" s="356"/>
      <c r="I391" s="48">
        <v>0</v>
      </c>
      <c r="K391" s="48">
        <v>0</v>
      </c>
      <c r="M391" s="40">
        <f t="shared" si="24"/>
        <v>0</v>
      </c>
      <c r="O391" s="40">
        <f t="shared" si="25"/>
        <v>0</v>
      </c>
      <c r="Q391" s="293">
        <f t="shared" si="26"/>
        <v>0</v>
      </c>
      <c r="S391" s="293">
        <f t="shared" si="27"/>
        <v>0</v>
      </c>
      <c r="U391" s="356"/>
      <c r="V391" s="356"/>
      <c r="W391" s="356"/>
      <c r="X391" s="356"/>
    </row>
    <row r="392" spans="3:24" x14ac:dyDescent="0.3">
      <c r="D392" s="356" t="s">
        <v>113</v>
      </c>
      <c r="E392" s="356"/>
      <c r="F392" s="356"/>
      <c r="G392" s="356"/>
      <c r="I392" s="48">
        <v>0</v>
      </c>
      <c r="K392" s="48">
        <v>0</v>
      </c>
      <c r="M392" s="40">
        <f t="shared" si="24"/>
        <v>0</v>
      </c>
      <c r="O392" s="40">
        <f t="shared" si="25"/>
        <v>0</v>
      </c>
      <c r="Q392" s="293">
        <f t="shared" si="26"/>
        <v>0</v>
      </c>
      <c r="S392" s="293">
        <f t="shared" si="27"/>
        <v>0</v>
      </c>
      <c r="U392" s="356"/>
      <c r="V392" s="356"/>
      <c r="W392" s="356"/>
      <c r="X392" s="356"/>
    </row>
    <row r="393" spans="3:24" x14ac:dyDescent="0.3">
      <c r="D393" s="356" t="s">
        <v>114</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115</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116</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s="277" customFormat="1" x14ac:dyDescent="0.3">
      <c r="D396" s="356" t="s">
        <v>838</v>
      </c>
      <c r="E396" s="356"/>
      <c r="F396" s="356"/>
      <c r="G396" s="356"/>
      <c r="I396" s="48">
        <v>0</v>
      </c>
      <c r="K396" s="48">
        <v>0</v>
      </c>
      <c r="M396" s="279">
        <f t="shared" si="24"/>
        <v>0</v>
      </c>
      <c r="O396" s="279">
        <f t="shared" si="25"/>
        <v>0</v>
      </c>
      <c r="Q396" s="293">
        <f t="shared" si="26"/>
        <v>0</v>
      </c>
      <c r="S396" s="293">
        <f t="shared" si="27"/>
        <v>0</v>
      </c>
      <c r="U396" s="385"/>
      <c r="V396" s="385"/>
      <c r="W396" s="385"/>
      <c r="X396" s="385"/>
    </row>
    <row r="397" spans="3:24" s="277" customFormat="1" x14ac:dyDescent="0.3">
      <c r="D397" s="356" t="s">
        <v>839</v>
      </c>
      <c r="E397" s="356"/>
      <c r="F397" s="356"/>
      <c r="G397" s="356"/>
      <c r="I397" s="48">
        <v>0</v>
      </c>
      <c r="K397" s="48">
        <v>0</v>
      </c>
      <c r="M397" s="279">
        <f t="shared" si="24"/>
        <v>0</v>
      </c>
      <c r="O397" s="279">
        <f t="shared" si="25"/>
        <v>0</v>
      </c>
      <c r="Q397" s="293">
        <f t="shared" si="26"/>
        <v>0</v>
      </c>
      <c r="S397" s="293">
        <f t="shared" si="27"/>
        <v>0</v>
      </c>
      <c r="U397" s="385"/>
      <c r="V397" s="385"/>
      <c r="W397" s="385"/>
      <c r="X397" s="385"/>
    </row>
    <row r="398" spans="3:24" s="277" customFormat="1" x14ac:dyDescent="0.3">
      <c r="D398" s="356" t="s">
        <v>840</v>
      </c>
      <c r="E398" s="356"/>
      <c r="F398" s="356"/>
      <c r="G398" s="356"/>
      <c r="I398" s="48">
        <v>0</v>
      </c>
      <c r="K398" s="48">
        <v>0</v>
      </c>
      <c r="M398" s="279">
        <f t="shared" si="24"/>
        <v>0</v>
      </c>
      <c r="O398" s="279">
        <f t="shared" si="25"/>
        <v>0</v>
      </c>
      <c r="Q398" s="293">
        <f t="shared" si="26"/>
        <v>0</v>
      </c>
      <c r="S398" s="293">
        <f t="shared" si="27"/>
        <v>0</v>
      </c>
      <c r="U398" s="385"/>
      <c r="V398" s="385"/>
      <c r="W398" s="385"/>
      <c r="X398" s="385"/>
    </row>
    <row r="399" spans="3:24" s="277" customFormat="1" x14ac:dyDescent="0.3">
      <c r="D399" s="356" t="s">
        <v>841</v>
      </c>
      <c r="E399" s="356"/>
      <c r="F399" s="356"/>
      <c r="G399" s="356"/>
      <c r="I399" s="48">
        <v>0</v>
      </c>
      <c r="K399" s="48">
        <v>0</v>
      </c>
      <c r="M399" s="279">
        <f t="shared" si="24"/>
        <v>0</v>
      </c>
      <c r="O399" s="279">
        <f t="shared" si="25"/>
        <v>0</v>
      </c>
      <c r="Q399" s="293">
        <f t="shared" si="26"/>
        <v>0</v>
      </c>
      <c r="S399" s="293">
        <f t="shared" si="27"/>
        <v>0</v>
      </c>
      <c r="U399" s="385"/>
      <c r="V399" s="385"/>
      <c r="W399" s="385"/>
      <c r="X399" s="385"/>
    </row>
    <row r="400" spans="3:24" s="277" customFormat="1" x14ac:dyDescent="0.3">
      <c r="D400" s="356" t="s">
        <v>842</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843</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844</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845</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850</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851</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852</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853</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972</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977</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978</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979</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980</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ht="14.4" x14ac:dyDescent="0.3">
      <c r="D413" s="420" t="s">
        <v>82</v>
      </c>
      <c r="E413" s="427"/>
      <c r="F413" s="427"/>
      <c r="G413" s="427"/>
      <c r="I413" s="43"/>
      <c r="K413" s="43"/>
      <c r="M413" s="43"/>
      <c r="O413" s="43"/>
      <c r="Q413" s="294">
        <f>SUM(Q388:Q412)</f>
        <v>0</v>
      </c>
      <c r="S413" s="294">
        <f>SUM(S388:S412)</f>
        <v>0</v>
      </c>
    </row>
    <row r="417" spans="3:24" ht="15.6" x14ac:dyDescent="0.3">
      <c r="C417" s="92" t="s">
        <v>84</v>
      </c>
    </row>
    <row r="418" spans="3:24" ht="27.6" x14ac:dyDescent="0.3">
      <c r="D418" s="90" t="s">
        <v>102</v>
      </c>
      <c r="I418" s="91" t="s">
        <v>87</v>
      </c>
      <c r="K418" s="91" t="s">
        <v>432</v>
      </c>
      <c r="M418" s="42" t="s">
        <v>107</v>
      </c>
      <c r="O418" s="42" t="s">
        <v>108</v>
      </c>
      <c r="Q418" s="42" t="s">
        <v>105</v>
      </c>
      <c r="S418" s="42" t="s">
        <v>106</v>
      </c>
      <c r="U418" s="350" t="s">
        <v>185</v>
      </c>
      <c r="V418" s="426"/>
      <c r="W418" s="426"/>
      <c r="X418" s="426"/>
    </row>
    <row r="419" spans="3:24" x14ac:dyDescent="0.3">
      <c r="D419" s="356" t="s">
        <v>892</v>
      </c>
      <c r="E419" s="356"/>
      <c r="F419" s="356"/>
      <c r="G419" s="356"/>
      <c r="I419" s="48">
        <v>0</v>
      </c>
      <c r="K419" s="48">
        <v>0</v>
      </c>
      <c r="M419" s="40">
        <f t="shared" ref="M419:M443" si="28">IFERROR(IF(DD_ACT_21_Meet1_Curr=1,INDEX($M$591:$M$625,MATCH(D419,LU_ACT_21_Supplies,0)),INDEX($Q$591:$Q$625,MATCH(D419,LU_ACT_21_Supplies,0))),0)</f>
        <v>0</v>
      </c>
      <c r="O419" s="40">
        <f t="shared" ref="O419:O443" si="29">IFERROR(IF(DD_ACT_21_Meet1_Curr=1,INDEX($O$591:$O$625,MATCH(D419,LU_ACT_21_Supplies,0)),INDEX($S$591:$S$625,MATCH(D419,LU_ACT_21_Supplies,0))),0)</f>
        <v>0</v>
      </c>
      <c r="Q419" s="295">
        <f t="shared" ref="Q419:Q443" si="30">I419*K419*M419</f>
        <v>0</v>
      </c>
      <c r="S419" s="293">
        <f t="shared" ref="S419:S443" si="31">I419*K419*O419</f>
        <v>0</v>
      </c>
      <c r="U419" s="356"/>
      <c r="V419" s="356"/>
      <c r="W419" s="356"/>
      <c r="X419" s="356"/>
    </row>
    <row r="420" spans="3:24" x14ac:dyDescent="0.3">
      <c r="D420" s="356" t="s">
        <v>893</v>
      </c>
      <c r="E420" s="356"/>
      <c r="F420" s="356"/>
      <c r="G420" s="356"/>
      <c r="I420" s="48">
        <v>0</v>
      </c>
      <c r="K420" s="48">
        <v>0</v>
      </c>
      <c r="M420" s="40">
        <f t="shared" si="28"/>
        <v>0</v>
      </c>
      <c r="O420" s="40">
        <f t="shared" si="29"/>
        <v>0</v>
      </c>
      <c r="Q420" s="295">
        <f t="shared" si="30"/>
        <v>0</v>
      </c>
      <c r="S420" s="293">
        <f t="shared" si="31"/>
        <v>0</v>
      </c>
      <c r="U420" s="356"/>
      <c r="V420" s="356"/>
      <c r="W420" s="356"/>
      <c r="X420" s="356"/>
    </row>
    <row r="421" spans="3:24" x14ac:dyDescent="0.3">
      <c r="D421" s="356" t="s">
        <v>854</v>
      </c>
      <c r="E421" s="356"/>
      <c r="F421" s="356"/>
      <c r="G421" s="356"/>
      <c r="I421" s="48">
        <v>0</v>
      </c>
      <c r="K421" s="48">
        <v>0</v>
      </c>
      <c r="M421" s="40">
        <f t="shared" si="28"/>
        <v>0</v>
      </c>
      <c r="O421" s="40">
        <f t="shared" si="29"/>
        <v>0</v>
      </c>
      <c r="Q421" s="295">
        <f t="shared" si="30"/>
        <v>0</v>
      </c>
      <c r="S421" s="293">
        <f t="shared" si="31"/>
        <v>0</v>
      </c>
      <c r="U421" s="356"/>
      <c r="V421" s="356"/>
      <c r="W421" s="356"/>
      <c r="X421" s="356"/>
    </row>
    <row r="422" spans="3:24" x14ac:dyDescent="0.3">
      <c r="D422" s="356" t="s">
        <v>855</v>
      </c>
      <c r="E422" s="356"/>
      <c r="F422" s="356"/>
      <c r="G422" s="356"/>
      <c r="I422" s="48">
        <v>0</v>
      </c>
      <c r="K422" s="48">
        <v>0</v>
      </c>
      <c r="M422" s="40">
        <f t="shared" si="28"/>
        <v>0</v>
      </c>
      <c r="O422" s="40">
        <f t="shared" si="29"/>
        <v>0</v>
      </c>
      <c r="Q422" s="295">
        <f t="shared" si="30"/>
        <v>0</v>
      </c>
      <c r="S422" s="293">
        <f t="shared" si="31"/>
        <v>0</v>
      </c>
      <c r="U422" s="356"/>
      <c r="V422" s="356"/>
      <c r="W422" s="356"/>
      <c r="X422" s="356"/>
    </row>
    <row r="423" spans="3:24" s="277" customFormat="1" x14ac:dyDescent="0.3">
      <c r="D423" s="356" t="s">
        <v>856</v>
      </c>
      <c r="E423" s="356"/>
      <c r="F423" s="356"/>
      <c r="G423" s="356"/>
      <c r="I423" s="48">
        <v>0</v>
      </c>
      <c r="K423" s="48">
        <v>0</v>
      </c>
      <c r="M423" s="279">
        <f t="shared" si="28"/>
        <v>0</v>
      </c>
      <c r="O423" s="279">
        <f t="shared" si="29"/>
        <v>0</v>
      </c>
      <c r="Q423" s="295">
        <f t="shared" si="30"/>
        <v>0</v>
      </c>
      <c r="S423" s="293">
        <f t="shared" si="31"/>
        <v>0</v>
      </c>
      <c r="U423" s="385"/>
      <c r="V423" s="385"/>
      <c r="W423" s="385"/>
      <c r="X423" s="385"/>
    </row>
    <row r="424" spans="3:24" s="277" customFormat="1" x14ac:dyDescent="0.3">
      <c r="D424" s="356" t="s">
        <v>857</v>
      </c>
      <c r="E424" s="356"/>
      <c r="F424" s="356"/>
      <c r="G424" s="356"/>
      <c r="I424" s="48">
        <v>0</v>
      </c>
      <c r="K424" s="48">
        <v>0</v>
      </c>
      <c r="M424" s="279">
        <f t="shared" si="28"/>
        <v>0</v>
      </c>
      <c r="O424" s="279">
        <f t="shared" si="29"/>
        <v>0</v>
      </c>
      <c r="Q424" s="295">
        <f t="shared" si="30"/>
        <v>0</v>
      </c>
      <c r="S424" s="293">
        <f t="shared" si="31"/>
        <v>0</v>
      </c>
      <c r="U424" s="385"/>
      <c r="V424" s="385"/>
      <c r="W424" s="385"/>
      <c r="X424" s="385"/>
    </row>
    <row r="425" spans="3:24" s="277" customFormat="1" x14ac:dyDescent="0.3">
      <c r="D425" s="356" t="s">
        <v>858</v>
      </c>
      <c r="E425" s="356"/>
      <c r="F425" s="356"/>
      <c r="G425" s="356"/>
      <c r="I425" s="48">
        <v>0</v>
      </c>
      <c r="K425" s="48">
        <v>0</v>
      </c>
      <c r="M425" s="279">
        <f t="shared" si="28"/>
        <v>0</v>
      </c>
      <c r="O425" s="279">
        <f t="shared" si="29"/>
        <v>0</v>
      </c>
      <c r="Q425" s="295">
        <f t="shared" si="30"/>
        <v>0</v>
      </c>
      <c r="S425" s="293">
        <f t="shared" si="31"/>
        <v>0</v>
      </c>
      <c r="U425" s="385"/>
      <c r="V425" s="385"/>
      <c r="W425" s="385"/>
      <c r="X425" s="385"/>
    </row>
    <row r="426" spans="3:24" s="277" customFormat="1" x14ac:dyDescent="0.3">
      <c r="D426" s="356" t="s">
        <v>859</v>
      </c>
      <c r="E426" s="356"/>
      <c r="F426" s="356"/>
      <c r="G426" s="356"/>
      <c r="I426" s="48">
        <v>0</v>
      </c>
      <c r="K426" s="48">
        <v>0</v>
      </c>
      <c r="M426" s="279">
        <f t="shared" si="28"/>
        <v>0</v>
      </c>
      <c r="O426" s="279">
        <f t="shared" si="29"/>
        <v>0</v>
      </c>
      <c r="Q426" s="295">
        <f t="shared" si="30"/>
        <v>0</v>
      </c>
      <c r="S426" s="293">
        <f t="shared" si="31"/>
        <v>0</v>
      </c>
      <c r="U426" s="385"/>
      <c r="V426" s="385"/>
      <c r="W426" s="385"/>
      <c r="X426" s="385"/>
    </row>
    <row r="427" spans="3:24" s="277" customFormat="1" x14ac:dyDescent="0.3">
      <c r="D427" s="356" t="s">
        <v>860</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861</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862</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863</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864</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865</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3:24" s="277" customFormat="1" x14ac:dyDescent="0.3">
      <c r="D433" s="356" t="s">
        <v>866</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3:24" s="277" customFormat="1" x14ac:dyDescent="0.3">
      <c r="D434" s="356" t="s">
        <v>867</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3:24" s="277" customFormat="1" x14ac:dyDescent="0.3">
      <c r="D435" s="356" t="s">
        <v>868</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3:24" s="277" customFormat="1" x14ac:dyDescent="0.3">
      <c r="D436" s="356" t="s">
        <v>869</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3:24" s="277" customFormat="1" x14ac:dyDescent="0.3">
      <c r="D437" s="356" t="s">
        <v>870</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3:24" s="277" customFormat="1" x14ac:dyDescent="0.3">
      <c r="D438" s="356" t="s">
        <v>871</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3:24" s="277" customFormat="1" x14ac:dyDescent="0.3">
      <c r="D439" s="356" t="s">
        <v>981</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3:24" s="277" customFormat="1" x14ac:dyDescent="0.3">
      <c r="D440" s="356" t="s">
        <v>982</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3:24" s="277" customFormat="1" x14ac:dyDescent="0.3">
      <c r="D441" s="356" t="s">
        <v>983</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3:24" s="277" customFormat="1" x14ac:dyDescent="0.3">
      <c r="D442" s="356" t="s">
        <v>984</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3:24" s="277" customFormat="1" x14ac:dyDescent="0.3">
      <c r="D443" s="356" t="s">
        <v>985</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3:24" ht="14.4" x14ac:dyDescent="0.3">
      <c r="D444" s="420" t="s">
        <v>85</v>
      </c>
      <c r="E444" s="427"/>
      <c r="F444" s="427"/>
      <c r="G444" s="427"/>
      <c r="I444" s="43"/>
      <c r="K444" s="43"/>
      <c r="M444" s="43"/>
      <c r="O444" s="43"/>
      <c r="Q444" s="296">
        <f>SUM(Q419:Q443)</f>
        <v>0</v>
      </c>
      <c r="S444" s="294">
        <f>SUM(S419:S443)</f>
        <v>0</v>
      </c>
      <c r="U444" s="43"/>
      <c r="V444" s="43"/>
      <c r="W444" s="43"/>
      <c r="X444" s="43"/>
    </row>
    <row r="446" spans="3:24" ht="27.6" x14ac:dyDescent="0.3">
      <c r="C446" s="92" t="s">
        <v>130</v>
      </c>
      <c r="Q446" s="44" t="str">
        <f>"FINANCIAL COST ("&amp;INDEX(LU_ACT_21_Meet_Curr,DD_ACT_21_Meet1_Curr)&amp;")"</f>
        <v>FINANCIAL COST (GOZ)</v>
      </c>
      <c r="S446" s="44" t="str">
        <f>"ECONOMIC COST ("&amp;INDEX(LU_ACT_21_Meet_Curr,DD_ACT_21_Meet1_Curr)&amp;")"</f>
        <v>ECONOMIC COST (GOZ)</v>
      </c>
    </row>
    <row r="447" spans="3:24" ht="14.4" x14ac:dyDescent="0.3">
      <c r="D447" s="90" t="s">
        <v>86</v>
      </c>
      <c r="I447" s="91" t="s">
        <v>186</v>
      </c>
      <c r="M447" s="91" t="s">
        <v>81</v>
      </c>
      <c r="O447" s="91" t="s">
        <v>83</v>
      </c>
      <c r="U447" s="350" t="s">
        <v>185</v>
      </c>
      <c r="V447" s="426"/>
      <c r="W447" s="426"/>
      <c r="X447" s="426"/>
    </row>
    <row r="448" spans="3:24" x14ac:dyDescent="0.3">
      <c r="D448" s="356" t="s">
        <v>70</v>
      </c>
      <c r="E448" s="356"/>
      <c r="F448" s="356"/>
      <c r="G448" s="356"/>
      <c r="I448" s="48">
        <v>0</v>
      </c>
      <c r="M448" s="40">
        <f t="shared" ref="M448:M472" si="32">IFERROR(IF(DD_ACT_21_Meet1_Curr=1,INDEX($M$628:$M$662,MATCH(D448,LU_ACT_21_Equipment,0)),INDEX($Q$628:$Q$662,MATCH(D448,LU_ACT_21_Equipment,0))),0)</f>
        <v>0</v>
      </c>
      <c r="O448" s="40">
        <f t="shared" ref="O448:O472" si="33">IFERROR(IF(DD_ACT_21_Meet1_Curr=1,INDEX($O$628:$O$662,MATCH(D448,LU_ACT_21_Equipment,0)),INDEX($S$628:$S$662,MATCH(D448,LU_ACT_21_Equipment,0))),0)</f>
        <v>0</v>
      </c>
      <c r="Q448" s="279">
        <f t="shared" ref="Q448:Q472" si="34">I448*M448</f>
        <v>0</v>
      </c>
      <c r="S448" s="279">
        <f t="shared" ref="S448:S472" si="35">I448*O448</f>
        <v>0</v>
      </c>
      <c r="U448" s="356"/>
      <c r="V448" s="356"/>
      <c r="W448" s="356"/>
      <c r="X448" s="356"/>
    </row>
    <row r="449" spans="4:24" x14ac:dyDescent="0.3">
      <c r="D449" s="356" t="s">
        <v>122</v>
      </c>
      <c r="E449" s="356"/>
      <c r="F449" s="356"/>
      <c r="G449" s="356"/>
      <c r="I449" s="48">
        <v>0</v>
      </c>
      <c r="M449" s="40">
        <f t="shared" si="32"/>
        <v>0</v>
      </c>
      <c r="O449" s="40">
        <f t="shared" si="33"/>
        <v>0</v>
      </c>
      <c r="Q449" s="279">
        <f t="shared" si="34"/>
        <v>0</v>
      </c>
      <c r="S449" s="279">
        <f t="shared" si="35"/>
        <v>0</v>
      </c>
      <c r="U449" s="356"/>
      <c r="V449" s="356"/>
      <c r="W449" s="356"/>
      <c r="X449" s="356"/>
    </row>
    <row r="450" spans="4:24" s="277" customFormat="1" x14ac:dyDescent="0.3">
      <c r="D450" s="356" t="s">
        <v>872</v>
      </c>
      <c r="E450" s="356"/>
      <c r="F450" s="356"/>
      <c r="G450" s="356"/>
      <c r="I450" s="48">
        <v>0</v>
      </c>
      <c r="M450" s="279">
        <f t="shared" si="32"/>
        <v>0</v>
      </c>
      <c r="O450" s="279">
        <f t="shared" si="33"/>
        <v>0</v>
      </c>
      <c r="Q450" s="279">
        <f t="shared" si="34"/>
        <v>0</v>
      </c>
      <c r="S450" s="279">
        <f t="shared" si="35"/>
        <v>0</v>
      </c>
      <c r="U450" s="385"/>
      <c r="V450" s="385"/>
      <c r="W450" s="385"/>
      <c r="X450" s="385"/>
    </row>
    <row r="451" spans="4:24" s="277" customFormat="1" x14ac:dyDescent="0.3">
      <c r="D451" s="356" t="s">
        <v>873</v>
      </c>
      <c r="E451" s="356"/>
      <c r="F451" s="356"/>
      <c r="G451" s="356"/>
      <c r="I451" s="48">
        <v>0</v>
      </c>
      <c r="M451" s="279">
        <f t="shared" si="32"/>
        <v>0</v>
      </c>
      <c r="O451" s="279">
        <f t="shared" si="33"/>
        <v>0</v>
      </c>
      <c r="Q451" s="279">
        <f t="shared" si="34"/>
        <v>0</v>
      </c>
      <c r="S451" s="279">
        <f t="shared" si="35"/>
        <v>0</v>
      </c>
      <c r="U451" s="385"/>
      <c r="V451" s="385"/>
      <c r="W451" s="385"/>
      <c r="X451" s="385"/>
    </row>
    <row r="452" spans="4:24" s="277" customFormat="1" x14ac:dyDescent="0.3">
      <c r="D452" s="356" t="s">
        <v>874</v>
      </c>
      <c r="E452" s="356"/>
      <c r="F452" s="356"/>
      <c r="G452" s="356"/>
      <c r="I452" s="48">
        <v>0</v>
      </c>
      <c r="M452" s="279">
        <f t="shared" si="32"/>
        <v>0</v>
      </c>
      <c r="O452" s="279">
        <f t="shared" si="33"/>
        <v>0</v>
      </c>
      <c r="Q452" s="279">
        <f t="shared" si="34"/>
        <v>0</v>
      </c>
      <c r="S452" s="279">
        <f t="shared" si="35"/>
        <v>0</v>
      </c>
      <c r="U452" s="385"/>
      <c r="V452" s="385"/>
      <c r="W452" s="385"/>
      <c r="X452" s="385"/>
    </row>
    <row r="453" spans="4:24" s="277" customFormat="1" x14ac:dyDescent="0.3">
      <c r="D453" s="356" t="s">
        <v>875</v>
      </c>
      <c r="E453" s="356"/>
      <c r="F453" s="356"/>
      <c r="G453" s="356"/>
      <c r="I453" s="48">
        <v>0</v>
      </c>
      <c r="M453" s="279">
        <f t="shared" si="32"/>
        <v>0</v>
      </c>
      <c r="O453" s="279">
        <f t="shared" si="33"/>
        <v>0</v>
      </c>
      <c r="Q453" s="279">
        <f t="shared" si="34"/>
        <v>0</v>
      </c>
      <c r="S453" s="279">
        <f t="shared" si="35"/>
        <v>0</v>
      </c>
      <c r="U453" s="385"/>
      <c r="V453" s="385"/>
      <c r="W453" s="385"/>
      <c r="X453" s="385"/>
    </row>
    <row r="454" spans="4:24" s="277" customFormat="1" x14ac:dyDescent="0.3">
      <c r="D454" s="356" t="s">
        <v>778</v>
      </c>
      <c r="E454" s="356"/>
      <c r="F454" s="356"/>
      <c r="G454" s="356"/>
      <c r="I454" s="48">
        <v>0</v>
      </c>
      <c r="M454" s="279">
        <f t="shared" si="32"/>
        <v>0</v>
      </c>
      <c r="O454" s="279">
        <f t="shared" si="33"/>
        <v>0</v>
      </c>
      <c r="Q454" s="279">
        <f t="shared" si="34"/>
        <v>0</v>
      </c>
      <c r="S454" s="279">
        <f t="shared" si="35"/>
        <v>0</v>
      </c>
      <c r="U454" s="385"/>
      <c r="V454" s="385"/>
      <c r="W454" s="385"/>
      <c r="X454" s="385"/>
    </row>
    <row r="455" spans="4:24" s="277" customFormat="1" x14ac:dyDescent="0.3">
      <c r="D455" s="356" t="s">
        <v>779</v>
      </c>
      <c r="E455" s="356"/>
      <c r="F455" s="356"/>
      <c r="G455" s="356"/>
      <c r="I455" s="48">
        <v>0</v>
      </c>
      <c r="M455" s="279">
        <f t="shared" si="32"/>
        <v>0</v>
      </c>
      <c r="O455" s="279">
        <f t="shared" si="33"/>
        <v>0</v>
      </c>
      <c r="Q455" s="279">
        <f t="shared" si="34"/>
        <v>0</v>
      </c>
      <c r="S455" s="279">
        <f t="shared" si="35"/>
        <v>0</v>
      </c>
      <c r="U455" s="385"/>
      <c r="V455" s="385"/>
      <c r="W455" s="385"/>
      <c r="X455" s="385"/>
    </row>
    <row r="456" spans="4:24" s="277" customFormat="1" x14ac:dyDescent="0.3">
      <c r="D456" s="356" t="s">
        <v>780</v>
      </c>
      <c r="E456" s="356"/>
      <c r="F456" s="356"/>
      <c r="G456" s="356"/>
      <c r="I456" s="48">
        <v>0</v>
      </c>
      <c r="M456" s="279">
        <f t="shared" si="32"/>
        <v>0</v>
      </c>
      <c r="O456" s="279">
        <f t="shared" si="33"/>
        <v>0</v>
      </c>
      <c r="Q456" s="279">
        <f t="shared" si="34"/>
        <v>0</v>
      </c>
      <c r="S456" s="279">
        <f t="shared" si="35"/>
        <v>0</v>
      </c>
      <c r="U456" s="385"/>
      <c r="V456" s="385"/>
      <c r="W456" s="385"/>
      <c r="X456" s="385"/>
    </row>
    <row r="457" spans="4:24" s="277" customFormat="1" x14ac:dyDescent="0.3">
      <c r="D457" s="356" t="s">
        <v>781</v>
      </c>
      <c r="E457" s="356"/>
      <c r="F457" s="356"/>
      <c r="G457" s="356"/>
      <c r="I457" s="48">
        <v>0</v>
      </c>
      <c r="M457" s="279">
        <f t="shared" si="32"/>
        <v>0</v>
      </c>
      <c r="O457" s="279">
        <f t="shared" si="33"/>
        <v>0</v>
      </c>
      <c r="Q457" s="279">
        <f t="shared" si="34"/>
        <v>0</v>
      </c>
      <c r="S457" s="279">
        <f t="shared" si="35"/>
        <v>0</v>
      </c>
      <c r="U457" s="385"/>
      <c r="V457" s="385"/>
      <c r="W457" s="385"/>
      <c r="X457" s="385"/>
    </row>
    <row r="458" spans="4:24" s="277" customFormat="1" x14ac:dyDescent="0.3">
      <c r="D458" s="356" t="s">
        <v>782</v>
      </c>
      <c r="E458" s="356"/>
      <c r="F458" s="356"/>
      <c r="G458" s="356"/>
      <c r="I458" s="48">
        <v>0</v>
      </c>
      <c r="M458" s="279">
        <f t="shared" si="32"/>
        <v>0</v>
      </c>
      <c r="O458" s="279">
        <f t="shared" si="33"/>
        <v>0</v>
      </c>
      <c r="Q458" s="279">
        <f t="shared" si="34"/>
        <v>0</v>
      </c>
      <c r="S458" s="279">
        <f t="shared" si="35"/>
        <v>0</v>
      </c>
      <c r="U458" s="385"/>
      <c r="V458" s="385"/>
      <c r="W458" s="385"/>
      <c r="X458" s="385"/>
    </row>
    <row r="459" spans="4:24" s="277" customFormat="1" x14ac:dyDescent="0.3">
      <c r="D459" s="356" t="s">
        <v>783</v>
      </c>
      <c r="E459" s="356"/>
      <c r="F459" s="356"/>
      <c r="G459" s="356"/>
      <c r="I459" s="48">
        <v>0</v>
      </c>
      <c r="M459" s="279">
        <f t="shared" si="32"/>
        <v>0</v>
      </c>
      <c r="O459" s="279">
        <f t="shared" si="33"/>
        <v>0</v>
      </c>
      <c r="Q459" s="279">
        <f t="shared" si="34"/>
        <v>0</v>
      </c>
      <c r="S459" s="279">
        <f t="shared" si="35"/>
        <v>0</v>
      </c>
      <c r="U459" s="385"/>
      <c r="V459" s="385"/>
      <c r="W459" s="385"/>
      <c r="X459" s="385"/>
    </row>
    <row r="460" spans="4:24" s="277" customFormat="1" x14ac:dyDescent="0.3">
      <c r="D460" s="356" t="s">
        <v>784</v>
      </c>
      <c r="E460" s="356"/>
      <c r="F460" s="356"/>
      <c r="G460" s="356"/>
      <c r="I460" s="48">
        <v>0</v>
      </c>
      <c r="M460" s="279">
        <f t="shared" si="32"/>
        <v>0</v>
      </c>
      <c r="O460" s="279">
        <f t="shared" si="33"/>
        <v>0</v>
      </c>
      <c r="Q460" s="279">
        <f t="shared" si="34"/>
        <v>0</v>
      </c>
      <c r="S460" s="279">
        <f t="shared" si="35"/>
        <v>0</v>
      </c>
      <c r="U460" s="385"/>
      <c r="V460" s="385"/>
      <c r="W460" s="385"/>
      <c r="X460" s="385"/>
    </row>
    <row r="461" spans="4:24" s="277" customFormat="1" x14ac:dyDescent="0.3">
      <c r="D461" s="356" t="s">
        <v>785</v>
      </c>
      <c r="E461" s="356"/>
      <c r="F461" s="356"/>
      <c r="G461" s="356"/>
      <c r="I461" s="48">
        <v>0</v>
      </c>
      <c r="M461" s="279">
        <f t="shared" si="32"/>
        <v>0</v>
      </c>
      <c r="O461" s="279">
        <f t="shared" si="33"/>
        <v>0</v>
      </c>
      <c r="Q461" s="279">
        <f t="shared" si="34"/>
        <v>0</v>
      </c>
      <c r="S461" s="279">
        <f t="shared" si="35"/>
        <v>0</v>
      </c>
      <c r="U461" s="385"/>
      <c r="V461" s="385"/>
      <c r="W461" s="385"/>
      <c r="X461" s="385"/>
    </row>
    <row r="462" spans="4:24" s="277" customFormat="1" x14ac:dyDescent="0.3">
      <c r="D462" s="356" t="s">
        <v>786</v>
      </c>
      <c r="E462" s="356"/>
      <c r="F462" s="356"/>
      <c r="G462" s="356"/>
      <c r="I462" s="48">
        <v>0</v>
      </c>
      <c r="M462" s="279">
        <f t="shared" si="32"/>
        <v>0</v>
      </c>
      <c r="O462" s="279">
        <f t="shared" si="33"/>
        <v>0</v>
      </c>
      <c r="Q462" s="279">
        <f t="shared" si="34"/>
        <v>0</v>
      </c>
      <c r="S462" s="279">
        <f t="shared" si="35"/>
        <v>0</v>
      </c>
      <c r="U462" s="385"/>
      <c r="V462" s="385"/>
      <c r="W462" s="385"/>
      <c r="X462" s="385"/>
    </row>
    <row r="463" spans="4:24" s="277" customFormat="1" x14ac:dyDescent="0.3">
      <c r="D463" s="356" t="s">
        <v>787</v>
      </c>
      <c r="E463" s="356"/>
      <c r="F463" s="356"/>
      <c r="G463" s="356"/>
      <c r="I463" s="48">
        <v>0</v>
      </c>
      <c r="M463" s="279">
        <f t="shared" si="32"/>
        <v>0</v>
      </c>
      <c r="O463" s="279">
        <f t="shared" si="33"/>
        <v>0</v>
      </c>
      <c r="Q463" s="279">
        <f t="shared" si="34"/>
        <v>0</v>
      </c>
      <c r="S463" s="279">
        <f t="shared" si="35"/>
        <v>0</v>
      </c>
      <c r="U463" s="385"/>
      <c r="V463" s="385"/>
      <c r="W463" s="385"/>
      <c r="X463" s="385"/>
    </row>
    <row r="464" spans="4:24" s="277" customFormat="1" x14ac:dyDescent="0.3">
      <c r="D464" s="356" t="s">
        <v>788</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789</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790</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791</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792</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793</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794</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795</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796</v>
      </c>
      <c r="E472" s="356"/>
      <c r="F472" s="356"/>
      <c r="G472" s="356"/>
      <c r="I472" s="48">
        <v>0</v>
      </c>
      <c r="M472" s="279">
        <f t="shared" si="32"/>
        <v>0</v>
      </c>
      <c r="O472" s="279">
        <f t="shared" si="33"/>
        <v>0</v>
      </c>
      <c r="Q472" s="279">
        <f t="shared" si="34"/>
        <v>0</v>
      </c>
      <c r="S472" s="279">
        <f t="shared" si="35"/>
        <v>0</v>
      </c>
      <c r="U472" s="385"/>
      <c r="V472" s="385"/>
      <c r="W472" s="385"/>
      <c r="X472" s="385"/>
    </row>
    <row r="473" spans="3:24" ht="14.4" x14ac:dyDescent="0.3">
      <c r="D473" s="420" t="s">
        <v>88</v>
      </c>
      <c r="E473" s="427"/>
      <c r="F473" s="427"/>
      <c r="G473" s="427"/>
      <c r="I473" s="40"/>
      <c r="M473" s="40"/>
      <c r="O473" s="40"/>
      <c r="Q473" s="294">
        <f>SUM(Q448:Q472)</f>
        <v>0</v>
      </c>
      <c r="S473" s="294">
        <f>SUM(S448:S472)</f>
        <v>0</v>
      </c>
    </row>
    <row r="475" spans="3:24" ht="15.6" x14ac:dyDescent="0.3">
      <c r="C475" s="92" t="s">
        <v>89</v>
      </c>
    </row>
    <row r="476" spans="3:24" ht="27.6" x14ac:dyDescent="0.3">
      <c r="Q476" s="44" t="str">
        <f>"FINANCIAL COST ("&amp;INDEX(LU_ACT_21_Meet_Curr,DD_ACT_21_Meet1_Curr)&amp;")"</f>
        <v>FINANCIAL COST (GOZ)</v>
      </c>
      <c r="S476" s="44" t="str">
        <f>"ECONOMIC COST ("&amp;INDEX(LU_ACT_21_Meet_Curr,DD_ACT_21_Meet1_Curr)&amp;")"</f>
        <v>ECONOMIC COST (GOZ)</v>
      </c>
    </row>
    <row r="477" spans="3:24" ht="27.6" x14ac:dyDescent="0.3">
      <c r="D477" s="90" t="s">
        <v>86</v>
      </c>
      <c r="I477" s="91" t="s">
        <v>186</v>
      </c>
      <c r="K477" s="91" t="s">
        <v>187</v>
      </c>
      <c r="M477" s="42" t="s">
        <v>81</v>
      </c>
      <c r="O477" s="42" t="s">
        <v>83</v>
      </c>
      <c r="U477" s="350" t="s">
        <v>185</v>
      </c>
      <c r="V477" s="426"/>
      <c r="W477" s="426"/>
      <c r="X477" s="426"/>
    </row>
    <row r="478" spans="3:24" x14ac:dyDescent="0.3">
      <c r="D478" s="356" t="s">
        <v>71</v>
      </c>
      <c r="E478" s="356"/>
      <c r="F478" s="356"/>
      <c r="G478" s="356"/>
      <c r="I478" s="48">
        <v>0</v>
      </c>
      <c r="K478" s="48">
        <v>0</v>
      </c>
      <c r="M478" s="40">
        <f t="shared" ref="M478:M502" si="36">IFERROR(IF(DD_ACT_21_Meet1_Curr=1,INDEX($M$666:$M$700,MATCH(D478,LU_ACT_21_ODCS,0)),INDEX($Q$666:$Q$700,MATCH(D478,LU_ACT_21_ODCS,0))),0)</f>
        <v>0</v>
      </c>
      <c r="O478" s="40">
        <f t="shared" ref="O478:O502" si="37">IFERROR(IF(DD_ACT_21_Meet1_Curr=1,INDEX($O$666:$O$700,MATCH(D478,LU_ACT_21_ODCS,0)),INDEX($S$666:$S$700,MATCH(D478,LU_ACT_21_ODCS,0))),0)</f>
        <v>0</v>
      </c>
      <c r="Q478" s="279">
        <f t="shared" ref="Q478:Q502" si="38">I478*K478*M478</f>
        <v>0</v>
      </c>
      <c r="S478" s="279">
        <f t="shared" ref="S478:S502" si="39">I478*K478*O478</f>
        <v>0</v>
      </c>
      <c r="U478" s="356"/>
      <c r="V478" s="356"/>
      <c r="W478" s="356"/>
      <c r="X478" s="356"/>
    </row>
    <row r="479" spans="3:24" x14ac:dyDescent="0.3">
      <c r="D479" s="356" t="s">
        <v>72</v>
      </c>
      <c r="E479" s="356"/>
      <c r="F479" s="356"/>
      <c r="G479" s="356"/>
      <c r="I479" s="48">
        <v>0</v>
      </c>
      <c r="K479" s="48">
        <v>0</v>
      </c>
      <c r="M479" s="40">
        <f t="shared" si="36"/>
        <v>0</v>
      </c>
      <c r="O479" s="40">
        <f t="shared" si="37"/>
        <v>0</v>
      </c>
      <c r="Q479" s="279">
        <f t="shared" si="38"/>
        <v>0</v>
      </c>
      <c r="S479" s="279">
        <f t="shared" si="39"/>
        <v>0</v>
      </c>
      <c r="U479" s="356"/>
      <c r="V479" s="356"/>
      <c r="W479" s="356"/>
      <c r="X479" s="356"/>
    </row>
    <row r="480" spans="3:24" x14ac:dyDescent="0.3">
      <c r="D480" s="356" t="s">
        <v>73</v>
      </c>
      <c r="E480" s="356"/>
      <c r="F480" s="356"/>
      <c r="G480" s="356"/>
      <c r="I480" s="48">
        <v>0</v>
      </c>
      <c r="K480" s="48">
        <v>0</v>
      </c>
      <c r="M480" s="40">
        <f t="shared" si="36"/>
        <v>0</v>
      </c>
      <c r="O480" s="40">
        <f t="shared" si="37"/>
        <v>0</v>
      </c>
      <c r="Q480" s="279">
        <f t="shared" si="38"/>
        <v>0</v>
      </c>
      <c r="S480" s="279">
        <f t="shared" si="39"/>
        <v>0</v>
      </c>
      <c r="U480" s="356"/>
      <c r="V480" s="356"/>
      <c r="W480" s="356"/>
      <c r="X480" s="356"/>
    </row>
    <row r="481" spans="4:24" x14ac:dyDescent="0.3">
      <c r="D481" s="356" t="s">
        <v>74</v>
      </c>
      <c r="E481" s="356"/>
      <c r="F481" s="356"/>
      <c r="G481" s="356"/>
      <c r="I481" s="48">
        <v>0</v>
      </c>
      <c r="K481" s="48">
        <v>0</v>
      </c>
      <c r="M481" s="40">
        <f t="shared" si="36"/>
        <v>0</v>
      </c>
      <c r="O481" s="40">
        <f t="shared" si="37"/>
        <v>0</v>
      </c>
      <c r="Q481" s="279">
        <f t="shared" si="38"/>
        <v>0</v>
      </c>
      <c r="S481" s="279">
        <f t="shared" si="39"/>
        <v>0</v>
      </c>
      <c r="U481" s="356"/>
      <c r="V481" s="356"/>
      <c r="W481" s="356"/>
      <c r="X481" s="356"/>
    </row>
    <row r="482" spans="4:24" x14ac:dyDescent="0.3">
      <c r="D482" s="356" t="s">
        <v>75</v>
      </c>
      <c r="E482" s="356"/>
      <c r="F482" s="356"/>
      <c r="G482" s="356"/>
      <c r="I482" s="48">
        <v>0</v>
      </c>
      <c r="K482" s="48">
        <v>0</v>
      </c>
      <c r="M482" s="40">
        <f t="shared" si="36"/>
        <v>0</v>
      </c>
      <c r="O482" s="40">
        <f t="shared" si="37"/>
        <v>0</v>
      </c>
      <c r="Q482" s="279">
        <f t="shared" si="38"/>
        <v>0</v>
      </c>
      <c r="S482" s="279">
        <f t="shared" si="39"/>
        <v>0</v>
      </c>
      <c r="U482" s="356"/>
      <c r="V482" s="356"/>
      <c r="W482" s="356"/>
      <c r="X482" s="356"/>
    </row>
    <row r="483" spans="4:24" s="277" customFormat="1" x14ac:dyDescent="0.3">
      <c r="D483" s="356" t="s">
        <v>876</v>
      </c>
      <c r="E483" s="356"/>
      <c r="F483" s="356"/>
      <c r="G483" s="356"/>
      <c r="I483" s="48">
        <v>0</v>
      </c>
      <c r="K483" s="48">
        <v>0</v>
      </c>
      <c r="M483" s="279">
        <f t="shared" si="36"/>
        <v>0</v>
      </c>
      <c r="O483" s="279">
        <f t="shared" si="37"/>
        <v>0</v>
      </c>
      <c r="Q483" s="279">
        <f t="shared" si="38"/>
        <v>0</v>
      </c>
      <c r="S483" s="279">
        <f t="shared" si="39"/>
        <v>0</v>
      </c>
      <c r="U483" s="385"/>
      <c r="V483" s="385"/>
      <c r="W483" s="385"/>
      <c r="X483" s="385"/>
    </row>
    <row r="484" spans="4:24" s="277" customFormat="1" x14ac:dyDescent="0.3">
      <c r="D484" s="356" t="s">
        <v>877</v>
      </c>
      <c r="E484" s="356"/>
      <c r="F484" s="356"/>
      <c r="G484" s="356"/>
      <c r="I484" s="48">
        <v>0</v>
      </c>
      <c r="K484" s="48">
        <v>0</v>
      </c>
      <c r="M484" s="279">
        <f t="shared" si="36"/>
        <v>0</v>
      </c>
      <c r="O484" s="279">
        <f t="shared" si="37"/>
        <v>0</v>
      </c>
      <c r="Q484" s="279">
        <f t="shared" si="38"/>
        <v>0</v>
      </c>
      <c r="S484" s="279">
        <f t="shared" si="39"/>
        <v>0</v>
      </c>
      <c r="U484" s="385"/>
      <c r="V484" s="385"/>
      <c r="W484" s="385"/>
      <c r="X484" s="385"/>
    </row>
    <row r="485" spans="4:24" s="277" customFormat="1" x14ac:dyDescent="0.3">
      <c r="D485" s="356" t="s">
        <v>878</v>
      </c>
      <c r="E485" s="356"/>
      <c r="F485" s="356"/>
      <c r="G485" s="356"/>
      <c r="I485" s="48">
        <v>0</v>
      </c>
      <c r="K485" s="48">
        <v>0</v>
      </c>
      <c r="M485" s="279">
        <f t="shared" si="36"/>
        <v>0</v>
      </c>
      <c r="O485" s="279">
        <f t="shared" si="37"/>
        <v>0</v>
      </c>
      <c r="Q485" s="279">
        <f t="shared" si="38"/>
        <v>0</v>
      </c>
      <c r="S485" s="279">
        <f t="shared" si="39"/>
        <v>0</v>
      </c>
      <c r="U485" s="385"/>
      <c r="V485" s="385"/>
      <c r="W485" s="385"/>
      <c r="X485" s="385"/>
    </row>
    <row r="486" spans="4:24" s="277" customFormat="1" x14ac:dyDescent="0.3">
      <c r="D486" s="356" t="s">
        <v>879</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880</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881</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882</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883</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884</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885</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886</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887</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888</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889</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890</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986</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987</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988</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989</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s="277" customFormat="1" x14ac:dyDescent="0.3">
      <c r="D502" s="356" t="s">
        <v>990</v>
      </c>
      <c r="E502" s="356"/>
      <c r="F502" s="356"/>
      <c r="G502" s="356"/>
      <c r="I502" s="48">
        <v>0</v>
      </c>
      <c r="K502" s="48">
        <v>0</v>
      </c>
      <c r="M502" s="279">
        <f t="shared" si="36"/>
        <v>0</v>
      </c>
      <c r="O502" s="279">
        <f t="shared" si="37"/>
        <v>0</v>
      </c>
      <c r="Q502" s="279">
        <f t="shared" si="38"/>
        <v>0</v>
      </c>
      <c r="S502" s="279">
        <f t="shared" si="39"/>
        <v>0</v>
      </c>
      <c r="U502" s="385"/>
      <c r="V502" s="385"/>
      <c r="W502" s="385"/>
      <c r="X502" s="385"/>
    </row>
    <row r="503" spans="2:24" ht="14.4" x14ac:dyDescent="0.3">
      <c r="D503" s="420" t="s">
        <v>90</v>
      </c>
      <c r="E503" s="427"/>
      <c r="F503" s="427"/>
      <c r="G503" s="427"/>
      <c r="I503" s="40"/>
      <c r="K503" s="40">
        <f>SUM(K478:K502)</f>
        <v>0</v>
      </c>
      <c r="M503" s="40"/>
      <c r="O503" s="40"/>
      <c r="Q503" s="294">
        <f>SUM(Q478:Q502)</f>
        <v>0</v>
      </c>
      <c r="S503" s="294">
        <f>SUM(S478:S502)</f>
        <v>0</v>
      </c>
    </row>
    <row r="505" spans="2:24" ht="27.6" x14ac:dyDescent="0.3">
      <c r="Q505" s="44" t="str">
        <f>"FINANCIAL COST ("&amp;INDEX(LU_ACT_21_Meet_Curr,DD_ACT_21_Meet1_Curr)&amp;")"</f>
        <v>FINANCIAL COST (GOZ)</v>
      </c>
      <c r="S505" s="44" t="str">
        <f>"ECONOMIC COST ("&amp;INDEX(LU_ACT_21_Meet_Curr,DD_ACT_21_Meet1_Curr)&amp;")"</f>
        <v>ECONOMIC COST (GOZ)</v>
      </c>
      <c r="U505" s="44" t="str">
        <f>"FINANCIAL COST ("&amp;IF(DD_ACT_21_Meet1_Curr=2,$D$510,$D$511)&amp;")"</f>
        <v>FINANCIAL COST (USD)</v>
      </c>
      <c r="W505" s="44" t="str">
        <f>"ECONOMIC COST ("&amp;IF(DD_ACT_21_Meet1_Curr=2,$D$510,$D$511)&amp;")"</f>
        <v>ECONOMIC COST (USD)</v>
      </c>
    </row>
    <row r="506" spans="2:24" ht="18.600000000000001" thickBot="1" x14ac:dyDescent="0.35">
      <c r="B506" s="99" t="s">
        <v>91</v>
      </c>
      <c r="Q506" s="46">
        <f>SUM(Q384,Q413,Q444,Q473,Q503)</f>
        <v>0</v>
      </c>
      <c r="S506" s="46">
        <f>SUM(S384,S413,S444,S473,S503)</f>
        <v>0</v>
      </c>
      <c r="U506" s="47">
        <f>IFERROR(IF(DD_ACT_21_Meet1_Curr=2,$Q506/$I$511,$Q506*$I$511), 0)</f>
        <v>0</v>
      </c>
      <c r="W506" s="47">
        <f>IFERROR(IF(DD_ACT_21_Meet1_Curr=2,$S506/$I$511,$S506*$I$511), 0)</f>
        <v>0</v>
      </c>
    </row>
    <row r="507" spans="2:24" ht="14.4" thickTop="1" x14ac:dyDescent="0.3"/>
    <row r="508" spans="2:24" x14ac:dyDescent="0.3">
      <c r="C508" s="91" t="s">
        <v>584</v>
      </c>
    </row>
    <row r="509" spans="2:24" hidden="1" outlineLevel="1" x14ac:dyDescent="0.3"/>
    <row r="510" spans="2:24" ht="12.9" hidden="1" customHeight="1" outlineLevel="1" x14ac:dyDescent="0.3">
      <c r="D510" s="422" t="str">
        <f>CURR_TA!D13</f>
        <v>USD</v>
      </c>
      <c r="E510" s="423"/>
      <c r="F510" s="423"/>
      <c r="G510" s="423"/>
      <c r="I510" s="279">
        <f>CURR_TA!J13</f>
        <v>1</v>
      </c>
      <c r="J510" s="279">
        <f>CURR_TA!K13</f>
        <v>0</v>
      </c>
      <c r="K510" s="279">
        <f>CURR_TA!L13</f>
        <v>0</v>
      </c>
      <c r="L510" s="279">
        <f>CURR_TA!M13</f>
        <v>0</v>
      </c>
    </row>
    <row r="511" spans="2:24" ht="12.9" hidden="1" customHeight="1" outlineLevel="1" x14ac:dyDescent="0.3">
      <c r="D511" s="422" t="str">
        <f>CURR_TA!D14</f>
        <v>GOZ</v>
      </c>
      <c r="E511" s="423"/>
      <c r="F511" s="423"/>
      <c r="G511" s="423"/>
      <c r="I511" s="279">
        <f>CURR_TA!J14</f>
        <v>0</v>
      </c>
      <c r="J511" s="279">
        <f>CURR_TA!K14</f>
        <v>0</v>
      </c>
      <c r="K511" s="279">
        <f>CURR_TA!L14</f>
        <v>0</v>
      </c>
      <c r="L511" s="279">
        <f>CURR_TA!M14</f>
        <v>0</v>
      </c>
    </row>
    <row r="512" spans="2:24" collapsed="1" x14ac:dyDescent="0.3"/>
    <row r="514" spans="3:19" x14ac:dyDescent="0.3">
      <c r="C514" s="91" t="s">
        <v>586</v>
      </c>
    </row>
    <row r="515" spans="3:19" hidden="1" outlineLevel="1" x14ac:dyDescent="0.3">
      <c r="M515" s="40" t="str">
        <f>$D$510</f>
        <v>USD</v>
      </c>
      <c r="O515" s="40" t="str">
        <f>$D$510</f>
        <v>USD</v>
      </c>
      <c r="Q515" s="40" t="str">
        <f>$D$511</f>
        <v>GOZ</v>
      </c>
      <c r="S515" s="40" t="str">
        <f>$D$511</f>
        <v>GOZ</v>
      </c>
    </row>
    <row r="516" spans="3:19" hidden="1" outlineLevel="1" x14ac:dyDescent="0.3">
      <c r="C516" s="89" t="str">
        <f>RES_BA!D14</f>
        <v>Personnel Cadre - Other 1</v>
      </c>
      <c r="M516" s="40">
        <f>RES_BA!R14</f>
        <v>0</v>
      </c>
      <c r="O516" s="40">
        <f>RES_BA!S14</f>
        <v>0</v>
      </c>
      <c r="Q516" s="40">
        <f>RES_BA!T14</f>
        <v>0</v>
      </c>
      <c r="S516" s="40">
        <f>RES_BA!U14</f>
        <v>0</v>
      </c>
    </row>
    <row r="517" spans="3:19" hidden="1" outlineLevel="1" x14ac:dyDescent="0.3">
      <c r="C517" s="89" t="str">
        <f>RES_BA!D15</f>
        <v>Personnel Cadre - Other 2</v>
      </c>
      <c r="M517" s="40">
        <f>RES_BA!R15</f>
        <v>0</v>
      </c>
      <c r="O517" s="40">
        <f>RES_BA!S15</f>
        <v>0</v>
      </c>
      <c r="Q517" s="40">
        <f>RES_BA!T15</f>
        <v>0</v>
      </c>
      <c r="S517" s="40">
        <f>RES_BA!U15</f>
        <v>0</v>
      </c>
    </row>
    <row r="518" spans="3:19" hidden="1" outlineLevel="1" x14ac:dyDescent="0.3">
      <c r="C518" s="89" t="str">
        <f>RES_BA!D16</f>
        <v>Personnel Cadre - Other 3</v>
      </c>
      <c r="M518" s="40">
        <f>RES_BA!R16</f>
        <v>0</v>
      </c>
      <c r="O518" s="40">
        <f>RES_BA!S16</f>
        <v>0</v>
      </c>
      <c r="Q518" s="40">
        <f>RES_BA!T16</f>
        <v>0</v>
      </c>
      <c r="S518" s="40">
        <f>RES_BA!U16</f>
        <v>0</v>
      </c>
    </row>
    <row r="519" spans="3:19" hidden="1" outlineLevel="1" x14ac:dyDescent="0.3">
      <c r="C519" s="89" t="str">
        <f>RES_BA!D17</f>
        <v>Personnel Cadre - Other 4</v>
      </c>
      <c r="M519" s="40">
        <f>RES_BA!R17</f>
        <v>0</v>
      </c>
      <c r="O519" s="40">
        <f>RES_BA!S17</f>
        <v>0</v>
      </c>
      <c r="Q519" s="40">
        <f>RES_BA!T17</f>
        <v>0</v>
      </c>
      <c r="S519" s="40">
        <f>RES_BA!U17</f>
        <v>0</v>
      </c>
    </row>
    <row r="520" spans="3:19" hidden="1" outlineLevel="1" x14ac:dyDescent="0.3">
      <c r="C520" s="89" t="str">
        <f>RES_BA!D18</f>
        <v>Personnel Cadre - Other 5</v>
      </c>
      <c r="M520" s="40">
        <f>RES_BA!R18</f>
        <v>0</v>
      </c>
      <c r="O520" s="40">
        <f>RES_BA!S18</f>
        <v>0</v>
      </c>
      <c r="Q520" s="40">
        <f>RES_BA!T18</f>
        <v>0</v>
      </c>
      <c r="S520" s="40">
        <f>RES_BA!U18</f>
        <v>0</v>
      </c>
    </row>
    <row r="521" spans="3:19" hidden="1" outlineLevel="1" x14ac:dyDescent="0.3">
      <c r="C521" s="89" t="str">
        <f>RES_BA!D19</f>
        <v>Personnel Cadre - Other 6</v>
      </c>
      <c r="M521" s="40">
        <f>RES_BA!R19</f>
        <v>0</v>
      </c>
      <c r="O521" s="40">
        <f>RES_BA!S19</f>
        <v>0</v>
      </c>
      <c r="Q521" s="40">
        <f>RES_BA!T19</f>
        <v>0</v>
      </c>
      <c r="S521" s="40">
        <f>RES_BA!U19</f>
        <v>0</v>
      </c>
    </row>
    <row r="522" spans="3:19" hidden="1" outlineLevel="1" x14ac:dyDescent="0.3">
      <c r="C522" s="89" t="str">
        <f>RES_BA!D20</f>
        <v>Personnel Cadre - Other 7</v>
      </c>
      <c r="M522" s="40">
        <f>RES_BA!R20</f>
        <v>0</v>
      </c>
      <c r="O522" s="40">
        <f>RES_BA!S20</f>
        <v>0</v>
      </c>
      <c r="Q522" s="40">
        <f>RES_BA!T20</f>
        <v>0</v>
      </c>
      <c r="S522" s="40">
        <f>RES_BA!U20</f>
        <v>0</v>
      </c>
    </row>
    <row r="523" spans="3:19" hidden="1" outlineLevel="1" x14ac:dyDescent="0.3">
      <c r="C523" s="89" t="str">
        <f>RES_BA!D21</f>
        <v>Personnel Cadre - Other 8</v>
      </c>
      <c r="M523" s="40">
        <f>RES_BA!R21</f>
        <v>0</v>
      </c>
      <c r="O523" s="40">
        <f>RES_BA!S21</f>
        <v>0</v>
      </c>
      <c r="Q523" s="40">
        <f>RES_BA!T21</f>
        <v>0</v>
      </c>
      <c r="S523" s="40">
        <f>RES_BA!U21</f>
        <v>0</v>
      </c>
    </row>
    <row r="524" spans="3:19" hidden="1" outlineLevel="1" x14ac:dyDescent="0.3">
      <c r="C524" s="89" t="str">
        <f>RES_BA!D22</f>
        <v>Personnel Cadre - Other 9</v>
      </c>
      <c r="M524" s="40">
        <f>RES_BA!R22</f>
        <v>0</v>
      </c>
      <c r="O524" s="40">
        <f>RES_BA!S22</f>
        <v>0</v>
      </c>
      <c r="Q524" s="40">
        <f>RES_BA!T22</f>
        <v>0</v>
      </c>
      <c r="S524" s="40">
        <f>RES_BA!U22</f>
        <v>0</v>
      </c>
    </row>
    <row r="525" spans="3:19" hidden="1" outlineLevel="1" x14ac:dyDescent="0.3">
      <c r="C525" s="89" t="str">
        <f>RES_BA!D23</f>
        <v>Personnel Cadre - Other 10</v>
      </c>
      <c r="M525" s="40">
        <f>RES_BA!R23</f>
        <v>0</v>
      </c>
      <c r="O525" s="40">
        <f>RES_BA!S23</f>
        <v>0</v>
      </c>
      <c r="Q525" s="40">
        <f>RES_BA!T23</f>
        <v>0</v>
      </c>
      <c r="S525" s="40">
        <f>RES_BA!U23</f>
        <v>0</v>
      </c>
    </row>
    <row r="526" spans="3:19" hidden="1" outlineLevel="1" x14ac:dyDescent="0.3">
      <c r="C526" s="89" t="str">
        <f>RES_BA!D24</f>
        <v>Personnel Cadre - Other 11</v>
      </c>
      <c r="M526" s="40">
        <f>RES_BA!R24</f>
        <v>0</v>
      </c>
      <c r="O526" s="40">
        <f>RES_BA!S24</f>
        <v>0</v>
      </c>
      <c r="Q526" s="40">
        <f>RES_BA!T24</f>
        <v>0</v>
      </c>
      <c r="S526" s="40">
        <f>RES_BA!U24</f>
        <v>0</v>
      </c>
    </row>
    <row r="527" spans="3:19" hidden="1" outlineLevel="1" x14ac:dyDescent="0.3">
      <c r="C527" s="89" t="str">
        <f>RES_BA!D25</f>
        <v>Personnel Cadre - Other 12</v>
      </c>
      <c r="M527" s="40">
        <f>RES_BA!R25</f>
        <v>0</v>
      </c>
      <c r="O527" s="40">
        <f>RES_BA!S25</f>
        <v>0</v>
      </c>
      <c r="Q527" s="40">
        <f>RES_BA!T25</f>
        <v>0</v>
      </c>
      <c r="S527" s="40">
        <f>RES_BA!U25</f>
        <v>0</v>
      </c>
    </row>
    <row r="528" spans="3:19" hidden="1" outlineLevel="1" x14ac:dyDescent="0.3">
      <c r="C528" s="89" t="str">
        <f>RES_BA!D26</f>
        <v>Personnel Cadre - Other 13</v>
      </c>
      <c r="M528" s="40">
        <f>RES_BA!R26</f>
        <v>0</v>
      </c>
      <c r="O528" s="40">
        <f>RES_BA!S26</f>
        <v>0</v>
      </c>
      <c r="Q528" s="40">
        <f>RES_BA!T26</f>
        <v>0</v>
      </c>
      <c r="S528" s="40">
        <f>RES_BA!U26</f>
        <v>0</v>
      </c>
    </row>
    <row r="529" spans="3:19" hidden="1" outlineLevel="1" x14ac:dyDescent="0.3">
      <c r="C529" s="89" t="str">
        <f>RES_BA!D27</f>
        <v>Personnel Cadre - Other 14</v>
      </c>
      <c r="M529" s="40">
        <f>RES_BA!R27</f>
        <v>0</v>
      </c>
      <c r="O529" s="40">
        <f>RES_BA!S27</f>
        <v>0</v>
      </c>
      <c r="Q529" s="40">
        <f>RES_BA!T27</f>
        <v>0</v>
      </c>
      <c r="S529" s="40">
        <f>RES_BA!U27</f>
        <v>0</v>
      </c>
    </row>
    <row r="530" spans="3:19" hidden="1" outlineLevel="1" x14ac:dyDescent="0.3">
      <c r="C530" s="89" t="str">
        <f>RES_BA!D28</f>
        <v>Personnel Cadre - Other 15</v>
      </c>
      <c r="M530" s="40">
        <f>RES_BA!R28</f>
        <v>0</v>
      </c>
      <c r="O530" s="40">
        <f>RES_BA!S28</f>
        <v>0</v>
      </c>
      <c r="Q530" s="40">
        <f>RES_BA!T28</f>
        <v>0</v>
      </c>
      <c r="S530" s="40">
        <f>RES_BA!U28</f>
        <v>0</v>
      </c>
    </row>
    <row r="531" spans="3:19" s="277" customFormat="1" hidden="1" outlineLevel="1" collapsed="1" x14ac:dyDescent="0.3">
      <c r="C531" s="283" t="str">
        <f>RES_BA!D29</f>
        <v>Personnel Cadre - Other 16</v>
      </c>
      <c r="M531" s="279">
        <f>RES_BA!R29</f>
        <v>0</v>
      </c>
      <c r="O531" s="279">
        <f>RES_BA!S29</f>
        <v>0</v>
      </c>
      <c r="Q531" s="279">
        <f>RES_BA!T29</f>
        <v>0</v>
      </c>
      <c r="S531" s="279">
        <f>RES_BA!U29</f>
        <v>0</v>
      </c>
    </row>
    <row r="532" spans="3:19" s="277" customFormat="1" hidden="1" outlineLevel="1" collapsed="1" x14ac:dyDescent="0.3">
      <c r="C532" s="283" t="str">
        <f>RES_BA!D30</f>
        <v>Personnel Cadre - Other 17</v>
      </c>
      <c r="M532" s="279">
        <f>RES_BA!R30</f>
        <v>0</v>
      </c>
      <c r="O532" s="279">
        <f>RES_BA!S30</f>
        <v>0</v>
      </c>
      <c r="Q532" s="279">
        <f>RES_BA!T30</f>
        <v>0</v>
      </c>
      <c r="S532" s="279">
        <f>RES_BA!U30</f>
        <v>0</v>
      </c>
    </row>
    <row r="533" spans="3:19" s="277" customFormat="1" hidden="1" outlineLevel="1" collapsed="1" x14ac:dyDescent="0.3">
      <c r="C533" s="283" t="str">
        <f>RES_BA!D31</f>
        <v>Personnel Cadre - Other 18</v>
      </c>
      <c r="M533" s="279">
        <f>RES_BA!R31</f>
        <v>0</v>
      </c>
      <c r="O533" s="279">
        <f>RES_BA!S31</f>
        <v>0</v>
      </c>
      <c r="Q533" s="279">
        <f>RES_BA!T31</f>
        <v>0</v>
      </c>
      <c r="S533" s="279">
        <f>RES_BA!U31</f>
        <v>0</v>
      </c>
    </row>
    <row r="534" spans="3:19" s="277" customFormat="1" hidden="1" outlineLevel="1" x14ac:dyDescent="0.3">
      <c r="C534" s="283" t="str">
        <f>RES_BA!D32</f>
        <v>Personnel Cadre - Other 19</v>
      </c>
      <c r="M534" s="279">
        <f>RES_BA!R32</f>
        <v>0</v>
      </c>
      <c r="O534" s="279">
        <f>RES_BA!S32</f>
        <v>0</v>
      </c>
      <c r="Q534" s="279">
        <f>RES_BA!T32</f>
        <v>0</v>
      </c>
      <c r="S534" s="279">
        <f>RES_BA!U32</f>
        <v>0</v>
      </c>
    </row>
    <row r="535" spans="3:19" s="277" customFormat="1" hidden="1" outlineLevel="1" x14ac:dyDescent="0.3">
      <c r="C535" s="283" t="str">
        <f>RES_BA!D33</f>
        <v>Personnel Cadre - Other 20</v>
      </c>
      <c r="M535" s="279">
        <f>RES_BA!R33</f>
        <v>0</v>
      </c>
      <c r="O535" s="279">
        <f>RES_BA!S33</f>
        <v>0</v>
      </c>
      <c r="Q535" s="279">
        <f>RES_BA!T33</f>
        <v>0</v>
      </c>
      <c r="S535" s="279">
        <f>RES_BA!U33</f>
        <v>0</v>
      </c>
    </row>
    <row r="536" spans="3:19" s="277" customFormat="1" hidden="1" outlineLevel="1" collapsed="1" x14ac:dyDescent="0.3">
      <c r="C536" s="283" t="str">
        <f>RES_BA!D34</f>
        <v>Personnel Cadre - Other 21</v>
      </c>
      <c r="M536" s="279">
        <f>RES_BA!R34</f>
        <v>0</v>
      </c>
      <c r="O536" s="279">
        <f>RES_BA!S34</f>
        <v>0</v>
      </c>
      <c r="Q536" s="279">
        <f>RES_BA!T34</f>
        <v>0</v>
      </c>
      <c r="S536" s="279">
        <f>RES_BA!U34</f>
        <v>0</v>
      </c>
    </row>
    <row r="537" spans="3:19" s="277" customFormat="1" hidden="1" outlineLevel="1" x14ac:dyDescent="0.3">
      <c r="C537" s="283" t="str">
        <f>RES_BA!D35</f>
        <v>Personnel Cadre - Other 22</v>
      </c>
      <c r="M537" s="279">
        <f>RES_BA!R35</f>
        <v>0</v>
      </c>
      <c r="O537" s="279">
        <f>RES_BA!S35</f>
        <v>0</v>
      </c>
      <c r="Q537" s="279">
        <f>RES_BA!T35</f>
        <v>0</v>
      </c>
      <c r="S537" s="279">
        <f>RES_BA!U35</f>
        <v>0</v>
      </c>
    </row>
    <row r="538" spans="3:19" s="277" customFormat="1" hidden="1" outlineLevel="1" x14ac:dyDescent="0.3">
      <c r="C538" s="283" t="str">
        <f>RES_BA!D36</f>
        <v>Personnel Cadre - Other 23</v>
      </c>
      <c r="M538" s="279">
        <f>RES_BA!R36</f>
        <v>0</v>
      </c>
      <c r="O538" s="279">
        <f>RES_BA!S36</f>
        <v>0</v>
      </c>
      <c r="Q538" s="279">
        <f>RES_BA!T36</f>
        <v>0</v>
      </c>
      <c r="S538" s="279">
        <f>RES_BA!U36</f>
        <v>0</v>
      </c>
    </row>
    <row r="539" spans="3:19" s="277" customFormat="1" hidden="1" outlineLevel="1" x14ac:dyDescent="0.3">
      <c r="C539" s="283" t="str">
        <f>RES_BA!D37</f>
        <v>Personnel Cadre - Other 24</v>
      </c>
      <c r="M539" s="279">
        <f>RES_BA!R37</f>
        <v>0</v>
      </c>
      <c r="O539" s="279">
        <f>RES_BA!S37</f>
        <v>0</v>
      </c>
      <c r="Q539" s="279">
        <f>RES_BA!T37</f>
        <v>0</v>
      </c>
      <c r="S539" s="279">
        <f>RES_BA!U37</f>
        <v>0</v>
      </c>
    </row>
    <row r="540" spans="3:19" s="277" customFormat="1" hidden="1" outlineLevel="1" x14ac:dyDescent="0.3">
      <c r="C540" s="283" t="str">
        <f>RES_BA!D38</f>
        <v>Personnel Cadre - Other 25</v>
      </c>
      <c r="M540" s="279">
        <f>RES_BA!R38</f>
        <v>0</v>
      </c>
      <c r="O540" s="279">
        <f>RES_BA!S38</f>
        <v>0</v>
      </c>
      <c r="Q540" s="279">
        <f>RES_BA!T38</f>
        <v>0</v>
      </c>
      <c r="S540" s="279">
        <f>RES_BA!U38</f>
        <v>0</v>
      </c>
    </row>
    <row r="541" spans="3:19" s="277" customFormat="1" hidden="1" outlineLevel="1" x14ac:dyDescent="0.3">
      <c r="C541" s="283" t="str">
        <f>RES_BA!D39</f>
        <v>Personnel Cadre - Other 26</v>
      </c>
      <c r="M541" s="279">
        <f>RES_BA!R39</f>
        <v>0</v>
      </c>
      <c r="O541" s="279">
        <f>RES_BA!S39</f>
        <v>0</v>
      </c>
      <c r="Q541" s="279">
        <f>RES_BA!T39</f>
        <v>0</v>
      </c>
      <c r="S541" s="279">
        <f>RES_BA!U39</f>
        <v>0</v>
      </c>
    </row>
    <row r="542" spans="3:19" s="277" customFormat="1" hidden="1" outlineLevel="1" x14ac:dyDescent="0.3">
      <c r="C542" s="283" t="str">
        <f>RES_BA!D40</f>
        <v>Personnel Cadre - Other 27</v>
      </c>
      <c r="M542" s="279">
        <f>RES_BA!R40</f>
        <v>0</v>
      </c>
      <c r="O542" s="279">
        <f>RES_BA!S40</f>
        <v>0</v>
      </c>
      <c r="Q542" s="279">
        <f>RES_BA!T40</f>
        <v>0</v>
      </c>
      <c r="S542" s="279">
        <f>RES_BA!U40</f>
        <v>0</v>
      </c>
    </row>
    <row r="543" spans="3:19" s="277" customFormat="1" hidden="1" outlineLevel="1" x14ac:dyDescent="0.3">
      <c r="C543" s="283" t="str">
        <f>RES_BA!D41</f>
        <v>Personnel Cadre - Other 28</v>
      </c>
      <c r="M543" s="279">
        <f>RES_BA!R41</f>
        <v>0</v>
      </c>
      <c r="O543" s="279">
        <f>RES_BA!S41</f>
        <v>0</v>
      </c>
      <c r="Q543" s="279">
        <f>RES_BA!T41</f>
        <v>0</v>
      </c>
      <c r="S543" s="279">
        <f>RES_BA!U41</f>
        <v>0</v>
      </c>
    </row>
    <row r="544" spans="3:19" s="277" customFormat="1" hidden="1" outlineLevel="1" x14ac:dyDescent="0.3">
      <c r="C544" s="283" t="str">
        <f>RES_BA!D42</f>
        <v>Personnel Cadre - Other 29</v>
      </c>
      <c r="M544" s="279">
        <f>RES_BA!R42</f>
        <v>0</v>
      </c>
      <c r="O544" s="279">
        <f>RES_BA!S42</f>
        <v>0</v>
      </c>
      <c r="Q544" s="279">
        <f>RES_BA!T42</f>
        <v>0</v>
      </c>
      <c r="S544" s="279">
        <f>RES_BA!U42</f>
        <v>0</v>
      </c>
    </row>
    <row r="545" spans="3:19" s="277" customFormat="1" hidden="1" outlineLevel="1" x14ac:dyDescent="0.3">
      <c r="C545" s="283" t="str">
        <f>RES_BA!D43</f>
        <v>Personnel Cadre - Other 30</v>
      </c>
      <c r="M545" s="279">
        <f>RES_BA!R43</f>
        <v>0</v>
      </c>
      <c r="O545" s="279">
        <f>RES_BA!S43</f>
        <v>0</v>
      </c>
      <c r="Q545" s="279">
        <f>RES_BA!T43</f>
        <v>0</v>
      </c>
      <c r="S545" s="279">
        <f>RES_BA!U43</f>
        <v>0</v>
      </c>
    </row>
    <row r="546" spans="3:19" s="277" customFormat="1" hidden="1" outlineLevel="1" x14ac:dyDescent="0.3">
      <c r="C546" s="283" t="str">
        <f>RES_BA!D44</f>
        <v>Personnel Cadre - Other 31</v>
      </c>
      <c r="M546" s="279">
        <f>RES_BA!R44</f>
        <v>0</v>
      </c>
      <c r="O546" s="279">
        <f>RES_BA!S44</f>
        <v>0</v>
      </c>
      <c r="Q546" s="279">
        <f>RES_BA!T44</f>
        <v>0</v>
      </c>
      <c r="S546" s="279">
        <f>RES_BA!U44</f>
        <v>0</v>
      </c>
    </row>
    <row r="547" spans="3:19" s="277" customFormat="1" hidden="1" outlineLevel="1" x14ac:dyDescent="0.3">
      <c r="C547" s="283" t="str">
        <f>RES_BA!D45</f>
        <v>Personnel Cadre - Other 32</v>
      </c>
      <c r="M547" s="279">
        <f>RES_BA!R45</f>
        <v>0</v>
      </c>
      <c r="O547" s="279">
        <f>RES_BA!S45</f>
        <v>0</v>
      </c>
      <c r="Q547" s="279">
        <f>RES_BA!T45</f>
        <v>0</v>
      </c>
      <c r="S547" s="279">
        <f>RES_BA!U45</f>
        <v>0</v>
      </c>
    </row>
    <row r="548" spans="3:19" s="277" customFormat="1" hidden="1" outlineLevel="1" x14ac:dyDescent="0.3">
      <c r="C548" s="283" t="str">
        <f>RES_BA!D46</f>
        <v>Personnel Cadre - Other 33</v>
      </c>
      <c r="M548" s="279">
        <f>RES_BA!R46</f>
        <v>0</v>
      </c>
      <c r="O548" s="279">
        <f>RES_BA!S46</f>
        <v>0</v>
      </c>
      <c r="Q548" s="279">
        <f>RES_BA!T46</f>
        <v>0</v>
      </c>
      <c r="S548" s="279">
        <f>RES_BA!U46</f>
        <v>0</v>
      </c>
    </row>
    <row r="549" spans="3:19" s="277" customFormat="1" hidden="1" outlineLevel="1" x14ac:dyDescent="0.3">
      <c r="C549" s="283" t="str">
        <f>RES_BA!D47</f>
        <v>Personnel Cadre - Other 34</v>
      </c>
      <c r="M549" s="279">
        <f>RES_BA!R47</f>
        <v>0</v>
      </c>
      <c r="O549" s="279">
        <f>RES_BA!S47</f>
        <v>0</v>
      </c>
      <c r="Q549" s="279">
        <f>RES_BA!T47</f>
        <v>0</v>
      </c>
      <c r="S549" s="279">
        <f>RES_BA!U47</f>
        <v>0</v>
      </c>
    </row>
    <row r="550" spans="3:19" s="277" customFormat="1" hidden="1" outlineLevel="1" x14ac:dyDescent="0.3">
      <c r="C550" s="283" t="str">
        <f>RES_BA!D48</f>
        <v>Personnel Cadre - Other 35</v>
      </c>
      <c r="M550" s="279">
        <f>RES_BA!R48</f>
        <v>0</v>
      </c>
      <c r="O550" s="279">
        <f>RES_BA!S48</f>
        <v>0</v>
      </c>
      <c r="Q550" s="279">
        <f>RES_BA!T48</f>
        <v>0</v>
      </c>
      <c r="S550" s="279">
        <f>RES_BA!U48</f>
        <v>0</v>
      </c>
    </row>
    <row r="551" spans="3:19" hidden="1" outlineLevel="1" x14ac:dyDescent="0.3"/>
    <row r="552" spans="3:19" hidden="1" outlineLevel="1" x14ac:dyDescent="0.3">
      <c r="M552" s="40" t="str">
        <f>$D$510</f>
        <v>USD</v>
      </c>
      <c r="O552" s="40" t="str">
        <f>$D$510</f>
        <v>USD</v>
      </c>
      <c r="Q552" s="40" t="str">
        <f>$D$511</f>
        <v>GOZ</v>
      </c>
      <c r="S552" s="40" t="str">
        <f>$D$511</f>
        <v>GOZ</v>
      </c>
    </row>
    <row r="553" spans="3:19" hidden="1" outlineLevel="1" x14ac:dyDescent="0.3">
      <c r="C553" s="89" t="str">
        <f>RES_BA!D53</f>
        <v>Allowances Category 1</v>
      </c>
      <c r="M553" s="40">
        <f>RES_BA!R53</f>
        <v>0</v>
      </c>
      <c r="O553" s="40">
        <f>RES_BA!S53</f>
        <v>0</v>
      </c>
      <c r="Q553" s="40">
        <f>RES_BA!T53</f>
        <v>0</v>
      </c>
      <c r="S553" s="40">
        <f>RES_BA!U53</f>
        <v>0</v>
      </c>
    </row>
    <row r="554" spans="3:19" hidden="1" outlineLevel="1" x14ac:dyDescent="0.3">
      <c r="C554" s="89" t="str">
        <f>RES_BA!D54</f>
        <v>Allowances Category 2</v>
      </c>
      <c r="M554" s="40">
        <f>RES_BA!R54</f>
        <v>0</v>
      </c>
      <c r="O554" s="40">
        <f>RES_BA!S54</f>
        <v>0</v>
      </c>
      <c r="Q554" s="40">
        <f>RES_BA!T54</f>
        <v>0</v>
      </c>
      <c r="S554" s="40">
        <f>RES_BA!U54</f>
        <v>0</v>
      </c>
    </row>
    <row r="555" spans="3:19" hidden="1" outlineLevel="1" x14ac:dyDescent="0.3">
      <c r="C555" s="89" t="str">
        <f>RES_BA!D55</f>
        <v>Allowances Category 3</v>
      </c>
      <c r="M555" s="40">
        <f>RES_BA!R55</f>
        <v>0</v>
      </c>
      <c r="O555" s="40">
        <f>RES_BA!S55</f>
        <v>0</v>
      </c>
      <c r="Q555" s="40">
        <f>RES_BA!T55</f>
        <v>0</v>
      </c>
      <c r="S555" s="40">
        <f>RES_BA!U55</f>
        <v>0</v>
      </c>
    </row>
    <row r="556" spans="3:19" hidden="1" outlineLevel="1" x14ac:dyDescent="0.3">
      <c r="C556" s="89" t="str">
        <f>RES_BA!D56</f>
        <v>Allowances Category 4</v>
      </c>
      <c r="M556" s="40">
        <f>RES_BA!R56</f>
        <v>0</v>
      </c>
      <c r="O556" s="40">
        <f>RES_BA!S56</f>
        <v>0</v>
      </c>
      <c r="Q556" s="40">
        <f>RES_BA!T56</f>
        <v>0</v>
      </c>
      <c r="S556" s="40">
        <f>RES_BA!U56</f>
        <v>0</v>
      </c>
    </row>
    <row r="557" spans="3:19" hidden="1" outlineLevel="1" x14ac:dyDescent="0.3">
      <c r="C557" s="89" t="str">
        <f>RES_BA!D57</f>
        <v>Allowances Category 5</v>
      </c>
      <c r="M557" s="40">
        <f>RES_BA!R57</f>
        <v>0</v>
      </c>
      <c r="O557" s="40">
        <f>RES_BA!S57</f>
        <v>0</v>
      </c>
      <c r="Q557" s="40">
        <f>RES_BA!T57</f>
        <v>0</v>
      </c>
      <c r="S557" s="40">
        <f>RES_BA!U57</f>
        <v>0</v>
      </c>
    </row>
    <row r="558" spans="3:19" s="277" customFormat="1" hidden="1" outlineLevel="1" collapsed="1" x14ac:dyDescent="0.3">
      <c r="C558" s="283" t="str">
        <f>RES_BA!D58</f>
        <v>Allowances Category 6</v>
      </c>
      <c r="M558" s="279">
        <f>RES_BA!R58</f>
        <v>0</v>
      </c>
      <c r="O558" s="279">
        <f>RES_BA!S58</f>
        <v>0</v>
      </c>
      <c r="Q558" s="279">
        <f>RES_BA!T58</f>
        <v>0</v>
      </c>
      <c r="S558" s="279">
        <f>RES_BA!U58</f>
        <v>0</v>
      </c>
    </row>
    <row r="559" spans="3:19" s="277" customFormat="1" hidden="1" outlineLevel="1" x14ac:dyDescent="0.3">
      <c r="C559" s="283" t="str">
        <f>RES_BA!D59</f>
        <v>Allowances Category 7</v>
      </c>
      <c r="M559" s="279">
        <f>RES_BA!R59</f>
        <v>0</v>
      </c>
      <c r="O559" s="279">
        <f>RES_BA!S59</f>
        <v>0</v>
      </c>
      <c r="Q559" s="279">
        <f>RES_BA!T59</f>
        <v>0</v>
      </c>
      <c r="S559" s="279">
        <f>RES_BA!U59</f>
        <v>0</v>
      </c>
    </row>
    <row r="560" spans="3:19" s="277" customFormat="1" hidden="1" outlineLevel="1" x14ac:dyDescent="0.3">
      <c r="C560" s="283" t="str">
        <f>RES_BA!D60</f>
        <v>Allowances Category 8</v>
      </c>
      <c r="M560" s="279">
        <f>RES_BA!R60</f>
        <v>0</v>
      </c>
      <c r="O560" s="279">
        <f>RES_BA!S60</f>
        <v>0</v>
      </c>
      <c r="Q560" s="279">
        <f>RES_BA!T60</f>
        <v>0</v>
      </c>
      <c r="S560" s="279">
        <f>RES_BA!U60</f>
        <v>0</v>
      </c>
    </row>
    <row r="561" spans="3:19" s="277" customFormat="1" hidden="1" outlineLevel="1" x14ac:dyDescent="0.3">
      <c r="C561" s="283" t="str">
        <f>RES_BA!D61</f>
        <v>Allowances Category 9</v>
      </c>
      <c r="M561" s="279">
        <f>RES_BA!R61</f>
        <v>0</v>
      </c>
      <c r="O561" s="279">
        <f>RES_BA!S61</f>
        <v>0</v>
      </c>
      <c r="Q561" s="279">
        <f>RES_BA!T61</f>
        <v>0</v>
      </c>
      <c r="S561" s="279">
        <f>RES_BA!U61</f>
        <v>0</v>
      </c>
    </row>
    <row r="562" spans="3:19" s="277" customFormat="1" hidden="1" outlineLevel="1" x14ac:dyDescent="0.3">
      <c r="C562" s="283" t="str">
        <f>RES_BA!D62</f>
        <v>Allowances Category 10</v>
      </c>
      <c r="M562" s="279">
        <f>RES_BA!R62</f>
        <v>0</v>
      </c>
      <c r="O562" s="279">
        <f>RES_BA!S62</f>
        <v>0</v>
      </c>
      <c r="Q562" s="279">
        <f>RES_BA!T62</f>
        <v>0</v>
      </c>
      <c r="S562" s="279">
        <f>RES_BA!U62</f>
        <v>0</v>
      </c>
    </row>
    <row r="563" spans="3:19" s="277" customFormat="1" hidden="1" outlineLevel="1" x14ac:dyDescent="0.3">
      <c r="C563" s="283" t="str">
        <f>RES_BA!D63</f>
        <v>Allowances Category 11</v>
      </c>
      <c r="M563" s="279">
        <f>RES_BA!R63</f>
        <v>0</v>
      </c>
      <c r="O563" s="279">
        <f>RES_BA!S63</f>
        <v>0</v>
      </c>
      <c r="Q563" s="279">
        <f>RES_BA!T63</f>
        <v>0</v>
      </c>
      <c r="S563" s="279">
        <f>RES_BA!U63</f>
        <v>0</v>
      </c>
    </row>
    <row r="564" spans="3:19" s="277" customFormat="1" hidden="1" outlineLevel="1" x14ac:dyDescent="0.3">
      <c r="C564" s="283" t="str">
        <f>RES_BA!D64</f>
        <v>Allowances Category 12</v>
      </c>
      <c r="M564" s="279">
        <f>RES_BA!R64</f>
        <v>0</v>
      </c>
      <c r="O564" s="279">
        <f>RES_BA!S64</f>
        <v>0</v>
      </c>
      <c r="Q564" s="279">
        <f>RES_BA!T64</f>
        <v>0</v>
      </c>
      <c r="S564" s="279">
        <f>RES_BA!U64</f>
        <v>0</v>
      </c>
    </row>
    <row r="565" spans="3:19" s="277" customFormat="1" hidden="1" outlineLevel="1" x14ac:dyDescent="0.3">
      <c r="C565" s="283" t="str">
        <f>RES_BA!D65</f>
        <v>Allowances Category 13</v>
      </c>
      <c r="M565" s="279">
        <f>RES_BA!R65</f>
        <v>0</v>
      </c>
      <c r="O565" s="279">
        <f>RES_BA!S65</f>
        <v>0</v>
      </c>
      <c r="Q565" s="279">
        <f>RES_BA!T65</f>
        <v>0</v>
      </c>
      <c r="S565" s="279">
        <f>RES_BA!U65</f>
        <v>0</v>
      </c>
    </row>
    <row r="566" spans="3:19" s="277" customFormat="1" hidden="1" outlineLevel="1" x14ac:dyDescent="0.3">
      <c r="C566" s="283" t="str">
        <f>RES_BA!D66</f>
        <v>Allowances Category 14</v>
      </c>
      <c r="M566" s="279">
        <f>RES_BA!R66</f>
        <v>0</v>
      </c>
      <c r="O566" s="279">
        <f>RES_BA!S66</f>
        <v>0</v>
      </c>
      <c r="Q566" s="279">
        <f>RES_BA!T66</f>
        <v>0</v>
      </c>
      <c r="S566" s="279">
        <f>RES_BA!U66</f>
        <v>0</v>
      </c>
    </row>
    <row r="567" spans="3:19" s="277" customFormat="1" hidden="1" outlineLevel="1" x14ac:dyDescent="0.3">
      <c r="C567" s="283" t="str">
        <f>RES_BA!D67</f>
        <v>Allowances Category 15</v>
      </c>
      <c r="M567" s="279">
        <f>RES_BA!R67</f>
        <v>0</v>
      </c>
      <c r="O567" s="279">
        <f>RES_BA!S67</f>
        <v>0</v>
      </c>
      <c r="Q567" s="279">
        <f>RES_BA!T67</f>
        <v>0</v>
      </c>
      <c r="S567" s="279">
        <f>RES_BA!U67</f>
        <v>0</v>
      </c>
    </row>
    <row r="568" spans="3:19" s="277" customFormat="1" hidden="1" outlineLevel="1" x14ac:dyDescent="0.3">
      <c r="C568" s="283" t="str">
        <f>RES_BA!D68</f>
        <v>Allowances Category 16</v>
      </c>
      <c r="M568" s="279">
        <f>RES_BA!R68</f>
        <v>0</v>
      </c>
      <c r="O568" s="279">
        <f>RES_BA!S68</f>
        <v>0</v>
      </c>
      <c r="Q568" s="279">
        <f>RES_BA!T68</f>
        <v>0</v>
      </c>
      <c r="S568" s="279">
        <f>RES_BA!U68</f>
        <v>0</v>
      </c>
    </row>
    <row r="569" spans="3:19" hidden="1" outlineLevel="1" x14ac:dyDescent="0.3">
      <c r="C569" s="89" t="str">
        <f>RES_BA!D69</f>
        <v>Allowances Category 17</v>
      </c>
      <c r="M569" s="40">
        <f>RES_BA!R69</f>
        <v>0</v>
      </c>
      <c r="O569" s="40">
        <f>RES_BA!S69</f>
        <v>0</v>
      </c>
      <c r="Q569" s="40">
        <f>RES_BA!T69</f>
        <v>0</v>
      </c>
      <c r="S569" s="40">
        <f>RES_BA!U69</f>
        <v>0</v>
      </c>
    </row>
    <row r="570" spans="3:19" hidden="1" outlineLevel="1" x14ac:dyDescent="0.3">
      <c r="C570" s="89" t="str">
        <f>RES_BA!D70</f>
        <v>Allowances Category 18</v>
      </c>
      <c r="M570" s="40">
        <f>RES_BA!R70</f>
        <v>0</v>
      </c>
      <c r="O570" s="40">
        <f>RES_BA!S70</f>
        <v>0</v>
      </c>
      <c r="Q570" s="40">
        <f>RES_BA!T70</f>
        <v>0</v>
      </c>
      <c r="S570" s="40">
        <f>RES_BA!U70</f>
        <v>0</v>
      </c>
    </row>
    <row r="571" spans="3:19" hidden="1" outlineLevel="1" x14ac:dyDescent="0.3">
      <c r="C571" s="89" t="str">
        <f>RES_BA!D71</f>
        <v>Allowances Category 19</v>
      </c>
      <c r="M571" s="40">
        <f>RES_BA!R71</f>
        <v>0</v>
      </c>
      <c r="O571" s="40">
        <f>RES_BA!S71</f>
        <v>0</v>
      </c>
      <c r="Q571" s="40">
        <f>RES_BA!T71</f>
        <v>0</v>
      </c>
      <c r="S571" s="40">
        <f>RES_BA!U71</f>
        <v>0</v>
      </c>
    </row>
    <row r="572" spans="3:19" hidden="1" outlineLevel="1" x14ac:dyDescent="0.3">
      <c r="C572" s="89" t="str">
        <f>RES_BA!D72</f>
        <v>Allowances Category 20</v>
      </c>
      <c r="M572" s="40">
        <f>RES_BA!R72</f>
        <v>0</v>
      </c>
      <c r="O572" s="40">
        <f>RES_BA!S72</f>
        <v>0</v>
      </c>
      <c r="Q572" s="40">
        <f>RES_BA!T72</f>
        <v>0</v>
      </c>
      <c r="S572" s="40">
        <f>RES_BA!U72</f>
        <v>0</v>
      </c>
    </row>
    <row r="573" spans="3:19" hidden="1" outlineLevel="1" x14ac:dyDescent="0.3">
      <c r="C573" s="89" t="str">
        <f>RES_BA!D73</f>
        <v>Allowances Category 21</v>
      </c>
      <c r="M573" s="40">
        <f>RES_BA!R73</f>
        <v>0</v>
      </c>
      <c r="O573" s="40">
        <f>RES_BA!S73</f>
        <v>0</v>
      </c>
      <c r="Q573" s="40">
        <f>RES_BA!T73</f>
        <v>0</v>
      </c>
      <c r="S573" s="40">
        <f>RES_BA!U73</f>
        <v>0</v>
      </c>
    </row>
    <row r="574" spans="3:19" hidden="1" outlineLevel="1" x14ac:dyDescent="0.3">
      <c r="C574" s="89" t="str">
        <f>RES_BA!D74</f>
        <v>Allowances Category 22</v>
      </c>
      <c r="M574" s="40">
        <f>RES_BA!R74</f>
        <v>0</v>
      </c>
      <c r="O574" s="40">
        <f>RES_BA!S74</f>
        <v>0</v>
      </c>
      <c r="Q574" s="40">
        <f>RES_BA!T74</f>
        <v>0</v>
      </c>
      <c r="S574" s="40">
        <f>RES_BA!U74</f>
        <v>0</v>
      </c>
    </row>
    <row r="575" spans="3:19" hidden="1" outlineLevel="1" x14ac:dyDescent="0.3">
      <c r="C575" s="89" t="str">
        <f>RES_BA!D75</f>
        <v>Allowances Category 23</v>
      </c>
      <c r="M575" s="40">
        <f>RES_BA!R75</f>
        <v>0</v>
      </c>
      <c r="O575" s="40">
        <f>RES_BA!S75</f>
        <v>0</v>
      </c>
      <c r="Q575" s="40">
        <f>RES_BA!T75</f>
        <v>0</v>
      </c>
      <c r="S575" s="40">
        <f>RES_BA!U75</f>
        <v>0</v>
      </c>
    </row>
    <row r="576" spans="3:19" s="277" customFormat="1" hidden="1" outlineLevel="1" collapsed="1" x14ac:dyDescent="0.3">
      <c r="C576" s="283" t="str">
        <f>RES_BA!D76</f>
        <v>Allowances Category 24</v>
      </c>
      <c r="M576" s="279">
        <f>RES_BA!R76</f>
        <v>0</v>
      </c>
      <c r="O576" s="279">
        <f>RES_BA!S76</f>
        <v>0</v>
      </c>
      <c r="Q576" s="279">
        <f>RES_BA!T76</f>
        <v>0</v>
      </c>
      <c r="S576" s="279">
        <f>RES_BA!U76</f>
        <v>0</v>
      </c>
    </row>
    <row r="577" spans="3:19" s="277" customFormat="1" hidden="1" outlineLevel="1" x14ac:dyDescent="0.3">
      <c r="C577" s="283" t="str">
        <f>RES_BA!D77</f>
        <v>Allowances Category 25</v>
      </c>
      <c r="M577" s="279">
        <f>RES_BA!R77</f>
        <v>0</v>
      </c>
      <c r="O577" s="279">
        <f>RES_BA!S77</f>
        <v>0</v>
      </c>
      <c r="Q577" s="279">
        <f>RES_BA!T77</f>
        <v>0</v>
      </c>
      <c r="S577" s="279">
        <f>RES_BA!U77</f>
        <v>0</v>
      </c>
    </row>
    <row r="578" spans="3:19" s="277" customFormat="1" hidden="1" outlineLevel="1" x14ac:dyDescent="0.3">
      <c r="C578" s="283" t="str">
        <f>RES_BA!D78</f>
        <v>Allowances Category 26</v>
      </c>
      <c r="M578" s="279">
        <f>RES_BA!R78</f>
        <v>0</v>
      </c>
      <c r="O578" s="279">
        <f>RES_BA!S78</f>
        <v>0</v>
      </c>
      <c r="Q578" s="279">
        <f>RES_BA!T78</f>
        <v>0</v>
      </c>
      <c r="S578" s="279">
        <f>RES_BA!U78</f>
        <v>0</v>
      </c>
    </row>
    <row r="579" spans="3:19" s="277" customFormat="1" hidden="1" outlineLevel="1" x14ac:dyDescent="0.3">
      <c r="C579" s="283" t="str">
        <f>RES_BA!D79</f>
        <v>Allowances Category 27</v>
      </c>
      <c r="M579" s="279">
        <f>RES_BA!R79</f>
        <v>0</v>
      </c>
      <c r="O579" s="279">
        <f>RES_BA!S79</f>
        <v>0</v>
      </c>
      <c r="Q579" s="279">
        <f>RES_BA!T79</f>
        <v>0</v>
      </c>
      <c r="S579" s="279">
        <f>RES_BA!U79</f>
        <v>0</v>
      </c>
    </row>
    <row r="580" spans="3:19" s="277" customFormat="1" hidden="1" outlineLevel="1" x14ac:dyDescent="0.3">
      <c r="C580" s="283" t="str">
        <f>RES_BA!D80</f>
        <v>Allowances Category 28</v>
      </c>
      <c r="M580" s="279">
        <f>RES_BA!R80</f>
        <v>0</v>
      </c>
      <c r="O580" s="279">
        <f>RES_BA!S80</f>
        <v>0</v>
      </c>
      <c r="Q580" s="279">
        <f>RES_BA!T80</f>
        <v>0</v>
      </c>
      <c r="S580" s="279">
        <f>RES_BA!U80</f>
        <v>0</v>
      </c>
    </row>
    <row r="581" spans="3:19" s="277" customFormat="1" hidden="1" outlineLevel="1" x14ac:dyDescent="0.3">
      <c r="C581" s="283" t="str">
        <f>RES_BA!D81</f>
        <v>Allowances Category 29</v>
      </c>
      <c r="M581" s="279">
        <f>RES_BA!R81</f>
        <v>0</v>
      </c>
      <c r="O581" s="279">
        <f>RES_BA!S81</f>
        <v>0</v>
      </c>
      <c r="Q581" s="279">
        <f>RES_BA!T81</f>
        <v>0</v>
      </c>
      <c r="S581" s="279">
        <f>RES_BA!U81</f>
        <v>0</v>
      </c>
    </row>
    <row r="582" spans="3:19" s="277" customFormat="1" hidden="1" outlineLevel="1" x14ac:dyDescent="0.3">
      <c r="C582" s="283" t="str">
        <f>RES_BA!D82</f>
        <v>Allowances Category 30</v>
      </c>
      <c r="M582" s="279">
        <f>RES_BA!R82</f>
        <v>0</v>
      </c>
      <c r="O582" s="279">
        <f>RES_BA!S82</f>
        <v>0</v>
      </c>
      <c r="Q582" s="279">
        <f>RES_BA!T82</f>
        <v>0</v>
      </c>
      <c r="S582" s="279">
        <f>RES_BA!U82</f>
        <v>0</v>
      </c>
    </row>
    <row r="583" spans="3:19" hidden="1" outlineLevel="1" x14ac:dyDescent="0.3">
      <c r="C583" s="89" t="str">
        <f>RES_BA!D83</f>
        <v>Allowances Category 31</v>
      </c>
      <c r="M583" s="40">
        <f>RES_BA!R83</f>
        <v>0</v>
      </c>
      <c r="O583" s="40">
        <f>RES_BA!S83</f>
        <v>0</v>
      </c>
      <c r="Q583" s="40">
        <f>RES_BA!T83</f>
        <v>0</v>
      </c>
      <c r="S583" s="40">
        <f>RES_BA!U83</f>
        <v>0</v>
      </c>
    </row>
    <row r="584" spans="3:19" hidden="1" outlineLevel="1" x14ac:dyDescent="0.3">
      <c r="C584" s="89" t="str">
        <f>RES_BA!D84</f>
        <v>Allowances Category 32</v>
      </c>
      <c r="M584" s="40">
        <f>RES_BA!R84</f>
        <v>0</v>
      </c>
      <c r="O584" s="40">
        <f>RES_BA!S84</f>
        <v>0</v>
      </c>
      <c r="Q584" s="40">
        <f>RES_BA!T84</f>
        <v>0</v>
      </c>
      <c r="S584" s="40">
        <f>RES_BA!U84</f>
        <v>0</v>
      </c>
    </row>
    <row r="585" spans="3:19" hidden="1" outlineLevel="1" x14ac:dyDescent="0.3">
      <c r="C585" s="89" t="str">
        <f>RES_BA!D85</f>
        <v>Allowances Category 33</v>
      </c>
      <c r="M585" s="40">
        <f>RES_BA!R85</f>
        <v>0</v>
      </c>
      <c r="O585" s="40">
        <f>RES_BA!S85</f>
        <v>0</v>
      </c>
      <c r="Q585" s="40">
        <f>RES_BA!T85</f>
        <v>0</v>
      </c>
      <c r="S585" s="40">
        <f>RES_BA!U85</f>
        <v>0</v>
      </c>
    </row>
    <row r="586" spans="3:19" hidden="1" outlineLevel="1" x14ac:dyDescent="0.3">
      <c r="C586" s="89" t="str">
        <f>RES_BA!D86</f>
        <v>Allowances Category 34</v>
      </c>
      <c r="M586" s="40">
        <f>RES_BA!R86</f>
        <v>0</v>
      </c>
      <c r="O586" s="40">
        <f>RES_BA!S86</f>
        <v>0</v>
      </c>
      <c r="Q586" s="40">
        <f>RES_BA!T86</f>
        <v>0</v>
      </c>
      <c r="S586" s="40">
        <f>RES_BA!U86</f>
        <v>0</v>
      </c>
    </row>
    <row r="587" spans="3:19" hidden="1" outlineLevel="1" x14ac:dyDescent="0.3">
      <c r="C587" s="89" t="str">
        <f>RES_BA!D87</f>
        <v>Allowances Category 35</v>
      </c>
      <c r="M587" s="40">
        <f>RES_BA!R87</f>
        <v>0</v>
      </c>
      <c r="O587" s="40">
        <f>RES_BA!S87</f>
        <v>0</v>
      </c>
      <c r="Q587" s="40">
        <f>RES_BA!T87</f>
        <v>0</v>
      </c>
      <c r="S587" s="40">
        <f>RES_BA!U87</f>
        <v>0</v>
      </c>
    </row>
    <row r="588" spans="3:19" hidden="1" outlineLevel="1" x14ac:dyDescent="0.3"/>
    <row r="589" spans="3:19" hidden="1" outlineLevel="1" x14ac:dyDescent="0.3"/>
    <row r="590" spans="3:19" hidden="1" outlineLevel="1" x14ac:dyDescent="0.3">
      <c r="M590" s="40" t="str">
        <f>$D$510</f>
        <v>USD</v>
      </c>
      <c r="O590" s="40" t="str">
        <f>$D$510</f>
        <v>USD</v>
      </c>
      <c r="Q590" s="40" t="str">
        <f>$D$511</f>
        <v>GOZ</v>
      </c>
      <c r="S590" s="40" t="str">
        <f>$D$511</f>
        <v>GOZ</v>
      </c>
    </row>
    <row r="591" spans="3:19" hidden="1" outlineLevel="1" x14ac:dyDescent="0.3">
      <c r="C591" s="89" t="str">
        <f>RES_BA!D91</f>
        <v>Supplies Category 1</v>
      </c>
      <c r="M591" s="40">
        <f>RES_BA!R91</f>
        <v>0</v>
      </c>
      <c r="O591" s="40">
        <f>RES_BA!S91</f>
        <v>0</v>
      </c>
      <c r="Q591" s="40">
        <f>RES_BA!T91</f>
        <v>0</v>
      </c>
      <c r="S591" s="40">
        <f>RES_BA!U91</f>
        <v>0</v>
      </c>
    </row>
    <row r="592" spans="3:19" hidden="1" outlineLevel="1" x14ac:dyDescent="0.3">
      <c r="C592" s="89" t="str">
        <f>RES_BA!D92</f>
        <v>Supplies Category 2</v>
      </c>
      <c r="M592" s="40">
        <f>RES_BA!R92</f>
        <v>0</v>
      </c>
      <c r="O592" s="40">
        <f>RES_BA!S92</f>
        <v>0</v>
      </c>
      <c r="Q592" s="40">
        <f>RES_BA!T92</f>
        <v>0</v>
      </c>
      <c r="S592" s="40">
        <f>RES_BA!U92</f>
        <v>0</v>
      </c>
    </row>
    <row r="593" spans="3:19" hidden="1" outlineLevel="1" x14ac:dyDescent="0.3">
      <c r="C593" s="89" t="str">
        <f>RES_BA!D93</f>
        <v>Supplies Category 3</v>
      </c>
      <c r="M593" s="40">
        <f>RES_BA!R93</f>
        <v>0</v>
      </c>
      <c r="O593" s="40">
        <f>RES_BA!S93</f>
        <v>0</v>
      </c>
      <c r="Q593" s="40">
        <f>RES_BA!T93</f>
        <v>0</v>
      </c>
      <c r="S593" s="40">
        <f>RES_BA!U93</f>
        <v>0</v>
      </c>
    </row>
    <row r="594" spans="3:19" hidden="1" outlineLevel="1" x14ac:dyDescent="0.3">
      <c r="C594" s="89" t="str">
        <f>RES_BA!D94</f>
        <v>Supplies Category 4</v>
      </c>
      <c r="M594" s="40">
        <f>RES_BA!R94</f>
        <v>0</v>
      </c>
      <c r="O594" s="40">
        <f>RES_BA!S94</f>
        <v>0</v>
      </c>
      <c r="Q594" s="40">
        <f>RES_BA!T94</f>
        <v>0</v>
      </c>
      <c r="S594" s="40">
        <f>RES_BA!U94</f>
        <v>0</v>
      </c>
    </row>
    <row r="595" spans="3:19" hidden="1" outlineLevel="1" x14ac:dyDescent="0.3">
      <c r="C595" s="89" t="str">
        <f>RES_BA!D95</f>
        <v>Supplies Category 5</v>
      </c>
      <c r="M595" s="40">
        <f>RES_BA!R95</f>
        <v>0</v>
      </c>
      <c r="O595" s="40">
        <f>RES_BA!S95</f>
        <v>0</v>
      </c>
      <c r="Q595" s="40">
        <f>RES_BA!T95</f>
        <v>0</v>
      </c>
      <c r="S595" s="40">
        <f>RES_BA!U95</f>
        <v>0</v>
      </c>
    </row>
    <row r="596" spans="3:19" hidden="1" outlineLevel="1" x14ac:dyDescent="0.3">
      <c r="C596" s="89" t="str">
        <f>RES_BA!D96</f>
        <v>Supplies Category 6</v>
      </c>
      <c r="M596" s="40">
        <f>RES_BA!R96</f>
        <v>0</v>
      </c>
      <c r="O596" s="40">
        <f>RES_BA!S96</f>
        <v>0</v>
      </c>
      <c r="Q596" s="40">
        <f>RES_BA!T96</f>
        <v>0</v>
      </c>
      <c r="S596" s="40">
        <f>RES_BA!U96</f>
        <v>0</v>
      </c>
    </row>
    <row r="597" spans="3:19" hidden="1" outlineLevel="1" x14ac:dyDescent="0.3">
      <c r="C597" s="89" t="str">
        <f>RES_BA!D97</f>
        <v>Supplies Category 7</v>
      </c>
      <c r="M597" s="40">
        <f>RES_BA!R97</f>
        <v>0</v>
      </c>
      <c r="O597" s="40">
        <f>RES_BA!S97</f>
        <v>0</v>
      </c>
      <c r="Q597" s="40">
        <f>RES_BA!T97</f>
        <v>0</v>
      </c>
      <c r="S597" s="40">
        <f>RES_BA!U97</f>
        <v>0</v>
      </c>
    </row>
    <row r="598" spans="3:19" hidden="1" outlineLevel="1" x14ac:dyDescent="0.3">
      <c r="C598" s="89" t="str">
        <f>RES_BA!D98</f>
        <v>Supplies Category 8</v>
      </c>
      <c r="M598" s="40">
        <f>RES_BA!R98</f>
        <v>0</v>
      </c>
      <c r="O598" s="40">
        <f>RES_BA!S98</f>
        <v>0</v>
      </c>
      <c r="Q598" s="40">
        <f>RES_BA!T98</f>
        <v>0</v>
      </c>
      <c r="S598" s="40">
        <f>RES_BA!U98</f>
        <v>0</v>
      </c>
    </row>
    <row r="599" spans="3:19" hidden="1" outlineLevel="1" x14ac:dyDescent="0.3">
      <c r="C599" s="89" t="str">
        <f>RES_BA!D99</f>
        <v>Supplies Category 9</v>
      </c>
      <c r="M599" s="40">
        <f>RES_BA!R99</f>
        <v>0</v>
      </c>
      <c r="O599" s="40">
        <f>RES_BA!S99</f>
        <v>0</v>
      </c>
      <c r="Q599" s="40">
        <f>RES_BA!T99</f>
        <v>0</v>
      </c>
      <c r="S599" s="40">
        <f>RES_BA!U99</f>
        <v>0</v>
      </c>
    </row>
    <row r="600" spans="3:19" hidden="1" outlineLevel="1" x14ac:dyDescent="0.3">
      <c r="C600" s="89" t="str">
        <f>RES_BA!D100</f>
        <v>Supplies Category 10</v>
      </c>
      <c r="M600" s="40">
        <f>RES_BA!R100</f>
        <v>0</v>
      </c>
      <c r="O600" s="40">
        <f>RES_BA!S100</f>
        <v>0</v>
      </c>
      <c r="Q600" s="40">
        <f>RES_BA!T100</f>
        <v>0</v>
      </c>
      <c r="S600" s="40">
        <f>RES_BA!U100</f>
        <v>0</v>
      </c>
    </row>
    <row r="601" spans="3:19" hidden="1" outlineLevel="1" x14ac:dyDescent="0.3">
      <c r="C601" s="89" t="str">
        <f>RES_BA!D101</f>
        <v>Supplies Category 11</v>
      </c>
      <c r="M601" s="40">
        <f>RES_BA!R101</f>
        <v>0</v>
      </c>
      <c r="O601" s="40">
        <f>RES_BA!S101</f>
        <v>0</v>
      </c>
      <c r="Q601" s="40">
        <f>RES_BA!T101</f>
        <v>0</v>
      </c>
      <c r="S601" s="40">
        <f>RES_BA!U101</f>
        <v>0</v>
      </c>
    </row>
    <row r="602" spans="3:19" hidden="1" outlineLevel="1" x14ac:dyDescent="0.3">
      <c r="C602" s="89" t="str">
        <f>RES_BA!D102</f>
        <v>Supplies Category 12</v>
      </c>
      <c r="M602" s="40">
        <f>RES_BA!R102</f>
        <v>0</v>
      </c>
      <c r="O602" s="40">
        <f>RES_BA!S102</f>
        <v>0</v>
      </c>
      <c r="Q602" s="40">
        <f>RES_BA!T102</f>
        <v>0</v>
      </c>
      <c r="S602" s="40">
        <f>RES_BA!U102</f>
        <v>0</v>
      </c>
    </row>
    <row r="603" spans="3:19" hidden="1" outlineLevel="1" x14ac:dyDescent="0.3">
      <c r="C603" s="89" t="str">
        <f>RES_BA!D103</f>
        <v>Supplies Category 13</v>
      </c>
      <c r="M603" s="40">
        <f>RES_BA!R103</f>
        <v>0</v>
      </c>
      <c r="O603" s="40">
        <f>RES_BA!S103</f>
        <v>0</v>
      </c>
      <c r="Q603" s="40">
        <f>RES_BA!T103</f>
        <v>0</v>
      </c>
      <c r="S603" s="40">
        <f>RES_BA!U103</f>
        <v>0</v>
      </c>
    </row>
    <row r="604" spans="3:19" hidden="1" outlineLevel="1" x14ac:dyDescent="0.3">
      <c r="C604" s="89" t="str">
        <f>RES_BA!D104</f>
        <v>Supplies Category 14</v>
      </c>
      <c r="M604" s="40">
        <f>RES_BA!R104</f>
        <v>0</v>
      </c>
      <c r="O604" s="40">
        <f>RES_BA!S104</f>
        <v>0</v>
      </c>
      <c r="Q604" s="40">
        <f>RES_BA!T104</f>
        <v>0</v>
      </c>
      <c r="S604" s="40">
        <f>RES_BA!U104</f>
        <v>0</v>
      </c>
    </row>
    <row r="605" spans="3:19" hidden="1" outlineLevel="1" x14ac:dyDescent="0.3">
      <c r="C605" s="89" t="str">
        <f>RES_BA!D105</f>
        <v>Supplies Category 15</v>
      </c>
      <c r="M605" s="40">
        <f>RES_BA!R105</f>
        <v>0</v>
      </c>
      <c r="O605" s="40">
        <f>RES_BA!S105</f>
        <v>0</v>
      </c>
      <c r="Q605" s="40">
        <f>RES_BA!T105</f>
        <v>0</v>
      </c>
      <c r="S605" s="40">
        <f>RES_BA!U105</f>
        <v>0</v>
      </c>
    </row>
    <row r="606" spans="3:19" hidden="1" outlineLevel="1" x14ac:dyDescent="0.3">
      <c r="C606" s="89" t="str">
        <f>RES_BA!D106</f>
        <v>Supplies Category 16</v>
      </c>
      <c r="M606" s="40">
        <f>RES_BA!R106</f>
        <v>0</v>
      </c>
      <c r="O606" s="40">
        <f>RES_BA!S106</f>
        <v>0</v>
      </c>
      <c r="Q606" s="40">
        <f>RES_BA!T106</f>
        <v>0</v>
      </c>
      <c r="S606" s="40">
        <f>RES_BA!U106</f>
        <v>0</v>
      </c>
    </row>
    <row r="607" spans="3:19" s="277" customFormat="1" hidden="1" outlineLevel="1" collapsed="1" x14ac:dyDescent="0.3">
      <c r="C607" s="283" t="str">
        <f>RES_BA!D107</f>
        <v>Supplies Category 17</v>
      </c>
      <c r="M607" s="279">
        <f>RES_BA!R107</f>
        <v>0</v>
      </c>
      <c r="O607" s="279">
        <f>RES_BA!S107</f>
        <v>0</v>
      </c>
      <c r="Q607" s="279">
        <f>RES_BA!T107</f>
        <v>0</v>
      </c>
      <c r="S607" s="279">
        <f>RES_BA!U107</f>
        <v>0</v>
      </c>
    </row>
    <row r="608" spans="3:19" s="277" customFormat="1" hidden="1" outlineLevel="1" x14ac:dyDescent="0.3">
      <c r="C608" s="283" t="str">
        <f>RES_BA!D108</f>
        <v>Supplies Category 18</v>
      </c>
      <c r="M608" s="279">
        <f>RES_BA!R108</f>
        <v>0</v>
      </c>
      <c r="O608" s="279">
        <f>RES_BA!S108</f>
        <v>0</v>
      </c>
      <c r="Q608" s="279">
        <f>RES_BA!T108</f>
        <v>0</v>
      </c>
      <c r="S608" s="279">
        <f>RES_BA!U108</f>
        <v>0</v>
      </c>
    </row>
    <row r="609" spans="3:19" s="277" customFormat="1" hidden="1" outlineLevel="1" x14ac:dyDescent="0.3">
      <c r="C609" s="283" t="str">
        <f>RES_BA!D109</f>
        <v>Supplies Category 19</v>
      </c>
      <c r="M609" s="279">
        <f>RES_BA!R109</f>
        <v>0</v>
      </c>
      <c r="O609" s="279">
        <f>RES_BA!S109</f>
        <v>0</v>
      </c>
      <c r="Q609" s="279">
        <f>RES_BA!T109</f>
        <v>0</v>
      </c>
      <c r="S609" s="279">
        <f>RES_BA!U109</f>
        <v>0</v>
      </c>
    </row>
    <row r="610" spans="3:19" s="277" customFormat="1" hidden="1" outlineLevel="1" x14ac:dyDescent="0.3">
      <c r="C610" s="283" t="str">
        <f>RES_BA!D110</f>
        <v>Supplies Category 20</v>
      </c>
      <c r="M610" s="279">
        <f>RES_BA!R110</f>
        <v>0</v>
      </c>
      <c r="O610" s="279">
        <f>RES_BA!S110</f>
        <v>0</v>
      </c>
      <c r="Q610" s="279">
        <f>RES_BA!T110</f>
        <v>0</v>
      </c>
      <c r="S610" s="279">
        <f>RES_BA!U110</f>
        <v>0</v>
      </c>
    </row>
    <row r="611" spans="3:19" s="277" customFormat="1" hidden="1" outlineLevel="1" x14ac:dyDescent="0.3">
      <c r="C611" s="283" t="str">
        <f>RES_BA!D111</f>
        <v>Supplies Category 21</v>
      </c>
      <c r="M611" s="279">
        <f>RES_BA!R111</f>
        <v>0</v>
      </c>
      <c r="O611" s="279">
        <f>RES_BA!S111</f>
        <v>0</v>
      </c>
      <c r="Q611" s="279">
        <f>RES_BA!T111</f>
        <v>0</v>
      </c>
      <c r="S611" s="279">
        <f>RES_BA!U111</f>
        <v>0</v>
      </c>
    </row>
    <row r="612" spans="3:19" s="277" customFormat="1" hidden="1" outlineLevel="1" x14ac:dyDescent="0.3">
      <c r="C612" s="283" t="str">
        <f>RES_BA!D112</f>
        <v>Supplies Category 22</v>
      </c>
      <c r="M612" s="279">
        <f>RES_BA!R112</f>
        <v>0</v>
      </c>
      <c r="O612" s="279">
        <f>RES_BA!S112</f>
        <v>0</v>
      </c>
      <c r="Q612" s="279">
        <f>RES_BA!T112</f>
        <v>0</v>
      </c>
      <c r="S612" s="279">
        <f>RES_BA!U112</f>
        <v>0</v>
      </c>
    </row>
    <row r="613" spans="3:19" s="277" customFormat="1" hidden="1" outlineLevel="1" x14ac:dyDescent="0.3">
      <c r="C613" s="283" t="str">
        <f>RES_BA!D113</f>
        <v>Supplies Category 23</v>
      </c>
      <c r="M613" s="279">
        <f>RES_BA!R113</f>
        <v>0</v>
      </c>
      <c r="O613" s="279">
        <f>RES_BA!S113</f>
        <v>0</v>
      </c>
      <c r="Q613" s="279">
        <f>RES_BA!T113</f>
        <v>0</v>
      </c>
      <c r="S613" s="279">
        <f>RES_BA!U113</f>
        <v>0</v>
      </c>
    </row>
    <row r="614" spans="3:19" s="277" customFormat="1" hidden="1" outlineLevel="1" x14ac:dyDescent="0.3">
      <c r="C614" s="283" t="str">
        <f>RES_BA!D114</f>
        <v>Supplies Category 24</v>
      </c>
      <c r="M614" s="279">
        <f>RES_BA!R114</f>
        <v>0</v>
      </c>
      <c r="O614" s="279">
        <f>RES_BA!S114</f>
        <v>0</v>
      </c>
      <c r="Q614" s="279">
        <f>RES_BA!T114</f>
        <v>0</v>
      </c>
      <c r="S614" s="279">
        <f>RES_BA!U114</f>
        <v>0</v>
      </c>
    </row>
    <row r="615" spans="3:19" s="277" customFormat="1" hidden="1" outlineLevel="1" x14ac:dyDescent="0.3">
      <c r="C615" s="283" t="str">
        <f>RES_BA!D115</f>
        <v>Supplies Category 25</v>
      </c>
      <c r="M615" s="279">
        <f>RES_BA!R115</f>
        <v>0</v>
      </c>
      <c r="O615" s="279">
        <f>RES_BA!S115</f>
        <v>0</v>
      </c>
      <c r="Q615" s="279">
        <f>RES_BA!T115</f>
        <v>0</v>
      </c>
      <c r="S615" s="279">
        <f>RES_BA!U115</f>
        <v>0</v>
      </c>
    </row>
    <row r="616" spans="3:19" s="277" customFormat="1" hidden="1" outlineLevel="1" x14ac:dyDescent="0.3">
      <c r="C616" s="283" t="str">
        <f>RES_BA!D116</f>
        <v>Supplies Category 26</v>
      </c>
      <c r="M616" s="279">
        <f>RES_BA!R116</f>
        <v>0</v>
      </c>
      <c r="O616" s="279">
        <f>RES_BA!S116</f>
        <v>0</v>
      </c>
      <c r="Q616" s="279">
        <f>RES_BA!T116</f>
        <v>0</v>
      </c>
      <c r="S616" s="279">
        <f>RES_BA!U116</f>
        <v>0</v>
      </c>
    </row>
    <row r="617" spans="3:19" s="277" customFormat="1" hidden="1" outlineLevel="1" x14ac:dyDescent="0.3">
      <c r="C617" s="283" t="str">
        <f>RES_BA!D117</f>
        <v>Supplies Category 27</v>
      </c>
      <c r="M617" s="279">
        <f>RES_BA!R117</f>
        <v>0</v>
      </c>
      <c r="O617" s="279">
        <f>RES_BA!S117</f>
        <v>0</v>
      </c>
      <c r="Q617" s="279">
        <f>RES_BA!T117</f>
        <v>0</v>
      </c>
      <c r="S617" s="279">
        <f>RES_BA!U117</f>
        <v>0</v>
      </c>
    </row>
    <row r="618" spans="3:19" s="277" customFormat="1" hidden="1" outlineLevel="1" x14ac:dyDescent="0.3">
      <c r="C618" s="283" t="str">
        <f>RES_BA!D118</f>
        <v>Supplies Category 28</v>
      </c>
      <c r="M618" s="279">
        <f>RES_BA!R118</f>
        <v>0</v>
      </c>
      <c r="O618" s="279">
        <f>RES_BA!S118</f>
        <v>0</v>
      </c>
      <c r="Q618" s="279">
        <f>RES_BA!T118</f>
        <v>0</v>
      </c>
      <c r="S618" s="279">
        <f>RES_BA!U118</f>
        <v>0</v>
      </c>
    </row>
    <row r="619" spans="3:19" s="277" customFormat="1" hidden="1" outlineLevel="1" x14ac:dyDescent="0.3">
      <c r="C619" s="283" t="str">
        <f>RES_BA!D119</f>
        <v>Supplies Category 29</v>
      </c>
      <c r="M619" s="279">
        <f>RES_BA!R119</f>
        <v>0</v>
      </c>
      <c r="O619" s="279">
        <f>RES_BA!S119</f>
        <v>0</v>
      </c>
      <c r="Q619" s="279">
        <f>RES_BA!T119</f>
        <v>0</v>
      </c>
      <c r="S619" s="279">
        <f>RES_BA!U119</f>
        <v>0</v>
      </c>
    </row>
    <row r="620" spans="3:19" s="277" customFormat="1" hidden="1" outlineLevel="1" collapsed="1" x14ac:dyDescent="0.3">
      <c r="C620" s="283" t="str">
        <f>RES_BA!D120</f>
        <v>Supplies Category 30</v>
      </c>
      <c r="M620" s="279">
        <f>RES_BA!R120</f>
        <v>0</v>
      </c>
      <c r="O620" s="279">
        <f>RES_BA!S120</f>
        <v>0</v>
      </c>
      <c r="Q620" s="279">
        <f>RES_BA!T120</f>
        <v>0</v>
      </c>
      <c r="S620" s="279">
        <f>RES_BA!U120</f>
        <v>0</v>
      </c>
    </row>
    <row r="621" spans="3:19" s="277" customFormat="1" hidden="1" outlineLevel="1" x14ac:dyDescent="0.3">
      <c r="C621" s="283" t="str">
        <f>RES_BA!D121</f>
        <v>Supplies Category 31</v>
      </c>
      <c r="M621" s="279">
        <f>RES_BA!R121</f>
        <v>0</v>
      </c>
      <c r="O621" s="279">
        <f>RES_BA!S121</f>
        <v>0</v>
      </c>
      <c r="Q621" s="279">
        <f>RES_BA!T121</f>
        <v>0</v>
      </c>
      <c r="S621" s="279">
        <f>RES_BA!U121</f>
        <v>0</v>
      </c>
    </row>
    <row r="622" spans="3:19" s="277" customFormat="1" hidden="1" outlineLevel="1" x14ac:dyDescent="0.3">
      <c r="C622" s="283" t="str">
        <f>RES_BA!D122</f>
        <v>Supplies Category 32</v>
      </c>
      <c r="M622" s="279">
        <f>RES_BA!R122</f>
        <v>0</v>
      </c>
      <c r="O622" s="279">
        <f>RES_BA!S122</f>
        <v>0</v>
      </c>
      <c r="Q622" s="279">
        <f>RES_BA!T122</f>
        <v>0</v>
      </c>
      <c r="S622" s="279">
        <f>RES_BA!U122</f>
        <v>0</v>
      </c>
    </row>
    <row r="623" spans="3:19" s="277" customFormat="1" hidden="1" outlineLevel="1" x14ac:dyDescent="0.3">
      <c r="C623" s="283" t="str">
        <f>RES_BA!D123</f>
        <v>Supplies Category 33</v>
      </c>
      <c r="M623" s="279">
        <f>RES_BA!R123</f>
        <v>0</v>
      </c>
      <c r="O623" s="279">
        <f>RES_BA!S123</f>
        <v>0</v>
      </c>
      <c r="Q623" s="279">
        <f>RES_BA!T123</f>
        <v>0</v>
      </c>
      <c r="S623" s="279">
        <f>RES_BA!U123</f>
        <v>0</v>
      </c>
    </row>
    <row r="624" spans="3:19" s="277" customFormat="1" hidden="1" outlineLevel="1" x14ac:dyDescent="0.3">
      <c r="C624" s="283" t="str">
        <f>RES_BA!D124</f>
        <v>Supplies Category 34</v>
      </c>
      <c r="M624" s="279">
        <f>RES_BA!R124</f>
        <v>0</v>
      </c>
      <c r="O624" s="279">
        <f>RES_BA!S124</f>
        <v>0</v>
      </c>
      <c r="Q624" s="279">
        <f>RES_BA!T124</f>
        <v>0</v>
      </c>
      <c r="S624" s="279">
        <f>RES_BA!U124</f>
        <v>0</v>
      </c>
    </row>
    <row r="625" spans="3:19" s="277" customFormat="1" hidden="1" outlineLevel="1" x14ac:dyDescent="0.3">
      <c r="C625" s="283" t="str">
        <f>RES_BA!D125</f>
        <v>Supplies Category 35</v>
      </c>
      <c r="M625" s="279">
        <f>RES_BA!R125</f>
        <v>0</v>
      </c>
      <c r="O625" s="279">
        <f>RES_BA!S125</f>
        <v>0</v>
      </c>
      <c r="Q625" s="279">
        <f>RES_BA!T125</f>
        <v>0</v>
      </c>
      <c r="S625" s="279">
        <f>RES_BA!U125</f>
        <v>0</v>
      </c>
    </row>
    <row r="626" spans="3:19" hidden="1" outlineLevel="1" x14ac:dyDescent="0.3"/>
    <row r="627" spans="3:19" hidden="1" outlineLevel="1" x14ac:dyDescent="0.3">
      <c r="M627" s="40" t="str">
        <f>$D$510</f>
        <v>USD</v>
      </c>
      <c r="O627" s="40" t="str">
        <f>$D$510</f>
        <v>USD</v>
      </c>
      <c r="Q627" s="40" t="str">
        <f>$D$511</f>
        <v>GOZ</v>
      </c>
      <c r="S627" s="40" t="str">
        <f>$D$511</f>
        <v>GOZ</v>
      </c>
    </row>
    <row r="628" spans="3:19" hidden="1" outlineLevel="1" x14ac:dyDescent="0.3">
      <c r="C628" s="89" t="str">
        <f>RES_BA!D130</f>
        <v>Equipment Category 1</v>
      </c>
      <c r="M628" s="40">
        <f>RES_BA!R130</f>
        <v>0</v>
      </c>
      <c r="O628" s="40">
        <f>RES_BA!S130</f>
        <v>0</v>
      </c>
      <c r="Q628" s="40">
        <f>RES_BA!T130</f>
        <v>0</v>
      </c>
      <c r="S628" s="40">
        <f>RES_BA!U130</f>
        <v>0</v>
      </c>
    </row>
    <row r="629" spans="3:19" hidden="1" outlineLevel="1" x14ac:dyDescent="0.3">
      <c r="C629" s="89" t="str">
        <f>RES_BA!D131</f>
        <v>Equipment Category 2</v>
      </c>
      <c r="M629" s="40">
        <f>RES_BA!R131</f>
        <v>0</v>
      </c>
      <c r="O629" s="40">
        <f>RES_BA!S131</f>
        <v>0</v>
      </c>
      <c r="Q629" s="40">
        <f>RES_BA!T131</f>
        <v>0</v>
      </c>
      <c r="S629" s="40">
        <f>RES_BA!U131</f>
        <v>0</v>
      </c>
    </row>
    <row r="630" spans="3:19" hidden="1" outlineLevel="1" x14ac:dyDescent="0.3">
      <c r="C630" s="89" t="str">
        <f>RES_BA!D132</f>
        <v>Equipment Category 3</v>
      </c>
      <c r="M630" s="40">
        <f>RES_BA!R132</f>
        <v>0</v>
      </c>
      <c r="O630" s="40">
        <f>RES_BA!S132</f>
        <v>0</v>
      </c>
      <c r="Q630" s="40">
        <f>RES_BA!T132</f>
        <v>0</v>
      </c>
      <c r="S630" s="40">
        <f>RES_BA!U132</f>
        <v>0</v>
      </c>
    </row>
    <row r="631" spans="3:19" hidden="1" outlineLevel="1" x14ac:dyDescent="0.3">
      <c r="C631" s="89" t="str">
        <f>RES_BA!D133</f>
        <v>Equipment Category 4</v>
      </c>
      <c r="M631" s="40">
        <f>RES_BA!R133</f>
        <v>0</v>
      </c>
      <c r="O631" s="40">
        <f>RES_BA!S133</f>
        <v>0</v>
      </c>
      <c r="Q631" s="40">
        <f>RES_BA!T133</f>
        <v>0</v>
      </c>
      <c r="S631" s="40">
        <f>RES_BA!U133</f>
        <v>0</v>
      </c>
    </row>
    <row r="632" spans="3:19" hidden="1" outlineLevel="1" x14ac:dyDescent="0.3">
      <c r="C632" s="89" t="str">
        <f>RES_BA!D134</f>
        <v>Equipment Category 5</v>
      </c>
      <c r="M632" s="40">
        <f>RES_BA!R134</f>
        <v>0</v>
      </c>
      <c r="O632" s="40">
        <f>RES_BA!S134</f>
        <v>0</v>
      </c>
      <c r="Q632" s="40">
        <f>RES_BA!T134</f>
        <v>0</v>
      </c>
      <c r="S632" s="40">
        <f>RES_BA!U134</f>
        <v>0</v>
      </c>
    </row>
    <row r="633" spans="3:19" hidden="1" outlineLevel="1" x14ac:dyDescent="0.3">
      <c r="C633" s="89" t="str">
        <f>RES_BA!D135</f>
        <v>Equipment Category 6</v>
      </c>
      <c r="M633" s="40">
        <f>RES_BA!R135</f>
        <v>0</v>
      </c>
      <c r="O633" s="40">
        <f>RES_BA!S135</f>
        <v>0</v>
      </c>
      <c r="Q633" s="40">
        <f>RES_BA!T135</f>
        <v>0</v>
      </c>
      <c r="S633" s="40">
        <f>RES_BA!U135</f>
        <v>0</v>
      </c>
    </row>
    <row r="634" spans="3:19" s="277" customFormat="1" hidden="1" outlineLevel="1" collapsed="1" x14ac:dyDescent="0.3">
      <c r="C634" s="283" t="str">
        <f>RES_BA!D136</f>
        <v>Equipment Category 7</v>
      </c>
      <c r="M634" s="279">
        <f>RES_BA!R136</f>
        <v>0</v>
      </c>
      <c r="O634" s="279">
        <f>RES_BA!S136</f>
        <v>0</v>
      </c>
      <c r="Q634" s="279">
        <f>RES_BA!T136</f>
        <v>0</v>
      </c>
      <c r="S634" s="279">
        <f>RES_BA!U136</f>
        <v>0</v>
      </c>
    </row>
    <row r="635" spans="3:19" s="277" customFormat="1" hidden="1" outlineLevel="1" x14ac:dyDescent="0.3">
      <c r="C635" s="283" t="str">
        <f>RES_BA!D137</f>
        <v>Equipment Category 8</v>
      </c>
      <c r="M635" s="279">
        <f>RES_BA!R137</f>
        <v>0</v>
      </c>
      <c r="O635" s="279">
        <f>RES_BA!S137</f>
        <v>0</v>
      </c>
      <c r="Q635" s="279">
        <f>RES_BA!T137</f>
        <v>0</v>
      </c>
      <c r="S635" s="279">
        <f>RES_BA!U137</f>
        <v>0</v>
      </c>
    </row>
    <row r="636" spans="3:19" s="277" customFormat="1" hidden="1" outlineLevel="1" x14ac:dyDescent="0.3">
      <c r="C636" s="283" t="str">
        <f>RES_BA!D138</f>
        <v>Equipment Category 9</v>
      </c>
      <c r="M636" s="279">
        <f>RES_BA!R138</f>
        <v>0</v>
      </c>
      <c r="O636" s="279">
        <f>RES_BA!S138</f>
        <v>0</v>
      </c>
      <c r="Q636" s="279">
        <f>RES_BA!T138</f>
        <v>0</v>
      </c>
      <c r="S636" s="279">
        <f>RES_BA!U138</f>
        <v>0</v>
      </c>
    </row>
    <row r="637" spans="3:19" s="277" customFormat="1" hidden="1" outlineLevel="1" x14ac:dyDescent="0.3">
      <c r="C637" s="283" t="str">
        <f>RES_BA!D139</f>
        <v>Equipment Category 10</v>
      </c>
      <c r="M637" s="279">
        <f>RES_BA!R139</f>
        <v>0</v>
      </c>
      <c r="O637" s="279">
        <f>RES_BA!S139</f>
        <v>0</v>
      </c>
      <c r="Q637" s="279">
        <f>RES_BA!T139</f>
        <v>0</v>
      </c>
      <c r="S637" s="279">
        <f>RES_BA!U139</f>
        <v>0</v>
      </c>
    </row>
    <row r="638" spans="3:19" s="277" customFormat="1" hidden="1" outlineLevel="1" x14ac:dyDescent="0.3">
      <c r="C638" s="283" t="str">
        <f>RES_BA!D140</f>
        <v>Equipment Category 11</v>
      </c>
      <c r="M638" s="279">
        <f>RES_BA!R140</f>
        <v>0</v>
      </c>
      <c r="O638" s="279">
        <f>RES_BA!S140</f>
        <v>0</v>
      </c>
      <c r="Q638" s="279">
        <f>RES_BA!T140</f>
        <v>0</v>
      </c>
      <c r="S638" s="279">
        <f>RES_BA!U140</f>
        <v>0</v>
      </c>
    </row>
    <row r="639" spans="3:19" s="277" customFormat="1" hidden="1" outlineLevel="1" x14ac:dyDescent="0.3">
      <c r="C639" s="283" t="str">
        <f>RES_BA!D141</f>
        <v>Equipment Category 12</v>
      </c>
      <c r="M639" s="279">
        <f>RES_BA!R141</f>
        <v>0</v>
      </c>
      <c r="O639" s="279">
        <f>RES_BA!S141</f>
        <v>0</v>
      </c>
      <c r="Q639" s="279">
        <f>RES_BA!T141</f>
        <v>0</v>
      </c>
      <c r="S639" s="279">
        <f>RES_BA!U141</f>
        <v>0</v>
      </c>
    </row>
    <row r="640" spans="3:19" s="277" customFormat="1" hidden="1" outlineLevel="1" collapsed="1" x14ac:dyDescent="0.3">
      <c r="C640" s="283" t="str">
        <f>RES_BA!D142</f>
        <v>Equipment Category 13</v>
      </c>
      <c r="M640" s="279">
        <f>RES_BA!R142</f>
        <v>0</v>
      </c>
      <c r="O640" s="279">
        <f>RES_BA!S142</f>
        <v>0</v>
      </c>
      <c r="Q640" s="279">
        <f>RES_BA!T142</f>
        <v>0</v>
      </c>
      <c r="S640" s="279">
        <f>RES_BA!U142</f>
        <v>0</v>
      </c>
    </row>
    <row r="641" spans="3:19" s="277" customFormat="1" hidden="1" outlineLevel="1" x14ac:dyDescent="0.3">
      <c r="C641" s="283" t="str">
        <f>RES_BA!D143</f>
        <v>Equipment Category 14</v>
      </c>
      <c r="M641" s="279">
        <f>RES_BA!R143</f>
        <v>0</v>
      </c>
      <c r="O641" s="279">
        <f>RES_BA!S143</f>
        <v>0</v>
      </c>
      <c r="Q641" s="279">
        <f>RES_BA!T143</f>
        <v>0</v>
      </c>
      <c r="S641" s="279">
        <f>RES_BA!U143</f>
        <v>0</v>
      </c>
    </row>
    <row r="642" spans="3:19" s="277" customFormat="1" hidden="1" outlineLevel="1" x14ac:dyDescent="0.3">
      <c r="C642" s="283" t="str">
        <f>RES_BA!D144</f>
        <v>Equipment Category 15</v>
      </c>
      <c r="M642" s="279">
        <f>RES_BA!R144</f>
        <v>0</v>
      </c>
      <c r="O642" s="279">
        <f>RES_BA!S144</f>
        <v>0</v>
      </c>
      <c r="Q642" s="279">
        <f>RES_BA!T144</f>
        <v>0</v>
      </c>
      <c r="S642" s="279">
        <f>RES_BA!U144</f>
        <v>0</v>
      </c>
    </row>
    <row r="643" spans="3:19" s="277" customFormat="1" hidden="1" outlineLevel="1" x14ac:dyDescent="0.3">
      <c r="C643" s="283" t="str">
        <f>RES_BA!D145</f>
        <v>Equipment Category 16</v>
      </c>
      <c r="M643" s="279">
        <f>RES_BA!R145</f>
        <v>0</v>
      </c>
      <c r="O643" s="279">
        <f>RES_BA!S145</f>
        <v>0</v>
      </c>
      <c r="Q643" s="279">
        <f>RES_BA!T145</f>
        <v>0</v>
      </c>
      <c r="S643" s="279">
        <f>RES_BA!U145</f>
        <v>0</v>
      </c>
    </row>
    <row r="644" spans="3:19" s="277" customFormat="1" hidden="1" outlineLevel="1" x14ac:dyDescent="0.3">
      <c r="C644" s="283" t="str">
        <f>RES_BA!D146</f>
        <v>Equipment Category 17</v>
      </c>
      <c r="M644" s="279">
        <f>RES_BA!R146</f>
        <v>0</v>
      </c>
      <c r="O644" s="279">
        <f>RES_BA!S146</f>
        <v>0</v>
      </c>
      <c r="Q644" s="279">
        <f>RES_BA!T146</f>
        <v>0</v>
      </c>
      <c r="S644" s="279">
        <f>RES_BA!U146</f>
        <v>0</v>
      </c>
    </row>
    <row r="645" spans="3:19" s="277" customFormat="1" hidden="1" outlineLevel="1" x14ac:dyDescent="0.3">
      <c r="C645" s="283" t="str">
        <f>RES_BA!D147</f>
        <v>Equipment Category 18</v>
      </c>
      <c r="M645" s="279">
        <f>RES_BA!R147</f>
        <v>0</v>
      </c>
      <c r="O645" s="279">
        <f>RES_BA!S147</f>
        <v>0</v>
      </c>
      <c r="Q645" s="279">
        <f>RES_BA!T147</f>
        <v>0</v>
      </c>
      <c r="S645" s="279">
        <f>RES_BA!U147</f>
        <v>0</v>
      </c>
    </row>
    <row r="646" spans="3:19" s="277" customFormat="1" hidden="1" outlineLevel="1" x14ac:dyDescent="0.3">
      <c r="C646" s="283" t="str">
        <f>RES_BA!D148</f>
        <v>Equipment Category 19</v>
      </c>
      <c r="M646" s="279">
        <f>RES_BA!R148</f>
        <v>0</v>
      </c>
      <c r="O646" s="279">
        <f>RES_BA!S148</f>
        <v>0</v>
      </c>
      <c r="Q646" s="279">
        <f>RES_BA!T148</f>
        <v>0</v>
      </c>
      <c r="S646" s="279">
        <f>RES_BA!U148</f>
        <v>0</v>
      </c>
    </row>
    <row r="647" spans="3:19" s="277" customFormat="1" hidden="1" outlineLevel="1" x14ac:dyDescent="0.3">
      <c r="C647" s="283" t="str">
        <f>RES_BA!D149</f>
        <v>Equipment Category 20</v>
      </c>
      <c r="M647" s="279">
        <f>RES_BA!R149</f>
        <v>0</v>
      </c>
      <c r="O647" s="279">
        <f>RES_BA!S149</f>
        <v>0</v>
      </c>
      <c r="Q647" s="279">
        <f>RES_BA!T149</f>
        <v>0</v>
      </c>
      <c r="S647" s="279">
        <f>RES_BA!U149</f>
        <v>0</v>
      </c>
    </row>
    <row r="648" spans="3:19" s="277" customFormat="1" hidden="1" outlineLevel="1" x14ac:dyDescent="0.3">
      <c r="C648" s="283" t="str">
        <f>RES_BA!D150</f>
        <v>Equipment Category 21</v>
      </c>
      <c r="M648" s="279">
        <f>RES_BA!R150</f>
        <v>0</v>
      </c>
      <c r="O648" s="279">
        <f>RES_BA!S150</f>
        <v>0</v>
      </c>
      <c r="Q648" s="279">
        <f>RES_BA!T150</f>
        <v>0</v>
      </c>
      <c r="S648" s="279">
        <f>RES_BA!U150</f>
        <v>0</v>
      </c>
    </row>
    <row r="649" spans="3:19" s="277" customFormat="1" hidden="1" outlineLevel="1" x14ac:dyDescent="0.3">
      <c r="C649" s="283" t="str">
        <f>RES_BA!D151</f>
        <v>Equipment Category 22</v>
      </c>
      <c r="M649" s="279">
        <f>RES_BA!R151</f>
        <v>0</v>
      </c>
      <c r="O649" s="279">
        <f>RES_BA!S151</f>
        <v>0</v>
      </c>
      <c r="Q649" s="279">
        <f>RES_BA!T151</f>
        <v>0</v>
      </c>
      <c r="S649" s="279">
        <f>RES_BA!U151</f>
        <v>0</v>
      </c>
    </row>
    <row r="650" spans="3:19" s="277" customFormat="1" hidden="1" outlineLevel="1" x14ac:dyDescent="0.3">
      <c r="C650" s="283" t="str">
        <f>RES_BA!D152</f>
        <v>Equipment Category 23</v>
      </c>
      <c r="M650" s="279">
        <f>RES_BA!R152</f>
        <v>0</v>
      </c>
      <c r="O650" s="279">
        <f>RES_BA!S152</f>
        <v>0</v>
      </c>
      <c r="Q650" s="279">
        <f>RES_BA!T152</f>
        <v>0</v>
      </c>
      <c r="S650" s="279">
        <f>RES_BA!U152</f>
        <v>0</v>
      </c>
    </row>
    <row r="651" spans="3:19" s="277" customFormat="1" hidden="1" outlineLevel="1" collapsed="1" x14ac:dyDescent="0.3">
      <c r="C651" s="283" t="str">
        <f>RES_BA!D153</f>
        <v>Equipment Category 24</v>
      </c>
      <c r="M651" s="279">
        <f>RES_BA!R153</f>
        <v>0</v>
      </c>
      <c r="O651" s="279">
        <f>RES_BA!S153</f>
        <v>0</v>
      </c>
      <c r="Q651" s="279">
        <f>RES_BA!T153</f>
        <v>0</v>
      </c>
      <c r="S651" s="279">
        <f>RES_BA!U153</f>
        <v>0</v>
      </c>
    </row>
    <row r="652" spans="3:19" s="277" customFormat="1" hidden="1" outlineLevel="1" x14ac:dyDescent="0.3">
      <c r="C652" s="283" t="str">
        <f>RES_BA!D154</f>
        <v>Equipment Category 25</v>
      </c>
      <c r="M652" s="279">
        <f>RES_BA!R154</f>
        <v>0</v>
      </c>
      <c r="O652" s="279">
        <f>RES_BA!S154</f>
        <v>0</v>
      </c>
      <c r="Q652" s="279">
        <f>RES_BA!T154</f>
        <v>0</v>
      </c>
      <c r="S652" s="279">
        <f>RES_BA!U154</f>
        <v>0</v>
      </c>
    </row>
    <row r="653" spans="3:19" s="277" customFormat="1" hidden="1" outlineLevel="1" x14ac:dyDescent="0.3">
      <c r="C653" s="283" t="str">
        <f>RES_BA!D155</f>
        <v>Equipment Category 26</v>
      </c>
      <c r="M653" s="279">
        <f>RES_BA!R155</f>
        <v>0</v>
      </c>
      <c r="O653" s="279">
        <f>RES_BA!S155</f>
        <v>0</v>
      </c>
      <c r="Q653" s="279">
        <f>RES_BA!T155</f>
        <v>0</v>
      </c>
      <c r="S653" s="279">
        <f>RES_BA!U155</f>
        <v>0</v>
      </c>
    </row>
    <row r="654" spans="3:19" s="277" customFormat="1" hidden="1" outlineLevel="1" x14ac:dyDescent="0.3">
      <c r="C654" s="283" t="str">
        <f>RES_BA!D156</f>
        <v>Equipment Category 27</v>
      </c>
      <c r="M654" s="279">
        <f>RES_BA!R156</f>
        <v>0</v>
      </c>
      <c r="O654" s="279">
        <f>RES_BA!S156</f>
        <v>0</v>
      </c>
      <c r="Q654" s="279">
        <f>RES_BA!T156</f>
        <v>0</v>
      </c>
      <c r="S654" s="279">
        <f>RES_BA!U156</f>
        <v>0</v>
      </c>
    </row>
    <row r="655" spans="3:19" s="277" customFormat="1" hidden="1" outlineLevel="1" x14ac:dyDescent="0.3">
      <c r="C655" s="283" t="str">
        <f>RES_BA!D157</f>
        <v>Equipment Category 28</v>
      </c>
      <c r="M655" s="279">
        <f>RES_BA!R157</f>
        <v>0</v>
      </c>
      <c r="O655" s="279">
        <f>RES_BA!S157</f>
        <v>0</v>
      </c>
      <c r="Q655" s="279">
        <f>RES_BA!T157</f>
        <v>0</v>
      </c>
      <c r="S655" s="279">
        <f>RES_BA!U157</f>
        <v>0</v>
      </c>
    </row>
    <row r="656" spans="3:19" s="277" customFormat="1" hidden="1" outlineLevel="1" x14ac:dyDescent="0.3">
      <c r="C656" s="283" t="str">
        <f>RES_BA!D158</f>
        <v>Equipment Category 29</v>
      </c>
      <c r="M656" s="279">
        <f>RES_BA!R158</f>
        <v>0</v>
      </c>
      <c r="O656" s="279">
        <f>RES_BA!S158</f>
        <v>0</v>
      </c>
      <c r="Q656" s="279">
        <f>RES_BA!T158</f>
        <v>0</v>
      </c>
      <c r="S656" s="279">
        <f>RES_BA!U158</f>
        <v>0</v>
      </c>
    </row>
    <row r="657" spans="3:19" s="277" customFormat="1" hidden="1" outlineLevel="1" x14ac:dyDescent="0.3">
      <c r="C657" s="283" t="str">
        <f>RES_BA!D159</f>
        <v>Equipment Category 30</v>
      </c>
      <c r="M657" s="279">
        <f>RES_BA!R159</f>
        <v>0</v>
      </c>
      <c r="O657" s="279">
        <f>RES_BA!S159</f>
        <v>0</v>
      </c>
      <c r="Q657" s="279">
        <f>RES_BA!T159</f>
        <v>0</v>
      </c>
      <c r="S657" s="279">
        <f>RES_BA!U159</f>
        <v>0</v>
      </c>
    </row>
    <row r="658" spans="3:19" s="277" customFormat="1" hidden="1" outlineLevel="1" x14ac:dyDescent="0.3">
      <c r="C658" s="283" t="str">
        <f>RES_BA!D160</f>
        <v>Equipment Category 31</v>
      </c>
      <c r="M658" s="279">
        <f>RES_BA!R160</f>
        <v>0</v>
      </c>
      <c r="O658" s="279">
        <f>RES_BA!S160</f>
        <v>0</v>
      </c>
      <c r="Q658" s="279">
        <f>RES_BA!T160</f>
        <v>0</v>
      </c>
      <c r="S658" s="279">
        <f>RES_BA!U160</f>
        <v>0</v>
      </c>
    </row>
    <row r="659" spans="3:19" s="277" customFormat="1" hidden="1" outlineLevel="1" x14ac:dyDescent="0.3">
      <c r="C659" s="283" t="str">
        <f>RES_BA!D161</f>
        <v>Equipment Category 32</v>
      </c>
      <c r="M659" s="279">
        <f>RES_BA!R161</f>
        <v>0</v>
      </c>
      <c r="O659" s="279">
        <f>RES_BA!S161</f>
        <v>0</v>
      </c>
      <c r="Q659" s="279">
        <f>RES_BA!T161</f>
        <v>0</v>
      </c>
      <c r="S659" s="279">
        <f>RES_BA!U161</f>
        <v>0</v>
      </c>
    </row>
    <row r="660" spans="3:19" s="277" customFormat="1" hidden="1" outlineLevel="1" x14ac:dyDescent="0.3">
      <c r="C660" s="283" t="str">
        <f>RES_BA!D162</f>
        <v>Equipment Category 33</v>
      </c>
      <c r="M660" s="279">
        <f>RES_BA!R162</f>
        <v>0</v>
      </c>
      <c r="O660" s="279">
        <f>RES_BA!S162</f>
        <v>0</v>
      </c>
      <c r="Q660" s="279">
        <f>RES_BA!T162</f>
        <v>0</v>
      </c>
      <c r="S660" s="279">
        <f>RES_BA!U162</f>
        <v>0</v>
      </c>
    </row>
    <row r="661" spans="3:19" s="277" customFormat="1" hidden="1" outlineLevel="1" collapsed="1" x14ac:dyDescent="0.3">
      <c r="C661" s="283" t="str">
        <f>RES_BA!D163</f>
        <v>Equipment Category 34</v>
      </c>
      <c r="M661" s="279">
        <f>RES_BA!R163</f>
        <v>0</v>
      </c>
      <c r="O661" s="279">
        <f>RES_BA!S163</f>
        <v>0</v>
      </c>
      <c r="Q661" s="279">
        <f>RES_BA!T163</f>
        <v>0</v>
      </c>
      <c r="S661" s="279">
        <f>RES_BA!U163</f>
        <v>0</v>
      </c>
    </row>
    <row r="662" spans="3:19" s="277" customFormat="1" hidden="1" outlineLevel="1" x14ac:dyDescent="0.3">
      <c r="C662" s="283" t="str">
        <f>RES_BA!D164</f>
        <v>Equipment Category 35</v>
      </c>
      <c r="M662" s="279">
        <f>RES_BA!R164</f>
        <v>0</v>
      </c>
      <c r="O662" s="279">
        <f>RES_BA!S164</f>
        <v>0</v>
      </c>
      <c r="Q662" s="279">
        <f>RES_BA!T164</f>
        <v>0</v>
      </c>
      <c r="S662" s="279">
        <f>RES_BA!U164</f>
        <v>0</v>
      </c>
    </row>
    <row r="663" spans="3:19" hidden="1" outlineLevel="1" x14ac:dyDescent="0.3"/>
    <row r="664" spans="3:19" hidden="1" outlineLevel="1" x14ac:dyDescent="0.3"/>
    <row r="665" spans="3:19" hidden="1" outlineLevel="1" x14ac:dyDescent="0.3">
      <c r="M665" s="40" t="str">
        <f>$D$510</f>
        <v>USD</v>
      </c>
      <c r="O665" s="40" t="str">
        <f>$D$510</f>
        <v>USD</v>
      </c>
      <c r="Q665" s="40" t="str">
        <f>$D$511</f>
        <v>GOZ</v>
      </c>
      <c r="S665" s="40" t="str">
        <f>$D$511</f>
        <v>GOZ</v>
      </c>
    </row>
    <row r="666" spans="3:19" hidden="1" outlineLevel="1" x14ac:dyDescent="0.3">
      <c r="C666" s="89" t="str">
        <f>RES_BA!D169</f>
        <v>Other Direct Costs Category 1</v>
      </c>
      <c r="M666" s="40">
        <f>RES_BA!R169</f>
        <v>0</v>
      </c>
      <c r="O666" s="40">
        <f>RES_BA!S169</f>
        <v>0</v>
      </c>
      <c r="Q666" s="40">
        <f>RES_BA!T169</f>
        <v>0</v>
      </c>
      <c r="S666" s="40">
        <f>RES_BA!U169</f>
        <v>0</v>
      </c>
    </row>
    <row r="667" spans="3:19" hidden="1" outlineLevel="1" x14ac:dyDescent="0.3">
      <c r="C667" s="89" t="str">
        <f>RES_BA!D170</f>
        <v>Other Direct Costs Category 2</v>
      </c>
      <c r="M667" s="40">
        <f>RES_BA!R170</f>
        <v>0</v>
      </c>
      <c r="O667" s="40">
        <f>RES_BA!S170</f>
        <v>0</v>
      </c>
      <c r="Q667" s="40">
        <f>RES_BA!T170</f>
        <v>0</v>
      </c>
      <c r="S667" s="40">
        <f>RES_BA!U170</f>
        <v>0</v>
      </c>
    </row>
    <row r="668" spans="3:19" hidden="1" outlineLevel="1" x14ac:dyDescent="0.3">
      <c r="C668" s="89" t="str">
        <f>RES_BA!D171</f>
        <v>Other Direct Costs Category 3</v>
      </c>
      <c r="M668" s="40">
        <f>RES_BA!R171</f>
        <v>0</v>
      </c>
      <c r="O668" s="40">
        <f>RES_BA!S171</f>
        <v>0</v>
      </c>
      <c r="Q668" s="40">
        <f>RES_BA!T171</f>
        <v>0</v>
      </c>
      <c r="S668" s="40">
        <f>RES_BA!U171</f>
        <v>0</v>
      </c>
    </row>
    <row r="669" spans="3:19" s="277" customFormat="1" hidden="1" outlineLevel="1" collapsed="1" x14ac:dyDescent="0.3">
      <c r="C669" s="283" t="str">
        <f>RES_BA!D172</f>
        <v>Other Direct Costs Category 4</v>
      </c>
      <c r="M669" s="279">
        <f>RES_BA!R172</f>
        <v>0</v>
      </c>
      <c r="O669" s="279">
        <f>RES_BA!S172</f>
        <v>0</v>
      </c>
      <c r="Q669" s="279">
        <f>RES_BA!T172</f>
        <v>0</v>
      </c>
      <c r="S669" s="279">
        <f>RES_BA!U172</f>
        <v>0</v>
      </c>
    </row>
    <row r="670" spans="3:19" s="277" customFormat="1" hidden="1" outlineLevel="1" x14ac:dyDescent="0.3">
      <c r="C670" s="283" t="str">
        <f>RES_BA!D173</f>
        <v>Other Direct Costs Category 5</v>
      </c>
      <c r="M670" s="279">
        <f>RES_BA!R173</f>
        <v>0</v>
      </c>
      <c r="O670" s="279">
        <f>RES_BA!S173</f>
        <v>0</v>
      </c>
      <c r="Q670" s="279">
        <f>RES_BA!T173</f>
        <v>0</v>
      </c>
      <c r="S670" s="279">
        <f>RES_BA!U173</f>
        <v>0</v>
      </c>
    </row>
    <row r="671" spans="3:19" s="277" customFormat="1" hidden="1" outlineLevel="1" x14ac:dyDescent="0.3">
      <c r="C671" s="283" t="str">
        <f>RES_BA!D174</f>
        <v>Other Direct Costs Category 6</v>
      </c>
      <c r="M671" s="279">
        <f>RES_BA!R174</f>
        <v>0</v>
      </c>
      <c r="O671" s="279">
        <f>RES_BA!S174</f>
        <v>0</v>
      </c>
      <c r="Q671" s="279">
        <f>RES_BA!T174</f>
        <v>0</v>
      </c>
      <c r="S671" s="279">
        <f>RES_BA!U174</f>
        <v>0</v>
      </c>
    </row>
    <row r="672" spans="3:19" s="277" customFormat="1" hidden="1" outlineLevel="1" x14ac:dyDescent="0.3">
      <c r="C672" s="283" t="str">
        <f>RES_BA!D175</f>
        <v>Other Direct Costs Category 7</v>
      </c>
      <c r="M672" s="279">
        <f>RES_BA!R175</f>
        <v>0</v>
      </c>
      <c r="O672" s="279">
        <f>RES_BA!S175</f>
        <v>0</v>
      </c>
      <c r="Q672" s="279">
        <f>RES_BA!T175</f>
        <v>0</v>
      </c>
      <c r="S672" s="279">
        <f>RES_BA!U175</f>
        <v>0</v>
      </c>
    </row>
    <row r="673" spans="3:19" s="277" customFormat="1" hidden="1" outlineLevel="1" x14ac:dyDescent="0.3">
      <c r="C673" s="283" t="str">
        <f>RES_BA!D176</f>
        <v>Other Direct Costs Category 8</v>
      </c>
      <c r="M673" s="279">
        <f>RES_BA!R176</f>
        <v>0</v>
      </c>
      <c r="O673" s="279">
        <f>RES_BA!S176</f>
        <v>0</v>
      </c>
      <c r="Q673" s="279">
        <f>RES_BA!T176</f>
        <v>0</v>
      </c>
      <c r="S673" s="279">
        <f>RES_BA!U176</f>
        <v>0</v>
      </c>
    </row>
    <row r="674" spans="3:19" s="277" customFormat="1" hidden="1" outlineLevel="1" x14ac:dyDescent="0.3">
      <c r="C674" s="283" t="str">
        <f>RES_BA!D177</f>
        <v>Other Direct Costs Category 9</v>
      </c>
      <c r="M674" s="279">
        <f>RES_BA!R177</f>
        <v>0</v>
      </c>
      <c r="O674" s="279">
        <f>RES_BA!S177</f>
        <v>0</v>
      </c>
      <c r="Q674" s="279">
        <f>RES_BA!T177</f>
        <v>0</v>
      </c>
      <c r="S674" s="279">
        <f>RES_BA!U177</f>
        <v>0</v>
      </c>
    </row>
    <row r="675" spans="3:19" s="277" customFormat="1" hidden="1" outlineLevel="1" x14ac:dyDescent="0.3">
      <c r="C675" s="283" t="str">
        <f>RES_BA!D178</f>
        <v>Other Direct Costs Category 10</v>
      </c>
      <c r="M675" s="279">
        <f>RES_BA!R178</f>
        <v>0</v>
      </c>
      <c r="O675" s="279">
        <f>RES_BA!S178</f>
        <v>0</v>
      </c>
      <c r="Q675" s="279">
        <f>RES_BA!T178</f>
        <v>0</v>
      </c>
      <c r="S675" s="279">
        <f>RES_BA!U178</f>
        <v>0</v>
      </c>
    </row>
    <row r="676" spans="3:19" s="277" customFormat="1" hidden="1" outlineLevel="1" x14ac:dyDescent="0.3">
      <c r="C676" s="283" t="str">
        <f>RES_BA!D179</f>
        <v>Other Direct Costs Category 11</v>
      </c>
      <c r="M676" s="279">
        <f>RES_BA!R179</f>
        <v>0</v>
      </c>
      <c r="O676" s="279">
        <f>RES_BA!S179</f>
        <v>0</v>
      </c>
      <c r="Q676" s="279">
        <f>RES_BA!T179</f>
        <v>0</v>
      </c>
      <c r="S676" s="279">
        <f>RES_BA!U179</f>
        <v>0</v>
      </c>
    </row>
    <row r="677" spans="3:19" s="277" customFormat="1" hidden="1" outlineLevel="1" collapsed="1" x14ac:dyDescent="0.3">
      <c r="C677" s="283" t="str">
        <f>RES_BA!D180</f>
        <v>Other Direct Costs Category 12</v>
      </c>
      <c r="M677" s="279">
        <f>RES_BA!R180</f>
        <v>0</v>
      </c>
      <c r="O677" s="279">
        <f>RES_BA!S180</f>
        <v>0</v>
      </c>
      <c r="Q677" s="279">
        <f>RES_BA!T180</f>
        <v>0</v>
      </c>
      <c r="S677" s="279">
        <f>RES_BA!U180</f>
        <v>0</v>
      </c>
    </row>
    <row r="678" spans="3:19" s="277" customFormat="1" hidden="1" outlineLevel="1" x14ac:dyDescent="0.3">
      <c r="C678" s="283" t="str">
        <f>RES_BA!D181</f>
        <v>Other Direct Costs Category 13</v>
      </c>
      <c r="M678" s="279">
        <f>RES_BA!R181</f>
        <v>0</v>
      </c>
      <c r="O678" s="279">
        <f>RES_BA!S181</f>
        <v>0</v>
      </c>
      <c r="Q678" s="279">
        <f>RES_BA!T181</f>
        <v>0</v>
      </c>
      <c r="S678" s="279">
        <f>RES_BA!U181</f>
        <v>0</v>
      </c>
    </row>
    <row r="679" spans="3:19" s="277" customFormat="1" hidden="1" outlineLevel="1" x14ac:dyDescent="0.3">
      <c r="C679" s="283" t="str">
        <f>RES_BA!D182</f>
        <v>Other Direct Costs Category 14</v>
      </c>
      <c r="M679" s="279">
        <f>RES_BA!R182</f>
        <v>0</v>
      </c>
      <c r="O679" s="279">
        <f>RES_BA!S182</f>
        <v>0</v>
      </c>
      <c r="Q679" s="279">
        <f>RES_BA!T182</f>
        <v>0</v>
      </c>
      <c r="S679" s="279">
        <f>RES_BA!U182</f>
        <v>0</v>
      </c>
    </row>
    <row r="680" spans="3:19" s="277" customFormat="1" hidden="1" outlineLevel="1" x14ac:dyDescent="0.3">
      <c r="C680" s="283" t="str">
        <f>RES_BA!D183</f>
        <v>Other Direct Costs Category 15</v>
      </c>
      <c r="M680" s="279">
        <f>RES_BA!R183</f>
        <v>0</v>
      </c>
      <c r="O680" s="279">
        <f>RES_BA!S183</f>
        <v>0</v>
      </c>
      <c r="Q680" s="279">
        <f>RES_BA!T183</f>
        <v>0</v>
      </c>
      <c r="S680" s="279">
        <f>RES_BA!U183</f>
        <v>0</v>
      </c>
    </row>
    <row r="681" spans="3:19" s="277" customFormat="1" hidden="1" outlineLevel="1" x14ac:dyDescent="0.3">
      <c r="C681" s="283" t="str">
        <f>RES_BA!D184</f>
        <v>Other Direct Costs Category 16</v>
      </c>
      <c r="M681" s="279">
        <f>RES_BA!R184</f>
        <v>0</v>
      </c>
      <c r="O681" s="279">
        <f>RES_BA!S184</f>
        <v>0</v>
      </c>
      <c r="Q681" s="279">
        <f>RES_BA!T184</f>
        <v>0</v>
      </c>
      <c r="S681" s="279">
        <f>RES_BA!U184</f>
        <v>0</v>
      </c>
    </row>
    <row r="682" spans="3:19" s="277" customFormat="1" hidden="1" outlineLevel="1" x14ac:dyDescent="0.3">
      <c r="C682" s="283" t="str">
        <f>RES_BA!D185</f>
        <v>Other Direct Costs Category 17</v>
      </c>
      <c r="M682" s="279">
        <f>RES_BA!R185</f>
        <v>0</v>
      </c>
      <c r="O682" s="279">
        <f>RES_BA!S185</f>
        <v>0</v>
      </c>
      <c r="Q682" s="279">
        <f>RES_BA!T185</f>
        <v>0</v>
      </c>
      <c r="S682" s="279">
        <f>RES_BA!U185</f>
        <v>0</v>
      </c>
    </row>
    <row r="683" spans="3:19" s="277" customFormat="1" hidden="1" outlineLevel="1" x14ac:dyDescent="0.3">
      <c r="C683" s="283" t="str">
        <f>RES_BA!D186</f>
        <v>Other Direct Costs Category 18</v>
      </c>
      <c r="M683" s="279">
        <f>RES_BA!R186</f>
        <v>0</v>
      </c>
      <c r="O683" s="279">
        <f>RES_BA!S186</f>
        <v>0</v>
      </c>
      <c r="Q683" s="279">
        <f>RES_BA!T186</f>
        <v>0</v>
      </c>
      <c r="S683" s="279">
        <f>RES_BA!U186</f>
        <v>0</v>
      </c>
    </row>
    <row r="684" spans="3:19" s="277" customFormat="1" hidden="1" outlineLevel="1" x14ac:dyDescent="0.3">
      <c r="C684" s="283" t="str">
        <f>RES_BA!D187</f>
        <v>Other Direct Costs Category 19</v>
      </c>
      <c r="M684" s="279">
        <f>RES_BA!R187</f>
        <v>0</v>
      </c>
      <c r="O684" s="279">
        <f>RES_BA!S187</f>
        <v>0</v>
      </c>
      <c r="Q684" s="279">
        <f>RES_BA!T187</f>
        <v>0</v>
      </c>
      <c r="S684" s="279">
        <f>RES_BA!U187</f>
        <v>0</v>
      </c>
    </row>
    <row r="685" spans="3:19" s="277" customFormat="1" hidden="1" outlineLevel="1" x14ac:dyDescent="0.3">
      <c r="C685" s="283" t="str">
        <f>RES_BA!D188</f>
        <v>Other Direct Costs Category 20</v>
      </c>
      <c r="M685" s="279">
        <f>RES_BA!R188</f>
        <v>0</v>
      </c>
      <c r="O685" s="279">
        <f>RES_BA!S188</f>
        <v>0</v>
      </c>
      <c r="Q685" s="279">
        <f>RES_BA!T188</f>
        <v>0</v>
      </c>
      <c r="S685" s="279">
        <f>RES_BA!U188</f>
        <v>0</v>
      </c>
    </row>
    <row r="686" spans="3:19" s="277" customFormat="1" hidden="1" outlineLevel="1" x14ac:dyDescent="0.3">
      <c r="C686" s="283" t="str">
        <f>RES_BA!D189</f>
        <v>Other Direct Costs Category 21</v>
      </c>
      <c r="M686" s="279">
        <f>RES_BA!R189</f>
        <v>0</v>
      </c>
      <c r="O686" s="279">
        <f>RES_BA!S189</f>
        <v>0</v>
      </c>
      <c r="Q686" s="279">
        <f>RES_BA!T189</f>
        <v>0</v>
      </c>
      <c r="S686" s="279">
        <f>RES_BA!U189</f>
        <v>0</v>
      </c>
    </row>
    <row r="687" spans="3:19" s="277" customFormat="1" hidden="1" outlineLevel="1" x14ac:dyDescent="0.3">
      <c r="C687" s="283" t="str">
        <f>RES_BA!D190</f>
        <v>Other Direct Costs Category 22</v>
      </c>
      <c r="M687" s="279">
        <f>RES_BA!R190</f>
        <v>0</v>
      </c>
      <c r="O687" s="279">
        <f>RES_BA!S190</f>
        <v>0</v>
      </c>
      <c r="Q687" s="279">
        <f>RES_BA!T190</f>
        <v>0</v>
      </c>
      <c r="S687" s="279">
        <f>RES_BA!U190</f>
        <v>0</v>
      </c>
    </row>
    <row r="688" spans="3:19" s="277" customFormat="1" hidden="1" outlineLevel="1" x14ac:dyDescent="0.3">
      <c r="C688" s="283" t="str">
        <f>RES_BA!D191</f>
        <v>Other Direct Costs Category 23</v>
      </c>
      <c r="M688" s="279">
        <f>RES_BA!R191</f>
        <v>0</v>
      </c>
      <c r="O688" s="279">
        <f>RES_BA!S191</f>
        <v>0</v>
      </c>
      <c r="Q688" s="279">
        <f>RES_BA!T191</f>
        <v>0</v>
      </c>
      <c r="S688" s="279">
        <f>RES_BA!U191</f>
        <v>0</v>
      </c>
    </row>
    <row r="689" spans="2:19" s="277" customFormat="1" hidden="1" outlineLevel="1" collapsed="1" x14ac:dyDescent="0.3">
      <c r="C689" s="283" t="str">
        <f>RES_BA!D192</f>
        <v>Other Direct Costs Category 24</v>
      </c>
      <c r="M689" s="279">
        <f>RES_BA!R192</f>
        <v>0</v>
      </c>
      <c r="O689" s="279">
        <f>RES_BA!S192</f>
        <v>0</v>
      </c>
      <c r="Q689" s="279">
        <f>RES_BA!T192</f>
        <v>0</v>
      </c>
      <c r="S689" s="279">
        <f>RES_BA!U192</f>
        <v>0</v>
      </c>
    </row>
    <row r="690" spans="2:19" s="277" customFormat="1" hidden="1" outlineLevel="1" x14ac:dyDescent="0.3">
      <c r="C690" s="283" t="str">
        <f>RES_BA!D193</f>
        <v>Other Direct Costs Category 25</v>
      </c>
      <c r="M690" s="279">
        <f>RES_BA!R193</f>
        <v>0</v>
      </c>
      <c r="O690" s="279">
        <f>RES_BA!S193</f>
        <v>0</v>
      </c>
      <c r="Q690" s="279">
        <f>RES_BA!T193</f>
        <v>0</v>
      </c>
      <c r="S690" s="279">
        <f>RES_BA!U193</f>
        <v>0</v>
      </c>
    </row>
    <row r="691" spans="2:19" s="277" customFormat="1" hidden="1" outlineLevel="1" x14ac:dyDescent="0.3">
      <c r="C691" s="283" t="str">
        <f>RES_BA!D194</f>
        <v>Other Direct Costs Category 26</v>
      </c>
      <c r="M691" s="279">
        <f>RES_BA!R194</f>
        <v>0</v>
      </c>
      <c r="O691" s="279">
        <f>RES_BA!S194</f>
        <v>0</v>
      </c>
      <c r="Q691" s="279">
        <f>RES_BA!T194</f>
        <v>0</v>
      </c>
      <c r="S691" s="279">
        <f>RES_BA!U194</f>
        <v>0</v>
      </c>
    </row>
    <row r="692" spans="2:19" s="277" customFormat="1" hidden="1" outlineLevel="1" x14ac:dyDescent="0.3">
      <c r="C692" s="283" t="str">
        <f>RES_BA!D195</f>
        <v>Other Direct Costs Category 27</v>
      </c>
      <c r="M692" s="279">
        <f>RES_BA!R195</f>
        <v>0</v>
      </c>
      <c r="O692" s="279">
        <f>RES_BA!S195</f>
        <v>0</v>
      </c>
      <c r="Q692" s="279">
        <f>RES_BA!T195</f>
        <v>0</v>
      </c>
      <c r="S692" s="279">
        <f>RES_BA!U195</f>
        <v>0</v>
      </c>
    </row>
    <row r="693" spans="2:19" s="277" customFormat="1" hidden="1" outlineLevel="1" x14ac:dyDescent="0.3">
      <c r="C693" s="283" t="str">
        <f>RES_BA!D196</f>
        <v>Other Direct Costs Category 28</v>
      </c>
      <c r="M693" s="279">
        <f>RES_BA!R196</f>
        <v>0</v>
      </c>
      <c r="O693" s="279">
        <f>RES_BA!S196</f>
        <v>0</v>
      </c>
      <c r="Q693" s="279">
        <f>RES_BA!T196</f>
        <v>0</v>
      </c>
      <c r="S693" s="279">
        <f>RES_BA!U196</f>
        <v>0</v>
      </c>
    </row>
    <row r="694" spans="2:19" s="277" customFormat="1" hidden="1" outlineLevel="1" x14ac:dyDescent="0.3">
      <c r="C694" s="283" t="str">
        <f>RES_BA!D197</f>
        <v>Other Direct Costs Category 29</v>
      </c>
      <c r="M694" s="279">
        <f>RES_BA!R197</f>
        <v>0</v>
      </c>
      <c r="O694" s="279">
        <f>RES_BA!S197</f>
        <v>0</v>
      </c>
      <c r="Q694" s="279">
        <f>RES_BA!T197</f>
        <v>0</v>
      </c>
      <c r="S694" s="279">
        <f>RES_BA!U197</f>
        <v>0</v>
      </c>
    </row>
    <row r="695" spans="2:19" s="277" customFormat="1" hidden="1" outlineLevel="1" x14ac:dyDescent="0.3">
      <c r="C695" s="283" t="str">
        <f>RES_BA!D198</f>
        <v>Other Direct Costs Category 30</v>
      </c>
      <c r="M695" s="279">
        <f>RES_BA!R198</f>
        <v>0</v>
      </c>
      <c r="O695" s="279">
        <f>RES_BA!S198</f>
        <v>0</v>
      </c>
      <c r="Q695" s="279">
        <f>RES_BA!T198</f>
        <v>0</v>
      </c>
      <c r="S695" s="279">
        <f>RES_BA!U198</f>
        <v>0</v>
      </c>
    </row>
    <row r="696" spans="2:19" s="277" customFormat="1" hidden="1" outlineLevel="1" x14ac:dyDescent="0.3">
      <c r="C696" s="283" t="str">
        <f>RES_BA!D199</f>
        <v>Other Direct Costs Category 31</v>
      </c>
      <c r="M696" s="279">
        <f>RES_BA!R199</f>
        <v>0</v>
      </c>
      <c r="O696" s="279">
        <f>RES_BA!S199</f>
        <v>0</v>
      </c>
      <c r="Q696" s="279">
        <f>RES_BA!T199</f>
        <v>0</v>
      </c>
      <c r="S696" s="279">
        <f>RES_BA!U199</f>
        <v>0</v>
      </c>
    </row>
    <row r="697" spans="2:19" s="277" customFormat="1" hidden="1" outlineLevel="1" x14ac:dyDescent="0.3">
      <c r="C697" s="283" t="str">
        <f>RES_BA!D200</f>
        <v>Other Direct Costs Category 32</v>
      </c>
      <c r="M697" s="279">
        <f>RES_BA!R200</f>
        <v>0</v>
      </c>
      <c r="O697" s="279">
        <f>RES_BA!S200</f>
        <v>0</v>
      </c>
      <c r="Q697" s="279">
        <f>RES_BA!T200</f>
        <v>0</v>
      </c>
      <c r="S697" s="279">
        <f>RES_BA!U200</f>
        <v>0</v>
      </c>
    </row>
    <row r="698" spans="2:19" s="277" customFormat="1" hidden="1" outlineLevel="1" x14ac:dyDescent="0.3">
      <c r="C698" s="283" t="str">
        <f>RES_BA!D201</f>
        <v>Other Direct Costs Category 33</v>
      </c>
      <c r="M698" s="279">
        <f>RES_BA!R201</f>
        <v>0</v>
      </c>
      <c r="O698" s="279">
        <f>RES_BA!S201</f>
        <v>0</v>
      </c>
      <c r="Q698" s="279">
        <f>RES_BA!T201</f>
        <v>0</v>
      </c>
      <c r="S698" s="279">
        <f>RES_BA!U201</f>
        <v>0</v>
      </c>
    </row>
    <row r="699" spans="2:19" s="277" customFormat="1" hidden="1" outlineLevel="1" x14ac:dyDescent="0.3">
      <c r="C699" s="283" t="str">
        <f>RES_BA!D202</f>
        <v>Other Direct Costs Category 34</v>
      </c>
      <c r="M699" s="279">
        <f>RES_BA!R202</f>
        <v>0</v>
      </c>
      <c r="O699" s="279">
        <f>RES_BA!S202</f>
        <v>0</v>
      </c>
      <c r="Q699" s="279">
        <f>RES_BA!T202</f>
        <v>0</v>
      </c>
      <c r="S699" s="279">
        <f>RES_BA!U202</f>
        <v>0</v>
      </c>
    </row>
    <row r="700" spans="2:19" s="277" customFormat="1" hidden="1" outlineLevel="1" x14ac:dyDescent="0.3">
      <c r="C700" s="283" t="str">
        <f>RES_BA!D203</f>
        <v>Other Direct Costs Category 35</v>
      </c>
      <c r="M700" s="279">
        <f>RES_BA!R203</f>
        <v>0</v>
      </c>
      <c r="O700" s="279">
        <f>RES_BA!S203</f>
        <v>0</v>
      </c>
      <c r="Q700" s="279">
        <f>RES_BA!T203</f>
        <v>0</v>
      </c>
      <c r="S700" s="279">
        <f>RES_BA!U203</f>
        <v>0</v>
      </c>
    </row>
    <row r="701" spans="2:19" collapsed="1" x14ac:dyDescent="0.3"/>
    <row r="703" spans="2:19" ht="18" x14ac:dyDescent="0.3">
      <c r="B703" s="31" t="str">
        <f>I704</f>
        <v>Communication Materials Activity #3 [not in use]</v>
      </c>
    </row>
    <row r="704" spans="2:19" x14ac:dyDescent="0.3">
      <c r="G704" s="41" t="s">
        <v>119</v>
      </c>
      <c r="I704" s="356" t="s">
        <v>992</v>
      </c>
      <c r="J704" s="356"/>
      <c r="K704" s="356"/>
      <c r="L704" s="356"/>
      <c r="M704" s="356"/>
    </row>
    <row r="705" spans="3:24" ht="10.5" customHeight="1" x14ac:dyDescent="0.3">
      <c r="G705" s="41" t="s">
        <v>76</v>
      </c>
      <c r="I705" s="32">
        <v>2</v>
      </c>
    </row>
    <row r="706" spans="3:24" ht="15.6" x14ac:dyDescent="0.3">
      <c r="C706" s="92" t="s">
        <v>77</v>
      </c>
      <c r="M706" s="40" t="str">
        <f>IF(DD_ACT_22_Meet1_Curr=1,$D$859,$D$860)</f>
        <v>GOZ</v>
      </c>
      <c r="O706" s="40" t="str">
        <f>IF(DD_ACT_22_Meet1_Curr=1,$D$859,$D$860)</f>
        <v>GOZ</v>
      </c>
      <c r="Q706" s="40" t="str">
        <f>IF(DD_ACT_22_Meet1_Curr=1,$D$859,$D$860)</f>
        <v>GOZ</v>
      </c>
      <c r="S706" s="40" t="str">
        <f>IF(DD_ACT_22_Meet1_Curr=1,$D$859,$D$860)</f>
        <v>GOZ</v>
      </c>
    </row>
    <row r="707" spans="3:24" ht="27.6" x14ac:dyDescent="0.3">
      <c r="D707" s="90" t="s">
        <v>77</v>
      </c>
      <c r="I707" s="88" t="s">
        <v>80</v>
      </c>
      <c r="K707" s="91" t="s">
        <v>78</v>
      </c>
      <c r="M707" s="42" t="s">
        <v>103</v>
      </c>
      <c r="O707" s="42" t="s">
        <v>104</v>
      </c>
      <c r="Q707" s="42" t="s">
        <v>105</v>
      </c>
      <c r="S707" s="42" t="s">
        <v>106</v>
      </c>
      <c r="U707" s="350" t="s">
        <v>185</v>
      </c>
      <c r="V707" s="426"/>
      <c r="W707" s="426"/>
      <c r="X707" s="426"/>
    </row>
    <row r="708" spans="3:24" x14ac:dyDescent="0.3">
      <c r="D708" s="356" t="s">
        <v>188</v>
      </c>
      <c r="E708" s="356"/>
      <c r="F708" s="356"/>
      <c r="G708" s="356"/>
      <c r="I708" s="48">
        <v>0</v>
      </c>
      <c r="K708" s="48">
        <v>0</v>
      </c>
      <c r="M708" s="40">
        <f t="shared" ref="M708:M732" si="40">IFERROR(IF(DD_ACT_22_Meet1_Curr=1,INDEX($M$865:$M$899,MATCH(D708,LU_ACT_22_Pers_Res,0)),INDEX($Q$865:$Q$899,MATCH(D708,LU_ACT_22_Pers_Res,0))),0)</f>
        <v>0</v>
      </c>
      <c r="O708" s="40">
        <f t="shared" ref="O708:O732" si="41">IFERROR(IF(DD_ACT_22_Meet1_Curr=1,INDEX($O$865:$O$899,MATCH(D708,LU_ACT_22_Pers_Res,0)),INDEX($S$865:$S$899,MATCH(D708,LU_ACT_22_Pers_Res,0))),0)</f>
        <v>0</v>
      </c>
      <c r="Q708" s="293">
        <f t="shared" ref="Q708:Q732" si="42">I708*K708*M708</f>
        <v>0</v>
      </c>
      <c r="S708" s="293">
        <f t="shared" ref="S708:S732" si="43">I708*K708*O708</f>
        <v>0</v>
      </c>
      <c r="U708" s="356"/>
      <c r="V708" s="356"/>
      <c r="W708" s="356"/>
      <c r="X708" s="356"/>
    </row>
    <row r="709" spans="3:24" x14ac:dyDescent="0.3">
      <c r="D709" s="356" t="s">
        <v>189</v>
      </c>
      <c r="E709" s="356"/>
      <c r="F709" s="356"/>
      <c r="G709" s="356"/>
      <c r="I709" s="48">
        <v>0</v>
      </c>
      <c r="K709" s="48">
        <v>0</v>
      </c>
      <c r="M709" s="40">
        <f t="shared" si="40"/>
        <v>0</v>
      </c>
      <c r="O709" s="40">
        <f t="shared" si="41"/>
        <v>0</v>
      </c>
      <c r="Q709" s="293">
        <f t="shared" si="42"/>
        <v>0</v>
      </c>
      <c r="S709" s="293">
        <f t="shared" si="43"/>
        <v>0</v>
      </c>
      <c r="U709" s="356"/>
      <c r="V709" s="356"/>
      <c r="W709" s="356"/>
      <c r="X709" s="356"/>
    </row>
    <row r="710" spans="3:24" x14ac:dyDescent="0.3">
      <c r="D710" s="356" t="s">
        <v>190</v>
      </c>
      <c r="E710" s="356"/>
      <c r="F710" s="356"/>
      <c r="G710" s="356"/>
      <c r="I710" s="48">
        <v>0</v>
      </c>
      <c r="K710" s="48">
        <v>0</v>
      </c>
      <c r="M710" s="40">
        <f t="shared" si="40"/>
        <v>0</v>
      </c>
      <c r="O710" s="40">
        <f t="shared" si="41"/>
        <v>0</v>
      </c>
      <c r="Q710" s="293">
        <f t="shared" si="42"/>
        <v>0</v>
      </c>
      <c r="S710" s="293">
        <f t="shared" si="43"/>
        <v>0</v>
      </c>
      <c r="U710" s="356"/>
      <c r="V710" s="356"/>
      <c r="W710" s="356"/>
      <c r="X710" s="356"/>
    </row>
    <row r="711" spans="3:24" x14ac:dyDescent="0.3">
      <c r="D711" s="356" t="s">
        <v>191</v>
      </c>
      <c r="E711" s="356"/>
      <c r="F711" s="356"/>
      <c r="G711" s="356"/>
      <c r="I711" s="48">
        <v>0</v>
      </c>
      <c r="K711" s="48">
        <v>0</v>
      </c>
      <c r="M711" s="40">
        <f t="shared" si="40"/>
        <v>0</v>
      </c>
      <c r="O711" s="40">
        <f t="shared" si="41"/>
        <v>0</v>
      </c>
      <c r="Q711" s="293">
        <f t="shared" si="42"/>
        <v>0</v>
      </c>
      <c r="S711" s="293">
        <f t="shared" si="43"/>
        <v>0</v>
      </c>
      <c r="U711" s="356"/>
      <c r="V711" s="356"/>
      <c r="W711" s="356"/>
      <c r="X711" s="356"/>
    </row>
    <row r="712" spans="3:24" x14ac:dyDescent="0.3">
      <c r="D712" s="356" t="s">
        <v>192</v>
      </c>
      <c r="E712" s="356"/>
      <c r="F712" s="356"/>
      <c r="G712" s="356"/>
      <c r="I712" s="48">
        <v>0</v>
      </c>
      <c r="K712" s="48">
        <v>0</v>
      </c>
      <c r="M712" s="40">
        <f t="shared" si="40"/>
        <v>0</v>
      </c>
      <c r="O712" s="40">
        <f t="shared" si="41"/>
        <v>0</v>
      </c>
      <c r="Q712" s="293">
        <f t="shared" si="42"/>
        <v>0</v>
      </c>
      <c r="S712" s="293">
        <f t="shared" si="43"/>
        <v>0</v>
      </c>
      <c r="U712" s="356"/>
      <c r="V712" s="356"/>
      <c r="W712" s="356"/>
      <c r="X712" s="356"/>
    </row>
    <row r="713" spans="3:24" x14ac:dyDescent="0.3">
      <c r="D713" s="356" t="s">
        <v>193</v>
      </c>
      <c r="E713" s="356"/>
      <c r="F713" s="356"/>
      <c r="G713" s="356"/>
      <c r="I713" s="48">
        <v>0</v>
      </c>
      <c r="K713" s="48">
        <v>0</v>
      </c>
      <c r="M713" s="40">
        <f t="shared" si="40"/>
        <v>0</v>
      </c>
      <c r="O713" s="40">
        <f t="shared" si="41"/>
        <v>0</v>
      </c>
      <c r="Q713" s="293">
        <f t="shared" si="42"/>
        <v>0</v>
      </c>
      <c r="S713" s="293">
        <f t="shared" si="43"/>
        <v>0</v>
      </c>
      <c r="U713" s="356"/>
      <c r="V713" s="356"/>
      <c r="W713" s="356"/>
      <c r="X713" s="356"/>
    </row>
    <row r="714" spans="3:24" x14ac:dyDescent="0.3">
      <c r="D714" s="356" t="s">
        <v>120</v>
      </c>
      <c r="E714" s="356"/>
      <c r="F714" s="356"/>
      <c r="G714" s="356"/>
      <c r="I714" s="48">
        <v>0</v>
      </c>
      <c r="K714" s="48">
        <v>0</v>
      </c>
      <c r="M714" s="40">
        <f t="shared" si="40"/>
        <v>0</v>
      </c>
      <c r="O714" s="40">
        <f t="shared" si="41"/>
        <v>0</v>
      </c>
      <c r="Q714" s="293">
        <f t="shared" si="42"/>
        <v>0</v>
      </c>
      <c r="S714" s="293">
        <f t="shared" si="43"/>
        <v>0</v>
      </c>
      <c r="U714" s="356"/>
      <c r="V714" s="356"/>
      <c r="W714" s="356"/>
      <c r="X714" s="356"/>
    </row>
    <row r="715" spans="3:24" x14ac:dyDescent="0.3">
      <c r="D715" s="356" t="s">
        <v>121</v>
      </c>
      <c r="E715" s="356"/>
      <c r="F715" s="356"/>
      <c r="G715" s="356"/>
      <c r="I715" s="48">
        <v>0</v>
      </c>
      <c r="K715" s="48">
        <v>0</v>
      </c>
      <c r="M715" s="40">
        <f t="shared" si="40"/>
        <v>0</v>
      </c>
      <c r="O715" s="40">
        <f t="shared" si="41"/>
        <v>0</v>
      </c>
      <c r="Q715" s="293">
        <f t="shared" si="42"/>
        <v>0</v>
      </c>
      <c r="S715" s="293">
        <f t="shared" si="43"/>
        <v>0</v>
      </c>
      <c r="U715" s="356"/>
      <c r="V715" s="356"/>
      <c r="W715" s="356"/>
      <c r="X715" s="356"/>
    </row>
    <row r="716" spans="3:24" s="277" customFormat="1" x14ac:dyDescent="0.3">
      <c r="D716" s="356" t="s">
        <v>830</v>
      </c>
      <c r="E716" s="356"/>
      <c r="F716" s="356"/>
      <c r="G716" s="356"/>
      <c r="I716" s="48">
        <v>0</v>
      </c>
      <c r="K716" s="48">
        <v>0</v>
      </c>
      <c r="M716" s="279">
        <f t="shared" si="40"/>
        <v>0</v>
      </c>
      <c r="O716" s="279">
        <f t="shared" si="41"/>
        <v>0</v>
      </c>
      <c r="Q716" s="293">
        <f t="shared" si="42"/>
        <v>0</v>
      </c>
      <c r="S716" s="293">
        <f t="shared" si="43"/>
        <v>0</v>
      </c>
      <c r="U716" s="385"/>
      <c r="V716" s="385"/>
      <c r="W716" s="385"/>
      <c r="X716" s="385"/>
    </row>
    <row r="717" spans="3:24" s="277" customFormat="1" x14ac:dyDescent="0.3">
      <c r="D717" s="356" t="s">
        <v>831</v>
      </c>
      <c r="E717" s="356"/>
      <c r="F717" s="356"/>
      <c r="G717" s="356"/>
      <c r="I717" s="48">
        <v>0</v>
      </c>
      <c r="K717" s="48">
        <v>0</v>
      </c>
      <c r="M717" s="279">
        <f t="shared" si="40"/>
        <v>0</v>
      </c>
      <c r="O717" s="279">
        <f t="shared" si="41"/>
        <v>0</v>
      </c>
      <c r="Q717" s="293">
        <f t="shared" si="42"/>
        <v>0</v>
      </c>
      <c r="S717" s="293">
        <f t="shared" si="43"/>
        <v>0</v>
      </c>
      <c r="U717" s="385"/>
      <c r="V717" s="385"/>
      <c r="W717" s="385"/>
      <c r="X717" s="385"/>
    </row>
    <row r="718" spans="3:24" s="277" customFormat="1" x14ac:dyDescent="0.3">
      <c r="D718" s="356" t="s">
        <v>832</v>
      </c>
      <c r="E718" s="356"/>
      <c r="F718" s="356"/>
      <c r="G718" s="356"/>
      <c r="I718" s="48">
        <v>0</v>
      </c>
      <c r="K718" s="48">
        <v>0</v>
      </c>
      <c r="M718" s="279">
        <f t="shared" si="40"/>
        <v>0</v>
      </c>
      <c r="O718" s="279">
        <f t="shared" si="41"/>
        <v>0</v>
      </c>
      <c r="Q718" s="293">
        <f t="shared" si="42"/>
        <v>0</v>
      </c>
      <c r="S718" s="293">
        <f t="shared" si="43"/>
        <v>0</v>
      </c>
      <c r="U718" s="385"/>
      <c r="V718" s="385"/>
      <c r="W718" s="385"/>
      <c r="X718" s="385"/>
    </row>
    <row r="719" spans="3:24" s="277" customFormat="1" x14ac:dyDescent="0.3">
      <c r="D719" s="356" t="s">
        <v>833</v>
      </c>
      <c r="E719" s="356"/>
      <c r="F719" s="356"/>
      <c r="G719" s="356"/>
      <c r="I719" s="48">
        <v>0</v>
      </c>
      <c r="K719" s="48">
        <v>0</v>
      </c>
      <c r="M719" s="279">
        <f t="shared" si="40"/>
        <v>0</v>
      </c>
      <c r="O719" s="279">
        <f t="shared" si="41"/>
        <v>0</v>
      </c>
      <c r="Q719" s="293">
        <f t="shared" si="42"/>
        <v>0</v>
      </c>
      <c r="S719" s="293">
        <f t="shared" si="43"/>
        <v>0</v>
      </c>
      <c r="U719" s="385"/>
      <c r="V719" s="385"/>
      <c r="W719" s="385"/>
      <c r="X719" s="385"/>
    </row>
    <row r="720" spans="3:24" s="277" customFormat="1" x14ac:dyDescent="0.3">
      <c r="D720" s="356" t="s">
        <v>834</v>
      </c>
      <c r="E720" s="356"/>
      <c r="F720" s="356"/>
      <c r="G720" s="356"/>
      <c r="I720" s="48">
        <v>0</v>
      </c>
      <c r="K720" s="48">
        <v>0</v>
      </c>
      <c r="M720" s="279">
        <f t="shared" si="40"/>
        <v>0</v>
      </c>
      <c r="O720" s="279">
        <f t="shared" si="41"/>
        <v>0</v>
      </c>
      <c r="Q720" s="293">
        <f t="shared" si="42"/>
        <v>0</v>
      </c>
      <c r="S720" s="293">
        <f t="shared" si="43"/>
        <v>0</v>
      </c>
      <c r="U720" s="385"/>
      <c r="V720" s="385"/>
      <c r="W720" s="385"/>
      <c r="X720" s="385"/>
    </row>
    <row r="721" spans="3:24" s="277" customFormat="1" x14ac:dyDescent="0.3">
      <c r="D721" s="356" t="s">
        <v>835</v>
      </c>
      <c r="E721" s="356"/>
      <c r="F721" s="356"/>
      <c r="G721" s="356"/>
      <c r="I721" s="48">
        <v>0</v>
      </c>
      <c r="K721" s="48">
        <v>0</v>
      </c>
      <c r="M721" s="279">
        <f t="shared" si="40"/>
        <v>0</v>
      </c>
      <c r="O721" s="279">
        <f t="shared" si="41"/>
        <v>0</v>
      </c>
      <c r="Q721" s="293">
        <f t="shared" si="42"/>
        <v>0</v>
      </c>
      <c r="S721" s="293">
        <f t="shared" si="43"/>
        <v>0</v>
      </c>
      <c r="U721" s="385"/>
      <c r="V721" s="385"/>
      <c r="W721" s="385"/>
      <c r="X721" s="385"/>
    </row>
    <row r="722" spans="3:24" s="277" customFormat="1" x14ac:dyDescent="0.3">
      <c r="D722" s="356" t="s">
        <v>836</v>
      </c>
      <c r="E722" s="356"/>
      <c r="F722" s="356"/>
      <c r="G722" s="356"/>
      <c r="I722" s="48">
        <v>0</v>
      </c>
      <c r="K722" s="48">
        <v>0</v>
      </c>
      <c r="M722" s="279">
        <f t="shared" si="40"/>
        <v>0</v>
      </c>
      <c r="O722" s="279">
        <f t="shared" si="41"/>
        <v>0</v>
      </c>
      <c r="Q722" s="293">
        <f t="shared" si="42"/>
        <v>0</v>
      </c>
      <c r="S722" s="293">
        <f t="shared" si="43"/>
        <v>0</v>
      </c>
      <c r="U722" s="385"/>
      <c r="V722" s="385"/>
      <c r="W722" s="385"/>
      <c r="X722" s="385"/>
    </row>
    <row r="723" spans="3:24" s="277" customFormat="1" x14ac:dyDescent="0.3">
      <c r="D723" s="356" t="s">
        <v>837</v>
      </c>
      <c r="E723" s="356"/>
      <c r="F723" s="356"/>
      <c r="G723" s="356"/>
      <c r="I723" s="48">
        <v>0</v>
      </c>
      <c r="K723" s="48">
        <v>0</v>
      </c>
      <c r="M723" s="279">
        <f t="shared" si="40"/>
        <v>0</v>
      </c>
      <c r="O723" s="279">
        <f t="shared" si="41"/>
        <v>0</v>
      </c>
      <c r="Q723" s="293">
        <f t="shared" si="42"/>
        <v>0</v>
      </c>
      <c r="S723" s="293">
        <f t="shared" si="43"/>
        <v>0</v>
      </c>
      <c r="U723" s="385"/>
      <c r="V723" s="385"/>
      <c r="W723" s="385"/>
      <c r="X723" s="385"/>
    </row>
    <row r="724" spans="3:24" s="277" customFormat="1" x14ac:dyDescent="0.3">
      <c r="D724" s="356" t="s">
        <v>846</v>
      </c>
      <c r="E724" s="356"/>
      <c r="F724" s="356"/>
      <c r="G724" s="356"/>
      <c r="I724" s="48">
        <v>0</v>
      </c>
      <c r="K724" s="48">
        <v>0</v>
      </c>
      <c r="M724" s="279">
        <f t="shared" si="40"/>
        <v>0</v>
      </c>
      <c r="O724" s="279">
        <f t="shared" si="41"/>
        <v>0</v>
      </c>
      <c r="Q724" s="293">
        <f t="shared" si="42"/>
        <v>0</v>
      </c>
      <c r="S724" s="293">
        <f t="shared" si="43"/>
        <v>0</v>
      </c>
      <c r="U724" s="385"/>
      <c r="V724" s="385"/>
      <c r="W724" s="385"/>
      <c r="X724" s="385"/>
    </row>
    <row r="725" spans="3:24" s="277" customFormat="1" x14ac:dyDescent="0.3">
      <c r="D725" s="356" t="s">
        <v>847</v>
      </c>
      <c r="E725" s="356"/>
      <c r="F725" s="356"/>
      <c r="G725" s="356"/>
      <c r="I725" s="48">
        <v>0</v>
      </c>
      <c r="K725" s="48">
        <v>0</v>
      </c>
      <c r="M725" s="279">
        <f t="shared" si="40"/>
        <v>0</v>
      </c>
      <c r="O725" s="279">
        <f t="shared" si="41"/>
        <v>0</v>
      </c>
      <c r="Q725" s="293">
        <f t="shared" si="42"/>
        <v>0</v>
      </c>
      <c r="S725" s="293">
        <f t="shared" si="43"/>
        <v>0</v>
      </c>
      <c r="U725" s="385"/>
      <c r="V725" s="385"/>
      <c r="W725" s="385"/>
      <c r="X725" s="385"/>
    </row>
    <row r="726" spans="3:24" s="277" customFormat="1" x14ac:dyDescent="0.3">
      <c r="D726" s="356" t="s">
        <v>848</v>
      </c>
      <c r="E726" s="356"/>
      <c r="F726" s="356"/>
      <c r="G726" s="356"/>
      <c r="I726" s="48">
        <v>0</v>
      </c>
      <c r="K726" s="48">
        <v>0</v>
      </c>
      <c r="M726" s="279">
        <f t="shared" si="40"/>
        <v>0</v>
      </c>
      <c r="O726" s="279">
        <f t="shared" si="41"/>
        <v>0</v>
      </c>
      <c r="Q726" s="293">
        <f t="shared" si="42"/>
        <v>0</v>
      </c>
      <c r="S726" s="293">
        <f t="shared" si="43"/>
        <v>0</v>
      </c>
      <c r="U726" s="385"/>
      <c r="V726" s="385"/>
      <c r="W726" s="385"/>
      <c r="X726" s="385"/>
    </row>
    <row r="727" spans="3:24" s="277" customFormat="1" x14ac:dyDescent="0.3">
      <c r="D727" s="356" t="s">
        <v>849</v>
      </c>
      <c r="E727" s="356"/>
      <c r="F727" s="356"/>
      <c r="G727" s="356"/>
      <c r="I727" s="48">
        <v>0</v>
      </c>
      <c r="K727" s="48">
        <v>0</v>
      </c>
      <c r="M727" s="279">
        <f t="shared" si="40"/>
        <v>0</v>
      </c>
      <c r="O727" s="279">
        <f t="shared" si="41"/>
        <v>0</v>
      </c>
      <c r="Q727" s="293">
        <f t="shared" si="42"/>
        <v>0</v>
      </c>
      <c r="S727" s="293">
        <f t="shared" si="43"/>
        <v>0</v>
      </c>
      <c r="U727" s="385"/>
      <c r="V727" s="385"/>
      <c r="W727" s="385"/>
      <c r="X727" s="385"/>
    </row>
    <row r="728" spans="3:24" s="277" customFormat="1" x14ac:dyDescent="0.3">
      <c r="D728" s="356" t="s">
        <v>971</v>
      </c>
      <c r="E728" s="356"/>
      <c r="F728" s="356"/>
      <c r="G728" s="356"/>
      <c r="I728" s="48">
        <v>0</v>
      </c>
      <c r="K728" s="48">
        <v>0</v>
      </c>
      <c r="M728" s="279">
        <f t="shared" si="40"/>
        <v>0</v>
      </c>
      <c r="O728" s="279">
        <f t="shared" si="41"/>
        <v>0</v>
      </c>
      <c r="Q728" s="293">
        <f t="shared" si="42"/>
        <v>0</v>
      </c>
      <c r="S728" s="293">
        <f t="shared" si="43"/>
        <v>0</v>
      </c>
      <c r="U728" s="385"/>
      <c r="V728" s="385"/>
      <c r="W728" s="385"/>
      <c r="X728" s="385"/>
    </row>
    <row r="729" spans="3:24" s="277" customFormat="1" x14ac:dyDescent="0.3">
      <c r="D729" s="356" t="s">
        <v>973</v>
      </c>
      <c r="E729" s="356"/>
      <c r="F729" s="356"/>
      <c r="G729" s="356"/>
      <c r="I729" s="48">
        <v>0</v>
      </c>
      <c r="K729" s="48">
        <v>0</v>
      </c>
      <c r="M729" s="279">
        <f t="shared" si="40"/>
        <v>0</v>
      </c>
      <c r="O729" s="279">
        <f t="shared" si="41"/>
        <v>0</v>
      </c>
      <c r="Q729" s="293">
        <f t="shared" si="42"/>
        <v>0</v>
      </c>
      <c r="S729" s="293">
        <f t="shared" si="43"/>
        <v>0</v>
      </c>
      <c r="U729" s="385"/>
      <c r="V729" s="385"/>
      <c r="W729" s="385"/>
      <c r="X729" s="385"/>
    </row>
    <row r="730" spans="3:24" s="277" customFormat="1" x14ac:dyDescent="0.3">
      <c r="D730" s="356" t="s">
        <v>974</v>
      </c>
      <c r="E730" s="356"/>
      <c r="F730" s="356"/>
      <c r="G730" s="356"/>
      <c r="I730" s="48">
        <v>0</v>
      </c>
      <c r="K730" s="48">
        <v>0</v>
      </c>
      <c r="M730" s="279">
        <f t="shared" si="40"/>
        <v>0</v>
      </c>
      <c r="O730" s="279">
        <f t="shared" si="41"/>
        <v>0</v>
      </c>
      <c r="Q730" s="293">
        <f t="shared" si="42"/>
        <v>0</v>
      </c>
      <c r="S730" s="293">
        <f t="shared" si="43"/>
        <v>0</v>
      </c>
      <c r="U730" s="385"/>
      <c r="V730" s="385"/>
      <c r="W730" s="385"/>
      <c r="X730" s="385"/>
    </row>
    <row r="731" spans="3:24" s="277" customFormat="1" x14ac:dyDescent="0.3">
      <c r="D731" s="356" t="s">
        <v>975</v>
      </c>
      <c r="E731" s="356"/>
      <c r="F731" s="356"/>
      <c r="G731" s="356"/>
      <c r="I731" s="48">
        <v>0</v>
      </c>
      <c r="K731" s="48">
        <v>0</v>
      </c>
      <c r="M731" s="279">
        <f t="shared" si="40"/>
        <v>0</v>
      </c>
      <c r="O731" s="279">
        <f t="shared" si="41"/>
        <v>0</v>
      </c>
      <c r="Q731" s="293">
        <f t="shared" si="42"/>
        <v>0</v>
      </c>
      <c r="S731" s="293">
        <f t="shared" si="43"/>
        <v>0</v>
      </c>
      <c r="U731" s="385"/>
      <c r="V731" s="385"/>
      <c r="W731" s="385"/>
      <c r="X731" s="385"/>
    </row>
    <row r="732" spans="3:24" s="277" customFormat="1" x14ac:dyDescent="0.3">
      <c r="D732" s="356" t="s">
        <v>976</v>
      </c>
      <c r="E732" s="356"/>
      <c r="F732" s="356"/>
      <c r="G732" s="356"/>
      <c r="I732" s="48">
        <v>0</v>
      </c>
      <c r="K732" s="48">
        <v>0</v>
      </c>
      <c r="M732" s="279">
        <f t="shared" si="40"/>
        <v>0</v>
      </c>
      <c r="O732" s="279">
        <f t="shared" si="41"/>
        <v>0</v>
      </c>
      <c r="Q732" s="293">
        <f t="shared" si="42"/>
        <v>0</v>
      </c>
      <c r="S732" s="293">
        <f t="shared" si="43"/>
        <v>0</v>
      </c>
      <c r="U732" s="385"/>
      <c r="V732" s="385"/>
      <c r="W732" s="385"/>
      <c r="X732" s="385"/>
    </row>
    <row r="733" spans="3:24" ht="14.4" x14ac:dyDescent="0.3">
      <c r="D733" s="420" t="s">
        <v>79</v>
      </c>
      <c r="E733" s="427"/>
      <c r="F733" s="427"/>
      <c r="G733" s="427"/>
      <c r="I733" s="43"/>
      <c r="K733" s="43"/>
      <c r="M733" s="43"/>
      <c r="O733" s="43"/>
      <c r="Q733" s="294">
        <f>SUM(Q708:Q732)</f>
        <v>0</v>
      </c>
      <c r="S733" s="294">
        <f>SUM(S708:S732)</f>
        <v>0</v>
      </c>
    </row>
    <row r="735" spans="3:24" ht="15.6" x14ac:dyDescent="0.3">
      <c r="C735" s="92" t="s">
        <v>164</v>
      </c>
    </row>
    <row r="736" spans="3:24" ht="27.6" x14ac:dyDescent="0.3">
      <c r="D736" s="90" t="s">
        <v>102</v>
      </c>
      <c r="I736" s="91" t="s">
        <v>80</v>
      </c>
      <c r="K736" s="91" t="s">
        <v>78</v>
      </c>
      <c r="M736" s="42" t="s">
        <v>103</v>
      </c>
      <c r="O736" s="42" t="s">
        <v>104</v>
      </c>
      <c r="Q736" s="42" t="s">
        <v>105</v>
      </c>
      <c r="S736" s="42" t="s">
        <v>106</v>
      </c>
      <c r="U736" s="350" t="s">
        <v>185</v>
      </c>
      <c r="V736" s="426"/>
      <c r="W736" s="426"/>
      <c r="X736" s="426"/>
    </row>
    <row r="737" spans="4:24" x14ac:dyDescent="0.3">
      <c r="D737" s="356" t="s">
        <v>109</v>
      </c>
      <c r="E737" s="356"/>
      <c r="F737" s="356"/>
      <c r="G737" s="356"/>
      <c r="I737" s="48">
        <v>0</v>
      </c>
      <c r="K737" s="48">
        <v>0</v>
      </c>
      <c r="M737" s="40">
        <f t="shared" ref="M737:M761" si="44">IFERROR(IF(DD_ACT_22_Meet1_Curr=1,INDEX($M$902:$M$936,MATCH(D737,LU_ACT_22_Allowances,0)),INDEX($Q$902:$Q$936,MATCH(D737,LU_ACT_22_Allowances,0))),0)</f>
        <v>0</v>
      </c>
      <c r="O737" s="40">
        <f t="shared" ref="O737:O761" si="45">IFERROR(IF(DD_ACT_22_Meet1_Curr=1,INDEX($O$902:$O$936,MATCH(D737,LU_ACT_22_Allowances,0)),INDEX($S$902:$S$936,MATCH(D737,LU_ACT_22_Allowances,0))),0)</f>
        <v>0</v>
      </c>
      <c r="Q737" s="293">
        <f t="shared" ref="Q737:Q761" si="46">I737*K737*M737</f>
        <v>0</v>
      </c>
      <c r="S737" s="293">
        <f t="shared" ref="S737:S761" si="47">I737*K737*O737</f>
        <v>0</v>
      </c>
      <c r="U737" s="356"/>
      <c r="V737" s="356"/>
      <c r="W737" s="356"/>
      <c r="X737" s="356"/>
    </row>
    <row r="738" spans="4:24" x14ac:dyDescent="0.3">
      <c r="D738" s="356" t="s">
        <v>110</v>
      </c>
      <c r="E738" s="356"/>
      <c r="F738" s="356"/>
      <c r="G738" s="356"/>
      <c r="I738" s="48">
        <v>0</v>
      </c>
      <c r="K738" s="48">
        <v>0</v>
      </c>
      <c r="M738" s="40">
        <f t="shared" si="44"/>
        <v>0</v>
      </c>
      <c r="O738" s="40">
        <f t="shared" si="45"/>
        <v>0</v>
      </c>
      <c r="Q738" s="293">
        <f t="shared" si="46"/>
        <v>0</v>
      </c>
      <c r="S738" s="293">
        <f t="shared" si="47"/>
        <v>0</v>
      </c>
      <c r="U738" s="356"/>
      <c r="V738" s="356"/>
      <c r="W738" s="356"/>
      <c r="X738" s="356"/>
    </row>
    <row r="739" spans="4:24" x14ac:dyDescent="0.3">
      <c r="D739" s="356" t="s">
        <v>111</v>
      </c>
      <c r="E739" s="356"/>
      <c r="F739" s="356"/>
      <c r="G739" s="356"/>
      <c r="I739" s="48">
        <v>0</v>
      </c>
      <c r="K739" s="48">
        <v>0</v>
      </c>
      <c r="M739" s="40">
        <f t="shared" si="44"/>
        <v>0</v>
      </c>
      <c r="O739" s="40">
        <f t="shared" si="45"/>
        <v>0</v>
      </c>
      <c r="Q739" s="293">
        <f t="shared" si="46"/>
        <v>0</v>
      </c>
      <c r="S739" s="293">
        <f t="shared" si="47"/>
        <v>0</v>
      </c>
      <c r="U739" s="356"/>
      <c r="V739" s="356"/>
      <c r="W739" s="356"/>
      <c r="X739" s="356"/>
    </row>
    <row r="740" spans="4:24" x14ac:dyDescent="0.3">
      <c r="D740" s="356" t="s">
        <v>112</v>
      </c>
      <c r="E740" s="356"/>
      <c r="F740" s="356"/>
      <c r="G740" s="356"/>
      <c r="I740" s="48">
        <v>0</v>
      </c>
      <c r="K740" s="48">
        <v>0</v>
      </c>
      <c r="M740" s="40">
        <f t="shared" si="44"/>
        <v>0</v>
      </c>
      <c r="O740" s="40">
        <f t="shared" si="45"/>
        <v>0</v>
      </c>
      <c r="Q740" s="293">
        <f t="shared" si="46"/>
        <v>0</v>
      </c>
      <c r="S740" s="293">
        <f t="shared" si="47"/>
        <v>0</v>
      </c>
      <c r="U740" s="356"/>
      <c r="V740" s="356"/>
      <c r="W740" s="356"/>
      <c r="X740" s="356"/>
    </row>
    <row r="741" spans="4:24" x14ac:dyDescent="0.3">
      <c r="D741" s="356" t="s">
        <v>113</v>
      </c>
      <c r="E741" s="356"/>
      <c r="F741" s="356"/>
      <c r="G741" s="356"/>
      <c r="I741" s="48">
        <v>0</v>
      </c>
      <c r="K741" s="48">
        <v>0</v>
      </c>
      <c r="M741" s="40">
        <f t="shared" si="44"/>
        <v>0</v>
      </c>
      <c r="O741" s="40">
        <f t="shared" si="45"/>
        <v>0</v>
      </c>
      <c r="Q741" s="293">
        <f t="shared" si="46"/>
        <v>0</v>
      </c>
      <c r="S741" s="293">
        <f t="shared" si="47"/>
        <v>0</v>
      </c>
      <c r="U741" s="356"/>
      <c r="V741" s="356"/>
      <c r="W741" s="356"/>
      <c r="X741" s="356"/>
    </row>
    <row r="742" spans="4:24" x14ac:dyDescent="0.3">
      <c r="D742" s="356" t="s">
        <v>114</v>
      </c>
      <c r="E742" s="356"/>
      <c r="F742" s="356"/>
      <c r="G742" s="356"/>
      <c r="I742" s="48">
        <v>0</v>
      </c>
      <c r="K742" s="48">
        <v>0</v>
      </c>
      <c r="M742" s="40">
        <f t="shared" si="44"/>
        <v>0</v>
      </c>
      <c r="O742" s="40">
        <f t="shared" si="45"/>
        <v>0</v>
      </c>
      <c r="Q742" s="293">
        <f t="shared" si="46"/>
        <v>0</v>
      </c>
      <c r="S742" s="293">
        <f t="shared" si="47"/>
        <v>0</v>
      </c>
      <c r="U742" s="356"/>
      <c r="V742" s="356"/>
      <c r="W742" s="356"/>
      <c r="X742" s="356"/>
    </row>
    <row r="743" spans="4:24" x14ac:dyDescent="0.3">
      <c r="D743" s="356" t="s">
        <v>115</v>
      </c>
      <c r="E743" s="356"/>
      <c r="F743" s="356"/>
      <c r="G743" s="356"/>
      <c r="I743" s="48">
        <v>0</v>
      </c>
      <c r="K743" s="48">
        <v>0</v>
      </c>
      <c r="M743" s="40">
        <f t="shared" si="44"/>
        <v>0</v>
      </c>
      <c r="O743" s="40">
        <f t="shared" si="45"/>
        <v>0</v>
      </c>
      <c r="Q743" s="293">
        <f t="shared" si="46"/>
        <v>0</v>
      </c>
      <c r="S743" s="293">
        <f t="shared" si="47"/>
        <v>0</v>
      </c>
      <c r="U743" s="356"/>
      <c r="V743" s="356"/>
      <c r="W743" s="356"/>
      <c r="X743" s="356"/>
    </row>
    <row r="744" spans="4:24" x14ac:dyDescent="0.3">
      <c r="D744" s="356" t="s">
        <v>116</v>
      </c>
      <c r="E744" s="356"/>
      <c r="F744" s="356"/>
      <c r="G744" s="356"/>
      <c r="I744" s="48">
        <v>0</v>
      </c>
      <c r="K744" s="48">
        <v>0</v>
      </c>
      <c r="M744" s="40">
        <f t="shared" si="44"/>
        <v>0</v>
      </c>
      <c r="O744" s="40">
        <f t="shared" si="45"/>
        <v>0</v>
      </c>
      <c r="Q744" s="293">
        <f t="shared" si="46"/>
        <v>0</v>
      </c>
      <c r="S744" s="293">
        <f t="shared" si="47"/>
        <v>0</v>
      </c>
      <c r="U744" s="356"/>
      <c r="V744" s="356"/>
      <c r="W744" s="356"/>
      <c r="X744" s="356"/>
    </row>
    <row r="745" spans="4:24" s="277" customFormat="1" x14ac:dyDescent="0.3">
      <c r="D745" s="356" t="s">
        <v>838</v>
      </c>
      <c r="E745" s="356"/>
      <c r="F745" s="356"/>
      <c r="G745" s="356"/>
      <c r="I745" s="48">
        <v>0</v>
      </c>
      <c r="K745" s="48">
        <v>0</v>
      </c>
      <c r="M745" s="279">
        <f t="shared" si="44"/>
        <v>0</v>
      </c>
      <c r="O745" s="279">
        <f t="shared" si="45"/>
        <v>0</v>
      </c>
      <c r="Q745" s="293">
        <f t="shared" si="46"/>
        <v>0</v>
      </c>
      <c r="S745" s="293">
        <f t="shared" si="47"/>
        <v>0</v>
      </c>
      <c r="U745" s="385"/>
      <c r="V745" s="385"/>
      <c r="W745" s="385"/>
      <c r="X745" s="385"/>
    </row>
    <row r="746" spans="4:24" s="277" customFormat="1" x14ac:dyDescent="0.3">
      <c r="D746" s="356" t="s">
        <v>839</v>
      </c>
      <c r="E746" s="356"/>
      <c r="F746" s="356"/>
      <c r="G746" s="356"/>
      <c r="I746" s="48">
        <v>0</v>
      </c>
      <c r="K746" s="48">
        <v>0</v>
      </c>
      <c r="M746" s="279">
        <f t="shared" si="44"/>
        <v>0</v>
      </c>
      <c r="O746" s="279">
        <f t="shared" si="45"/>
        <v>0</v>
      </c>
      <c r="Q746" s="293">
        <f t="shared" si="46"/>
        <v>0</v>
      </c>
      <c r="S746" s="293">
        <f t="shared" si="47"/>
        <v>0</v>
      </c>
      <c r="U746" s="385"/>
      <c r="V746" s="385"/>
      <c r="W746" s="385"/>
      <c r="X746" s="385"/>
    </row>
    <row r="747" spans="4:24" s="277" customFormat="1" x14ac:dyDescent="0.3">
      <c r="D747" s="356" t="s">
        <v>840</v>
      </c>
      <c r="E747" s="356"/>
      <c r="F747" s="356"/>
      <c r="G747" s="356"/>
      <c r="I747" s="48">
        <v>0</v>
      </c>
      <c r="K747" s="48">
        <v>0</v>
      </c>
      <c r="M747" s="279">
        <f t="shared" si="44"/>
        <v>0</v>
      </c>
      <c r="O747" s="279">
        <f t="shared" si="45"/>
        <v>0</v>
      </c>
      <c r="Q747" s="293">
        <f t="shared" si="46"/>
        <v>0</v>
      </c>
      <c r="S747" s="293">
        <f t="shared" si="47"/>
        <v>0</v>
      </c>
      <c r="U747" s="385"/>
      <c r="V747" s="385"/>
      <c r="W747" s="385"/>
      <c r="X747" s="385"/>
    </row>
    <row r="748" spans="4:24" s="277" customFormat="1" x14ac:dyDescent="0.3">
      <c r="D748" s="356" t="s">
        <v>841</v>
      </c>
      <c r="E748" s="356"/>
      <c r="F748" s="356"/>
      <c r="G748" s="356"/>
      <c r="I748" s="48">
        <v>0</v>
      </c>
      <c r="K748" s="48">
        <v>0</v>
      </c>
      <c r="M748" s="279">
        <f t="shared" si="44"/>
        <v>0</v>
      </c>
      <c r="O748" s="279">
        <f t="shared" si="45"/>
        <v>0</v>
      </c>
      <c r="Q748" s="293">
        <f t="shared" si="46"/>
        <v>0</v>
      </c>
      <c r="S748" s="293">
        <f t="shared" si="47"/>
        <v>0</v>
      </c>
      <c r="U748" s="385"/>
      <c r="V748" s="385"/>
      <c r="W748" s="385"/>
      <c r="X748" s="385"/>
    </row>
    <row r="749" spans="4:24" s="277" customFormat="1" x14ac:dyDescent="0.3">
      <c r="D749" s="356" t="s">
        <v>842</v>
      </c>
      <c r="E749" s="356"/>
      <c r="F749" s="356"/>
      <c r="G749" s="356"/>
      <c r="I749" s="48">
        <v>0</v>
      </c>
      <c r="K749" s="48">
        <v>0</v>
      </c>
      <c r="M749" s="279">
        <f t="shared" si="44"/>
        <v>0</v>
      </c>
      <c r="O749" s="279">
        <f t="shared" si="45"/>
        <v>0</v>
      </c>
      <c r="Q749" s="293">
        <f t="shared" si="46"/>
        <v>0</v>
      </c>
      <c r="S749" s="293">
        <f t="shared" si="47"/>
        <v>0</v>
      </c>
      <c r="U749" s="385"/>
      <c r="V749" s="385"/>
      <c r="W749" s="385"/>
      <c r="X749" s="385"/>
    </row>
    <row r="750" spans="4:24" s="277" customFormat="1" x14ac:dyDescent="0.3">
      <c r="D750" s="356" t="s">
        <v>843</v>
      </c>
      <c r="E750" s="356"/>
      <c r="F750" s="356"/>
      <c r="G750" s="356"/>
      <c r="I750" s="48">
        <v>0</v>
      </c>
      <c r="K750" s="48">
        <v>0</v>
      </c>
      <c r="M750" s="279">
        <f t="shared" si="44"/>
        <v>0</v>
      </c>
      <c r="O750" s="279">
        <f t="shared" si="45"/>
        <v>0</v>
      </c>
      <c r="Q750" s="293">
        <f t="shared" si="46"/>
        <v>0</v>
      </c>
      <c r="S750" s="293">
        <f t="shared" si="47"/>
        <v>0</v>
      </c>
      <c r="U750" s="385"/>
      <c r="V750" s="385"/>
      <c r="W750" s="385"/>
      <c r="X750" s="385"/>
    </row>
    <row r="751" spans="4:24" s="277" customFormat="1" x14ac:dyDescent="0.3">
      <c r="D751" s="356" t="s">
        <v>844</v>
      </c>
      <c r="E751" s="356"/>
      <c r="F751" s="356"/>
      <c r="G751" s="356"/>
      <c r="I751" s="48">
        <v>0</v>
      </c>
      <c r="K751" s="48">
        <v>0</v>
      </c>
      <c r="M751" s="279">
        <f t="shared" si="44"/>
        <v>0</v>
      </c>
      <c r="O751" s="279">
        <f t="shared" si="45"/>
        <v>0</v>
      </c>
      <c r="Q751" s="293">
        <f t="shared" si="46"/>
        <v>0</v>
      </c>
      <c r="S751" s="293">
        <f t="shared" si="47"/>
        <v>0</v>
      </c>
      <c r="U751" s="385"/>
      <c r="V751" s="385"/>
      <c r="W751" s="385"/>
      <c r="X751" s="385"/>
    </row>
    <row r="752" spans="4:24" s="277" customFormat="1" x14ac:dyDescent="0.3">
      <c r="D752" s="356" t="s">
        <v>845</v>
      </c>
      <c r="E752" s="356"/>
      <c r="F752" s="356"/>
      <c r="G752" s="356"/>
      <c r="I752" s="48">
        <v>0</v>
      </c>
      <c r="K752" s="48">
        <v>0</v>
      </c>
      <c r="M752" s="279">
        <f t="shared" si="44"/>
        <v>0</v>
      </c>
      <c r="O752" s="279">
        <f t="shared" si="45"/>
        <v>0</v>
      </c>
      <c r="Q752" s="293">
        <f t="shared" si="46"/>
        <v>0</v>
      </c>
      <c r="S752" s="293">
        <f t="shared" si="47"/>
        <v>0</v>
      </c>
      <c r="U752" s="385"/>
      <c r="V752" s="385"/>
      <c r="W752" s="385"/>
      <c r="X752" s="385"/>
    </row>
    <row r="753" spans="3:24" s="277" customFormat="1" x14ac:dyDescent="0.3">
      <c r="D753" s="356" t="s">
        <v>850</v>
      </c>
      <c r="E753" s="356"/>
      <c r="F753" s="356"/>
      <c r="G753" s="356"/>
      <c r="I753" s="48">
        <v>0</v>
      </c>
      <c r="K753" s="48">
        <v>0</v>
      </c>
      <c r="M753" s="279">
        <f t="shared" si="44"/>
        <v>0</v>
      </c>
      <c r="O753" s="279">
        <f t="shared" si="45"/>
        <v>0</v>
      </c>
      <c r="Q753" s="293">
        <f t="shared" si="46"/>
        <v>0</v>
      </c>
      <c r="S753" s="293">
        <f t="shared" si="47"/>
        <v>0</v>
      </c>
      <c r="U753" s="385"/>
      <c r="V753" s="385"/>
      <c r="W753" s="385"/>
      <c r="X753" s="385"/>
    </row>
    <row r="754" spans="3:24" s="277" customFormat="1" x14ac:dyDescent="0.3">
      <c r="D754" s="356" t="s">
        <v>851</v>
      </c>
      <c r="E754" s="356"/>
      <c r="F754" s="356"/>
      <c r="G754" s="356"/>
      <c r="I754" s="48">
        <v>0</v>
      </c>
      <c r="K754" s="48">
        <v>0</v>
      </c>
      <c r="M754" s="279">
        <f t="shared" si="44"/>
        <v>0</v>
      </c>
      <c r="O754" s="279">
        <f t="shared" si="45"/>
        <v>0</v>
      </c>
      <c r="Q754" s="293">
        <f t="shared" si="46"/>
        <v>0</v>
      </c>
      <c r="S754" s="293">
        <f t="shared" si="47"/>
        <v>0</v>
      </c>
      <c r="U754" s="385"/>
      <c r="V754" s="385"/>
      <c r="W754" s="385"/>
      <c r="X754" s="385"/>
    </row>
    <row r="755" spans="3:24" s="277" customFormat="1" x14ac:dyDescent="0.3">
      <c r="D755" s="356" t="s">
        <v>852</v>
      </c>
      <c r="E755" s="356"/>
      <c r="F755" s="356"/>
      <c r="G755" s="356"/>
      <c r="I755" s="48">
        <v>0</v>
      </c>
      <c r="K755" s="48">
        <v>0</v>
      </c>
      <c r="M755" s="279">
        <f t="shared" si="44"/>
        <v>0</v>
      </c>
      <c r="O755" s="279">
        <f t="shared" si="45"/>
        <v>0</v>
      </c>
      <c r="Q755" s="293">
        <f t="shared" si="46"/>
        <v>0</v>
      </c>
      <c r="S755" s="293">
        <f t="shared" si="47"/>
        <v>0</v>
      </c>
      <c r="U755" s="385"/>
      <c r="V755" s="385"/>
      <c r="W755" s="385"/>
      <c r="X755" s="385"/>
    </row>
    <row r="756" spans="3:24" s="277" customFormat="1" x14ac:dyDescent="0.3">
      <c r="D756" s="356" t="s">
        <v>853</v>
      </c>
      <c r="E756" s="356"/>
      <c r="F756" s="356"/>
      <c r="G756" s="356"/>
      <c r="I756" s="48">
        <v>0</v>
      </c>
      <c r="K756" s="48">
        <v>0</v>
      </c>
      <c r="M756" s="279">
        <f t="shared" si="44"/>
        <v>0</v>
      </c>
      <c r="O756" s="279">
        <f t="shared" si="45"/>
        <v>0</v>
      </c>
      <c r="Q756" s="293">
        <f t="shared" si="46"/>
        <v>0</v>
      </c>
      <c r="S756" s="293">
        <f t="shared" si="47"/>
        <v>0</v>
      </c>
      <c r="U756" s="385"/>
      <c r="V756" s="385"/>
      <c r="W756" s="385"/>
      <c r="X756" s="385"/>
    </row>
    <row r="757" spans="3:24" s="277" customFormat="1" x14ac:dyDescent="0.3">
      <c r="D757" s="356" t="s">
        <v>972</v>
      </c>
      <c r="E757" s="356"/>
      <c r="F757" s="356"/>
      <c r="G757" s="356"/>
      <c r="I757" s="48">
        <v>0</v>
      </c>
      <c r="K757" s="48">
        <v>0</v>
      </c>
      <c r="M757" s="279">
        <f t="shared" si="44"/>
        <v>0</v>
      </c>
      <c r="O757" s="279">
        <f t="shared" si="45"/>
        <v>0</v>
      </c>
      <c r="Q757" s="293">
        <f t="shared" si="46"/>
        <v>0</v>
      </c>
      <c r="S757" s="293">
        <f t="shared" si="47"/>
        <v>0</v>
      </c>
      <c r="U757" s="385"/>
      <c r="V757" s="385"/>
      <c r="W757" s="385"/>
      <c r="X757" s="385"/>
    </row>
    <row r="758" spans="3:24" s="277" customFormat="1" x14ac:dyDescent="0.3">
      <c r="D758" s="356" t="s">
        <v>977</v>
      </c>
      <c r="E758" s="356"/>
      <c r="F758" s="356"/>
      <c r="G758" s="356"/>
      <c r="I758" s="48">
        <v>0</v>
      </c>
      <c r="K758" s="48">
        <v>0</v>
      </c>
      <c r="M758" s="279">
        <f t="shared" si="44"/>
        <v>0</v>
      </c>
      <c r="O758" s="279">
        <f t="shared" si="45"/>
        <v>0</v>
      </c>
      <c r="Q758" s="293">
        <f t="shared" si="46"/>
        <v>0</v>
      </c>
      <c r="S758" s="293">
        <f t="shared" si="47"/>
        <v>0</v>
      </c>
      <c r="U758" s="385"/>
      <c r="V758" s="385"/>
      <c r="W758" s="385"/>
      <c r="X758" s="385"/>
    </row>
    <row r="759" spans="3:24" s="277" customFormat="1" x14ac:dyDescent="0.3">
      <c r="D759" s="356" t="s">
        <v>978</v>
      </c>
      <c r="E759" s="356"/>
      <c r="F759" s="356"/>
      <c r="G759" s="356"/>
      <c r="I759" s="48">
        <v>0</v>
      </c>
      <c r="K759" s="48">
        <v>0</v>
      </c>
      <c r="M759" s="279">
        <f t="shared" si="44"/>
        <v>0</v>
      </c>
      <c r="O759" s="279">
        <f t="shared" si="45"/>
        <v>0</v>
      </c>
      <c r="Q759" s="293">
        <f t="shared" si="46"/>
        <v>0</v>
      </c>
      <c r="S759" s="293">
        <f t="shared" si="47"/>
        <v>0</v>
      </c>
      <c r="U759" s="385"/>
      <c r="V759" s="385"/>
      <c r="W759" s="385"/>
      <c r="X759" s="385"/>
    </row>
    <row r="760" spans="3:24" s="277" customFormat="1" x14ac:dyDescent="0.3">
      <c r="D760" s="356" t="s">
        <v>979</v>
      </c>
      <c r="E760" s="356"/>
      <c r="F760" s="356"/>
      <c r="G760" s="356"/>
      <c r="I760" s="48">
        <v>0</v>
      </c>
      <c r="K760" s="48">
        <v>0</v>
      </c>
      <c r="M760" s="279">
        <f t="shared" si="44"/>
        <v>0</v>
      </c>
      <c r="O760" s="279">
        <f t="shared" si="45"/>
        <v>0</v>
      </c>
      <c r="Q760" s="293">
        <f t="shared" si="46"/>
        <v>0</v>
      </c>
      <c r="S760" s="293">
        <f t="shared" si="47"/>
        <v>0</v>
      </c>
      <c r="U760" s="385"/>
      <c r="V760" s="385"/>
      <c r="W760" s="385"/>
      <c r="X760" s="385"/>
    </row>
    <row r="761" spans="3:24" s="277" customFormat="1" x14ac:dyDescent="0.3">
      <c r="D761" s="356" t="s">
        <v>980</v>
      </c>
      <c r="E761" s="356"/>
      <c r="F761" s="356"/>
      <c r="G761" s="356"/>
      <c r="I761" s="48">
        <v>0</v>
      </c>
      <c r="K761" s="48">
        <v>0</v>
      </c>
      <c r="M761" s="279">
        <f t="shared" si="44"/>
        <v>0</v>
      </c>
      <c r="O761" s="279">
        <f t="shared" si="45"/>
        <v>0</v>
      </c>
      <c r="Q761" s="293">
        <f t="shared" si="46"/>
        <v>0</v>
      </c>
      <c r="S761" s="293">
        <f t="shared" si="47"/>
        <v>0</v>
      </c>
      <c r="U761" s="385"/>
      <c r="V761" s="385"/>
      <c r="W761" s="385"/>
      <c r="X761" s="385"/>
    </row>
    <row r="762" spans="3:24" ht="14.4" x14ac:dyDescent="0.3">
      <c r="D762" s="420" t="s">
        <v>82</v>
      </c>
      <c r="E762" s="427"/>
      <c r="F762" s="427"/>
      <c r="G762" s="427"/>
      <c r="I762" s="43"/>
      <c r="K762" s="43"/>
      <c r="M762" s="43"/>
      <c r="O762" s="43"/>
      <c r="Q762" s="294">
        <f>SUM(Q737:Q761)</f>
        <v>0</v>
      </c>
      <c r="S762" s="294">
        <f>SUM(S737:S761)</f>
        <v>0</v>
      </c>
    </row>
    <row r="766" spans="3:24" ht="15.6" x14ac:dyDescent="0.3">
      <c r="C766" s="92" t="s">
        <v>84</v>
      </c>
    </row>
    <row r="767" spans="3:24" ht="27.6" x14ac:dyDescent="0.3">
      <c r="D767" s="90" t="s">
        <v>102</v>
      </c>
      <c r="I767" s="91" t="s">
        <v>87</v>
      </c>
      <c r="K767" s="91" t="s">
        <v>432</v>
      </c>
      <c r="M767" s="42" t="s">
        <v>107</v>
      </c>
      <c r="O767" s="42" t="s">
        <v>108</v>
      </c>
      <c r="Q767" s="42" t="s">
        <v>105</v>
      </c>
      <c r="S767" s="42" t="s">
        <v>106</v>
      </c>
      <c r="U767" s="350" t="s">
        <v>185</v>
      </c>
      <c r="V767" s="426"/>
      <c r="W767" s="426"/>
      <c r="X767" s="426"/>
    </row>
    <row r="768" spans="3:24" x14ac:dyDescent="0.3">
      <c r="D768" s="356" t="s">
        <v>892</v>
      </c>
      <c r="E768" s="356"/>
      <c r="F768" s="356"/>
      <c r="G768" s="356"/>
      <c r="I768" s="48">
        <v>0</v>
      </c>
      <c r="K768" s="48">
        <v>0</v>
      </c>
      <c r="M768" s="40">
        <f t="shared" ref="M768:M792" si="48">IFERROR(IF(DD_ACT_22_Meet1_Curr=1,INDEX($M$940:$M$974,MATCH(D768,LU_ACT_22_Supplies,0)),INDEX($Q$940:$Q$974,MATCH(D768,LU_ACT_22_Supplies,0))),0)</f>
        <v>0</v>
      </c>
      <c r="O768" s="40">
        <f t="shared" ref="O768:O792" si="49">IFERROR(IF(DD_ACT_22_Meet1_Curr=1,INDEX($O$940:$O$974,MATCH(D768,LU_ACT_22_Supplies,0)),INDEX($S$940:$S$974,MATCH(D768,LU_ACT_22_Supplies,0))),0)</f>
        <v>0</v>
      </c>
      <c r="Q768" s="295">
        <f t="shared" ref="Q768:Q792" si="50">I768*K768*M768</f>
        <v>0</v>
      </c>
      <c r="S768" s="293">
        <f t="shared" ref="S768:S792" si="51">I768*K768*O768</f>
        <v>0</v>
      </c>
      <c r="U768" s="356"/>
      <c r="V768" s="356"/>
      <c r="W768" s="356"/>
      <c r="X768" s="356"/>
    </row>
    <row r="769" spans="4:24" x14ac:dyDescent="0.3">
      <c r="D769" s="356" t="s">
        <v>893</v>
      </c>
      <c r="E769" s="356"/>
      <c r="F769" s="356"/>
      <c r="G769" s="356"/>
      <c r="I769" s="48">
        <v>0</v>
      </c>
      <c r="K769" s="48">
        <v>0</v>
      </c>
      <c r="M769" s="40">
        <f t="shared" si="48"/>
        <v>0</v>
      </c>
      <c r="O769" s="40">
        <f t="shared" si="49"/>
        <v>0</v>
      </c>
      <c r="Q769" s="295">
        <f t="shared" si="50"/>
        <v>0</v>
      </c>
      <c r="S769" s="293">
        <f t="shared" si="51"/>
        <v>0</v>
      </c>
      <c r="U769" s="356"/>
      <c r="V769" s="356"/>
      <c r="W769" s="356"/>
      <c r="X769" s="356"/>
    </row>
    <row r="770" spans="4:24" x14ac:dyDescent="0.3">
      <c r="D770" s="356" t="s">
        <v>854</v>
      </c>
      <c r="E770" s="356"/>
      <c r="F770" s="356"/>
      <c r="G770" s="356"/>
      <c r="I770" s="48">
        <v>0</v>
      </c>
      <c r="K770" s="48">
        <v>0</v>
      </c>
      <c r="M770" s="40">
        <f t="shared" si="48"/>
        <v>0</v>
      </c>
      <c r="O770" s="40">
        <f t="shared" si="49"/>
        <v>0</v>
      </c>
      <c r="Q770" s="295">
        <f t="shared" si="50"/>
        <v>0</v>
      </c>
      <c r="S770" s="293">
        <f t="shared" si="51"/>
        <v>0</v>
      </c>
      <c r="U770" s="356"/>
      <c r="V770" s="356"/>
      <c r="W770" s="356"/>
      <c r="X770" s="356"/>
    </row>
    <row r="771" spans="4:24" x14ac:dyDescent="0.3">
      <c r="D771" s="356" t="s">
        <v>855</v>
      </c>
      <c r="E771" s="356"/>
      <c r="F771" s="356"/>
      <c r="G771" s="356"/>
      <c r="I771" s="48">
        <v>0</v>
      </c>
      <c r="K771" s="48">
        <v>0</v>
      </c>
      <c r="M771" s="40">
        <f t="shared" si="48"/>
        <v>0</v>
      </c>
      <c r="O771" s="40">
        <f t="shared" si="49"/>
        <v>0</v>
      </c>
      <c r="Q771" s="295">
        <f t="shared" si="50"/>
        <v>0</v>
      </c>
      <c r="S771" s="293">
        <f t="shared" si="51"/>
        <v>0</v>
      </c>
      <c r="U771" s="356"/>
      <c r="V771" s="356"/>
      <c r="W771" s="356"/>
      <c r="X771" s="356"/>
    </row>
    <row r="772" spans="4:24" s="277" customFormat="1" x14ac:dyDescent="0.3">
      <c r="D772" s="356" t="s">
        <v>856</v>
      </c>
      <c r="E772" s="356"/>
      <c r="F772" s="356"/>
      <c r="G772" s="356"/>
      <c r="I772" s="48">
        <v>0</v>
      </c>
      <c r="K772" s="48">
        <v>0</v>
      </c>
      <c r="M772" s="279">
        <f t="shared" si="48"/>
        <v>0</v>
      </c>
      <c r="O772" s="279">
        <f t="shared" si="49"/>
        <v>0</v>
      </c>
      <c r="Q772" s="295">
        <f t="shared" si="50"/>
        <v>0</v>
      </c>
      <c r="S772" s="293">
        <f t="shared" si="51"/>
        <v>0</v>
      </c>
      <c r="U772" s="385"/>
      <c r="V772" s="385"/>
      <c r="W772" s="385"/>
      <c r="X772" s="385"/>
    </row>
    <row r="773" spans="4:24" s="277" customFormat="1" x14ac:dyDescent="0.3">
      <c r="D773" s="356" t="s">
        <v>857</v>
      </c>
      <c r="E773" s="356"/>
      <c r="F773" s="356"/>
      <c r="G773" s="356"/>
      <c r="I773" s="48">
        <v>0</v>
      </c>
      <c r="K773" s="48">
        <v>0</v>
      </c>
      <c r="M773" s="279">
        <f t="shared" si="48"/>
        <v>0</v>
      </c>
      <c r="O773" s="279">
        <f t="shared" si="49"/>
        <v>0</v>
      </c>
      <c r="Q773" s="295">
        <f t="shared" si="50"/>
        <v>0</v>
      </c>
      <c r="S773" s="293">
        <f t="shared" si="51"/>
        <v>0</v>
      </c>
      <c r="U773" s="385"/>
      <c r="V773" s="385"/>
      <c r="W773" s="385"/>
      <c r="X773" s="385"/>
    </row>
    <row r="774" spans="4:24" s="277" customFormat="1" x14ac:dyDescent="0.3">
      <c r="D774" s="356" t="s">
        <v>858</v>
      </c>
      <c r="E774" s="356"/>
      <c r="F774" s="356"/>
      <c r="G774" s="356"/>
      <c r="I774" s="48">
        <v>0</v>
      </c>
      <c r="K774" s="48">
        <v>0</v>
      </c>
      <c r="M774" s="279">
        <f t="shared" si="48"/>
        <v>0</v>
      </c>
      <c r="O774" s="279">
        <f t="shared" si="49"/>
        <v>0</v>
      </c>
      <c r="Q774" s="295">
        <f t="shared" si="50"/>
        <v>0</v>
      </c>
      <c r="S774" s="293">
        <f t="shared" si="51"/>
        <v>0</v>
      </c>
      <c r="U774" s="385"/>
      <c r="V774" s="385"/>
      <c r="W774" s="385"/>
      <c r="X774" s="385"/>
    </row>
    <row r="775" spans="4:24" s="277" customFormat="1" x14ac:dyDescent="0.3">
      <c r="D775" s="356" t="s">
        <v>859</v>
      </c>
      <c r="E775" s="356"/>
      <c r="F775" s="356"/>
      <c r="G775" s="356"/>
      <c r="I775" s="48">
        <v>0</v>
      </c>
      <c r="K775" s="48">
        <v>0</v>
      </c>
      <c r="M775" s="279">
        <f t="shared" si="48"/>
        <v>0</v>
      </c>
      <c r="O775" s="279">
        <f t="shared" si="49"/>
        <v>0</v>
      </c>
      <c r="Q775" s="295">
        <f t="shared" si="50"/>
        <v>0</v>
      </c>
      <c r="S775" s="293">
        <f t="shared" si="51"/>
        <v>0</v>
      </c>
      <c r="U775" s="385"/>
      <c r="V775" s="385"/>
      <c r="W775" s="385"/>
      <c r="X775" s="385"/>
    </row>
    <row r="776" spans="4:24" s="277" customFormat="1" x14ac:dyDescent="0.3">
      <c r="D776" s="356" t="s">
        <v>860</v>
      </c>
      <c r="E776" s="356"/>
      <c r="F776" s="356"/>
      <c r="G776" s="356"/>
      <c r="I776" s="48">
        <v>0</v>
      </c>
      <c r="K776" s="48">
        <v>0</v>
      </c>
      <c r="M776" s="279">
        <f t="shared" si="48"/>
        <v>0</v>
      </c>
      <c r="O776" s="279">
        <f t="shared" si="49"/>
        <v>0</v>
      </c>
      <c r="Q776" s="295">
        <f t="shared" si="50"/>
        <v>0</v>
      </c>
      <c r="S776" s="293">
        <f t="shared" si="51"/>
        <v>0</v>
      </c>
      <c r="U776" s="385"/>
      <c r="V776" s="385"/>
      <c r="W776" s="385"/>
      <c r="X776" s="385"/>
    </row>
    <row r="777" spans="4:24" s="277" customFormat="1" x14ac:dyDescent="0.3">
      <c r="D777" s="356" t="s">
        <v>861</v>
      </c>
      <c r="E777" s="356"/>
      <c r="F777" s="356"/>
      <c r="G777" s="356"/>
      <c r="I777" s="48">
        <v>0</v>
      </c>
      <c r="K777" s="48">
        <v>0</v>
      </c>
      <c r="M777" s="279">
        <f t="shared" si="48"/>
        <v>0</v>
      </c>
      <c r="O777" s="279">
        <f t="shared" si="49"/>
        <v>0</v>
      </c>
      <c r="Q777" s="295">
        <f t="shared" si="50"/>
        <v>0</v>
      </c>
      <c r="S777" s="293">
        <f t="shared" si="51"/>
        <v>0</v>
      </c>
      <c r="U777" s="385"/>
      <c r="V777" s="385"/>
      <c r="W777" s="385"/>
      <c r="X777" s="385"/>
    </row>
    <row r="778" spans="4:24" s="277" customFormat="1" x14ac:dyDescent="0.3">
      <c r="D778" s="356" t="s">
        <v>862</v>
      </c>
      <c r="E778" s="356"/>
      <c r="F778" s="356"/>
      <c r="G778" s="356"/>
      <c r="I778" s="48">
        <v>0</v>
      </c>
      <c r="K778" s="48">
        <v>0</v>
      </c>
      <c r="M778" s="279">
        <f t="shared" si="48"/>
        <v>0</v>
      </c>
      <c r="O778" s="279">
        <f t="shared" si="49"/>
        <v>0</v>
      </c>
      <c r="Q778" s="295">
        <f t="shared" si="50"/>
        <v>0</v>
      </c>
      <c r="S778" s="293">
        <f t="shared" si="51"/>
        <v>0</v>
      </c>
      <c r="U778" s="385"/>
      <c r="V778" s="385"/>
      <c r="W778" s="385"/>
      <c r="X778" s="385"/>
    </row>
    <row r="779" spans="4:24" s="277" customFormat="1" x14ac:dyDescent="0.3">
      <c r="D779" s="356" t="s">
        <v>863</v>
      </c>
      <c r="E779" s="356"/>
      <c r="F779" s="356"/>
      <c r="G779" s="356"/>
      <c r="I779" s="48">
        <v>0</v>
      </c>
      <c r="K779" s="48">
        <v>0</v>
      </c>
      <c r="M779" s="279">
        <f t="shared" si="48"/>
        <v>0</v>
      </c>
      <c r="O779" s="279">
        <f t="shared" si="49"/>
        <v>0</v>
      </c>
      <c r="Q779" s="295">
        <f t="shared" si="50"/>
        <v>0</v>
      </c>
      <c r="S779" s="293">
        <f t="shared" si="51"/>
        <v>0</v>
      </c>
      <c r="U779" s="385"/>
      <c r="V779" s="385"/>
      <c r="W779" s="385"/>
      <c r="X779" s="385"/>
    </row>
    <row r="780" spans="4:24" s="277" customFormat="1" x14ac:dyDescent="0.3">
      <c r="D780" s="356" t="s">
        <v>864</v>
      </c>
      <c r="E780" s="356"/>
      <c r="F780" s="356"/>
      <c r="G780" s="356"/>
      <c r="I780" s="48">
        <v>0</v>
      </c>
      <c r="K780" s="48">
        <v>0</v>
      </c>
      <c r="M780" s="279">
        <f t="shared" si="48"/>
        <v>0</v>
      </c>
      <c r="O780" s="279">
        <f t="shared" si="49"/>
        <v>0</v>
      </c>
      <c r="Q780" s="295">
        <f t="shared" si="50"/>
        <v>0</v>
      </c>
      <c r="S780" s="293">
        <f t="shared" si="51"/>
        <v>0</v>
      </c>
      <c r="U780" s="385"/>
      <c r="V780" s="385"/>
      <c r="W780" s="385"/>
      <c r="X780" s="385"/>
    </row>
    <row r="781" spans="4:24" s="277" customFormat="1" x14ac:dyDescent="0.3">
      <c r="D781" s="356" t="s">
        <v>865</v>
      </c>
      <c r="E781" s="356"/>
      <c r="F781" s="356"/>
      <c r="G781" s="356"/>
      <c r="I781" s="48">
        <v>0</v>
      </c>
      <c r="K781" s="48">
        <v>0</v>
      </c>
      <c r="M781" s="279">
        <f t="shared" si="48"/>
        <v>0</v>
      </c>
      <c r="O781" s="279">
        <f t="shared" si="49"/>
        <v>0</v>
      </c>
      <c r="Q781" s="295">
        <f t="shared" si="50"/>
        <v>0</v>
      </c>
      <c r="S781" s="293">
        <f t="shared" si="51"/>
        <v>0</v>
      </c>
      <c r="U781" s="385"/>
      <c r="V781" s="385"/>
      <c r="W781" s="385"/>
      <c r="X781" s="385"/>
    </row>
    <row r="782" spans="4:24" s="277" customFormat="1" x14ac:dyDescent="0.3">
      <c r="D782" s="356" t="s">
        <v>866</v>
      </c>
      <c r="E782" s="356"/>
      <c r="F782" s="356"/>
      <c r="G782" s="356"/>
      <c r="I782" s="48">
        <v>0</v>
      </c>
      <c r="K782" s="48">
        <v>0</v>
      </c>
      <c r="M782" s="279">
        <f t="shared" si="48"/>
        <v>0</v>
      </c>
      <c r="O782" s="279">
        <f t="shared" si="49"/>
        <v>0</v>
      </c>
      <c r="Q782" s="295">
        <f t="shared" si="50"/>
        <v>0</v>
      </c>
      <c r="S782" s="293">
        <f t="shared" si="51"/>
        <v>0</v>
      </c>
      <c r="U782" s="385"/>
      <c r="V782" s="385"/>
      <c r="W782" s="385"/>
      <c r="X782" s="385"/>
    </row>
    <row r="783" spans="4:24" s="277" customFormat="1" x14ac:dyDescent="0.3">
      <c r="D783" s="356" t="s">
        <v>867</v>
      </c>
      <c r="E783" s="356"/>
      <c r="F783" s="356"/>
      <c r="G783" s="356"/>
      <c r="I783" s="48">
        <v>0</v>
      </c>
      <c r="K783" s="48">
        <v>0</v>
      </c>
      <c r="M783" s="279">
        <f t="shared" si="48"/>
        <v>0</v>
      </c>
      <c r="O783" s="279">
        <f t="shared" si="49"/>
        <v>0</v>
      </c>
      <c r="Q783" s="295">
        <f t="shared" si="50"/>
        <v>0</v>
      </c>
      <c r="S783" s="293">
        <f t="shared" si="51"/>
        <v>0</v>
      </c>
      <c r="U783" s="385"/>
      <c r="V783" s="385"/>
      <c r="W783" s="385"/>
      <c r="X783" s="385"/>
    </row>
    <row r="784" spans="4:24" s="277" customFormat="1" x14ac:dyDescent="0.3">
      <c r="D784" s="356" t="s">
        <v>868</v>
      </c>
      <c r="E784" s="356"/>
      <c r="F784" s="356"/>
      <c r="G784" s="356"/>
      <c r="I784" s="48">
        <v>0</v>
      </c>
      <c r="K784" s="48">
        <v>0</v>
      </c>
      <c r="M784" s="279">
        <f t="shared" si="48"/>
        <v>0</v>
      </c>
      <c r="O784" s="279">
        <f t="shared" si="49"/>
        <v>0</v>
      </c>
      <c r="Q784" s="295">
        <f t="shared" si="50"/>
        <v>0</v>
      </c>
      <c r="S784" s="293">
        <f t="shared" si="51"/>
        <v>0</v>
      </c>
      <c r="U784" s="385"/>
      <c r="V784" s="385"/>
      <c r="W784" s="385"/>
      <c r="X784" s="385"/>
    </row>
    <row r="785" spans="3:24" s="277" customFormat="1" x14ac:dyDescent="0.3">
      <c r="D785" s="356" t="s">
        <v>869</v>
      </c>
      <c r="E785" s="356"/>
      <c r="F785" s="356"/>
      <c r="G785" s="356"/>
      <c r="I785" s="48">
        <v>0</v>
      </c>
      <c r="K785" s="48">
        <v>0</v>
      </c>
      <c r="M785" s="279">
        <f t="shared" si="48"/>
        <v>0</v>
      </c>
      <c r="O785" s="279">
        <f t="shared" si="49"/>
        <v>0</v>
      </c>
      <c r="Q785" s="295">
        <f t="shared" si="50"/>
        <v>0</v>
      </c>
      <c r="S785" s="293">
        <f t="shared" si="51"/>
        <v>0</v>
      </c>
      <c r="U785" s="385"/>
      <c r="V785" s="385"/>
      <c r="W785" s="385"/>
      <c r="X785" s="385"/>
    </row>
    <row r="786" spans="3:24" s="277" customFormat="1" x14ac:dyDescent="0.3">
      <c r="D786" s="356" t="s">
        <v>870</v>
      </c>
      <c r="E786" s="356"/>
      <c r="F786" s="356"/>
      <c r="G786" s="356"/>
      <c r="I786" s="48">
        <v>0</v>
      </c>
      <c r="K786" s="48">
        <v>0</v>
      </c>
      <c r="M786" s="279">
        <f t="shared" si="48"/>
        <v>0</v>
      </c>
      <c r="O786" s="279">
        <f t="shared" si="49"/>
        <v>0</v>
      </c>
      <c r="Q786" s="295">
        <f t="shared" si="50"/>
        <v>0</v>
      </c>
      <c r="S786" s="293">
        <f t="shared" si="51"/>
        <v>0</v>
      </c>
      <c r="U786" s="385"/>
      <c r="V786" s="385"/>
      <c r="W786" s="385"/>
      <c r="X786" s="385"/>
    </row>
    <row r="787" spans="3:24" s="277" customFormat="1" x14ac:dyDescent="0.3">
      <c r="D787" s="356" t="s">
        <v>871</v>
      </c>
      <c r="E787" s="356"/>
      <c r="F787" s="356"/>
      <c r="G787" s="356"/>
      <c r="I787" s="48">
        <v>0</v>
      </c>
      <c r="K787" s="48">
        <v>0</v>
      </c>
      <c r="M787" s="279">
        <f t="shared" si="48"/>
        <v>0</v>
      </c>
      <c r="O787" s="279">
        <f t="shared" si="49"/>
        <v>0</v>
      </c>
      <c r="Q787" s="295">
        <f t="shared" si="50"/>
        <v>0</v>
      </c>
      <c r="S787" s="293">
        <f t="shared" si="51"/>
        <v>0</v>
      </c>
      <c r="U787" s="385"/>
      <c r="V787" s="385"/>
      <c r="W787" s="385"/>
      <c r="X787" s="385"/>
    </row>
    <row r="788" spans="3:24" s="277" customFormat="1" x14ac:dyDescent="0.3">
      <c r="D788" s="356" t="s">
        <v>981</v>
      </c>
      <c r="E788" s="356"/>
      <c r="F788" s="356"/>
      <c r="G788" s="356"/>
      <c r="I788" s="48">
        <v>0</v>
      </c>
      <c r="K788" s="48">
        <v>0</v>
      </c>
      <c r="M788" s="279">
        <f t="shared" si="48"/>
        <v>0</v>
      </c>
      <c r="O788" s="279">
        <f t="shared" si="49"/>
        <v>0</v>
      </c>
      <c r="Q788" s="295">
        <f t="shared" si="50"/>
        <v>0</v>
      </c>
      <c r="S788" s="293">
        <f t="shared" si="51"/>
        <v>0</v>
      </c>
      <c r="U788" s="385"/>
      <c r="V788" s="385"/>
      <c r="W788" s="385"/>
      <c r="X788" s="385"/>
    </row>
    <row r="789" spans="3:24" s="277" customFormat="1" x14ac:dyDescent="0.3">
      <c r="D789" s="356" t="s">
        <v>982</v>
      </c>
      <c r="E789" s="356"/>
      <c r="F789" s="356"/>
      <c r="G789" s="356"/>
      <c r="I789" s="48">
        <v>0</v>
      </c>
      <c r="K789" s="48">
        <v>0</v>
      </c>
      <c r="M789" s="279">
        <f t="shared" si="48"/>
        <v>0</v>
      </c>
      <c r="O789" s="279">
        <f t="shared" si="49"/>
        <v>0</v>
      </c>
      <c r="Q789" s="295">
        <f t="shared" si="50"/>
        <v>0</v>
      </c>
      <c r="S789" s="293">
        <f t="shared" si="51"/>
        <v>0</v>
      </c>
      <c r="U789" s="385"/>
      <c r="V789" s="385"/>
      <c r="W789" s="385"/>
      <c r="X789" s="385"/>
    </row>
    <row r="790" spans="3:24" s="277" customFormat="1" x14ac:dyDescent="0.3">
      <c r="D790" s="356" t="s">
        <v>983</v>
      </c>
      <c r="E790" s="356"/>
      <c r="F790" s="356"/>
      <c r="G790" s="356"/>
      <c r="I790" s="48">
        <v>0</v>
      </c>
      <c r="K790" s="48">
        <v>0</v>
      </c>
      <c r="M790" s="279">
        <f t="shared" si="48"/>
        <v>0</v>
      </c>
      <c r="O790" s="279">
        <f t="shared" si="49"/>
        <v>0</v>
      </c>
      <c r="Q790" s="295">
        <f t="shared" si="50"/>
        <v>0</v>
      </c>
      <c r="S790" s="293">
        <f t="shared" si="51"/>
        <v>0</v>
      </c>
      <c r="U790" s="385"/>
      <c r="V790" s="385"/>
      <c r="W790" s="385"/>
      <c r="X790" s="385"/>
    </row>
    <row r="791" spans="3:24" s="277" customFormat="1" x14ac:dyDescent="0.3">
      <c r="D791" s="356" t="s">
        <v>984</v>
      </c>
      <c r="E791" s="356"/>
      <c r="F791" s="356"/>
      <c r="G791" s="356"/>
      <c r="I791" s="48">
        <v>0</v>
      </c>
      <c r="K791" s="48">
        <v>0</v>
      </c>
      <c r="M791" s="279">
        <f t="shared" si="48"/>
        <v>0</v>
      </c>
      <c r="O791" s="279">
        <f t="shared" si="49"/>
        <v>0</v>
      </c>
      <c r="Q791" s="295">
        <f t="shared" si="50"/>
        <v>0</v>
      </c>
      <c r="S791" s="293">
        <f t="shared" si="51"/>
        <v>0</v>
      </c>
      <c r="U791" s="385"/>
      <c r="V791" s="385"/>
      <c r="W791" s="385"/>
      <c r="X791" s="385"/>
    </row>
    <row r="792" spans="3:24" s="277" customFormat="1" x14ac:dyDescent="0.3">
      <c r="D792" s="356" t="s">
        <v>985</v>
      </c>
      <c r="E792" s="356"/>
      <c r="F792" s="356"/>
      <c r="G792" s="356"/>
      <c r="I792" s="48">
        <v>0</v>
      </c>
      <c r="K792" s="48">
        <v>0</v>
      </c>
      <c r="M792" s="279">
        <f t="shared" si="48"/>
        <v>0</v>
      </c>
      <c r="O792" s="279">
        <f t="shared" si="49"/>
        <v>0</v>
      </c>
      <c r="Q792" s="295">
        <f t="shared" si="50"/>
        <v>0</v>
      </c>
      <c r="S792" s="293">
        <f t="shared" si="51"/>
        <v>0</v>
      </c>
      <c r="U792" s="385"/>
      <c r="V792" s="385"/>
      <c r="W792" s="385"/>
      <c r="X792" s="385"/>
    </row>
    <row r="793" spans="3:24" ht="14.4" x14ac:dyDescent="0.3">
      <c r="D793" s="420" t="s">
        <v>85</v>
      </c>
      <c r="E793" s="427"/>
      <c r="F793" s="427"/>
      <c r="G793" s="427"/>
      <c r="I793" s="43"/>
      <c r="K793" s="43"/>
      <c r="M793" s="43"/>
      <c r="O793" s="43"/>
      <c r="Q793" s="296">
        <f>SUM(Q768:Q792)</f>
        <v>0</v>
      </c>
      <c r="S793" s="294">
        <f>SUM(S768:S792)</f>
        <v>0</v>
      </c>
      <c r="U793" s="43"/>
      <c r="V793" s="43"/>
      <c r="W793" s="43"/>
      <c r="X793" s="43"/>
    </row>
    <row r="795" spans="3:24" ht="27.6" x14ac:dyDescent="0.3">
      <c r="C795" s="92" t="s">
        <v>130</v>
      </c>
      <c r="Q795" s="44" t="str">
        <f>"FINANCIAL COST ("&amp;INDEX(LU_ACT_22_Meet_Curr,DD_ACT_22_Meet1_Curr)&amp;")"</f>
        <v>FINANCIAL COST (GOZ)</v>
      </c>
      <c r="S795" s="44" t="str">
        <f>"ECONOMIC COST ("&amp;INDEX(LU_ACT_22_Meet_Curr,DD_ACT_22_Meet1_Curr)&amp;")"</f>
        <v>ECONOMIC COST (GOZ)</v>
      </c>
    </row>
    <row r="796" spans="3:24" ht="14.4" x14ac:dyDescent="0.3">
      <c r="D796" s="90" t="s">
        <v>86</v>
      </c>
      <c r="I796" s="91" t="s">
        <v>186</v>
      </c>
      <c r="M796" s="91" t="s">
        <v>81</v>
      </c>
      <c r="O796" s="91" t="s">
        <v>83</v>
      </c>
      <c r="U796" s="350" t="s">
        <v>185</v>
      </c>
      <c r="V796" s="426"/>
      <c r="W796" s="426"/>
      <c r="X796" s="426"/>
    </row>
    <row r="797" spans="3:24" x14ac:dyDescent="0.3">
      <c r="D797" s="356" t="s">
        <v>70</v>
      </c>
      <c r="E797" s="356"/>
      <c r="F797" s="356"/>
      <c r="G797" s="356"/>
      <c r="I797" s="48">
        <v>0</v>
      </c>
      <c r="M797" s="40">
        <f t="shared" ref="M797:M821" si="52">IFERROR(IF(DD_ACT_22_Meet1_Curr=1,INDEX($M$977:$M$1011,MATCH(D797,LU_ACT_22_Equipment,0)),INDEX($Q$977:$Q$1011,MATCH(D797,LU_ACT_22_Equipment,0))),0)</f>
        <v>0</v>
      </c>
      <c r="O797" s="40">
        <f t="shared" ref="O797:O821" si="53">IFERROR(IF(DD_ACT_22_Meet1_Curr=1,INDEX($O$977:$O$1011,MATCH(D797,LU_ACT_22_Equipment,0)),INDEX($S$977:$S$1011,MATCH(D797,LU_ACT_22_Equipment,0))),0)</f>
        <v>0</v>
      </c>
      <c r="Q797" s="279">
        <f t="shared" ref="Q797:Q821" si="54">I797*M797</f>
        <v>0</v>
      </c>
      <c r="S797" s="279">
        <f t="shared" ref="S797:S821" si="55">I797*O797</f>
        <v>0</v>
      </c>
      <c r="U797" s="356"/>
      <c r="V797" s="356"/>
      <c r="W797" s="356"/>
      <c r="X797" s="356"/>
    </row>
    <row r="798" spans="3:24" x14ac:dyDescent="0.3">
      <c r="D798" s="356" t="s">
        <v>122</v>
      </c>
      <c r="E798" s="356"/>
      <c r="F798" s="356"/>
      <c r="G798" s="356"/>
      <c r="I798" s="48">
        <v>0</v>
      </c>
      <c r="M798" s="40">
        <f t="shared" si="52"/>
        <v>0</v>
      </c>
      <c r="O798" s="40">
        <f t="shared" si="53"/>
        <v>0</v>
      </c>
      <c r="Q798" s="279">
        <f t="shared" si="54"/>
        <v>0</v>
      </c>
      <c r="S798" s="279">
        <f t="shared" si="55"/>
        <v>0</v>
      </c>
      <c r="U798" s="356"/>
      <c r="V798" s="356"/>
      <c r="W798" s="356"/>
      <c r="X798" s="356"/>
    </row>
    <row r="799" spans="3:24" s="277" customFormat="1" x14ac:dyDescent="0.3">
      <c r="D799" s="356" t="s">
        <v>872</v>
      </c>
      <c r="E799" s="356"/>
      <c r="F799" s="356"/>
      <c r="G799" s="356"/>
      <c r="I799" s="48">
        <v>0</v>
      </c>
      <c r="M799" s="279">
        <f t="shared" si="52"/>
        <v>0</v>
      </c>
      <c r="O799" s="279">
        <f t="shared" si="53"/>
        <v>0</v>
      </c>
      <c r="Q799" s="279">
        <f t="shared" si="54"/>
        <v>0</v>
      </c>
      <c r="S799" s="279">
        <f t="shared" si="55"/>
        <v>0</v>
      </c>
      <c r="U799" s="385"/>
      <c r="V799" s="385"/>
      <c r="W799" s="385"/>
      <c r="X799" s="385"/>
    </row>
    <row r="800" spans="3:24" s="277" customFormat="1" x14ac:dyDescent="0.3">
      <c r="D800" s="356" t="s">
        <v>873</v>
      </c>
      <c r="E800" s="356"/>
      <c r="F800" s="356"/>
      <c r="G800" s="356"/>
      <c r="I800" s="48">
        <v>0</v>
      </c>
      <c r="M800" s="279">
        <f t="shared" si="52"/>
        <v>0</v>
      </c>
      <c r="O800" s="279">
        <f t="shared" si="53"/>
        <v>0</v>
      </c>
      <c r="Q800" s="279">
        <f t="shared" si="54"/>
        <v>0</v>
      </c>
      <c r="S800" s="279">
        <f t="shared" si="55"/>
        <v>0</v>
      </c>
      <c r="U800" s="385"/>
      <c r="V800" s="385"/>
      <c r="W800" s="385"/>
      <c r="X800" s="385"/>
    </row>
    <row r="801" spans="4:24" s="277" customFormat="1" x14ac:dyDescent="0.3">
      <c r="D801" s="356" t="s">
        <v>874</v>
      </c>
      <c r="E801" s="356"/>
      <c r="F801" s="356"/>
      <c r="G801" s="356"/>
      <c r="I801" s="48">
        <v>0</v>
      </c>
      <c r="M801" s="279">
        <f t="shared" si="52"/>
        <v>0</v>
      </c>
      <c r="O801" s="279">
        <f t="shared" si="53"/>
        <v>0</v>
      </c>
      <c r="Q801" s="279">
        <f t="shared" si="54"/>
        <v>0</v>
      </c>
      <c r="S801" s="279">
        <f t="shared" si="55"/>
        <v>0</v>
      </c>
      <c r="U801" s="385"/>
      <c r="V801" s="385"/>
      <c r="W801" s="385"/>
      <c r="X801" s="385"/>
    </row>
    <row r="802" spans="4:24" s="277" customFormat="1" x14ac:dyDescent="0.3">
      <c r="D802" s="356" t="s">
        <v>875</v>
      </c>
      <c r="E802" s="356"/>
      <c r="F802" s="356"/>
      <c r="G802" s="356"/>
      <c r="I802" s="48">
        <v>0</v>
      </c>
      <c r="M802" s="279">
        <f t="shared" si="52"/>
        <v>0</v>
      </c>
      <c r="O802" s="279">
        <f t="shared" si="53"/>
        <v>0</v>
      </c>
      <c r="Q802" s="279">
        <f t="shared" si="54"/>
        <v>0</v>
      </c>
      <c r="S802" s="279">
        <f t="shared" si="55"/>
        <v>0</v>
      </c>
      <c r="U802" s="385"/>
      <c r="V802" s="385"/>
      <c r="W802" s="385"/>
      <c r="X802" s="385"/>
    </row>
    <row r="803" spans="4:24" s="277" customFormat="1" x14ac:dyDescent="0.3">
      <c r="D803" s="356" t="s">
        <v>778</v>
      </c>
      <c r="E803" s="356"/>
      <c r="F803" s="356"/>
      <c r="G803" s="356"/>
      <c r="I803" s="48">
        <v>0</v>
      </c>
      <c r="M803" s="279">
        <f t="shared" si="52"/>
        <v>0</v>
      </c>
      <c r="O803" s="279">
        <f t="shared" si="53"/>
        <v>0</v>
      </c>
      <c r="Q803" s="279">
        <f t="shared" si="54"/>
        <v>0</v>
      </c>
      <c r="S803" s="279">
        <f t="shared" si="55"/>
        <v>0</v>
      </c>
      <c r="U803" s="385"/>
      <c r="V803" s="385"/>
      <c r="W803" s="385"/>
      <c r="X803" s="385"/>
    </row>
    <row r="804" spans="4:24" s="277" customFormat="1" x14ac:dyDescent="0.3">
      <c r="D804" s="356" t="s">
        <v>779</v>
      </c>
      <c r="E804" s="356"/>
      <c r="F804" s="356"/>
      <c r="G804" s="356"/>
      <c r="I804" s="48">
        <v>0</v>
      </c>
      <c r="M804" s="279">
        <f t="shared" si="52"/>
        <v>0</v>
      </c>
      <c r="O804" s="279">
        <f t="shared" si="53"/>
        <v>0</v>
      </c>
      <c r="Q804" s="279">
        <f t="shared" si="54"/>
        <v>0</v>
      </c>
      <c r="S804" s="279">
        <f t="shared" si="55"/>
        <v>0</v>
      </c>
      <c r="U804" s="385"/>
      <c r="V804" s="385"/>
      <c r="W804" s="385"/>
      <c r="X804" s="385"/>
    </row>
    <row r="805" spans="4:24" s="277" customFormat="1" x14ac:dyDescent="0.3">
      <c r="D805" s="356" t="s">
        <v>780</v>
      </c>
      <c r="E805" s="356"/>
      <c r="F805" s="356"/>
      <c r="G805" s="356"/>
      <c r="I805" s="48">
        <v>0</v>
      </c>
      <c r="M805" s="279">
        <f t="shared" si="52"/>
        <v>0</v>
      </c>
      <c r="O805" s="279">
        <f t="shared" si="53"/>
        <v>0</v>
      </c>
      <c r="Q805" s="279">
        <f t="shared" si="54"/>
        <v>0</v>
      </c>
      <c r="S805" s="279">
        <f t="shared" si="55"/>
        <v>0</v>
      </c>
      <c r="U805" s="385"/>
      <c r="V805" s="385"/>
      <c r="W805" s="385"/>
      <c r="X805" s="385"/>
    </row>
    <row r="806" spans="4:24" s="277" customFormat="1" x14ac:dyDescent="0.3">
      <c r="D806" s="356" t="s">
        <v>781</v>
      </c>
      <c r="E806" s="356"/>
      <c r="F806" s="356"/>
      <c r="G806" s="356"/>
      <c r="I806" s="48">
        <v>0</v>
      </c>
      <c r="M806" s="279">
        <f t="shared" si="52"/>
        <v>0</v>
      </c>
      <c r="O806" s="279">
        <f t="shared" si="53"/>
        <v>0</v>
      </c>
      <c r="Q806" s="279">
        <f t="shared" si="54"/>
        <v>0</v>
      </c>
      <c r="S806" s="279">
        <f t="shared" si="55"/>
        <v>0</v>
      </c>
      <c r="U806" s="385"/>
      <c r="V806" s="385"/>
      <c r="W806" s="385"/>
      <c r="X806" s="385"/>
    </row>
    <row r="807" spans="4:24" s="277" customFormat="1" x14ac:dyDescent="0.3">
      <c r="D807" s="356" t="s">
        <v>782</v>
      </c>
      <c r="E807" s="356"/>
      <c r="F807" s="356"/>
      <c r="G807" s="356"/>
      <c r="I807" s="48">
        <v>0</v>
      </c>
      <c r="M807" s="279">
        <f t="shared" si="52"/>
        <v>0</v>
      </c>
      <c r="O807" s="279">
        <f t="shared" si="53"/>
        <v>0</v>
      </c>
      <c r="Q807" s="279">
        <f t="shared" si="54"/>
        <v>0</v>
      </c>
      <c r="S807" s="279">
        <f t="shared" si="55"/>
        <v>0</v>
      </c>
      <c r="U807" s="385"/>
      <c r="V807" s="385"/>
      <c r="W807" s="385"/>
      <c r="X807" s="385"/>
    </row>
    <row r="808" spans="4:24" s="277" customFormat="1" x14ac:dyDescent="0.3">
      <c r="D808" s="356" t="s">
        <v>783</v>
      </c>
      <c r="E808" s="356"/>
      <c r="F808" s="356"/>
      <c r="G808" s="356"/>
      <c r="I808" s="48">
        <v>0</v>
      </c>
      <c r="M808" s="279">
        <f t="shared" si="52"/>
        <v>0</v>
      </c>
      <c r="O808" s="279">
        <f t="shared" si="53"/>
        <v>0</v>
      </c>
      <c r="Q808" s="279">
        <f t="shared" si="54"/>
        <v>0</v>
      </c>
      <c r="S808" s="279">
        <f t="shared" si="55"/>
        <v>0</v>
      </c>
      <c r="U808" s="385"/>
      <c r="V808" s="385"/>
      <c r="W808" s="385"/>
      <c r="X808" s="385"/>
    </row>
    <row r="809" spans="4:24" s="277" customFormat="1" x14ac:dyDescent="0.3">
      <c r="D809" s="356" t="s">
        <v>784</v>
      </c>
      <c r="E809" s="356"/>
      <c r="F809" s="356"/>
      <c r="G809" s="356"/>
      <c r="I809" s="48">
        <v>0</v>
      </c>
      <c r="M809" s="279">
        <f t="shared" si="52"/>
        <v>0</v>
      </c>
      <c r="O809" s="279">
        <f t="shared" si="53"/>
        <v>0</v>
      </c>
      <c r="Q809" s="279">
        <f t="shared" si="54"/>
        <v>0</v>
      </c>
      <c r="S809" s="279">
        <f t="shared" si="55"/>
        <v>0</v>
      </c>
      <c r="U809" s="385"/>
      <c r="V809" s="385"/>
      <c r="W809" s="385"/>
      <c r="X809" s="385"/>
    </row>
    <row r="810" spans="4:24" s="277" customFormat="1" x14ac:dyDescent="0.3">
      <c r="D810" s="356" t="s">
        <v>785</v>
      </c>
      <c r="E810" s="356"/>
      <c r="F810" s="356"/>
      <c r="G810" s="356"/>
      <c r="I810" s="48">
        <v>0</v>
      </c>
      <c r="M810" s="279">
        <f t="shared" si="52"/>
        <v>0</v>
      </c>
      <c r="O810" s="279">
        <f t="shared" si="53"/>
        <v>0</v>
      </c>
      <c r="Q810" s="279">
        <f t="shared" si="54"/>
        <v>0</v>
      </c>
      <c r="S810" s="279">
        <f t="shared" si="55"/>
        <v>0</v>
      </c>
      <c r="U810" s="385"/>
      <c r="V810" s="385"/>
      <c r="W810" s="385"/>
      <c r="X810" s="385"/>
    </row>
    <row r="811" spans="4:24" s="277" customFormat="1" x14ac:dyDescent="0.3">
      <c r="D811" s="356" t="s">
        <v>786</v>
      </c>
      <c r="E811" s="356"/>
      <c r="F811" s="356"/>
      <c r="G811" s="356"/>
      <c r="I811" s="48">
        <v>0</v>
      </c>
      <c r="M811" s="279">
        <f t="shared" si="52"/>
        <v>0</v>
      </c>
      <c r="O811" s="279">
        <f t="shared" si="53"/>
        <v>0</v>
      </c>
      <c r="Q811" s="279">
        <f t="shared" si="54"/>
        <v>0</v>
      </c>
      <c r="S811" s="279">
        <f t="shared" si="55"/>
        <v>0</v>
      </c>
      <c r="U811" s="385"/>
      <c r="V811" s="385"/>
      <c r="W811" s="385"/>
      <c r="X811" s="385"/>
    </row>
    <row r="812" spans="4:24" s="277" customFormat="1" x14ac:dyDescent="0.3">
      <c r="D812" s="356" t="s">
        <v>787</v>
      </c>
      <c r="E812" s="356"/>
      <c r="F812" s="356"/>
      <c r="G812" s="356"/>
      <c r="I812" s="48">
        <v>0</v>
      </c>
      <c r="M812" s="279">
        <f t="shared" si="52"/>
        <v>0</v>
      </c>
      <c r="O812" s="279">
        <f t="shared" si="53"/>
        <v>0</v>
      </c>
      <c r="Q812" s="279">
        <f t="shared" si="54"/>
        <v>0</v>
      </c>
      <c r="S812" s="279">
        <f t="shared" si="55"/>
        <v>0</v>
      </c>
      <c r="U812" s="385"/>
      <c r="V812" s="385"/>
      <c r="W812" s="385"/>
      <c r="X812" s="385"/>
    </row>
    <row r="813" spans="4:24" s="277" customFormat="1" x14ac:dyDescent="0.3">
      <c r="D813" s="356" t="s">
        <v>788</v>
      </c>
      <c r="E813" s="356"/>
      <c r="F813" s="356"/>
      <c r="G813" s="356"/>
      <c r="I813" s="48">
        <v>0</v>
      </c>
      <c r="M813" s="279">
        <f t="shared" si="52"/>
        <v>0</v>
      </c>
      <c r="O813" s="279">
        <f t="shared" si="53"/>
        <v>0</v>
      </c>
      <c r="Q813" s="279">
        <f t="shared" si="54"/>
        <v>0</v>
      </c>
      <c r="S813" s="279">
        <f t="shared" si="55"/>
        <v>0</v>
      </c>
      <c r="U813" s="385"/>
      <c r="V813" s="385"/>
      <c r="W813" s="385"/>
      <c r="X813" s="385"/>
    </row>
    <row r="814" spans="4:24" s="277" customFormat="1" x14ac:dyDescent="0.3">
      <c r="D814" s="356" t="s">
        <v>789</v>
      </c>
      <c r="E814" s="356"/>
      <c r="F814" s="356"/>
      <c r="G814" s="356"/>
      <c r="I814" s="48">
        <v>0</v>
      </c>
      <c r="M814" s="279">
        <f t="shared" si="52"/>
        <v>0</v>
      </c>
      <c r="O814" s="279">
        <f t="shared" si="53"/>
        <v>0</v>
      </c>
      <c r="Q814" s="279">
        <f t="shared" si="54"/>
        <v>0</v>
      </c>
      <c r="S814" s="279">
        <f t="shared" si="55"/>
        <v>0</v>
      </c>
      <c r="U814" s="385"/>
      <c r="V814" s="385"/>
      <c r="W814" s="385"/>
      <c r="X814" s="385"/>
    </row>
    <row r="815" spans="4:24" s="277" customFormat="1" x14ac:dyDescent="0.3">
      <c r="D815" s="356" t="s">
        <v>790</v>
      </c>
      <c r="E815" s="356"/>
      <c r="F815" s="356"/>
      <c r="G815" s="356"/>
      <c r="I815" s="48">
        <v>0</v>
      </c>
      <c r="M815" s="279">
        <f t="shared" si="52"/>
        <v>0</v>
      </c>
      <c r="O815" s="279">
        <f t="shared" si="53"/>
        <v>0</v>
      </c>
      <c r="Q815" s="279">
        <f t="shared" si="54"/>
        <v>0</v>
      </c>
      <c r="S815" s="279">
        <f t="shared" si="55"/>
        <v>0</v>
      </c>
      <c r="U815" s="385"/>
      <c r="V815" s="385"/>
      <c r="W815" s="385"/>
      <c r="X815" s="385"/>
    </row>
    <row r="816" spans="4:24" s="277" customFormat="1" x14ac:dyDescent="0.3">
      <c r="D816" s="356" t="s">
        <v>791</v>
      </c>
      <c r="E816" s="356"/>
      <c r="F816" s="356"/>
      <c r="G816" s="356"/>
      <c r="I816" s="48">
        <v>0</v>
      </c>
      <c r="M816" s="279">
        <f t="shared" si="52"/>
        <v>0</v>
      </c>
      <c r="O816" s="279">
        <f t="shared" si="53"/>
        <v>0</v>
      </c>
      <c r="Q816" s="279">
        <f t="shared" si="54"/>
        <v>0</v>
      </c>
      <c r="S816" s="279">
        <f t="shared" si="55"/>
        <v>0</v>
      </c>
      <c r="U816" s="385"/>
      <c r="V816" s="385"/>
      <c r="W816" s="385"/>
      <c r="X816" s="385"/>
    </row>
    <row r="817" spans="3:24" s="277" customFormat="1" x14ac:dyDescent="0.3">
      <c r="D817" s="356" t="s">
        <v>792</v>
      </c>
      <c r="E817" s="356"/>
      <c r="F817" s="356"/>
      <c r="G817" s="356"/>
      <c r="I817" s="48">
        <v>0</v>
      </c>
      <c r="M817" s="279">
        <f t="shared" si="52"/>
        <v>0</v>
      </c>
      <c r="O817" s="279">
        <f t="shared" si="53"/>
        <v>0</v>
      </c>
      <c r="Q817" s="279">
        <f t="shared" si="54"/>
        <v>0</v>
      </c>
      <c r="S817" s="279">
        <f t="shared" si="55"/>
        <v>0</v>
      </c>
      <c r="U817" s="385"/>
      <c r="V817" s="385"/>
      <c r="W817" s="385"/>
      <c r="X817" s="385"/>
    </row>
    <row r="818" spans="3:24" s="277" customFormat="1" x14ac:dyDescent="0.3">
      <c r="D818" s="356" t="s">
        <v>793</v>
      </c>
      <c r="E818" s="356"/>
      <c r="F818" s="356"/>
      <c r="G818" s="356"/>
      <c r="I818" s="48">
        <v>0</v>
      </c>
      <c r="M818" s="279">
        <f t="shared" si="52"/>
        <v>0</v>
      </c>
      <c r="O818" s="279">
        <f t="shared" si="53"/>
        <v>0</v>
      </c>
      <c r="Q818" s="279">
        <f t="shared" si="54"/>
        <v>0</v>
      </c>
      <c r="S818" s="279">
        <f t="shared" si="55"/>
        <v>0</v>
      </c>
      <c r="U818" s="385"/>
      <c r="V818" s="385"/>
      <c r="W818" s="385"/>
      <c r="X818" s="385"/>
    </row>
    <row r="819" spans="3:24" s="277" customFormat="1" x14ac:dyDescent="0.3">
      <c r="D819" s="356" t="s">
        <v>794</v>
      </c>
      <c r="E819" s="356"/>
      <c r="F819" s="356"/>
      <c r="G819" s="356"/>
      <c r="I819" s="48">
        <v>0</v>
      </c>
      <c r="M819" s="279">
        <f t="shared" si="52"/>
        <v>0</v>
      </c>
      <c r="O819" s="279">
        <f t="shared" si="53"/>
        <v>0</v>
      </c>
      <c r="Q819" s="279">
        <f t="shared" si="54"/>
        <v>0</v>
      </c>
      <c r="S819" s="279">
        <f t="shared" si="55"/>
        <v>0</v>
      </c>
      <c r="U819" s="385"/>
      <c r="V819" s="385"/>
      <c r="W819" s="385"/>
      <c r="X819" s="385"/>
    </row>
    <row r="820" spans="3:24" s="277" customFormat="1" x14ac:dyDescent="0.3">
      <c r="D820" s="356" t="s">
        <v>795</v>
      </c>
      <c r="E820" s="356"/>
      <c r="F820" s="356"/>
      <c r="G820" s="356"/>
      <c r="I820" s="48">
        <v>0</v>
      </c>
      <c r="M820" s="279">
        <f t="shared" si="52"/>
        <v>0</v>
      </c>
      <c r="O820" s="279">
        <f t="shared" si="53"/>
        <v>0</v>
      </c>
      <c r="Q820" s="279">
        <f t="shared" si="54"/>
        <v>0</v>
      </c>
      <c r="S820" s="279">
        <f t="shared" si="55"/>
        <v>0</v>
      </c>
      <c r="U820" s="385"/>
      <c r="V820" s="385"/>
      <c r="W820" s="385"/>
      <c r="X820" s="385"/>
    </row>
    <row r="821" spans="3:24" s="277" customFormat="1" x14ac:dyDescent="0.3">
      <c r="D821" s="356" t="s">
        <v>796</v>
      </c>
      <c r="E821" s="356"/>
      <c r="F821" s="356"/>
      <c r="G821" s="356"/>
      <c r="I821" s="48">
        <v>0</v>
      </c>
      <c r="M821" s="279">
        <f t="shared" si="52"/>
        <v>0</v>
      </c>
      <c r="O821" s="279">
        <f t="shared" si="53"/>
        <v>0</v>
      </c>
      <c r="Q821" s="279">
        <f t="shared" si="54"/>
        <v>0</v>
      </c>
      <c r="S821" s="279">
        <f t="shared" si="55"/>
        <v>0</v>
      </c>
      <c r="U821" s="385"/>
      <c r="V821" s="385"/>
      <c r="W821" s="385"/>
      <c r="X821" s="385"/>
    </row>
    <row r="822" spans="3:24" ht="14.4" x14ac:dyDescent="0.3">
      <c r="D822" s="420" t="s">
        <v>88</v>
      </c>
      <c r="E822" s="427"/>
      <c r="F822" s="427"/>
      <c r="G822" s="427"/>
      <c r="I822" s="40"/>
      <c r="M822" s="40"/>
      <c r="O822" s="40"/>
      <c r="Q822" s="294">
        <f>SUM(Q797:Q821)</f>
        <v>0</v>
      </c>
      <c r="S822" s="294">
        <f>SUM(S797:S821)</f>
        <v>0</v>
      </c>
    </row>
    <row r="824" spans="3:24" ht="15.6" x14ac:dyDescent="0.3">
      <c r="C824" s="92" t="s">
        <v>89</v>
      </c>
    </row>
    <row r="825" spans="3:24" ht="27.6" x14ac:dyDescent="0.3">
      <c r="Q825" s="44" t="str">
        <f>"FINANCIAL COST ("&amp;INDEX(LU_ACT_22_Meet_Curr,DD_ACT_22_Meet1_Curr)&amp;")"</f>
        <v>FINANCIAL COST (GOZ)</v>
      </c>
      <c r="S825" s="44" t="str">
        <f>"ECONOMIC COST ("&amp;INDEX(LU_ACT_22_Meet_Curr,DD_ACT_22_Meet1_Curr)&amp;")"</f>
        <v>ECONOMIC COST (GOZ)</v>
      </c>
    </row>
    <row r="826" spans="3:24" ht="27.6" x14ac:dyDescent="0.3">
      <c r="D826" s="90" t="s">
        <v>86</v>
      </c>
      <c r="I826" s="91" t="s">
        <v>186</v>
      </c>
      <c r="K826" s="91" t="s">
        <v>187</v>
      </c>
      <c r="M826" s="42" t="s">
        <v>81</v>
      </c>
      <c r="O826" s="42" t="s">
        <v>83</v>
      </c>
      <c r="U826" s="350" t="s">
        <v>185</v>
      </c>
      <c r="V826" s="426"/>
      <c r="W826" s="426"/>
      <c r="X826" s="426"/>
    </row>
    <row r="827" spans="3:24" x14ac:dyDescent="0.3">
      <c r="D827" s="356" t="s">
        <v>71</v>
      </c>
      <c r="E827" s="356"/>
      <c r="F827" s="356"/>
      <c r="G827" s="356"/>
      <c r="I827" s="48">
        <v>0</v>
      </c>
      <c r="K827" s="48">
        <v>0</v>
      </c>
      <c r="M827" s="40">
        <f t="shared" ref="M827:M851" si="56">IFERROR(IF(DD_ACT_22_Meet1_Curr=1,INDEX($M$1015:$M$1049,MATCH(D827,LU_ACT_22_ODCS,0)),INDEX($Q$1015:$Q$1049,MATCH(D827,LU_ACT_22_ODCS,0))),0)</f>
        <v>0</v>
      </c>
      <c r="O827" s="40">
        <f t="shared" ref="O827:O851" si="57">IFERROR(IF(DD_ACT_22_Meet1_Curr=1,INDEX($O$1015:$O$1049,MATCH(D827,LU_ACT_22_ODCS,0)),INDEX($S$1015:$S$1049,MATCH(D827,LU_ACT_22_ODCS,0))),0)</f>
        <v>0</v>
      </c>
      <c r="Q827" s="279">
        <f t="shared" ref="Q827:Q851" si="58">I827*K827*M827</f>
        <v>0</v>
      </c>
      <c r="S827" s="279">
        <f t="shared" ref="S827:S851" si="59">I827*K827*O827</f>
        <v>0</v>
      </c>
      <c r="U827" s="356"/>
      <c r="V827" s="356"/>
      <c r="W827" s="356"/>
      <c r="X827" s="356"/>
    </row>
    <row r="828" spans="3:24" x14ac:dyDescent="0.3">
      <c r="D828" s="356" t="s">
        <v>72</v>
      </c>
      <c r="E828" s="356"/>
      <c r="F828" s="356"/>
      <c r="G828" s="356"/>
      <c r="I828" s="48">
        <v>0</v>
      </c>
      <c r="K828" s="48">
        <v>0</v>
      </c>
      <c r="M828" s="40">
        <f t="shared" si="56"/>
        <v>0</v>
      </c>
      <c r="O828" s="40">
        <f t="shared" si="57"/>
        <v>0</v>
      </c>
      <c r="Q828" s="279">
        <f t="shared" si="58"/>
        <v>0</v>
      </c>
      <c r="S828" s="279">
        <f t="shared" si="59"/>
        <v>0</v>
      </c>
      <c r="U828" s="356"/>
      <c r="V828" s="356"/>
      <c r="W828" s="356"/>
      <c r="X828" s="356"/>
    </row>
    <row r="829" spans="3:24" x14ac:dyDescent="0.3">
      <c r="D829" s="356" t="s">
        <v>73</v>
      </c>
      <c r="E829" s="356"/>
      <c r="F829" s="356"/>
      <c r="G829" s="356"/>
      <c r="I829" s="48">
        <v>0</v>
      </c>
      <c r="K829" s="48">
        <v>0</v>
      </c>
      <c r="M829" s="40">
        <f t="shared" si="56"/>
        <v>0</v>
      </c>
      <c r="O829" s="40">
        <f t="shared" si="57"/>
        <v>0</v>
      </c>
      <c r="Q829" s="279">
        <f t="shared" si="58"/>
        <v>0</v>
      </c>
      <c r="S829" s="279">
        <f t="shared" si="59"/>
        <v>0</v>
      </c>
      <c r="U829" s="356"/>
      <c r="V829" s="356"/>
      <c r="W829" s="356"/>
      <c r="X829" s="356"/>
    </row>
    <row r="830" spans="3:24" x14ac:dyDescent="0.3">
      <c r="D830" s="356" t="s">
        <v>74</v>
      </c>
      <c r="E830" s="356"/>
      <c r="F830" s="356"/>
      <c r="G830" s="356"/>
      <c r="I830" s="48">
        <v>0</v>
      </c>
      <c r="K830" s="48">
        <v>0</v>
      </c>
      <c r="M830" s="40">
        <f t="shared" si="56"/>
        <v>0</v>
      </c>
      <c r="O830" s="40">
        <f t="shared" si="57"/>
        <v>0</v>
      </c>
      <c r="Q830" s="279">
        <f t="shared" si="58"/>
        <v>0</v>
      </c>
      <c r="S830" s="279">
        <f t="shared" si="59"/>
        <v>0</v>
      </c>
      <c r="U830" s="356"/>
      <c r="V830" s="356"/>
      <c r="W830" s="356"/>
      <c r="X830" s="356"/>
    </row>
    <row r="831" spans="3:24" x14ac:dyDescent="0.3">
      <c r="D831" s="356" t="s">
        <v>75</v>
      </c>
      <c r="E831" s="356"/>
      <c r="F831" s="356"/>
      <c r="G831" s="356"/>
      <c r="I831" s="48">
        <v>0</v>
      </c>
      <c r="K831" s="48">
        <v>0</v>
      </c>
      <c r="M831" s="40">
        <f t="shared" si="56"/>
        <v>0</v>
      </c>
      <c r="O831" s="40">
        <f t="shared" si="57"/>
        <v>0</v>
      </c>
      <c r="Q831" s="279">
        <f t="shared" si="58"/>
        <v>0</v>
      </c>
      <c r="S831" s="279">
        <f t="shared" si="59"/>
        <v>0</v>
      </c>
      <c r="U831" s="356"/>
      <c r="V831" s="356"/>
      <c r="W831" s="356"/>
      <c r="X831" s="356"/>
    </row>
    <row r="832" spans="3:24" s="277" customFormat="1" x14ac:dyDescent="0.3">
      <c r="D832" s="356" t="s">
        <v>876</v>
      </c>
      <c r="E832" s="356"/>
      <c r="F832" s="356"/>
      <c r="G832" s="356"/>
      <c r="I832" s="48">
        <v>0</v>
      </c>
      <c r="K832" s="48">
        <v>0</v>
      </c>
      <c r="M832" s="279">
        <f t="shared" si="56"/>
        <v>0</v>
      </c>
      <c r="O832" s="279">
        <f t="shared" si="57"/>
        <v>0</v>
      </c>
      <c r="Q832" s="279">
        <f t="shared" si="58"/>
        <v>0</v>
      </c>
      <c r="S832" s="279">
        <f t="shared" si="59"/>
        <v>0</v>
      </c>
      <c r="U832" s="385"/>
      <c r="V832" s="385"/>
      <c r="W832" s="385"/>
      <c r="X832" s="385"/>
    </row>
    <row r="833" spans="4:24" s="277" customFormat="1" x14ac:dyDescent="0.3">
      <c r="D833" s="356" t="s">
        <v>877</v>
      </c>
      <c r="E833" s="356"/>
      <c r="F833" s="356"/>
      <c r="G833" s="356"/>
      <c r="I833" s="48">
        <v>0</v>
      </c>
      <c r="K833" s="48">
        <v>0</v>
      </c>
      <c r="M833" s="279">
        <f t="shared" si="56"/>
        <v>0</v>
      </c>
      <c r="O833" s="279">
        <f t="shared" si="57"/>
        <v>0</v>
      </c>
      <c r="Q833" s="279">
        <f t="shared" si="58"/>
        <v>0</v>
      </c>
      <c r="S833" s="279">
        <f t="shared" si="59"/>
        <v>0</v>
      </c>
      <c r="U833" s="385"/>
      <c r="V833" s="385"/>
      <c r="W833" s="385"/>
      <c r="X833" s="385"/>
    </row>
    <row r="834" spans="4:24" s="277" customFormat="1" x14ac:dyDescent="0.3">
      <c r="D834" s="356" t="s">
        <v>878</v>
      </c>
      <c r="E834" s="356"/>
      <c r="F834" s="356"/>
      <c r="G834" s="356"/>
      <c r="I834" s="48">
        <v>0</v>
      </c>
      <c r="K834" s="48">
        <v>0</v>
      </c>
      <c r="M834" s="279">
        <f t="shared" si="56"/>
        <v>0</v>
      </c>
      <c r="O834" s="279">
        <f t="shared" si="57"/>
        <v>0</v>
      </c>
      <c r="Q834" s="279">
        <f t="shared" si="58"/>
        <v>0</v>
      </c>
      <c r="S834" s="279">
        <f t="shared" si="59"/>
        <v>0</v>
      </c>
      <c r="U834" s="385"/>
      <c r="V834" s="385"/>
      <c r="W834" s="385"/>
      <c r="X834" s="385"/>
    </row>
    <row r="835" spans="4:24" s="277" customFormat="1" x14ac:dyDescent="0.3">
      <c r="D835" s="356" t="s">
        <v>879</v>
      </c>
      <c r="E835" s="356"/>
      <c r="F835" s="356"/>
      <c r="G835" s="356"/>
      <c r="I835" s="48">
        <v>0</v>
      </c>
      <c r="K835" s="48">
        <v>0</v>
      </c>
      <c r="M835" s="279">
        <f t="shared" si="56"/>
        <v>0</v>
      </c>
      <c r="O835" s="279">
        <f t="shared" si="57"/>
        <v>0</v>
      </c>
      <c r="Q835" s="279">
        <f t="shared" si="58"/>
        <v>0</v>
      </c>
      <c r="S835" s="279">
        <f t="shared" si="59"/>
        <v>0</v>
      </c>
      <c r="U835" s="385"/>
      <c r="V835" s="385"/>
      <c r="W835" s="385"/>
      <c r="X835" s="385"/>
    </row>
    <row r="836" spans="4:24" s="277" customFormat="1" x14ac:dyDescent="0.3">
      <c r="D836" s="356" t="s">
        <v>880</v>
      </c>
      <c r="E836" s="356"/>
      <c r="F836" s="356"/>
      <c r="G836" s="356"/>
      <c r="I836" s="48">
        <v>0</v>
      </c>
      <c r="K836" s="48">
        <v>0</v>
      </c>
      <c r="M836" s="279">
        <f t="shared" si="56"/>
        <v>0</v>
      </c>
      <c r="O836" s="279">
        <f t="shared" si="57"/>
        <v>0</v>
      </c>
      <c r="Q836" s="279">
        <f t="shared" si="58"/>
        <v>0</v>
      </c>
      <c r="S836" s="279">
        <f t="shared" si="59"/>
        <v>0</v>
      </c>
      <c r="U836" s="385"/>
      <c r="V836" s="385"/>
      <c r="W836" s="385"/>
      <c r="X836" s="385"/>
    </row>
    <row r="837" spans="4:24" s="277" customFormat="1" x14ac:dyDescent="0.3">
      <c r="D837" s="356" t="s">
        <v>881</v>
      </c>
      <c r="E837" s="356"/>
      <c r="F837" s="356"/>
      <c r="G837" s="356"/>
      <c r="I837" s="48">
        <v>0</v>
      </c>
      <c r="K837" s="48">
        <v>0</v>
      </c>
      <c r="M837" s="279">
        <f t="shared" si="56"/>
        <v>0</v>
      </c>
      <c r="O837" s="279">
        <f t="shared" si="57"/>
        <v>0</v>
      </c>
      <c r="Q837" s="279">
        <f t="shared" si="58"/>
        <v>0</v>
      </c>
      <c r="S837" s="279">
        <f t="shared" si="59"/>
        <v>0</v>
      </c>
      <c r="U837" s="385"/>
      <c r="V837" s="385"/>
      <c r="W837" s="385"/>
      <c r="X837" s="385"/>
    </row>
    <row r="838" spans="4:24" s="277" customFormat="1" x14ac:dyDescent="0.3">
      <c r="D838" s="356" t="s">
        <v>882</v>
      </c>
      <c r="E838" s="356"/>
      <c r="F838" s="356"/>
      <c r="G838" s="356"/>
      <c r="I838" s="48">
        <v>0</v>
      </c>
      <c r="K838" s="48">
        <v>0</v>
      </c>
      <c r="M838" s="279">
        <f t="shared" si="56"/>
        <v>0</v>
      </c>
      <c r="O838" s="279">
        <f t="shared" si="57"/>
        <v>0</v>
      </c>
      <c r="Q838" s="279">
        <f t="shared" si="58"/>
        <v>0</v>
      </c>
      <c r="S838" s="279">
        <f t="shared" si="59"/>
        <v>0</v>
      </c>
      <c r="U838" s="385"/>
      <c r="V838" s="385"/>
      <c r="W838" s="385"/>
      <c r="X838" s="385"/>
    </row>
    <row r="839" spans="4:24" s="277" customFormat="1" x14ac:dyDescent="0.3">
      <c r="D839" s="356" t="s">
        <v>883</v>
      </c>
      <c r="E839" s="356"/>
      <c r="F839" s="356"/>
      <c r="G839" s="356"/>
      <c r="I839" s="48">
        <v>0</v>
      </c>
      <c r="K839" s="48">
        <v>0</v>
      </c>
      <c r="M839" s="279">
        <f t="shared" si="56"/>
        <v>0</v>
      </c>
      <c r="O839" s="279">
        <f t="shared" si="57"/>
        <v>0</v>
      </c>
      <c r="Q839" s="279">
        <f t="shared" si="58"/>
        <v>0</v>
      </c>
      <c r="S839" s="279">
        <f t="shared" si="59"/>
        <v>0</v>
      </c>
      <c r="U839" s="385"/>
      <c r="V839" s="385"/>
      <c r="W839" s="385"/>
      <c r="X839" s="385"/>
    </row>
    <row r="840" spans="4:24" s="277" customFormat="1" x14ac:dyDescent="0.3">
      <c r="D840" s="356" t="s">
        <v>884</v>
      </c>
      <c r="E840" s="356"/>
      <c r="F840" s="356"/>
      <c r="G840" s="356"/>
      <c r="I840" s="48">
        <v>0</v>
      </c>
      <c r="K840" s="48">
        <v>0</v>
      </c>
      <c r="M840" s="279">
        <f t="shared" si="56"/>
        <v>0</v>
      </c>
      <c r="O840" s="279">
        <f t="shared" si="57"/>
        <v>0</v>
      </c>
      <c r="Q840" s="279">
        <f t="shared" si="58"/>
        <v>0</v>
      </c>
      <c r="S840" s="279">
        <f t="shared" si="59"/>
        <v>0</v>
      </c>
      <c r="U840" s="385"/>
      <c r="V840" s="385"/>
      <c r="W840" s="385"/>
      <c r="X840" s="385"/>
    </row>
    <row r="841" spans="4:24" s="277" customFormat="1" x14ac:dyDescent="0.3">
      <c r="D841" s="356" t="s">
        <v>885</v>
      </c>
      <c r="E841" s="356"/>
      <c r="F841" s="356"/>
      <c r="G841" s="356"/>
      <c r="I841" s="48">
        <v>0</v>
      </c>
      <c r="K841" s="48">
        <v>0</v>
      </c>
      <c r="M841" s="279">
        <f t="shared" si="56"/>
        <v>0</v>
      </c>
      <c r="O841" s="279">
        <f t="shared" si="57"/>
        <v>0</v>
      </c>
      <c r="Q841" s="279">
        <f t="shared" si="58"/>
        <v>0</v>
      </c>
      <c r="S841" s="279">
        <f t="shared" si="59"/>
        <v>0</v>
      </c>
      <c r="U841" s="385"/>
      <c r="V841" s="385"/>
      <c r="W841" s="385"/>
      <c r="X841" s="385"/>
    </row>
    <row r="842" spans="4:24" s="277" customFormat="1" x14ac:dyDescent="0.3">
      <c r="D842" s="356" t="s">
        <v>886</v>
      </c>
      <c r="E842" s="356"/>
      <c r="F842" s="356"/>
      <c r="G842" s="356"/>
      <c r="I842" s="48">
        <v>0</v>
      </c>
      <c r="K842" s="48">
        <v>0</v>
      </c>
      <c r="M842" s="279">
        <f t="shared" si="56"/>
        <v>0</v>
      </c>
      <c r="O842" s="279">
        <f t="shared" si="57"/>
        <v>0</v>
      </c>
      <c r="Q842" s="279">
        <f t="shared" si="58"/>
        <v>0</v>
      </c>
      <c r="S842" s="279">
        <f t="shared" si="59"/>
        <v>0</v>
      </c>
      <c r="U842" s="385"/>
      <c r="V842" s="385"/>
      <c r="W842" s="385"/>
      <c r="X842" s="385"/>
    </row>
    <row r="843" spans="4:24" s="277" customFormat="1" x14ac:dyDescent="0.3">
      <c r="D843" s="356" t="s">
        <v>887</v>
      </c>
      <c r="E843" s="356"/>
      <c r="F843" s="356"/>
      <c r="G843" s="356"/>
      <c r="I843" s="48">
        <v>0</v>
      </c>
      <c r="K843" s="48">
        <v>0</v>
      </c>
      <c r="M843" s="279">
        <f t="shared" si="56"/>
        <v>0</v>
      </c>
      <c r="O843" s="279">
        <f t="shared" si="57"/>
        <v>0</v>
      </c>
      <c r="Q843" s="279">
        <f t="shared" si="58"/>
        <v>0</v>
      </c>
      <c r="S843" s="279">
        <f t="shared" si="59"/>
        <v>0</v>
      </c>
      <c r="U843" s="385"/>
      <c r="V843" s="385"/>
      <c r="W843" s="385"/>
      <c r="X843" s="385"/>
    </row>
    <row r="844" spans="4:24" s="277" customFormat="1" x14ac:dyDescent="0.3">
      <c r="D844" s="356" t="s">
        <v>888</v>
      </c>
      <c r="E844" s="356"/>
      <c r="F844" s="356"/>
      <c r="G844" s="356"/>
      <c r="I844" s="48">
        <v>0</v>
      </c>
      <c r="K844" s="48">
        <v>0</v>
      </c>
      <c r="M844" s="279">
        <f t="shared" si="56"/>
        <v>0</v>
      </c>
      <c r="O844" s="279">
        <f t="shared" si="57"/>
        <v>0</v>
      </c>
      <c r="Q844" s="279">
        <f t="shared" si="58"/>
        <v>0</v>
      </c>
      <c r="S844" s="279">
        <f t="shared" si="59"/>
        <v>0</v>
      </c>
      <c r="U844" s="385"/>
      <c r="V844" s="385"/>
      <c r="W844" s="385"/>
      <c r="X844" s="385"/>
    </row>
    <row r="845" spans="4:24" s="277" customFormat="1" x14ac:dyDescent="0.3">
      <c r="D845" s="356" t="s">
        <v>889</v>
      </c>
      <c r="E845" s="356"/>
      <c r="F845" s="356"/>
      <c r="G845" s="356"/>
      <c r="I845" s="48">
        <v>0</v>
      </c>
      <c r="K845" s="48">
        <v>0</v>
      </c>
      <c r="M845" s="279">
        <f t="shared" si="56"/>
        <v>0</v>
      </c>
      <c r="O845" s="279">
        <f t="shared" si="57"/>
        <v>0</v>
      </c>
      <c r="Q845" s="279">
        <f t="shared" si="58"/>
        <v>0</v>
      </c>
      <c r="S845" s="279">
        <f t="shared" si="59"/>
        <v>0</v>
      </c>
      <c r="U845" s="385"/>
      <c r="V845" s="385"/>
      <c r="W845" s="385"/>
      <c r="X845" s="385"/>
    </row>
    <row r="846" spans="4:24" s="277" customFormat="1" x14ac:dyDescent="0.3">
      <c r="D846" s="356" t="s">
        <v>890</v>
      </c>
      <c r="E846" s="356"/>
      <c r="F846" s="356"/>
      <c r="G846" s="356"/>
      <c r="I846" s="48">
        <v>0</v>
      </c>
      <c r="K846" s="48">
        <v>0</v>
      </c>
      <c r="M846" s="279">
        <f t="shared" si="56"/>
        <v>0</v>
      </c>
      <c r="O846" s="279">
        <f t="shared" si="57"/>
        <v>0</v>
      </c>
      <c r="Q846" s="279">
        <f t="shared" si="58"/>
        <v>0</v>
      </c>
      <c r="S846" s="279">
        <f t="shared" si="59"/>
        <v>0</v>
      </c>
      <c r="U846" s="385"/>
      <c r="V846" s="385"/>
      <c r="W846" s="385"/>
      <c r="X846" s="385"/>
    </row>
    <row r="847" spans="4:24" s="277" customFormat="1" x14ac:dyDescent="0.3">
      <c r="D847" s="356" t="s">
        <v>986</v>
      </c>
      <c r="E847" s="356"/>
      <c r="F847" s="356"/>
      <c r="G847" s="356"/>
      <c r="I847" s="48">
        <v>0</v>
      </c>
      <c r="K847" s="48">
        <v>0</v>
      </c>
      <c r="M847" s="279">
        <f t="shared" si="56"/>
        <v>0</v>
      </c>
      <c r="O847" s="279">
        <f t="shared" si="57"/>
        <v>0</v>
      </c>
      <c r="Q847" s="279">
        <f t="shared" si="58"/>
        <v>0</v>
      </c>
      <c r="S847" s="279">
        <f t="shared" si="59"/>
        <v>0</v>
      </c>
      <c r="U847" s="385"/>
      <c r="V847" s="385"/>
      <c r="W847" s="385"/>
      <c r="X847" s="385"/>
    </row>
    <row r="848" spans="4:24" s="277" customFormat="1" x14ac:dyDescent="0.3">
      <c r="D848" s="356" t="s">
        <v>987</v>
      </c>
      <c r="E848" s="356"/>
      <c r="F848" s="356"/>
      <c r="G848" s="356"/>
      <c r="I848" s="48">
        <v>0</v>
      </c>
      <c r="K848" s="48">
        <v>0</v>
      </c>
      <c r="M848" s="279">
        <f t="shared" si="56"/>
        <v>0</v>
      </c>
      <c r="O848" s="279">
        <f t="shared" si="57"/>
        <v>0</v>
      </c>
      <c r="Q848" s="279">
        <f t="shared" si="58"/>
        <v>0</v>
      </c>
      <c r="S848" s="279">
        <f t="shared" si="59"/>
        <v>0</v>
      </c>
      <c r="U848" s="385"/>
      <c r="V848" s="385"/>
      <c r="W848" s="385"/>
      <c r="X848" s="385"/>
    </row>
    <row r="849" spans="2:24" s="277" customFormat="1" x14ac:dyDescent="0.3">
      <c r="D849" s="356" t="s">
        <v>988</v>
      </c>
      <c r="E849" s="356"/>
      <c r="F849" s="356"/>
      <c r="G849" s="356"/>
      <c r="I849" s="48">
        <v>0</v>
      </c>
      <c r="K849" s="48">
        <v>0</v>
      </c>
      <c r="M849" s="279">
        <f t="shared" si="56"/>
        <v>0</v>
      </c>
      <c r="O849" s="279">
        <f t="shared" si="57"/>
        <v>0</v>
      </c>
      <c r="Q849" s="279">
        <f t="shared" si="58"/>
        <v>0</v>
      </c>
      <c r="S849" s="279">
        <f t="shared" si="59"/>
        <v>0</v>
      </c>
      <c r="U849" s="385"/>
      <c r="V849" s="385"/>
      <c r="W849" s="385"/>
      <c r="X849" s="385"/>
    </row>
    <row r="850" spans="2:24" s="277" customFormat="1" x14ac:dyDescent="0.3">
      <c r="D850" s="356" t="s">
        <v>989</v>
      </c>
      <c r="E850" s="356"/>
      <c r="F850" s="356"/>
      <c r="G850" s="356"/>
      <c r="I850" s="48">
        <v>0</v>
      </c>
      <c r="K850" s="48">
        <v>0</v>
      </c>
      <c r="M850" s="279">
        <f t="shared" si="56"/>
        <v>0</v>
      </c>
      <c r="O850" s="279">
        <f t="shared" si="57"/>
        <v>0</v>
      </c>
      <c r="Q850" s="279">
        <f t="shared" si="58"/>
        <v>0</v>
      </c>
      <c r="S850" s="279">
        <f t="shared" si="59"/>
        <v>0</v>
      </c>
      <c r="U850" s="385"/>
      <c r="V850" s="385"/>
      <c r="W850" s="385"/>
      <c r="X850" s="385"/>
    </row>
    <row r="851" spans="2:24" s="277" customFormat="1" x14ac:dyDescent="0.3">
      <c r="D851" s="356" t="s">
        <v>990</v>
      </c>
      <c r="E851" s="356"/>
      <c r="F851" s="356"/>
      <c r="G851" s="356"/>
      <c r="I851" s="48">
        <v>0</v>
      </c>
      <c r="K851" s="48">
        <v>0</v>
      </c>
      <c r="M851" s="279">
        <f t="shared" si="56"/>
        <v>0</v>
      </c>
      <c r="O851" s="279">
        <f t="shared" si="57"/>
        <v>0</v>
      </c>
      <c r="Q851" s="279">
        <f t="shared" si="58"/>
        <v>0</v>
      </c>
      <c r="S851" s="279">
        <f t="shared" si="59"/>
        <v>0</v>
      </c>
      <c r="U851" s="385"/>
      <c r="V851" s="385"/>
      <c r="W851" s="385"/>
      <c r="X851" s="385"/>
    </row>
    <row r="852" spans="2:24" ht="14.4" x14ac:dyDescent="0.3">
      <c r="D852" s="420" t="s">
        <v>90</v>
      </c>
      <c r="E852" s="427"/>
      <c r="F852" s="427"/>
      <c r="G852" s="427"/>
      <c r="I852" s="40"/>
      <c r="K852" s="40">
        <f>SUM(K827:K851)</f>
        <v>0</v>
      </c>
      <c r="M852" s="40"/>
      <c r="O852" s="40"/>
      <c r="Q852" s="294">
        <f>SUM(Q827:Q851)</f>
        <v>0</v>
      </c>
      <c r="S852" s="294">
        <f>SUM(S827:S851)</f>
        <v>0</v>
      </c>
    </row>
    <row r="854" spans="2:24" ht="27.6" x14ac:dyDescent="0.3">
      <c r="Q854" s="44" t="str">
        <f>"FINANCIAL COST ("&amp;INDEX(LU_ACT_22_Meet_Curr,DD_ACT_22_Meet1_Curr)&amp;")"</f>
        <v>FINANCIAL COST (GOZ)</v>
      </c>
      <c r="S854" s="44" t="str">
        <f>"ECONOMIC COST ("&amp;INDEX(LU_ACT_22_Meet_Curr,DD_ACT_22_Meet1_Curr)&amp;")"</f>
        <v>ECONOMIC COST (GOZ)</v>
      </c>
      <c r="U854" s="44" t="str">
        <f>"FINANCIAL COST ("&amp;IF(DD_ACT_22_Meet1_Curr=2,$D$859,$D$860)&amp;")"</f>
        <v>FINANCIAL COST (USD)</v>
      </c>
      <c r="W854" s="44" t="str">
        <f>"ECONOMIC COST ("&amp;IF(DD_ACT_22_Meet1_Curr=2,$D$859,$D$860)&amp;")"</f>
        <v>ECONOMIC COST (USD)</v>
      </c>
    </row>
    <row r="855" spans="2:24" ht="18.600000000000001" thickBot="1" x14ac:dyDescent="0.35">
      <c r="B855" s="99" t="s">
        <v>91</v>
      </c>
      <c r="Q855" s="46">
        <f>SUM(Q733,Q762,Q793,Q822,Q852)</f>
        <v>0</v>
      </c>
      <c r="S855" s="46">
        <f>SUM(S733,S762,S793,S822,S852)</f>
        <v>0</v>
      </c>
      <c r="U855" s="47">
        <f>IFERROR(IF(DD_ACT_22_Meet1_Curr=2,$Q855/$I$860,$Q855*$I$860), 0)</f>
        <v>0</v>
      </c>
      <c r="W855" s="47">
        <f>IFERROR(IF(DD_ACT_22_Meet1_Curr=2,$S855/$I$860,$S855*$I$860), 0)</f>
        <v>0</v>
      </c>
    </row>
    <row r="856" spans="2:24" ht="14.4" thickTop="1" x14ac:dyDescent="0.3"/>
    <row r="857" spans="2:24" x14ac:dyDescent="0.3">
      <c r="C857" s="91" t="s">
        <v>584</v>
      </c>
    </row>
    <row r="858" spans="2:24" hidden="1" outlineLevel="1" x14ac:dyDescent="0.3"/>
    <row r="859" spans="2:24" ht="12.9" hidden="1" customHeight="1" outlineLevel="1" x14ac:dyDescent="0.3">
      <c r="D859" s="422" t="str">
        <f>CURR_TA!D13</f>
        <v>USD</v>
      </c>
      <c r="E859" s="423"/>
      <c r="F859" s="423"/>
      <c r="G859" s="423"/>
      <c r="I859" s="279">
        <f>CURR_TA!J13</f>
        <v>1</v>
      </c>
      <c r="J859" s="279">
        <f>CURR_TA!K13</f>
        <v>0</v>
      </c>
      <c r="K859" s="279">
        <f>CURR_TA!L13</f>
        <v>0</v>
      </c>
      <c r="L859" s="279">
        <f>CURR_TA!M13</f>
        <v>0</v>
      </c>
    </row>
    <row r="860" spans="2:24" ht="12.9" hidden="1" customHeight="1" outlineLevel="1" x14ac:dyDescent="0.3">
      <c r="D860" s="422" t="str">
        <f>CURR_TA!D14</f>
        <v>GOZ</v>
      </c>
      <c r="E860" s="423"/>
      <c r="F860" s="423"/>
      <c r="G860" s="423"/>
      <c r="I860" s="279">
        <f>CURR_TA!J14</f>
        <v>0</v>
      </c>
      <c r="J860" s="279">
        <f>CURR_TA!K14</f>
        <v>0</v>
      </c>
      <c r="K860" s="279">
        <f>CURR_TA!L14</f>
        <v>0</v>
      </c>
      <c r="L860" s="279">
        <f>CURR_TA!M14</f>
        <v>0</v>
      </c>
    </row>
    <row r="861" spans="2:24" collapsed="1" x14ac:dyDescent="0.3"/>
    <row r="863" spans="2:24" x14ac:dyDescent="0.3">
      <c r="C863" s="91" t="s">
        <v>586</v>
      </c>
    </row>
    <row r="864" spans="2:24" hidden="1" outlineLevel="1" x14ac:dyDescent="0.3">
      <c r="M864" s="40" t="str">
        <f>$D$859</f>
        <v>USD</v>
      </c>
      <c r="O864" s="40" t="str">
        <f>$D$859</f>
        <v>USD</v>
      </c>
      <c r="Q864" s="40" t="str">
        <f>$D$860</f>
        <v>GOZ</v>
      </c>
      <c r="S864" s="40" t="str">
        <f>$D$860</f>
        <v>GOZ</v>
      </c>
    </row>
    <row r="865" spans="3:19" hidden="1" outlineLevel="1" x14ac:dyDescent="0.3">
      <c r="C865" s="89" t="str">
        <f>RES_BA!D14</f>
        <v>Personnel Cadre - Other 1</v>
      </c>
      <c r="M865" s="40">
        <f>RES_BA!R14</f>
        <v>0</v>
      </c>
      <c r="O865" s="40">
        <f>RES_BA!S14</f>
        <v>0</v>
      </c>
      <c r="Q865" s="40">
        <f>RES_BA!T14</f>
        <v>0</v>
      </c>
      <c r="S865" s="40">
        <f>RES_BA!U14</f>
        <v>0</v>
      </c>
    </row>
    <row r="866" spans="3:19" hidden="1" outlineLevel="1" x14ac:dyDescent="0.3">
      <c r="C866" s="89" t="str">
        <f>RES_BA!D15</f>
        <v>Personnel Cadre - Other 2</v>
      </c>
      <c r="M866" s="40">
        <f>RES_BA!R15</f>
        <v>0</v>
      </c>
      <c r="O866" s="40">
        <f>RES_BA!S15</f>
        <v>0</v>
      </c>
      <c r="Q866" s="40">
        <f>RES_BA!T15</f>
        <v>0</v>
      </c>
      <c r="S866" s="40">
        <f>RES_BA!U15</f>
        <v>0</v>
      </c>
    </row>
    <row r="867" spans="3:19" hidden="1" outlineLevel="1" x14ac:dyDescent="0.3">
      <c r="C867" s="89" t="str">
        <f>RES_BA!D16</f>
        <v>Personnel Cadre - Other 3</v>
      </c>
      <c r="M867" s="40">
        <f>RES_BA!R16</f>
        <v>0</v>
      </c>
      <c r="O867" s="40">
        <f>RES_BA!S16</f>
        <v>0</v>
      </c>
      <c r="Q867" s="40">
        <f>RES_BA!T16</f>
        <v>0</v>
      </c>
      <c r="S867" s="40">
        <f>RES_BA!U16</f>
        <v>0</v>
      </c>
    </row>
    <row r="868" spans="3:19" hidden="1" outlineLevel="1" x14ac:dyDescent="0.3">
      <c r="C868" s="89" t="str">
        <f>RES_BA!D17</f>
        <v>Personnel Cadre - Other 4</v>
      </c>
      <c r="M868" s="40">
        <f>RES_BA!R17</f>
        <v>0</v>
      </c>
      <c r="O868" s="40">
        <f>RES_BA!S17</f>
        <v>0</v>
      </c>
      <c r="Q868" s="40">
        <f>RES_BA!T17</f>
        <v>0</v>
      </c>
      <c r="S868" s="40">
        <f>RES_BA!U17</f>
        <v>0</v>
      </c>
    </row>
    <row r="869" spans="3:19" hidden="1" outlineLevel="1" x14ac:dyDescent="0.3">
      <c r="C869" s="89" t="str">
        <f>RES_BA!D18</f>
        <v>Personnel Cadre - Other 5</v>
      </c>
      <c r="M869" s="40">
        <f>RES_BA!R18</f>
        <v>0</v>
      </c>
      <c r="O869" s="40">
        <f>RES_BA!S18</f>
        <v>0</v>
      </c>
      <c r="Q869" s="40">
        <f>RES_BA!T18</f>
        <v>0</v>
      </c>
      <c r="S869" s="40">
        <f>RES_BA!U18</f>
        <v>0</v>
      </c>
    </row>
    <row r="870" spans="3:19" hidden="1" outlineLevel="1" x14ac:dyDescent="0.3">
      <c r="C870" s="89" t="str">
        <f>RES_BA!D19</f>
        <v>Personnel Cadre - Other 6</v>
      </c>
      <c r="M870" s="40">
        <f>RES_BA!R19</f>
        <v>0</v>
      </c>
      <c r="O870" s="40">
        <f>RES_BA!S19</f>
        <v>0</v>
      </c>
      <c r="Q870" s="40">
        <f>RES_BA!T19</f>
        <v>0</v>
      </c>
      <c r="S870" s="40">
        <f>RES_BA!U19</f>
        <v>0</v>
      </c>
    </row>
    <row r="871" spans="3:19" hidden="1" outlineLevel="1" x14ac:dyDescent="0.3">
      <c r="C871" s="89" t="str">
        <f>RES_BA!D20</f>
        <v>Personnel Cadre - Other 7</v>
      </c>
      <c r="M871" s="40">
        <f>RES_BA!R20</f>
        <v>0</v>
      </c>
      <c r="O871" s="40">
        <f>RES_BA!S20</f>
        <v>0</v>
      </c>
      <c r="Q871" s="40">
        <f>RES_BA!T20</f>
        <v>0</v>
      </c>
      <c r="S871" s="40">
        <f>RES_BA!U20</f>
        <v>0</v>
      </c>
    </row>
    <row r="872" spans="3:19" hidden="1" outlineLevel="1" x14ac:dyDescent="0.3">
      <c r="C872" s="89" t="str">
        <f>RES_BA!D21</f>
        <v>Personnel Cadre - Other 8</v>
      </c>
      <c r="M872" s="40">
        <f>RES_BA!R21</f>
        <v>0</v>
      </c>
      <c r="O872" s="40">
        <f>RES_BA!S21</f>
        <v>0</v>
      </c>
      <c r="Q872" s="40">
        <f>RES_BA!T21</f>
        <v>0</v>
      </c>
      <c r="S872" s="40">
        <f>RES_BA!U21</f>
        <v>0</v>
      </c>
    </row>
    <row r="873" spans="3:19" hidden="1" outlineLevel="1" x14ac:dyDescent="0.3">
      <c r="C873" s="89" t="str">
        <f>RES_BA!D22</f>
        <v>Personnel Cadre - Other 9</v>
      </c>
      <c r="M873" s="40">
        <f>RES_BA!R22</f>
        <v>0</v>
      </c>
      <c r="O873" s="40">
        <f>RES_BA!S22</f>
        <v>0</v>
      </c>
      <c r="Q873" s="40">
        <f>RES_BA!T22</f>
        <v>0</v>
      </c>
      <c r="S873" s="40">
        <f>RES_BA!U22</f>
        <v>0</v>
      </c>
    </row>
    <row r="874" spans="3:19" hidden="1" outlineLevel="1" x14ac:dyDescent="0.3">
      <c r="C874" s="89" t="str">
        <f>RES_BA!D23</f>
        <v>Personnel Cadre - Other 10</v>
      </c>
      <c r="M874" s="40">
        <f>RES_BA!R23</f>
        <v>0</v>
      </c>
      <c r="O874" s="40">
        <f>RES_BA!S23</f>
        <v>0</v>
      </c>
      <c r="Q874" s="40">
        <f>RES_BA!T23</f>
        <v>0</v>
      </c>
      <c r="S874" s="40">
        <f>RES_BA!U23</f>
        <v>0</v>
      </c>
    </row>
    <row r="875" spans="3:19" hidden="1" outlineLevel="1" x14ac:dyDescent="0.3">
      <c r="C875" s="89" t="str">
        <f>RES_BA!D24</f>
        <v>Personnel Cadre - Other 11</v>
      </c>
      <c r="M875" s="40">
        <f>RES_BA!R24</f>
        <v>0</v>
      </c>
      <c r="O875" s="40">
        <f>RES_BA!S24</f>
        <v>0</v>
      </c>
      <c r="Q875" s="40">
        <f>RES_BA!T24</f>
        <v>0</v>
      </c>
      <c r="S875" s="40">
        <f>RES_BA!U24</f>
        <v>0</v>
      </c>
    </row>
    <row r="876" spans="3:19" hidden="1" outlineLevel="1" x14ac:dyDescent="0.3">
      <c r="C876" s="89" t="str">
        <f>RES_BA!D25</f>
        <v>Personnel Cadre - Other 12</v>
      </c>
      <c r="M876" s="40">
        <f>RES_BA!R25</f>
        <v>0</v>
      </c>
      <c r="O876" s="40">
        <f>RES_BA!S25</f>
        <v>0</v>
      </c>
      <c r="Q876" s="40">
        <f>RES_BA!T25</f>
        <v>0</v>
      </c>
      <c r="S876" s="40">
        <f>RES_BA!U25</f>
        <v>0</v>
      </c>
    </row>
    <row r="877" spans="3:19" hidden="1" outlineLevel="1" x14ac:dyDescent="0.3">
      <c r="C877" s="89" t="str">
        <f>RES_BA!D26</f>
        <v>Personnel Cadre - Other 13</v>
      </c>
      <c r="M877" s="40">
        <f>RES_BA!R26</f>
        <v>0</v>
      </c>
      <c r="O877" s="40">
        <f>RES_BA!S26</f>
        <v>0</v>
      </c>
      <c r="Q877" s="40">
        <f>RES_BA!T26</f>
        <v>0</v>
      </c>
      <c r="S877" s="40">
        <f>RES_BA!U26</f>
        <v>0</v>
      </c>
    </row>
    <row r="878" spans="3:19" hidden="1" outlineLevel="1" x14ac:dyDescent="0.3">
      <c r="C878" s="89" t="str">
        <f>RES_BA!D27</f>
        <v>Personnel Cadre - Other 14</v>
      </c>
      <c r="M878" s="40">
        <f>RES_BA!R27</f>
        <v>0</v>
      </c>
      <c r="O878" s="40">
        <f>RES_BA!S27</f>
        <v>0</v>
      </c>
      <c r="Q878" s="40">
        <f>RES_BA!T27</f>
        <v>0</v>
      </c>
      <c r="S878" s="40">
        <f>RES_BA!U27</f>
        <v>0</v>
      </c>
    </row>
    <row r="879" spans="3:19" hidden="1" outlineLevel="1" x14ac:dyDescent="0.3">
      <c r="C879" s="89" t="str">
        <f>RES_BA!D28</f>
        <v>Personnel Cadre - Other 15</v>
      </c>
      <c r="M879" s="40">
        <f>RES_BA!R28</f>
        <v>0</v>
      </c>
      <c r="O879" s="40">
        <f>RES_BA!S28</f>
        <v>0</v>
      </c>
      <c r="Q879" s="40">
        <f>RES_BA!T28</f>
        <v>0</v>
      </c>
      <c r="S879" s="40">
        <f>RES_BA!U28</f>
        <v>0</v>
      </c>
    </row>
    <row r="880" spans="3:19" s="277" customFormat="1" hidden="1" outlineLevel="1" collapsed="1" x14ac:dyDescent="0.3">
      <c r="C880" s="283" t="str">
        <f>RES_BA!D29</f>
        <v>Personnel Cadre - Other 16</v>
      </c>
      <c r="M880" s="279">
        <f>RES_BA!R29</f>
        <v>0</v>
      </c>
      <c r="O880" s="279">
        <f>RES_BA!S29</f>
        <v>0</v>
      </c>
      <c r="Q880" s="279">
        <f>RES_BA!T29</f>
        <v>0</v>
      </c>
      <c r="S880" s="279">
        <f>RES_BA!U29</f>
        <v>0</v>
      </c>
    </row>
    <row r="881" spans="3:19" s="277" customFormat="1" hidden="1" outlineLevel="1" collapsed="1" x14ac:dyDescent="0.3">
      <c r="C881" s="283" t="str">
        <f>RES_BA!D30</f>
        <v>Personnel Cadre - Other 17</v>
      </c>
      <c r="M881" s="279">
        <f>RES_BA!R30</f>
        <v>0</v>
      </c>
      <c r="O881" s="279">
        <f>RES_BA!S30</f>
        <v>0</v>
      </c>
      <c r="Q881" s="279">
        <f>RES_BA!T30</f>
        <v>0</v>
      </c>
      <c r="S881" s="279">
        <f>RES_BA!U30</f>
        <v>0</v>
      </c>
    </row>
    <row r="882" spans="3:19" s="277" customFormat="1" hidden="1" outlineLevel="1" collapsed="1" x14ac:dyDescent="0.3">
      <c r="C882" s="283" t="str">
        <f>RES_BA!D31</f>
        <v>Personnel Cadre - Other 18</v>
      </c>
      <c r="M882" s="279">
        <f>RES_BA!R31</f>
        <v>0</v>
      </c>
      <c r="O882" s="279">
        <f>RES_BA!S31</f>
        <v>0</v>
      </c>
      <c r="Q882" s="279">
        <f>RES_BA!T31</f>
        <v>0</v>
      </c>
      <c r="S882" s="279">
        <f>RES_BA!U31</f>
        <v>0</v>
      </c>
    </row>
    <row r="883" spans="3:19" s="277" customFormat="1" hidden="1" outlineLevel="1" x14ac:dyDescent="0.3">
      <c r="C883" s="283" t="str">
        <f>RES_BA!D32</f>
        <v>Personnel Cadre - Other 19</v>
      </c>
      <c r="M883" s="279">
        <f>RES_BA!R32</f>
        <v>0</v>
      </c>
      <c r="O883" s="279">
        <f>RES_BA!S32</f>
        <v>0</v>
      </c>
      <c r="Q883" s="279">
        <f>RES_BA!T32</f>
        <v>0</v>
      </c>
      <c r="S883" s="279">
        <f>RES_BA!U32</f>
        <v>0</v>
      </c>
    </row>
    <row r="884" spans="3:19" s="277" customFormat="1" hidden="1" outlineLevel="1" x14ac:dyDescent="0.3">
      <c r="C884" s="283" t="str">
        <f>RES_BA!D33</f>
        <v>Personnel Cadre - Other 20</v>
      </c>
      <c r="M884" s="279">
        <f>RES_BA!R33</f>
        <v>0</v>
      </c>
      <c r="O884" s="279">
        <f>RES_BA!S33</f>
        <v>0</v>
      </c>
      <c r="Q884" s="279">
        <f>RES_BA!T33</f>
        <v>0</v>
      </c>
      <c r="S884" s="279">
        <f>RES_BA!U33</f>
        <v>0</v>
      </c>
    </row>
    <row r="885" spans="3:19" s="277" customFormat="1" hidden="1" outlineLevel="1" collapsed="1" x14ac:dyDescent="0.3">
      <c r="C885" s="283" t="str">
        <f>RES_BA!D34</f>
        <v>Personnel Cadre - Other 21</v>
      </c>
      <c r="M885" s="279">
        <f>RES_BA!R34</f>
        <v>0</v>
      </c>
      <c r="O885" s="279">
        <f>RES_BA!S34</f>
        <v>0</v>
      </c>
      <c r="Q885" s="279">
        <f>RES_BA!T34</f>
        <v>0</v>
      </c>
      <c r="S885" s="279">
        <f>RES_BA!U34</f>
        <v>0</v>
      </c>
    </row>
    <row r="886" spans="3:19" s="277" customFormat="1" hidden="1" outlineLevel="1" x14ac:dyDescent="0.3">
      <c r="C886" s="283" t="str">
        <f>RES_BA!D35</f>
        <v>Personnel Cadre - Other 22</v>
      </c>
      <c r="M886" s="279">
        <f>RES_BA!R35</f>
        <v>0</v>
      </c>
      <c r="O886" s="279">
        <f>RES_BA!S35</f>
        <v>0</v>
      </c>
      <c r="Q886" s="279">
        <f>RES_BA!T35</f>
        <v>0</v>
      </c>
      <c r="S886" s="279">
        <f>RES_BA!U35</f>
        <v>0</v>
      </c>
    </row>
    <row r="887" spans="3:19" s="277" customFormat="1" hidden="1" outlineLevel="1" x14ac:dyDescent="0.3">
      <c r="C887" s="283" t="str">
        <f>RES_BA!D36</f>
        <v>Personnel Cadre - Other 23</v>
      </c>
      <c r="M887" s="279">
        <f>RES_BA!R36</f>
        <v>0</v>
      </c>
      <c r="O887" s="279">
        <f>RES_BA!S36</f>
        <v>0</v>
      </c>
      <c r="Q887" s="279">
        <f>RES_BA!T36</f>
        <v>0</v>
      </c>
      <c r="S887" s="279">
        <f>RES_BA!U36</f>
        <v>0</v>
      </c>
    </row>
    <row r="888" spans="3:19" s="277" customFormat="1" hidden="1" outlineLevel="1" x14ac:dyDescent="0.3">
      <c r="C888" s="283" t="str">
        <f>RES_BA!D37</f>
        <v>Personnel Cadre - Other 24</v>
      </c>
      <c r="M888" s="279">
        <f>RES_BA!R37</f>
        <v>0</v>
      </c>
      <c r="O888" s="279">
        <f>RES_BA!S37</f>
        <v>0</v>
      </c>
      <c r="Q888" s="279">
        <f>RES_BA!T37</f>
        <v>0</v>
      </c>
      <c r="S888" s="279">
        <f>RES_BA!U37</f>
        <v>0</v>
      </c>
    </row>
    <row r="889" spans="3:19" s="277" customFormat="1" hidden="1" outlineLevel="1" x14ac:dyDescent="0.3">
      <c r="C889" s="283" t="str">
        <f>RES_BA!D38</f>
        <v>Personnel Cadre - Other 25</v>
      </c>
      <c r="M889" s="279">
        <f>RES_BA!R38</f>
        <v>0</v>
      </c>
      <c r="O889" s="279">
        <f>RES_BA!S38</f>
        <v>0</v>
      </c>
      <c r="Q889" s="279">
        <f>RES_BA!T38</f>
        <v>0</v>
      </c>
      <c r="S889" s="279">
        <f>RES_BA!U38</f>
        <v>0</v>
      </c>
    </row>
    <row r="890" spans="3:19" s="277" customFormat="1" hidden="1" outlineLevel="1" x14ac:dyDescent="0.3">
      <c r="C890" s="283" t="str">
        <f>RES_BA!D39</f>
        <v>Personnel Cadre - Other 26</v>
      </c>
      <c r="M890" s="279">
        <f>RES_BA!R39</f>
        <v>0</v>
      </c>
      <c r="O890" s="279">
        <f>RES_BA!S39</f>
        <v>0</v>
      </c>
      <c r="Q890" s="279">
        <f>RES_BA!T39</f>
        <v>0</v>
      </c>
      <c r="S890" s="279">
        <f>RES_BA!U39</f>
        <v>0</v>
      </c>
    </row>
    <row r="891" spans="3:19" s="277" customFormat="1" hidden="1" outlineLevel="1" x14ac:dyDescent="0.3">
      <c r="C891" s="283" t="str">
        <f>RES_BA!D40</f>
        <v>Personnel Cadre - Other 27</v>
      </c>
      <c r="M891" s="279">
        <f>RES_BA!R40</f>
        <v>0</v>
      </c>
      <c r="O891" s="279">
        <f>RES_BA!S40</f>
        <v>0</v>
      </c>
      <c r="Q891" s="279">
        <f>RES_BA!T40</f>
        <v>0</v>
      </c>
      <c r="S891" s="279">
        <f>RES_BA!U40</f>
        <v>0</v>
      </c>
    </row>
    <row r="892" spans="3:19" s="277" customFormat="1" hidden="1" outlineLevel="1" x14ac:dyDescent="0.3">
      <c r="C892" s="283" t="str">
        <f>RES_BA!D41</f>
        <v>Personnel Cadre - Other 28</v>
      </c>
      <c r="M892" s="279">
        <f>RES_BA!R41</f>
        <v>0</v>
      </c>
      <c r="O892" s="279">
        <f>RES_BA!S41</f>
        <v>0</v>
      </c>
      <c r="Q892" s="279">
        <f>RES_BA!T41</f>
        <v>0</v>
      </c>
      <c r="S892" s="279">
        <f>RES_BA!U41</f>
        <v>0</v>
      </c>
    </row>
    <row r="893" spans="3:19" s="277" customFormat="1" hidden="1" outlineLevel="1" x14ac:dyDescent="0.3">
      <c r="C893" s="283" t="str">
        <f>RES_BA!D42</f>
        <v>Personnel Cadre - Other 29</v>
      </c>
      <c r="M893" s="279">
        <f>RES_BA!R42</f>
        <v>0</v>
      </c>
      <c r="O893" s="279">
        <f>RES_BA!S42</f>
        <v>0</v>
      </c>
      <c r="Q893" s="279">
        <f>RES_BA!T42</f>
        <v>0</v>
      </c>
      <c r="S893" s="279">
        <f>RES_BA!U42</f>
        <v>0</v>
      </c>
    </row>
    <row r="894" spans="3:19" s="277" customFormat="1" hidden="1" outlineLevel="1" x14ac:dyDescent="0.3">
      <c r="C894" s="283" t="str">
        <f>RES_BA!D43</f>
        <v>Personnel Cadre - Other 30</v>
      </c>
      <c r="M894" s="279">
        <f>RES_BA!R43</f>
        <v>0</v>
      </c>
      <c r="O894" s="279">
        <f>RES_BA!S43</f>
        <v>0</v>
      </c>
      <c r="Q894" s="279">
        <f>RES_BA!T43</f>
        <v>0</v>
      </c>
      <c r="S894" s="279">
        <f>RES_BA!U43</f>
        <v>0</v>
      </c>
    </row>
    <row r="895" spans="3:19" s="277" customFormat="1" hidden="1" outlineLevel="1" x14ac:dyDescent="0.3">
      <c r="C895" s="283" t="str">
        <f>RES_BA!D44</f>
        <v>Personnel Cadre - Other 31</v>
      </c>
      <c r="M895" s="279">
        <f>RES_BA!R44</f>
        <v>0</v>
      </c>
      <c r="O895" s="279">
        <f>RES_BA!S44</f>
        <v>0</v>
      </c>
      <c r="Q895" s="279">
        <f>RES_BA!T44</f>
        <v>0</v>
      </c>
      <c r="S895" s="279">
        <f>RES_BA!U44</f>
        <v>0</v>
      </c>
    </row>
    <row r="896" spans="3:19" s="277" customFormat="1" hidden="1" outlineLevel="1" x14ac:dyDescent="0.3">
      <c r="C896" s="283" t="str">
        <f>RES_BA!D45</f>
        <v>Personnel Cadre - Other 32</v>
      </c>
      <c r="M896" s="279">
        <f>RES_BA!R45</f>
        <v>0</v>
      </c>
      <c r="O896" s="279">
        <f>RES_BA!S45</f>
        <v>0</v>
      </c>
      <c r="Q896" s="279">
        <f>RES_BA!T45</f>
        <v>0</v>
      </c>
      <c r="S896" s="279">
        <f>RES_BA!U45</f>
        <v>0</v>
      </c>
    </row>
    <row r="897" spans="3:19" s="277" customFormat="1" hidden="1" outlineLevel="1" x14ac:dyDescent="0.3">
      <c r="C897" s="283" t="str">
        <f>RES_BA!D46</f>
        <v>Personnel Cadre - Other 33</v>
      </c>
      <c r="M897" s="279">
        <f>RES_BA!R46</f>
        <v>0</v>
      </c>
      <c r="O897" s="279">
        <f>RES_BA!S46</f>
        <v>0</v>
      </c>
      <c r="Q897" s="279">
        <f>RES_BA!T46</f>
        <v>0</v>
      </c>
      <c r="S897" s="279">
        <f>RES_BA!U46</f>
        <v>0</v>
      </c>
    </row>
    <row r="898" spans="3:19" s="277" customFormat="1" hidden="1" outlineLevel="1" x14ac:dyDescent="0.3">
      <c r="C898" s="283" t="str">
        <f>RES_BA!D47</f>
        <v>Personnel Cadre - Other 34</v>
      </c>
      <c r="M898" s="279">
        <f>RES_BA!R47</f>
        <v>0</v>
      </c>
      <c r="O898" s="279">
        <f>RES_BA!S47</f>
        <v>0</v>
      </c>
      <c r="Q898" s="279">
        <f>RES_BA!T47</f>
        <v>0</v>
      </c>
      <c r="S898" s="279">
        <f>RES_BA!U47</f>
        <v>0</v>
      </c>
    </row>
    <row r="899" spans="3:19" s="277" customFormat="1" hidden="1" outlineLevel="1" x14ac:dyDescent="0.3">
      <c r="C899" s="283" t="str">
        <f>RES_BA!D48</f>
        <v>Personnel Cadre - Other 35</v>
      </c>
      <c r="M899" s="279">
        <f>RES_BA!R48</f>
        <v>0</v>
      </c>
      <c r="O899" s="279">
        <f>RES_BA!S48</f>
        <v>0</v>
      </c>
      <c r="Q899" s="279">
        <f>RES_BA!T48</f>
        <v>0</v>
      </c>
      <c r="S899" s="279">
        <f>RES_BA!U48</f>
        <v>0</v>
      </c>
    </row>
    <row r="900" spans="3:19" hidden="1" outlineLevel="1" x14ac:dyDescent="0.3"/>
    <row r="901" spans="3:19" hidden="1" outlineLevel="1" x14ac:dyDescent="0.3">
      <c r="M901" s="40" t="str">
        <f>$D$859</f>
        <v>USD</v>
      </c>
      <c r="O901" s="40" t="str">
        <f>$D$859</f>
        <v>USD</v>
      </c>
      <c r="Q901" s="40" t="str">
        <f>$D$860</f>
        <v>GOZ</v>
      </c>
      <c r="S901" s="40" t="str">
        <f>$D$860</f>
        <v>GOZ</v>
      </c>
    </row>
    <row r="902" spans="3:19" hidden="1" outlineLevel="1" x14ac:dyDescent="0.3">
      <c r="C902" s="89" t="str">
        <f>RES_BA!D53</f>
        <v>Allowances Category 1</v>
      </c>
      <c r="M902" s="40">
        <f>RES_BA!R53</f>
        <v>0</v>
      </c>
      <c r="O902" s="40">
        <f>RES_BA!S53</f>
        <v>0</v>
      </c>
      <c r="Q902" s="40">
        <f>RES_BA!T53</f>
        <v>0</v>
      </c>
      <c r="S902" s="40">
        <f>RES_BA!U53</f>
        <v>0</v>
      </c>
    </row>
    <row r="903" spans="3:19" hidden="1" outlineLevel="1" x14ac:dyDescent="0.3">
      <c r="C903" s="89" t="str">
        <f>RES_BA!D54</f>
        <v>Allowances Category 2</v>
      </c>
      <c r="M903" s="40">
        <f>RES_BA!R54</f>
        <v>0</v>
      </c>
      <c r="O903" s="40">
        <f>RES_BA!S54</f>
        <v>0</v>
      </c>
      <c r="Q903" s="40">
        <f>RES_BA!T54</f>
        <v>0</v>
      </c>
      <c r="S903" s="40">
        <f>RES_BA!U54</f>
        <v>0</v>
      </c>
    </row>
    <row r="904" spans="3:19" hidden="1" outlineLevel="1" x14ac:dyDescent="0.3">
      <c r="C904" s="89" t="str">
        <f>RES_BA!D55</f>
        <v>Allowances Category 3</v>
      </c>
      <c r="M904" s="40">
        <f>RES_BA!R55</f>
        <v>0</v>
      </c>
      <c r="O904" s="40">
        <f>RES_BA!S55</f>
        <v>0</v>
      </c>
      <c r="Q904" s="40">
        <f>RES_BA!T55</f>
        <v>0</v>
      </c>
      <c r="S904" s="40">
        <f>RES_BA!U55</f>
        <v>0</v>
      </c>
    </row>
    <row r="905" spans="3:19" hidden="1" outlineLevel="1" x14ac:dyDescent="0.3">
      <c r="C905" s="89" t="str">
        <f>RES_BA!D56</f>
        <v>Allowances Category 4</v>
      </c>
      <c r="M905" s="40">
        <f>RES_BA!R56</f>
        <v>0</v>
      </c>
      <c r="O905" s="40">
        <f>RES_BA!S56</f>
        <v>0</v>
      </c>
      <c r="Q905" s="40">
        <f>RES_BA!T56</f>
        <v>0</v>
      </c>
      <c r="S905" s="40">
        <f>RES_BA!U56</f>
        <v>0</v>
      </c>
    </row>
    <row r="906" spans="3:19" hidden="1" outlineLevel="1" x14ac:dyDescent="0.3">
      <c r="C906" s="89" t="str">
        <f>RES_BA!D57</f>
        <v>Allowances Category 5</v>
      </c>
      <c r="M906" s="40">
        <f>RES_BA!R57</f>
        <v>0</v>
      </c>
      <c r="O906" s="40">
        <f>RES_BA!S57</f>
        <v>0</v>
      </c>
      <c r="Q906" s="40">
        <f>RES_BA!T57</f>
        <v>0</v>
      </c>
      <c r="S906" s="40">
        <f>RES_BA!U57</f>
        <v>0</v>
      </c>
    </row>
    <row r="907" spans="3:19" s="277" customFormat="1" hidden="1" outlineLevel="1" collapsed="1" x14ac:dyDescent="0.3">
      <c r="C907" s="283" t="str">
        <f>RES_BA!D58</f>
        <v>Allowances Category 6</v>
      </c>
      <c r="M907" s="279">
        <f>RES_BA!R58</f>
        <v>0</v>
      </c>
      <c r="O907" s="279">
        <f>RES_BA!S58</f>
        <v>0</v>
      </c>
      <c r="Q907" s="279">
        <f>RES_BA!T58</f>
        <v>0</v>
      </c>
      <c r="S907" s="279">
        <f>RES_BA!U58</f>
        <v>0</v>
      </c>
    </row>
    <row r="908" spans="3:19" s="277" customFormat="1" hidden="1" outlineLevel="1" x14ac:dyDescent="0.3">
      <c r="C908" s="283" t="str">
        <f>RES_BA!D59</f>
        <v>Allowances Category 7</v>
      </c>
      <c r="M908" s="279">
        <f>RES_BA!R59</f>
        <v>0</v>
      </c>
      <c r="O908" s="279">
        <f>RES_BA!S59</f>
        <v>0</v>
      </c>
      <c r="Q908" s="279">
        <f>RES_BA!T59</f>
        <v>0</v>
      </c>
      <c r="S908" s="279">
        <f>RES_BA!U59</f>
        <v>0</v>
      </c>
    </row>
    <row r="909" spans="3:19" s="277" customFormat="1" hidden="1" outlineLevel="1" x14ac:dyDescent="0.3">
      <c r="C909" s="283" t="str">
        <f>RES_BA!D60</f>
        <v>Allowances Category 8</v>
      </c>
      <c r="M909" s="279">
        <f>RES_BA!R60</f>
        <v>0</v>
      </c>
      <c r="O909" s="279">
        <f>RES_BA!S60</f>
        <v>0</v>
      </c>
      <c r="Q909" s="279">
        <f>RES_BA!T60</f>
        <v>0</v>
      </c>
      <c r="S909" s="279">
        <f>RES_BA!U60</f>
        <v>0</v>
      </c>
    </row>
    <row r="910" spans="3:19" s="277" customFormat="1" hidden="1" outlineLevel="1" x14ac:dyDescent="0.3">
      <c r="C910" s="283" t="str">
        <f>RES_BA!D61</f>
        <v>Allowances Category 9</v>
      </c>
      <c r="M910" s="279">
        <f>RES_BA!R61</f>
        <v>0</v>
      </c>
      <c r="O910" s="279">
        <f>RES_BA!S61</f>
        <v>0</v>
      </c>
      <c r="Q910" s="279">
        <f>RES_BA!T61</f>
        <v>0</v>
      </c>
      <c r="S910" s="279">
        <f>RES_BA!U61</f>
        <v>0</v>
      </c>
    </row>
    <row r="911" spans="3:19" s="277" customFormat="1" hidden="1" outlineLevel="1" x14ac:dyDescent="0.3">
      <c r="C911" s="283" t="str">
        <f>RES_BA!D62</f>
        <v>Allowances Category 10</v>
      </c>
      <c r="M911" s="279">
        <f>RES_BA!R62</f>
        <v>0</v>
      </c>
      <c r="O911" s="279">
        <f>RES_BA!S62</f>
        <v>0</v>
      </c>
      <c r="Q911" s="279">
        <f>RES_BA!T62</f>
        <v>0</v>
      </c>
      <c r="S911" s="279">
        <f>RES_BA!U62</f>
        <v>0</v>
      </c>
    </row>
    <row r="912" spans="3:19" s="277" customFormat="1" hidden="1" outlineLevel="1" x14ac:dyDescent="0.3">
      <c r="C912" s="283" t="str">
        <f>RES_BA!D63</f>
        <v>Allowances Category 11</v>
      </c>
      <c r="M912" s="279">
        <f>RES_BA!R63</f>
        <v>0</v>
      </c>
      <c r="O912" s="279">
        <f>RES_BA!S63</f>
        <v>0</v>
      </c>
      <c r="Q912" s="279">
        <f>RES_BA!T63</f>
        <v>0</v>
      </c>
      <c r="S912" s="279">
        <f>RES_BA!U63</f>
        <v>0</v>
      </c>
    </row>
    <row r="913" spans="3:19" s="277" customFormat="1" hidden="1" outlineLevel="1" x14ac:dyDescent="0.3">
      <c r="C913" s="283" t="str">
        <f>RES_BA!D64</f>
        <v>Allowances Category 12</v>
      </c>
      <c r="M913" s="279">
        <f>RES_BA!R64</f>
        <v>0</v>
      </c>
      <c r="O913" s="279">
        <f>RES_BA!S64</f>
        <v>0</v>
      </c>
      <c r="Q913" s="279">
        <f>RES_BA!T64</f>
        <v>0</v>
      </c>
      <c r="S913" s="279">
        <f>RES_BA!U64</f>
        <v>0</v>
      </c>
    </row>
    <row r="914" spans="3:19" s="277" customFormat="1" hidden="1" outlineLevel="1" x14ac:dyDescent="0.3">
      <c r="C914" s="283" t="str">
        <f>RES_BA!D65</f>
        <v>Allowances Category 13</v>
      </c>
      <c r="M914" s="279">
        <f>RES_BA!R65</f>
        <v>0</v>
      </c>
      <c r="O914" s="279">
        <f>RES_BA!S65</f>
        <v>0</v>
      </c>
      <c r="Q914" s="279">
        <f>RES_BA!T65</f>
        <v>0</v>
      </c>
      <c r="S914" s="279">
        <f>RES_BA!U65</f>
        <v>0</v>
      </c>
    </row>
    <row r="915" spans="3:19" s="277" customFormat="1" hidden="1" outlineLevel="1" x14ac:dyDescent="0.3">
      <c r="C915" s="283" t="str">
        <f>RES_BA!D66</f>
        <v>Allowances Category 14</v>
      </c>
      <c r="M915" s="279">
        <f>RES_BA!R66</f>
        <v>0</v>
      </c>
      <c r="O915" s="279">
        <f>RES_BA!S66</f>
        <v>0</v>
      </c>
      <c r="Q915" s="279">
        <f>RES_BA!T66</f>
        <v>0</v>
      </c>
      <c r="S915" s="279">
        <f>RES_BA!U66</f>
        <v>0</v>
      </c>
    </row>
    <row r="916" spans="3:19" s="277" customFormat="1" hidden="1" outlineLevel="1" x14ac:dyDescent="0.3">
      <c r="C916" s="283" t="str">
        <f>RES_BA!D67</f>
        <v>Allowances Category 15</v>
      </c>
      <c r="M916" s="279">
        <f>RES_BA!R67</f>
        <v>0</v>
      </c>
      <c r="O916" s="279">
        <f>RES_BA!S67</f>
        <v>0</v>
      </c>
      <c r="Q916" s="279">
        <f>RES_BA!T67</f>
        <v>0</v>
      </c>
      <c r="S916" s="279">
        <f>RES_BA!U67</f>
        <v>0</v>
      </c>
    </row>
    <row r="917" spans="3:19" s="277" customFormat="1" hidden="1" outlineLevel="1" x14ac:dyDescent="0.3">
      <c r="C917" s="283" t="str">
        <f>RES_BA!D68</f>
        <v>Allowances Category 16</v>
      </c>
      <c r="M917" s="279">
        <f>RES_BA!R68</f>
        <v>0</v>
      </c>
      <c r="O917" s="279">
        <f>RES_BA!S68</f>
        <v>0</v>
      </c>
      <c r="Q917" s="279">
        <f>RES_BA!T68</f>
        <v>0</v>
      </c>
      <c r="S917" s="279">
        <f>RES_BA!U68</f>
        <v>0</v>
      </c>
    </row>
    <row r="918" spans="3:19" hidden="1" outlineLevel="1" x14ac:dyDescent="0.3">
      <c r="C918" s="89" t="str">
        <f>RES_BA!D69</f>
        <v>Allowances Category 17</v>
      </c>
      <c r="M918" s="40">
        <f>RES_BA!R69</f>
        <v>0</v>
      </c>
      <c r="O918" s="40">
        <f>RES_BA!S69</f>
        <v>0</v>
      </c>
      <c r="Q918" s="40">
        <f>RES_BA!T69</f>
        <v>0</v>
      </c>
      <c r="S918" s="40">
        <f>RES_BA!U69</f>
        <v>0</v>
      </c>
    </row>
    <row r="919" spans="3:19" hidden="1" outlineLevel="1" x14ac:dyDescent="0.3">
      <c r="C919" s="89" t="str">
        <f>RES_BA!D70</f>
        <v>Allowances Category 18</v>
      </c>
      <c r="M919" s="40">
        <f>RES_BA!R70</f>
        <v>0</v>
      </c>
      <c r="O919" s="40">
        <f>RES_BA!S70</f>
        <v>0</v>
      </c>
      <c r="Q919" s="40">
        <f>RES_BA!T70</f>
        <v>0</v>
      </c>
      <c r="S919" s="40">
        <f>RES_BA!U70</f>
        <v>0</v>
      </c>
    </row>
    <row r="920" spans="3:19" hidden="1" outlineLevel="1" x14ac:dyDescent="0.3">
      <c r="C920" s="89" t="str">
        <f>RES_BA!D71</f>
        <v>Allowances Category 19</v>
      </c>
      <c r="M920" s="40">
        <f>RES_BA!R71</f>
        <v>0</v>
      </c>
      <c r="O920" s="40">
        <f>RES_BA!S71</f>
        <v>0</v>
      </c>
      <c r="Q920" s="40">
        <f>RES_BA!T71</f>
        <v>0</v>
      </c>
      <c r="S920" s="40">
        <f>RES_BA!U71</f>
        <v>0</v>
      </c>
    </row>
    <row r="921" spans="3:19" hidden="1" outlineLevel="1" x14ac:dyDescent="0.3">
      <c r="C921" s="89" t="str">
        <f>RES_BA!D72</f>
        <v>Allowances Category 20</v>
      </c>
      <c r="M921" s="40">
        <f>RES_BA!R72</f>
        <v>0</v>
      </c>
      <c r="O921" s="40">
        <f>RES_BA!S72</f>
        <v>0</v>
      </c>
      <c r="Q921" s="40">
        <f>RES_BA!T72</f>
        <v>0</v>
      </c>
      <c r="S921" s="40">
        <f>RES_BA!U72</f>
        <v>0</v>
      </c>
    </row>
    <row r="922" spans="3:19" hidden="1" outlineLevel="1" x14ac:dyDescent="0.3">
      <c r="C922" s="89" t="str">
        <f>RES_BA!D73</f>
        <v>Allowances Category 21</v>
      </c>
      <c r="M922" s="40">
        <f>RES_BA!R73</f>
        <v>0</v>
      </c>
      <c r="O922" s="40">
        <f>RES_BA!S73</f>
        <v>0</v>
      </c>
      <c r="Q922" s="40">
        <f>RES_BA!T73</f>
        <v>0</v>
      </c>
      <c r="S922" s="40">
        <f>RES_BA!U73</f>
        <v>0</v>
      </c>
    </row>
    <row r="923" spans="3:19" hidden="1" outlineLevel="1" x14ac:dyDescent="0.3">
      <c r="C923" s="89" t="str">
        <f>RES_BA!D74</f>
        <v>Allowances Category 22</v>
      </c>
      <c r="M923" s="40">
        <f>RES_BA!R74</f>
        <v>0</v>
      </c>
      <c r="O923" s="40">
        <f>RES_BA!S74</f>
        <v>0</v>
      </c>
      <c r="Q923" s="40">
        <f>RES_BA!T74</f>
        <v>0</v>
      </c>
      <c r="S923" s="40">
        <f>RES_BA!U74</f>
        <v>0</v>
      </c>
    </row>
    <row r="924" spans="3:19" hidden="1" outlineLevel="1" x14ac:dyDescent="0.3">
      <c r="C924" s="89" t="str">
        <f>RES_BA!D75</f>
        <v>Allowances Category 23</v>
      </c>
      <c r="M924" s="40">
        <f>RES_BA!R75</f>
        <v>0</v>
      </c>
      <c r="O924" s="40">
        <f>RES_BA!S75</f>
        <v>0</v>
      </c>
      <c r="Q924" s="40">
        <f>RES_BA!T75</f>
        <v>0</v>
      </c>
      <c r="S924" s="40">
        <f>RES_BA!U75</f>
        <v>0</v>
      </c>
    </row>
    <row r="925" spans="3:19" s="277" customFormat="1" hidden="1" outlineLevel="1" collapsed="1" x14ac:dyDescent="0.3">
      <c r="C925" s="283" t="str">
        <f>RES_BA!D76</f>
        <v>Allowances Category 24</v>
      </c>
      <c r="M925" s="279">
        <f>RES_BA!R76</f>
        <v>0</v>
      </c>
      <c r="O925" s="279">
        <f>RES_BA!S76</f>
        <v>0</v>
      </c>
      <c r="Q925" s="279">
        <f>RES_BA!T76</f>
        <v>0</v>
      </c>
      <c r="S925" s="279">
        <f>RES_BA!U76</f>
        <v>0</v>
      </c>
    </row>
    <row r="926" spans="3:19" s="277" customFormat="1" hidden="1" outlineLevel="1" x14ac:dyDescent="0.3">
      <c r="C926" s="283" t="str">
        <f>RES_BA!D77</f>
        <v>Allowances Category 25</v>
      </c>
      <c r="M926" s="279">
        <f>RES_BA!R77</f>
        <v>0</v>
      </c>
      <c r="O926" s="279">
        <f>RES_BA!S77</f>
        <v>0</v>
      </c>
      <c r="Q926" s="279">
        <f>RES_BA!T77</f>
        <v>0</v>
      </c>
      <c r="S926" s="279">
        <f>RES_BA!U77</f>
        <v>0</v>
      </c>
    </row>
    <row r="927" spans="3:19" s="277" customFormat="1" hidden="1" outlineLevel="1" x14ac:dyDescent="0.3">
      <c r="C927" s="283" t="str">
        <f>RES_BA!D78</f>
        <v>Allowances Category 26</v>
      </c>
      <c r="M927" s="279">
        <f>RES_BA!R78</f>
        <v>0</v>
      </c>
      <c r="O927" s="279">
        <f>RES_BA!S78</f>
        <v>0</v>
      </c>
      <c r="Q927" s="279">
        <f>RES_BA!T78</f>
        <v>0</v>
      </c>
      <c r="S927" s="279">
        <f>RES_BA!U78</f>
        <v>0</v>
      </c>
    </row>
    <row r="928" spans="3:19" s="277" customFormat="1" hidden="1" outlineLevel="1" x14ac:dyDescent="0.3">
      <c r="C928" s="283" t="str">
        <f>RES_BA!D79</f>
        <v>Allowances Category 27</v>
      </c>
      <c r="M928" s="279">
        <f>RES_BA!R79</f>
        <v>0</v>
      </c>
      <c r="O928" s="279">
        <f>RES_BA!S79</f>
        <v>0</v>
      </c>
      <c r="Q928" s="279">
        <f>RES_BA!T79</f>
        <v>0</v>
      </c>
      <c r="S928" s="279">
        <f>RES_BA!U79</f>
        <v>0</v>
      </c>
    </row>
    <row r="929" spans="3:19" s="277" customFormat="1" hidden="1" outlineLevel="1" x14ac:dyDescent="0.3">
      <c r="C929" s="283" t="str">
        <f>RES_BA!D80</f>
        <v>Allowances Category 28</v>
      </c>
      <c r="M929" s="279">
        <f>RES_BA!R80</f>
        <v>0</v>
      </c>
      <c r="O929" s="279">
        <f>RES_BA!S80</f>
        <v>0</v>
      </c>
      <c r="Q929" s="279">
        <f>RES_BA!T80</f>
        <v>0</v>
      </c>
      <c r="S929" s="279">
        <f>RES_BA!U80</f>
        <v>0</v>
      </c>
    </row>
    <row r="930" spans="3:19" s="277" customFormat="1" hidden="1" outlineLevel="1" x14ac:dyDescent="0.3">
      <c r="C930" s="283" t="str">
        <f>RES_BA!D81</f>
        <v>Allowances Category 29</v>
      </c>
      <c r="M930" s="279">
        <f>RES_BA!R81</f>
        <v>0</v>
      </c>
      <c r="O930" s="279">
        <f>RES_BA!S81</f>
        <v>0</v>
      </c>
      <c r="Q930" s="279">
        <f>RES_BA!T81</f>
        <v>0</v>
      </c>
      <c r="S930" s="279">
        <f>RES_BA!U81</f>
        <v>0</v>
      </c>
    </row>
    <row r="931" spans="3:19" s="277" customFormat="1" hidden="1" outlineLevel="1" x14ac:dyDescent="0.3">
      <c r="C931" s="283" t="str">
        <f>RES_BA!D82</f>
        <v>Allowances Category 30</v>
      </c>
      <c r="M931" s="279">
        <f>RES_BA!R82</f>
        <v>0</v>
      </c>
      <c r="O931" s="279">
        <f>RES_BA!S82</f>
        <v>0</v>
      </c>
      <c r="Q931" s="279">
        <f>RES_BA!T82</f>
        <v>0</v>
      </c>
      <c r="S931" s="279">
        <f>RES_BA!U82</f>
        <v>0</v>
      </c>
    </row>
    <row r="932" spans="3:19" hidden="1" outlineLevel="1" x14ac:dyDescent="0.3">
      <c r="C932" s="89" t="str">
        <f>RES_BA!D83</f>
        <v>Allowances Category 31</v>
      </c>
      <c r="M932" s="40">
        <f>RES_BA!R83</f>
        <v>0</v>
      </c>
      <c r="O932" s="40">
        <f>RES_BA!S83</f>
        <v>0</v>
      </c>
      <c r="Q932" s="40">
        <f>RES_BA!T83</f>
        <v>0</v>
      </c>
      <c r="S932" s="40">
        <f>RES_BA!U83</f>
        <v>0</v>
      </c>
    </row>
    <row r="933" spans="3:19" hidden="1" outlineLevel="1" x14ac:dyDescent="0.3">
      <c r="C933" s="89" t="str">
        <f>RES_BA!D84</f>
        <v>Allowances Category 32</v>
      </c>
      <c r="M933" s="40">
        <f>RES_BA!R84</f>
        <v>0</v>
      </c>
      <c r="O933" s="40">
        <f>RES_BA!S84</f>
        <v>0</v>
      </c>
      <c r="Q933" s="40">
        <f>RES_BA!T84</f>
        <v>0</v>
      </c>
      <c r="S933" s="40">
        <f>RES_BA!U84</f>
        <v>0</v>
      </c>
    </row>
    <row r="934" spans="3:19" hidden="1" outlineLevel="1" x14ac:dyDescent="0.3">
      <c r="C934" s="89" t="str">
        <f>RES_BA!D85</f>
        <v>Allowances Category 33</v>
      </c>
      <c r="M934" s="40">
        <f>RES_BA!R85</f>
        <v>0</v>
      </c>
      <c r="O934" s="40">
        <f>RES_BA!S85</f>
        <v>0</v>
      </c>
      <c r="Q934" s="40">
        <f>RES_BA!T85</f>
        <v>0</v>
      </c>
      <c r="S934" s="40">
        <f>RES_BA!U85</f>
        <v>0</v>
      </c>
    </row>
    <row r="935" spans="3:19" hidden="1" outlineLevel="1" x14ac:dyDescent="0.3">
      <c r="C935" s="89" t="str">
        <f>RES_BA!D86</f>
        <v>Allowances Category 34</v>
      </c>
      <c r="M935" s="40">
        <f>RES_BA!R86</f>
        <v>0</v>
      </c>
      <c r="O935" s="40">
        <f>RES_BA!S86</f>
        <v>0</v>
      </c>
      <c r="Q935" s="40">
        <f>RES_BA!T86</f>
        <v>0</v>
      </c>
      <c r="S935" s="40">
        <f>RES_BA!U86</f>
        <v>0</v>
      </c>
    </row>
    <row r="936" spans="3:19" hidden="1" outlineLevel="1" x14ac:dyDescent="0.3">
      <c r="C936" s="89" t="str">
        <f>RES_BA!D87</f>
        <v>Allowances Category 35</v>
      </c>
      <c r="M936" s="40">
        <f>RES_BA!R87</f>
        <v>0</v>
      </c>
      <c r="O936" s="40">
        <f>RES_BA!S87</f>
        <v>0</v>
      </c>
      <c r="Q936" s="40">
        <f>RES_BA!T87</f>
        <v>0</v>
      </c>
      <c r="S936" s="40">
        <f>RES_BA!U87</f>
        <v>0</v>
      </c>
    </row>
    <row r="937" spans="3:19" hidden="1" outlineLevel="1" x14ac:dyDescent="0.3"/>
    <row r="938" spans="3:19" hidden="1" outlineLevel="1" x14ac:dyDescent="0.3"/>
    <row r="939" spans="3:19" hidden="1" outlineLevel="1" x14ac:dyDescent="0.3">
      <c r="M939" s="40" t="str">
        <f>$D$859</f>
        <v>USD</v>
      </c>
      <c r="O939" s="40" t="str">
        <f>$D$859</f>
        <v>USD</v>
      </c>
      <c r="Q939" s="40" t="str">
        <f>$D$860</f>
        <v>GOZ</v>
      </c>
      <c r="S939" s="40" t="str">
        <f>$D$860</f>
        <v>GOZ</v>
      </c>
    </row>
    <row r="940" spans="3:19" hidden="1" outlineLevel="1" x14ac:dyDescent="0.3">
      <c r="C940" s="89" t="str">
        <f>RES_BA!D91</f>
        <v>Supplies Category 1</v>
      </c>
      <c r="M940" s="40">
        <f>RES_BA!R91</f>
        <v>0</v>
      </c>
      <c r="O940" s="40">
        <f>RES_BA!S91</f>
        <v>0</v>
      </c>
      <c r="Q940" s="40">
        <f>RES_BA!T91</f>
        <v>0</v>
      </c>
      <c r="S940" s="40">
        <f>RES_BA!U91</f>
        <v>0</v>
      </c>
    </row>
    <row r="941" spans="3:19" hidden="1" outlineLevel="1" x14ac:dyDescent="0.3">
      <c r="C941" s="89" t="str">
        <f>RES_BA!D92</f>
        <v>Supplies Category 2</v>
      </c>
      <c r="M941" s="40">
        <f>RES_BA!R92</f>
        <v>0</v>
      </c>
      <c r="O941" s="40">
        <f>RES_BA!S92</f>
        <v>0</v>
      </c>
      <c r="Q941" s="40">
        <f>RES_BA!T92</f>
        <v>0</v>
      </c>
      <c r="S941" s="40">
        <f>RES_BA!U92</f>
        <v>0</v>
      </c>
    </row>
    <row r="942" spans="3:19" hidden="1" outlineLevel="1" x14ac:dyDescent="0.3">
      <c r="C942" s="89" t="str">
        <f>RES_BA!D93</f>
        <v>Supplies Category 3</v>
      </c>
      <c r="M942" s="40">
        <f>RES_BA!R93</f>
        <v>0</v>
      </c>
      <c r="O942" s="40">
        <f>RES_BA!S93</f>
        <v>0</v>
      </c>
      <c r="Q942" s="40">
        <f>RES_BA!T93</f>
        <v>0</v>
      </c>
      <c r="S942" s="40">
        <f>RES_BA!U93</f>
        <v>0</v>
      </c>
    </row>
    <row r="943" spans="3:19" hidden="1" outlineLevel="1" x14ac:dyDescent="0.3">
      <c r="C943" s="89" t="str">
        <f>RES_BA!D94</f>
        <v>Supplies Category 4</v>
      </c>
      <c r="M943" s="40">
        <f>RES_BA!R94</f>
        <v>0</v>
      </c>
      <c r="O943" s="40">
        <f>RES_BA!S94</f>
        <v>0</v>
      </c>
      <c r="Q943" s="40">
        <f>RES_BA!T94</f>
        <v>0</v>
      </c>
      <c r="S943" s="40">
        <f>RES_BA!U94</f>
        <v>0</v>
      </c>
    </row>
    <row r="944" spans="3:19" hidden="1" outlineLevel="1" x14ac:dyDescent="0.3">
      <c r="C944" s="89" t="str">
        <f>RES_BA!D95</f>
        <v>Supplies Category 5</v>
      </c>
      <c r="M944" s="40">
        <f>RES_BA!R95</f>
        <v>0</v>
      </c>
      <c r="O944" s="40">
        <f>RES_BA!S95</f>
        <v>0</v>
      </c>
      <c r="Q944" s="40">
        <f>RES_BA!T95</f>
        <v>0</v>
      </c>
      <c r="S944" s="40">
        <f>RES_BA!U95</f>
        <v>0</v>
      </c>
    </row>
    <row r="945" spans="3:19" hidden="1" outlineLevel="1" x14ac:dyDescent="0.3">
      <c r="C945" s="89" t="str">
        <f>RES_BA!D96</f>
        <v>Supplies Category 6</v>
      </c>
      <c r="M945" s="40">
        <f>RES_BA!R96</f>
        <v>0</v>
      </c>
      <c r="O945" s="40">
        <f>RES_BA!S96</f>
        <v>0</v>
      </c>
      <c r="Q945" s="40">
        <f>RES_BA!T96</f>
        <v>0</v>
      </c>
      <c r="S945" s="40">
        <f>RES_BA!U96</f>
        <v>0</v>
      </c>
    </row>
    <row r="946" spans="3:19" hidden="1" outlineLevel="1" x14ac:dyDescent="0.3">
      <c r="C946" s="89" t="str">
        <f>RES_BA!D97</f>
        <v>Supplies Category 7</v>
      </c>
      <c r="M946" s="40">
        <f>RES_BA!R97</f>
        <v>0</v>
      </c>
      <c r="O946" s="40">
        <f>RES_BA!S97</f>
        <v>0</v>
      </c>
      <c r="Q946" s="40">
        <f>RES_BA!T97</f>
        <v>0</v>
      </c>
      <c r="S946" s="40">
        <f>RES_BA!U97</f>
        <v>0</v>
      </c>
    </row>
    <row r="947" spans="3:19" hidden="1" outlineLevel="1" x14ac:dyDescent="0.3">
      <c r="C947" s="89" t="str">
        <f>RES_BA!D98</f>
        <v>Supplies Category 8</v>
      </c>
      <c r="M947" s="40">
        <f>RES_BA!R98</f>
        <v>0</v>
      </c>
      <c r="O947" s="40">
        <f>RES_BA!S98</f>
        <v>0</v>
      </c>
      <c r="Q947" s="40">
        <f>RES_BA!T98</f>
        <v>0</v>
      </c>
      <c r="S947" s="40">
        <f>RES_BA!U98</f>
        <v>0</v>
      </c>
    </row>
    <row r="948" spans="3:19" hidden="1" outlineLevel="1" x14ac:dyDescent="0.3">
      <c r="C948" s="89" t="str">
        <f>RES_BA!D99</f>
        <v>Supplies Category 9</v>
      </c>
      <c r="M948" s="40">
        <f>RES_BA!R99</f>
        <v>0</v>
      </c>
      <c r="O948" s="40">
        <f>RES_BA!S99</f>
        <v>0</v>
      </c>
      <c r="Q948" s="40">
        <f>RES_BA!T99</f>
        <v>0</v>
      </c>
      <c r="S948" s="40">
        <f>RES_BA!U99</f>
        <v>0</v>
      </c>
    </row>
    <row r="949" spans="3:19" hidden="1" outlineLevel="1" x14ac:dyDescent="0.3">
      <c r="C949" s="89" t="str">
        <f>RES_BA!D100</f>
        <v>Supplies Category 10</v>
      </c>
      <c r="M949" s="40">
        <f>RES_BA!R100</f>
        <v>0</v>
      </c>
      <c r="O949" s="40">
        <f>RES_BA!S100</f>
        <v>0</v>
      </c>
      <c r="Q949" s="40">
        <f>RES_BA!T100</f>
        <v>0</v>
      </c>
      <c r="S949" s="40">
        <f>RES_BA!U100</f>
        <v>0</v>
      </c>
    </row>
    <row r="950" spans="3:19" hidden="1" outlineLevel="1" x14ac:dyDescent="0.3">
      <c r="C950" s="89" t="str">
        <f>RES_BA!D101</f>
        <v>Supplies Category 11</v>
      </c>
      <c r="M950" s="40">
        <f>RES_BA!R101</f>
        <v>0</v>
      </c>
      <c r="O950" s="40">
        <f>RES_BA!S101</f>
        <v>0</v>
      </c>
      <c r="Q950" s="40">
        <f>RES_BA!T101</f>
        <v>0</v>
      </c>
      <c r="S950" s="40">
        <f>RES_BA!U101</f>
        <v>0</v>
      </c>
    </row>
    <row r="951" spans="3:19" hidden="1" outlineLevel="1" x14ac:dyDescent="0.3">
      <c r="C951" s="89" t="str">
        <f>RES_BA!D102</f>
        <v>Supplies Category 12</v>
      </c>
      <c r="M951" s="40">
        <f>RES_BA!R102</f>
        <v>0</v>
      </c>
      <c r="O951" s="40">
        <f>RES_BA!S102</f>
        <v>0</v>
      </c>
      <c r="Q951" s="40">
        <f>RES_BA!T102</f>
        <v>0</v>
      </c>
      <c r="S951" s="40">
        <f>RES_BA!U102</f>
        <v>0</v>
      </c>
    </row>
    <row r="952" spans="3:19" hidden="1" outlineLevel="1" x14ac:dyDescent="0.3">
      <c r="C952" s="89" t="str">
        <f>RES_BA!D103</f>
        <v>Supplies Category 13</v>
      </c>
      <c r="M952" s="40">
        <f>RES_BA!R103</f>
        <v>0</v>
      </c>
      <c r="O952" s="40">
        <f>RES_BA!S103</f>
        <v>0</v>
      </c>
      <c r="Q952" s="40">
        <f>RES_BA!T103</f>
        <v>0</v>
      </c>
      <c r="S952" s="40">
        <f>RES_BA!U103</f>
        <v>0</v>
      </c>
    </row>
    <row r="953" spans="3:19" hidden="1" outlineLevel="1" x14ac:dyDescent="0.3">
      <c r="C953" s="89" t="str">
        <f>RES_BA!D104</f>
        <v>Supplies Category 14</v>
      </c>
      <c r="M953" s="40">
        <f>RES_BA!R104</f>
        <v>0</v>
      </c>
      <c r="O953" s="40">
        <f>RES_BA!S104</f>
        <v>0</v>
      </c>
      <c r="Q953" s="40">
        <f>RES_BA!T104</f>
        <v>0</v>
      </c>
      <c r="S953" s="40">
        <f>RES_BA!U104</f>
        <v>0</v>
      </c>
    </row>
    <row r="954" spans="3:19" hidden="1" outlineLevel="1" x14ac:dyDescent="0.3">
      <c r="C954" s="89" t="str">
        <f>RES_BA!D105</f>
        <v>Supplies Category 15</v>
      </c>
      <c r="M954" s="40">
        <f>RES_BA!R105</f>
        <v>0</v>
      </c>
      <c r="O954" s="40">
        <f>RES_BA!S105</f>
        <v>0</v>
      </c>
      <c r="Q954" s="40">
        <f>RES_BA!T105</f>
        <v>0</v>
      </c>
      <c r="S954" s="40">
        <f>RES_BA!U105</f>
        <v>0</v>
      </c>
    </row>
    <row r="955" spans="3:19" hidden="1" outlineLevel="1" x14ac:dyDescent="0.3">
      <c r="C955" s="89" t="str">
        <f>RES_BA!D106</f>
        <v>Supplies Category 16</v>
      </c>
      <c r="M955" s="40">
        <f>RES_BA!R106</f>
        <v>0</v>
      </c>
      <c r="O955" s="40">
        <f>RES_BA!S106</f>
        <v>0</v>
      </c>
      <c r="Q955" s="40">
        <f>RES_BA!T106</f>
        <v>0</v>
      </c>
      <c r="S955" s="40">
        <f>RES_BA!U106</f>
        <v>0</v>
      </c>
    </row>
    <row r="956" spans="3:19" s="277" customFormat="1" hidden="1" outlineLevel="1" collapsed="1" x14ac:dyDescent="0.3">
      <c r="C956" s="283" t="str">
        <f>RES_BA!D107</f>
        <v>Supplies Category 17</v>
      </c>
      <c r="M956" s="279">
        <f>RES_BA!R107</f>
        <v>0</v>
      </c>
      <c r="O956" s="279">
        <f>RES_BA!S107</f>
        <v>0</v>
      </c>
      <c r="Q956" s="279">
        <f>RES_BA!T107</f>
        <v>0</v>
      </c>
      <c r="S956" s="279">
        <f>RES_BA!U107</f>
        <v>0</v>
      </c>
    </row>
    <row r="957" spans="3:19" s="277" customFormat="1" hidden="1" outlineLevel="1" x14ac:dyDescent="0.3">
      <c r="C957" s="283" t="str">
        <f>RES_BA!D108</f>
        <v>Supplies Category 18</v>
      </c>
      <c r="M957" s="279">
        <f>RES_BA!R108</f>
        <v>0</v>
      </c>
      <c r="O957" s="279">
        <f>RES_BA!S108</f>
        <v>0</v>
      </c>
      <c r="Q957" s="279">
        <f>RES_BA!T108</f>
        <v>0</v>
      </c>
      <c r="S957" s="279">
        <f>RES_BA!U108</f>
        <v>0</v>
      </c>
    </row>
    <row r="958" spans="3:19" s="277" customFormat="1" hidden="1" outlineLevel="1" x14ac:dyDescent="0.3">
      <c r="C958" s="283" t="str">
        <f>RES_BA!D109</f>
        <v>Supplies Category 19</v>
      </c>
      <c r="M958" s="279">
        <f>RES_BA!R109</f>
        <v>0</v>
      </c>
      <c r="O958" s="279">
        <f>RES_BA!S109</f>
        <v>0</v>
      </c>
      <c r="Q958" s="279">
        <f>RES_BA!T109</f>
        <v>0</v>
      </c>
      <c r="S958" s="279">
        <f>RES_BA!U109</f>
        <v>0</v>
      </c>
    </row>
    <row r="959" spans="3:19" s="277" customFormat="1" hidden="1" outlineLevel="1" x14ac:dyDescent="0.3">
      <c r="C959" s="283" t="str">
        <f>RES_BA!D110</f>
        <v>Supplies Category 20</v>
      </c>
      <c r="M959" s="279">
        <f>RES_BA!R110</f>
        <v>0</v>
      </c>
      <c r="O959" s="279">
        <f>RES_BA!S110</f>
        <v>0</v>
      </c>
      <c r="Q959" s="279">
        <f>RES_BA!T110</f>
        <v>0</v>
      </c>
      <c r="S959" s="279">
        <f>RES_BA!U110</f>
        <v>0</v>
      </c>
    </row>
    <row r="960" spans="3:19" s="277" customFormat="1" hidden="1" outlineLevel="1" x14ac:dyDescent="0.3">
      <c r="C960" s="283" t="str">
        <f>RES_BA!D111</f>
        <v>Supplies Category 21</v>
      </c>
      <c r="M960" s="279">
        <f>RES_BA!R111</f>
        <v>0</v>
      </c>
      <c r="O960" s="279">
        <f>RES_BA!S111</f>
        <v>0</v>
      </c>
      <c r="Q960" s="279">
        <f>RES_BA!T111</f>
        <v>0</v>
      </c>
      <c r="S960" s="279">
        <f>RES_BA!U111</f>
        <v>0</v>
      </c>
    </row>
    <row r="961" spans="3:19" s="277" customFormat="1" hidden="1" outlineLevel="1" x14ac:dyDescent="0.3">
      <c r="C961" s="283" t="str">
        <f>RES_BA!D112</f>
        <v>Supplies Category 22</v>
      </c>
      <c r="M961" s="279">
        <f>RES_BA!R112</f>
        <v>0</v>
      </c>
      <c r="O961" s="279">
        <f>RES_BA!S112</f>
        <v>0</v>
      </c>
      <c r="Q961" s="279">
        <f>RES_BA!T112</f>
        <v>0</v>
      </c>
      <c r="S961" s="279">
        <f>RES_BA!U112</f>
        <v>0</v>
      </c>
    </row>
    <row r="962" spans="3:19" s="277" customFormat="1" hidden="1" outlineLevel="1" x14ac:dyDescent="0.3">
      <c r="C962" s="283" t="str">
        <f>RES_BA!D113</f>
        <v>Supplies Category 23</v>
      </c>
      <c r="M962" s="279">
        <f>RES_BA!R113</f>
        <v>0</v>
      </c>
      <c r="O962" s="279">
        <f>RES_BA!S113</f>
        <v>0</v>
      </c>
      <c r="Q962" s="279">
        <f>RES_BA!T113</f>
        <v>0</v>
      </c>
      <c r="S962" s="279">
        <f>RES_BA!U113</f>
        <v>0</v>
      </c>
    </row>
    <row r="963" spans="3:19" s="277" customFormat="1" hidden="1" outlineLevel="1" x14ac:dyDescent="0.3">
      <c r="C963" s="283" t="str">
        <f>RES_BA!D114</f>
        <v>Supplies Category 24</v>
      </c>
      <c r="M963" s="279">
        <f>RES_BA!R114</f>
        <v>0</v>
      </c>
      <c r="O963" s="279">
        <f>RES_BA!S114</f>
        <v>0</v>
      </c>
      <c r="Q963" s="279">
        <f>RES_BA!T114</f>
        <v>0</v>
      </c>
      <c r="S963" s="279">
        <f>RES_BA!U114</f>
        <v>0</v>
      </c>
    </row>
    <row r="964" spans="3:19" s="277" customFormat="1" hidden="1" outlineLevel="1" x14ac:dyDescent="0.3">
      <c r="C964" s="283" t="str">
        <f>RES_BA!D115</f>
        <v>Supplies Category 25</v>
      </c>
      <c r="M964" s="279">
        <f>RES_BA!R115</f>
        <v>0</v>
      </c>
      <c r="O964" s="279">
        <f>RES_BA!S115</f>
        <v>0</v>
      </c>
      <c r="Q964" s="279">
        <f>RES_BA!T115</f>
        <v>0</v>
      </c>
      <c r="S964" s="279">
        <f>RES_BA!U115</f>
        <v>0</v>
      </c>
    </row>
    <row r="965" spans="3:19" s="277" customFormat="1" hidden="1" outlineLevel="1" x14ac:dyDescent="0.3">
      <c r="C965" s="283" t="str">
        <f>RES_BA!D116</f>
        <v>Supplies Category 26</v>
      </c>
      <c r="M965" s="279">
        <f>RES_BA!R116</f>
        <v>0</v>
      </c>
      <c r="O965" s="279">
        <f>RES_BA!S116</f>
        <v>0</v>
      </c>
      <c r="Q965" s="279">
        <f>RES_BA!T116</f>
        <v>0</v>
      </c>
      <c r="S965" s="279">
        <f>RES_BA!U116</f>
        <v>0</v>
      </c>
    </row>
    <row r="966" spans="3:19" s="277" customFormat="1" hidden="1" outlineLevel="1" x14ac:dyDescent="0.3">
      <c r="C966" s="283" t="str">
        <f>RES_BA!D117</f>
        <v>Supplies Category 27</v>
      </c>
      <c r="M966" s="279">
        <f>RES_BA!R117</f>
        <v>0</v>
      </c>
      <c r="O966" s="279">
        <f>RES_BA!S117</f>
        <v>0</v>
      </c>
      <c r="Q966" s="279">
        <f>RES_BA!T117</f>
        <v>0</v>
      </c>
      <c r="S966" s="279">
        <f>RES_BA!U117</f>
        <v>0</v>
      </c>
    </row>
    <row r="967" spans="3:19" s="277" customFormat="1" hidden="1" outlineLevel="1" x14ac:dyDescent="0.3">
      <c r="C967" s="283" t="str">
        <f>RES_BA!D118</f>
        <v>Supplies Category 28</v>
      </c>
      <c r="M967" s="279">
        <f>RES_BA!R118</f>
        <v>0</v>
      </c>
      <c r="O967" s="279">
        <f>RES_BA!S118</f>
        <v>0</v>
      </c>
      <c r="Q967" s="279">
        <f>RES_BA!T118</f>
        <v>0</v>
      </c>
      <c r="S967" s="279">
        <f>RES_BA!U118</f>
        <v>0</v>
      </c>
    </row>
    <row r="968" spans="3:19" s="277" customFormat="1" hidden="1" outlineLevel="1" x14ac:dyDescent="0.3">
      <c r="C968" s="283" t="str">
        <f>RES_BA!D119</f>
        <v>Supplies Category 29</v>
      </c>
      <c r="M968" s="279">
        <f>RES_BA!R119</f>
        <v>0</v>
      </c>
      <c r="O968" s="279">
        <f>RES_BA!S119</f>
        <v>0</v>
      </c>
      <c r="Q968" s="279">
        <f>RES_BA!T119</f>
        <v>0</v>
      </c>
      <c r="S968" s="279">
        <f>RES_BA!U119</f>
        <v>0</v>
      </c>
    </row>
    <row r="969" spans="3:19" s="277" customFormat="1" hidden="1" outlineLevel="1" collapsed="1" x14ac:dyDescent="0.3">
      <c r="C969" s="283" t="str">
        <f>RES_BA!D120</f>
        <v>Supplies Category 30</v>
      </c>
      <c r="M969" s="279">
        <f>RES_BA!R120</f>
        <v>0</v>
      </c>
      <c r="O969" s="279">
        <f>RES_BA!S120</f>
        <v>0</v>
      </c>
      <c r="Q969" s="279">
        <f>RES_BA!T120</f>
        <v>0</v>
      </c>
      <c r="S969" s="279">
        <f>RES_BA!U120</f>
        <v>0</v>
      </c>
    </row>
    <row r="970" spans="3:19" s="277" customFormat="1" hidden="1" outlineLevel="1" x14ac:dyDescent="0.3">
      <c r="C970" s="283" t="str">
        <f>RES_BA!D121</f>
        <v>Supplies Category 31</v>
      </c>
      <c r="M970" s="279">
        <f>RES_BA!R121</f>
        <v>0</v>
      </c>
      <c r="O970" s="279">
        <f>RES_BA!S121</f>
        <v>0</v>
      </c>
      <c r="Q970" s="279">
        <f>RES_BA!T121</f>
        <v>0</v>
      </c>
      <c r="S970" s="279">
        <f>RES_BA!U121</f>
        <v>0</v>
      </c>
    </row>
    <row r="971" spans="3:19" s="277" customFormat="1" hidden="1" outlineLevel="1" x14ac:dyDescent="0.3">
      <c r="C971" s="283" t="str">
        <f>RES_BA!D122</f>
        <v>Supplies Category 32</v>
      </c>
      <c r="M971" s="279">
        <f>RES_BA!R122</f>
        <v>0</v>
      </c>
      <c r="O971" s="279">
        <f>RES_BA!S122</f>
        <v>0</v>
      </c>
      <c r="Q971" s="279">
        <f>RES_BA!T122</f>
        <v>0</v>
      </c>
      <c r="S971" s="279">
        <f>RES_BA!U122</f>
        <v>0</v>
      </c>
    </row>
    <row r="972" spans="3:19" s="277" customFormat="1" hidden="1" outlineLevel="1" x14ac:dyDescent="0.3">
      <c r="C972" s="283" t="str">
        <f>RES_BA!D123</f>
        <v>Supplies Category 33</v>
      </c>
      <c r="M972" s="279">
        <f>RES_BA!R123</f>
        <v>0</v>
      </c>
      <c r="O972" s="279">
        <f>RES_BA!S123</f>
        <v>0</v>
      </c>
      <c r="Q972" s="279">
        <f>RES_BA!T123</f>
        <v>0</v>
      </c>
      <c r="S972" s="279">
        <f>RES_BA!U123</f>
        <v>0</v>
      </c>
    </row>
    <row r="973" spans="3:19" s="277" customFormat="1" hidden="1" outlineLevel="1" x14ac:dyDescent="0.3">
      <c r="C973" s="283" t="str">
        <f>RES_BA!D124</f>
        <v>Supplies Category 34</v>
      </c>
      <c r="M973" s="279">
        <f>RES_BA!R124</f>
        <v>0</v>
      </c>
      <c r="O973" s="279">
        <f>RES_BA!S124</f>
        <v>0</v>
      </c>
      <c r="Q973" s="279">
        <f>RES_BA!T124</f>
        <v>0</v>
      </c>
      <c r="S973" s="279">
        <f>RES_BA!U124</f>
        <v>0</v>
      </c>
    </row>
    <row r="974" spans="3:19" s="277" customFormat="1" hidden="1" outlineLevel="1" x14ac:dyDescent="0.3">
      <c r="C974" s="283" t="str">
        <f>RES_BA!D125</f>
        <v>Supplies Category 35</v>
      </c>
      <c r="M974" s="279">
        <f>RES_BA!R125</f>
        <v>0</v>
      </c>
      <c r="O974" s="279">
        <f>RES_BA!S125</f>
        <v>0</v>
      </c>
      <c r="Q974" s="279">
        <f>RES_BA!T125</f>
        <v>0</v>
      </c>
      <c r="S974" s="279">
        <f>RES_BA!U125</f>
        <v>0</v>
      </c>
    </row>
    <row r="975" spans="3:19" hidden="1" outlineLevel="1" x14ac:dyDescent="0.3"/>
    <row r="976" spans="3:19" hidden="1" outlineLevel="1" x14ac:dyDescent="0.3">
      <c r="M976" s="40" t="str">
        <f>$D$859</f>
        <v>USD</v>
      </c>
      <c r="O976" s="40" t="str">
        <f>$D$859</f>
        <v>USD</v>
      </c>
      <c r="Q976" s="40" t="str">
        <f>$D$860</f>
        <v>GOZ</v>
      </c>
      <c r="S976" s="40" t="str">
        <f>$D$860</f>
        <v>GOZ</v>
      </c>
    </row>
    <row r="977" spans="3:19" hidden="1" outlineLevel="1" x14ac:dyDescent="0.3">
      <c r="C977" s="89" t="str">
        <f>RES_BA!D130</f>
        <v>Equipment Category 1</v>
      </c>
      <c r="M977" s="40">
        <f>RES_BA!R130</f>
        <v>0</v>
      </c>
      <c r="O977" s="40">
        <f>RES_BA!S130</f>
        <v>0</v>
      </c>
      <c r="Q977" s="40">
        <f>RES_BA!T130</f>
        <v>0</v>
      </c>
      <c r="S977" s="40">
        <f>RES_BA!U130</f>
        <v>0</v>
      </c>
    </row>
    <row r="978" spans="3:19" hidden="1" outlineLevel="1" x14ac:dyDescent="0.3">
      <c r="C978" s="89" t="str">
        <f>RES_BA!D131</f>
        <v>Equipment Category 2</v>
      </c>
      <c r="M978" s="40">
        <f>RES_BA!R131</f>
        <v>0</v>
      </c>
      <c r="O978" s="40">
        <f>RES_BA!S131</f>
        <v>0</v>
      </c>
      <c r="Q978" s="40">
        <f>RES_BA!T131</f>
        <v>0</v>
      </c>
      <c r="S978" s="40">
        <f>RES_BA!U131</f>
        <v>0</v>
      </c>
    </row>
    <row r="979" spans="3:19" hidden="1" outlineLevel="1" x14ac:dyDescent="0.3">
      <c r="C979" s="89" t="str">
        <f>RES_BA!D132</f>
        <v>Equipment Category 3</v>
      </c>
      <c r="M979" s="40">
        <f>RES_BA!R132</f>
        <v>0</v>
      </c>
      <c r="O979" s="40">
        <f>RES_BA!S132</f>
        <v>0</v>
      </c>
      <c r="Q979" s="40">
        <f>RES_BA!T132</f>
        <v>0</v>
      </c>
      <c r="S979" s="40">
        <f>RES_BA!U132</f>
        <v>0</v>
      </c>
    </row>
    <row r="980" spans="3:19" hidden="1" outlineLevel="1" x14ac:dyDescent="0.3">
      <c r="C980" s="89" t="str">
        <f>RES_BA!D133</f>
        <v>Equipment Category 4</v>
      </c>
      <c r="M980" s="40">
        <f>RES_BA!R133</f>
        <v>0</v>
      </c>
      <c r="O980" s="40">
        <f>RES_BA!S133</f>
        <v>0</v>
      </c>
      <c r="Q980" s="40">
        <f>RES_BA!T133</f>
        <v>0</v>
      </c>
      <c r="S980" s="40">
        <f>RES_BA!U133</f>
        <v>0</v>
      </c>
    </row>
    <row r="981" spans="3:19" hidden="1" outlineLevel="1" x14ac:dyDescent="0.3">
      <c r="C981" s="89" t="str">
        <f>RES_BA!D134</f>
        <v>Equipment Category 5</v>
      </c>
      <c r="M981" s="40">
        <f>RES_BA!R134</f>
        <v>0</v>
      </c>
      <c r="O981" s="40">
        <f>RES_BA!S134</f>
        <v>0</v>
      </c>
      <c r="Q981" s="40">
        <f>RES_BA!T134</f>
        <v>0</v>
      </c>
      <c r="S981" s="40">
        <f>RES_BA!U134</f>
        <v>0</v>
      </c>
    </row>
    <row r="982" spans="3:19" hidden="1" outlineLevel="1" x14ac:dyDescent="0.3">
      <c r="C982" s="89" t="str">
        <f>RES_BA!D135</f>
        <v>Equipment Category 6</v>
      </c>
      <c r="M982" s="40">
        <f>RES_BA!R135</f>
        <v>0</v>
      </c>
      <c r="O982" s="40">
        <f>RES_BA!S135</f>
        <v>0</v>
      </c>
      <c r="Q982" s="40">
        <f>RES_BA!T135</f>
        <v>0</v>
      </c>
      <c r="S982" s="40">
        <f>RES_BA!U135</f>
        <v>0</v>
      </c>
    </row>
    <row r="983" spans="3:19" s="277" customFormat="1" hidden="1" outlineLevel="1" collapsed="1" x14ac:dyDescent="0.3">
      <c r="C983" s="283" t="str">
        <f>RES_BA!D136</f>
        <v>Equipment Category 7</v>
      </c>
      <c r="M983" s="279">
        <f>RES_BA!R136</f>
        <v>0</v>
      </c>
      <c r="O983" s="279">
        <f>RES_BA!S136</f>
        <v>0</v>
      </c>
      <c r="Q983" s="279">
        <f>RES_BA!T136</f>
        <v>0</v>
      </c>
      <c r="S983" s="279">
        <f>RES_BA!U136</f>
        <v>0</v>
      </c>
    </row>
    <row r="984" spans="3:19" s="277" customFormat="1" hidden="1" outlineLevel="1" x14ac:dyDescent="0.3">
      <c r="C984" s="283" t="str">
        <f>RES_BA!D137</f>
        <v>Equipment Category 8</v>
      </c>
      <c r="M984" s="279">
        <f>RES_BA!R137</f>
        <v>0</v>
      </c>
      <c r="O984" s="279">
        <f>RES_BA!S137</f>
        <v>0</v>
      </c>
      <c r="Q984" s="279">
        <f>RES_BA!T137</f>
        <v>0</v>
      </c>
      <c r="S984" s="279">
        <f>RES_BA!U137</f>
        <v>0</v>
      </c>
    </row>
    <row r="985" spans="3:19" s="277" customFormat="1" hidden="1" outlineLevel="1" x14ac:dyDescent="0.3">
      <c r="C985" s="283" t="str">
        <f>RES_BA!D138</f>
        <v>Equipment Category 9</v>
      </c>
      <c r="M985" s="279">
        <f>RES_BA!R138</f>
        <v>0</v>
      </c>
      <c r="O985" s="279">
        <f>RES_BA!S138</f>
        <v>0</v>
      </c>
      <c r="Q985" s="279">
        <f>RES_BA!T138</f>
        <v>0</v>
      </c>
      <c r="S985" s="279">
        <f>RES_BA!U138</f>
        <v>0</v>
      </c>
    </row>
    <row r="986" spans="3:19" s="277" customFormat="1" hidden="1" outlineLevel="1" x14ac:dyDescent="0.3">
      <c r="C986" s="283" t="str">
        <f>RES_BA!D139</f>
        <v>Equipment Category 10</v>
      </c>
      <c r="M986" s="279">
        <f>RES_BA!R139</f>
        <v>0</v>
      </c>
      <c r="O986" s="279">
        <f>RES_BA!S139</f>
        <v>0</v>
      </c>
      <c r="Q986" s="279">
        <f>RES_BA!T139</f>
        <v>0</v>
      </c>
      <c r="S986" s="279">
        <f>RES_BA!U139</f>
        <v>0</v>
      </c>
    </row>
    <row r="987" spans="3:19" s="277" customFormat="1" hidden="1" outlineLevel="1" x14ac:dyDescent="0.3">
      <c r="C987" s="283" t="str">
        <f>RES_BA!D140</f>
        <v>Equipment Category 11</v>
      </c>
      <c r="M987" s="279">
        <f>RES_BA!R140</f>
        <v>0</v>
      </c>
      <c r="O987" s="279">
        <f>RES_BA!S140</f>
        <v>0</v>
      </c>
      <c r="Q987" s="279">
        <f>RES_BA!T140</f>
        <v>0</v>
      </c>
      <c r="S987" s="279">
        <f>RES_BA!U140</f>
        <v>0</v>
      </c>
    </row>
    <row r="988" spans="3:19" s="277" customFormat="1" hidden="1" outlineLevel="1" x14ac:dyDescent="0.3">
      <c r="C988" s="283" t="str">
        <f>RES_BA!D141</f>
        <v>Equipment Category 12</v>
      </c>
      <c r="M988" s="279">
        <f>RES_BA!R141</f>
        <v>0</v>
      </c>
      <c r="O988" s="279">
        <f>RES_BA!S141</f>
        <v>0</v>
      </c>
      <c r="Q988" s="279">
        <f>RES_BA!T141</f>
        <v>0</v>
      </c>
      <c r="S988" s="279">
        <f>RES_BA!U141</f>
        <v>0</v>
      </c>
    </row>
    <row r="989" spans="3:19" s="277" customFormat="1" hidden="1" outlineLevel="1" collapsed="1" x14ac:dyDescent="0.3">
      <c r="C989" s="283" t="str">
        <f>RES_BA!D142</f>
        <v>Equipment Category 13</v>
      </c>
      <c r="M989" s="279">
        <f>RES_BA!R142</f>
        <v>0</v>
      </c>
      <c r="O989" s="279">
        <f>RES_BA!S142</f>
        <v>0</v>
      </c>
      <c r="Q989" s="279">
        <f>RES_BA!T142</f>
        <v>0</v>
      </c>
      <c r="S989" s="279">
        <f>RES_BA!U142</f>
        <v>0</v>
      </c>
    </row>
    <row r="990" spans="3:19" s="277" customFormat="1" hidden="1" outlineLevel="1" x14ac:dyDescent="0.3">
      <c r="C990" s="283" t="str">
        <f>RES_BA!D143</f>
        <v>Equipment Category 14</v>
      </c>
      <c r="M990" s="279">
        <f>RES_BA!R143</f>
        <v>0</v>
      </c>
      <c r="O990" s="279">
        <f>RES_BA!S143</f>
        <v>0</v>
      </c>
      <c r="Q990" s="279">
        <f>RES_BA!T143</f>
        <v>0</v>
      </c>
      <c r="S990" s="279">
        <f>RES_BA!U143</f>
        <v>0</v>
      </c>
    </row>
    <row r="991" spans="3:19" s="277" customFormat="1" hidden="1" outlineLevel="1" x14ac:dyDescent="0.3">
      <c r="C991" s="283" t="str">
        <f>RES_BA!D144</f>
        <v>Equipment Category 15</v>
      </c>
      <c r="M991" s="279">
        <f>RES_BA!R144</f>
        <v>0</v>
      </c>
      <c r="O991" s="279">
        <f>RES_BA!S144</f>
        <v>0</v>
      </c>
      <c r="Q991" s="279">
        <f>RES_BA!T144</f>
        <v>0</v>
      </c>
      <c r="S991" s="279">
        <f>RES_BA!U144</f>
        <v>0</v>
      </c>
    </row>
    <row r="992" spans="3:19" s="277" customFormat="1" hidden="1" outlineLevel="1" x14ac:dyDescent="0.3">
      <c r="C992" s="283" t="str">
        <f>RES_BA!D145</f>
        <v>Equipment Category 16</v>
      </c>
      <c r="M992" s="279">
        <f>RES_BA!R145</f>
        <v>0</v>
      </c>
      <c r="O992" s="279">
        <f>RES_BA!S145</f>
        <v>0</v>
      </c>
      <c r="Q992" s="279">
        <f>RES_BA!T145</f>
        <v>0</v>
      </c>
      <c r="S992" s="279">
        <f>RES_BA!U145</f>
        <v>0</v>
      </c>
    </row>
    <row r="993" spans="3:19" s="277" customFormat="1" hidden="1" outlineLevel="1" x14ac:dyDescent="0.3">
      <c r="C993" s="283" t="str">
        <f>RES_BA!D146</f>
        <v>Equipment Category 17</v>
      </c>
      <c r="M993" s="279">
        <f>RES_BA!R146</f>
        <v>0</v>
      </c>
      <c r="O993" s="279">
        <f>RES_BA!S146</f>
        <v>0</v>
      </c>
      <c r="Q993" s="279">
        <f>RES_BA!T146</f>
        <v>0</v>
      </c>
      <c r="S993" s="279">
        <f>RES_BA!U146</f>
        <v>0</v>
      </c>
    </row>
    <row r="994" spans="3:19" s="277" customFormat="1" hidden="1" outlineLevel="1" x14ac:dyDescent="0.3">
      <c r="C994" s="283" t="str">
        <f>RES_BA!D147</f>
        <v>Equipment Category 18</v>
      </c>
      <c r="M994" s="279">
        <f>RES_BA!R147</f>
        <v>0</v>
      </c>
      <c r="O994" s="279">
        <f>RES_BA!S147</f>
        <v>0</v>
      </c>
      <c r="Q994" s="279">
        <f>RES_BA!T147</f>
        <v>0</v>
      </c>
      <c r="S994" s="279">
        <f>RES_BA!U147</f>
        <v>0</v>
      </c>
    </row>
    <row r="995" spans="3:19" s="277" customFormat="1" hidden="1" outlineLevel="1" x14ac:dyDescent="0.3">
      <c r="C995" s="283" t="str">
        <f>RES_BA!D148</f>
        <v>Equipment Category 19</v>
      </c>
      <c r="M995" s="279">
        <f>RES_BA!R148</f>
        <v>0</v>
      </c>
      <c r="O995" s="279">
        <f>RES_BA!S148</f>
        <v>0</v>
      </c>
      <c r="Q995" s="279">
        <f>RES_BA!T148</f>
        <v>0</v>
      </c>
      <c r="S995" s="279">
        <f>RES_BA!U148</f>
        <v>0</v>
      </c>
    </row>
    <row r="996" spans="3:19" s="277" customFormat="1" hidden="1" outlineLevel="1" x14ac:dyDescent="0.3">
      <c r="C996" s="283" t="str">
        <f>RES_BA!D149</f>
        <v>Equipment Category 20</v>
      </c>
      <c r="M996" s="279">
        <f>RES_BA!R149</f>
        <v>0</v>
      </c>
      <c r="O996" s="279">
        <f>RES_BA!S149</f>
        <v>0</v>
      </c>
      <c r="Q996" s="279">
        <f>RES_BA!T149</f>
        <v>0</v>
      </c>
      <c r="S996" s="279">
        <f>RES_BA!U149</f>
        <v>0</v>
      </c>
    </row>
    <row r="997" spans="3:19" s="277" customFormat="1" hidden="1" outlineLevel="1" x14ac:dyDescent="0.3">
      <c r="C997" s="283" t="str">
        <f>RES_BA!D150</f>
        <v>Equipment Category 21</v>
      </c>
      <c r="M997" s="279">
        <f>RES_BA!R150</f>
        <v>0</v>
      </c>
      <c r="O997" s="279">
        <f>RES_BA!S150</f>
        <v>0</v>
      </c>
      <c r="Q997" s="279">
        <f>RES_BA!T150</f>
        <v>0</v>
      </c>
      <c r="S997" s="279">
        <f>RES_BA!U150</f>
        <v>0</v>
      </c>
    </row>
    <row r="998" spans="3:19" s="277" customFormat="1" hidden="1" outlineLevel="1" x14ac:dyDescent="0.3">
      <c r="C998" s="283" t="str">
        <f>RES_BA!D151</f>
        <v>Equipment Category 22</v>
      </c>
      <c r="M998" s="279">
        <f>RES_BA!R151</f>
        <v>0</v>
      </c>
      <c r="O998" s="279">
        <f>RES_BA!S151</f>
        <v>0</v>
      </c>
      <c r="Q998" s="279">
        <f>RES_BA!T151</f>
        <v>0</v>
      </c>
      <c r="S998" s="279">
        <f>RES_BA!U151</f>
        <v>0</v>
      </c>
    </row>
    <row r="999" spans="3:19" s="277" customFormat="1" hidden="1" outlineLevel="1" x14ac:dyDescent="0.3">
      <c r="C999" s="283" t="str">
        <f>RES_BA!D152</f>
        <v>Equipment Category 23</v>
      </c>
      <c r="M999" s="279">
        <f>RES_BA!R152</f>
        <v>0</v>
      </c>
      <c r="O999" s="279">
        <f>RES_BA!S152</f>
        <v>0</v>
      </c>
      <c r="Q999" s="279">
        <f>RES_BA!T152</f>
        <v>0</v>
      </c>
      <c r="S999" s="279">
        <f>RES_BA!U152</f>
        <v>0</v>
      </c>
    </row>
    <row r="1000" spans="3:19" s="277" customFormat="1" hidden="1" outlineLevel="1" collapsed="1" x14ac:dyDescent="0.3">
      <c r="C1000" s="283" t="str">
        <f>RES_BA!D153</f>
        <v>Equipment Category 24</v>
      </c>
      <c r="M1000" s="279">
        <f>RES_BA!R153</f>
        <v>0</v>
      </c>
      <c r="O1000" s="279">
        <f>RES_BA!S153</f>
        <v>0</v>
      </c>
      <c r="Q1000" s="279">
        <f>RES_BA!T153</f>
        <v>0</v>
      </c>
      <c r="S1000" s="279">
        <f>RES_BA!U153</f>
        <v>0</v>
      </c>
    </row>
    <row r="1001" spans="3:19" s="277" customFormat="1" hidden="1" outlineLevel="1" x14ac:dyDescent="0.3">
      <c r="C1001" s="283" t="str">
        <f>RES_BA!D154</f>
        <v>Equipment Category 25</v>
      </c>
      <c r="M1001" s="279">
        <f>RES_BA!R154</f>
        <v>0</v>
      </c>
      <c r="O1001" s="279">
        <f>RES_BA!S154</f>
        <v>0</v>
      </c>
      <c r="Q1001" s="279">
        <f>RES_BA!T154</f>
        <v>0</v>
      </c>
      <c r="S1001" s="279">
        <f>RES_BA!U154</f>
        <v>0</v>
      </c>
    </row>
    <row r="1002" spans="3:19" s="277" customFormat="1" hidden="1" outlineLevel="1" x14ac:dyDescent="0.3">
      <c r="C1002" s="283" t="str">
        <f>RES_BA!D155</f>
        <v>Equipment Category 26</v>
      </c>
      <c r="M1002" s="279">
        <f>RES_BA!R155</f>
        <v>0</v>
      </c>
      <c r="O1002" s="279">
        <f>RES_BA!S155</f>
        <v>0</v>
      </c>
      <c r="Q1002" s="279">
        <f>RES_BA!T155</f>
        <v>0</v>
      </c>
      <c r="S1002" s="279">
        <f>RES_BA!U155</f>
        <v>0</v>
      </c>
    </row>
    <row r="1003" spans="3:19" s="277" customFormat="1" hidden="1" outlineLevel="1" x14ac:dyDescent="0.3">
      <c r="C1003" s="283" t="str">
        <f>RES_BA!D156</f>
        <v>Equipment Category 27</v>
      </c>
      <c r="M1003" s="279">
        <f>RES_BA!R156</f>
        <v>0</v>
      </c>
      <c r="O1003" s="279">
        <f>RES_BA!S156</f>
        <v>0</v>
      </c>
      <c r="Q1003" s="279">
        <f>RES_BA!T156</f>
        <v>0</v>
      </c>
      <c r="S1003" s="279">
        <f>RES_BA!U156</f>
        <v>0</v>
      </c>
    </row>
    <row r="1004" spans="3:19" s="277" customFormat="1" hidden="1" outlineLevel="1" x14ac:dyDescent="0.3">
      <c r="C1004" s="283" t="str">
        <f>RES_BA!D157</f>
        <v>Equipment Category 28</v>
      </c>
      <c r="M1004" s="279">
        <f>RES_BA!R157</f>
        <v>0</v>
      </c>
      <c r="O1004" s="279">
        <f>RES_BA!S157</f>
        <v>0</v>
      </c>
      <c r="Q1004" s="279">
        <f>RES_BA!T157</f>
        <v>0</v>
      </c>
      <c r="S1004" s="279">
        <f>RES_BA!U157</f>
        <v>0</v>
      </c>
    </row>
    <row r="1005" spans="3:19" s="277" customFormat="1" hidden="1" outlineLevel="1" x14ac:dyDescent="0.3">
      <c r="C1005" s="283" t="str">
        <f>RES_BA!D158</f>
        <v>Equipment Category 29</v>
      </c>
      <c r="M1005" s="279">
        <f>RES_BA!R158</f>
        <v>0</v>
      </c>
      <c r="O1005" s="279">
        <f>RES_BA!S158</f>
        <v>0</v>
      </c>
      <c r="Q1005" s="279">
        <f>RES_BA!T158</f>
        <v>0</v>
      </c>
      <c r="S1005" s="279">
        <f>RES_BA!U158</f>
        <v>0</v>
      </c>
    </row>
    <row r="1006" spans="3:19" s="277" customFormat="1" hidden="1" outlineLevel="1" x14ac:dyDescent="0.3">
      <c r="C1006" s="283" t="str">
        <f>RES_BA!D159</f>
        <v>Equipment Category 30</v>
      </c>
      <c r="M1006" s="279">
        <f>RES_BA!R159</f>
        <v>0</v>
      </c>
      <c r="O1006" s="279">
        <f>RES_BA!S159</f>
        <v>0</v>
      </c>
      <c r="Q1006" s="279">
        <f>RES_BA!T159</f>
        <v>0</v>
      </c>
      <c r="S1006" s="279">
        <f>RES_BA!U159</f>
        <v>0</v>
      </c>
    </row>
    <row r="1007" spans="3:19" s="277" customFormat="1" hidden="1" outlineLevel="1" x14ac:dyDescent="0.3">
      <c r="C1007" s="283" t="str">
        <f>RES_BA!D160</f>
        <v>Equipment Category 31</v>
      </c>
      <c r="M1007" s="279">
        <f>RES_BA!R160</f>
        <v>0</v>
      </c>
      <c r="O1007" s="279">
        <f>RES_BA!S160</f>
        <v>0</v>
      </c>
      <c r="Q1007" s="279">
        <f>RES_BA!T160</f>
        <v>0</v>
      </c>
      <c r="S1007" s="279">
        <f>RES_BA!U160</f>
        <v>0</v>
      </c>
    </row>
    <row r="1008" spans="3:19" s="277" customFormat="1" hidden="1" outlineLevel="1" x14ac:dyDescent="0.3">
      <c r="C1008" s="283" t="str">
        <f>RES_BA!D161</f>
        <v>Equipment Category 32</v>
      </c>
      <c r="M1008" s="279">
        <f>RES_BA!R161</f>
        <v>0</v>
      </c>
      <c r="O1008" s="279">
        <f>RES_BA!S161</f>
        <v>0</v>
      </c>
      <c r="Q1008" s="279">
        <f>RES_BA!T161</f>
        <v>0</v>
      </c>
      <c r="S1008" s="279">
        <f>RES_BA!U161</f>
        <v>0</v>
      </c>
    </row>
    <row r="1009" spans="3:19" s="277" customFormat="1" hidden="1" outlineLevel="1" x14ac:dyDescent="0.3">
      <c r="C1009" s="283" t="str">
        <f>RES_BA!D162</f>
        <v>Equipment Category 33</v>
      </c>
      <c r="M1009" s="279">
        <f>RES_BA!R162</f>
        <v>0</v>
      </c>
      <c r="O1009" s="279">
        <f>RES_BA!S162</f>
        <v>0</v>
      </c>
      <c r="Q1009" s="279">
        <f>RES_BA!T162</f>
        <v>0</v>
      </c>
      <c r="S1009" s="279">
        <f>RES_BA!U162</f>
        <v>0</v>
      </c>
    </row>
    <row r="1010" spans="3:19" s="277" customFormat="1" hidden="1" outlineLevel="1" collapsed="1" x14ac:dyDescent="0.3">
      <c r="C1010" s="283" t="str">
        <f>RES_BA!D163</f>
        <v>Equipment Category 34</v>
      </c>
      <c r="M1010" s="279">
        <f>RES_BA!R163</f>
        <v>0</v>
      </c>
      <c r="O1010" s="279">
        <f>RES_BA!S163</f>
        <v>0</v>
      </c>
      <c r="Q1010" s="279">
        <f>RES_BA!T163</f>
        <v>0</v>
      </c>
      <c r="S1010" s="279">
        <f>RES_BA!U163</f>
        <v>0</v>
      </c>
    </row>
    <row r="1011" spans="3:19" s="277" customFormat="1" hidden="1" outlineLevel="1" x14ac:dyDescent="0.3">
      <c r="C1011" s="283" t="str">
        <f>RES_BA!D164</f>
        <v>Equipment Category 35</v>
      </c>
      <c r="M1011" s="279">
        <f>RES_BA!R164</f>
        <v>0</v>
      </c>
      <c r="O1011" s="279">
        <f>RES_BA!S164</f>
        <v>0</v>
      </c>
      <c r="Q1011" s="279">
        <f>RES_BA!T164</f>
        <v>0</v>
      </c>
      <c r="S1011" s="279">
        <f>RES_BA!U164</f>
        <v>0</v>
      </c>
    </row>
    <row r="1012" spans="3:19" hidden="1" outlineLevel="1" x14ac:dyDescent="0.3"/>
    <row r="1013" spans="3:19" hidden="1" outlineLevel="1" x14ac:dyDescent="0.3"/>
    <row r="1014" spans="3:19" hidden="1" outlineLevel="1" x14ac:dyDescent="0.3">
      <c r="M1014" s="40" t="str">
        <f>$D$859</f>
        <v>USD</v>
      </c>
      <c r="O1014" s="40" t="str">
        <f>$D$859</f>
        <v>USD</v>
      </c>
      <c r="Q1014" s="40" t="str">
        <f>$D$860</f>
        <v>GOZ</v>
      </c>
      <c r="S1014" s="40" t="str">
        <f>$D$860</f>
        <v>GOZ</v>
      </c>
    </row>
    <row r="1015" spans="3:19" hidden="1" outlineLevel="1" x14ac:dyDescent="0.3">
      <c r="C1015" s="89" t="str">
        <f>RES_BA!D169</f>
        <v>Other Direct Costs Category 1</v>
      </c>
      <c r="M1015" s="40">
        <f>RES_BA!R169</f>
        <v>0</v>
      </c>
      <c r="O1015" s="40">
        <f>RES_BA!S169</f>
        <v>0</v>
      </c>
      <c r="Q1015" s="40">
        <f>RES_BA!T169</f>
        <v>0</v>
      </c>
      <c r="S1015" s="40">
        <f>RES_BA!U169</f>
        <v>0</v>
      </c>
    </row>
    <row r="1016" spans="3:19" hidden="1" outlineLevel="1" x14ac:dyDescent="0.3">
      <c r="C1016" s="89" t="str">
        <f>RES_BA!D170</f>
        <v>Other Direct Costs Category 2</v>
      </c>
      <c r="M1016" s="40">
        <f>RES_BA!R170</f>
        <v>0</v>
      </c>
      <c r="O1016" s="40">
        <f>RES_BA!S170</f>
        <v>0</v>
      </c>
      <c r="Q1016" s="40">
        <f>RES_BA!T170</f>
        <v>0</v>
      </c>
      <c r="S1016" s="40">
        <f>RES_BA!U170</f>
        <v>0</v>
      </c>
    </row>
    <row r="1017" spans="3:19" hidden="1" outlineLevel="1" collapsed="1" x14ac:dyDescent="0.3">
      <c r="C1017" s="89" t="str">
        <f>RES_BA!D171</f>
        <v>Other Direct Costs Category 3</v>
      </c>
      <c r="M1017" s="40">
        <f>RES_BA!R171</f>
        <v>0</v>
      </c>
      <c r="O1017" s="40">
        <f>RES_BA!S171</f>
        <v>0</v>
      </c>
      <c r="Q1017" s="40">
        <f>RES_BA!T171</f>
        <v>0</v>
      </c>
      <c r="S1017" s="40">
        <f>RES_BA!U171</f>
        <v>0</v>
      </c>
    </row>
    <row r="1018" spans="3:19" hidden="1" outlineLevel="1" collapsed="1" x14ac:dyDescent="0.3">
      <c r="C1018" s="289" t="str">
        <f>RES_BA!D172</f>
        <v>Other Direct Costs Category 4</v>
      </c>
      <c r="M1018" s="290">
        <f>RES_BA!R172</f>
        <v>0</v>
      </c>
      <c r="O1018" s="290">
        <f>RES_BA!S172</f>
        <v>0</v>
      </c>
      <c r="Q1018" s="290">
        <f>RES_BA!T172</f>
        <v>0</v>
      </c>
      <c r="S1018" s="290">
        <f>RES_BA!U172</f>
        <v>0</v>
      </c>
    </row>
    <row r="1019" spans="3:19" hidden="1" outlineLevel="1" x14ac:dyDescent="0.3">
      <c r="C1019" s="289" t="str">
        <f>RES_BA!D173</f>
        <v>Other Direct Costs Category 5</v>
      </c>
      <c r="M1019" s="290">
        <f>RES_BA!R173</f>
        <v>0</v>
      </c>
      <c r="O1019" s="290">
        <f>RES_BA!S173</f>
        <v>0</v>
      </c>
      <c r="Q1019" s="290">
        <f>RES_BA!T173</f>
        <v>0</v>
      </c>
      <c r="S1019" s="290">
        <f>RES_BA!U173</f>
        <v>0</v>
      </c>
    </row>
    <row r="1020" spans="3:19" hidden="1" outlineLevel="1" x14ac:dyDescent="0.3">
      <c r="C1020" s="289" t="str">
        <f>RES_BA!D174</f>
        <v>Other Direct Costs Category 6</v>
      </c>
      <c r="M1020" s="290">
        <f>RES_BA!R174</f>
        <v>0</v>
      </c>
      <c r="O1020" s="290">
        <f>RES_BA!S174</f>
        <v>0</v>
      </c>
      <c r="Q1020" s="290">
        <f>RES_BA!T174</f>
        <v>0</v>
      </c>
      <c r="S1020" s="290">
        <f>RES_BA!U174</f>
        <v>0</v>
      </c>
    </row>
    <row r="1021" spans="3:19" hidden="1" outlineLevel="1" x14ac:dyDescent="0.3">
      <c r="C1021" s="289" t="str">
        <f>RES_BA!D175</f>
        <v>Other Direct Costs Category 7</v>
      </c>
      <c r="M1021" s="290">
        <f>RES_BA!R175</f>
        <v>0</v>
      </c>
      <c r="O1021" s="290">
        <f>RES_BA!S175</f>
        <v>0</v>
      </c>
      <c r="Q1021" s="290">
        <f>RES_BA!T175</f>
        <v>0</v>
      </c>
      <c r="S1021" s="290">
        <f>RES_BA!U175</f>
        <v>0</v>
      </c>
    </row>
    <row r="1022" spans="3:19" hidden="1" outlineLevel="1" x14ac:dyDescent="0.3">
      <c r="C1022" s="289" t="str">
        <f>RES_BA!D176</f>
        <v>Other Direct Costs Category 8</v>
      </c>
      <c r="M1022" s="290">
        <f>RES_BA!R176</f>
        <v>0</v>
      </c>
      <c r="O1022" s="290">
        <f>RES_BA!S176</f>
        <v>0</v>
      </c>
      <c r="Q1022" s="290">
        <f>RES_BA!T176</f>
        <v>0</v>
      </c>
      <c r="S1022" s="290">
        <f>RES_BA!U176</f>
        <v>0</v>
      </c>
    </row>
    <row r="1023" spans="3:19" hidden="1" outlineLevel="1" x14ac:dyDescent="0.3">
      <c r="C1023" s="289" t="str">
        <f>RES_BA!D177</f>
        <v>Other Direct Costs Category 9</v>
      </c>
      <c r="M1023" s="290">
        <f>RES_BA!R177</f>
        <v>0</v>
      </c>
      <c r="O1023" s="290">
        <f>RES_BA!S177</f>
        <v>0</v>
      </c>
      <c r="Q1023" s="290">
        <f>RES_BA!T177</f>
        <v>0</v>
      </c>
      <c r="S1023" s="290">
        <f>RES_BA!U177</f>
        <v>0</v>
      </c>
    </row>
    <row r="1024" spans="3:19" hidden="1" outlineLevel="1" x14ac:dyDescent="0.3">
      <c r="C1024" s="289" t="str">
        <f>RES_BA!D178</f>
        <v>Other Direct Costs Category 10</v>
      </c>
      <c r="M1024" s="290">
        <f>RES_BA!R178</f>
        <v>0</v>
      </c>
      <c r="O1024" s="290">
        <f>RES_BA!S178</f>
        <v>0</v>
      </c>
      <c r="Q1024" s="290">
        <f>RES_BA!T178</f>
        <v>0</v>
      </c>
      <c r="S1024" s="290">
        <f>RES_BA!U178</f>
        <v>0</v>
      </c>
    </row>
    <row r="1025" spans="3:19" hidden="1" outlineLevel="1" x14ac:dyDescent="0.3">
      <c r="C1025" s="289" t="str">
        <f>RES_BA!D179</f>
        <v>Other Direct Costs Category 11</v>
      </c>
      <c r="M1025" s="290">
        <f>RES_BA!R179</f>
        <v>0</v>
      </c>
      <c r="O1025" s="290">
        <f>RES_BA!S179</f>
        <v>0</v>
      </c>
      <c r="Q1025" s="290">
        <f>RES_BA!T179</f>
        <v>0</v>
      </c>
      <c r="S1025" s="290">
        <f>RES_BA!U179</f>
        <v>0</v>
      </c>
    </row>
    <row r="1026" spans="3:19" s="277" customFormat="1" hidden="1" outlineLevel="1" collapsed="1" x14ac:dyDescent="0.3">
      <c r="C1026" s="283" t="str">
        <f>RES_BA!D180</f>
        <v>Other Direct Costs Category 12</v>
      </c>
      <c r="M1026" s="279">
        <f>RES_BA!R180</f>
        <v>0</v>
      </c>
      <c r="O1026" s="279">
        <f>RES_BA!S180</f>
        <v>0</v>
      </c>
      <c r="Q1026" s="279">
        <f>RES_BA!T180</f>
        <v>0</v>
      </c>
      <c r="S1026" s="279">
        <f>RES_BA!U180</f>
        <v>0</v>
      </c>
    </row>
    <row r="1027" spans="3:19" s="277" customFormat="1" hidden="1" outlineLevel="1" x14ac:dyDescent="0.3">
      <c r="C1027" s="283" t="str">
        <f>RES_BA!D181</f>
        <v>Other Direct Costs Category 13</v>
      </c>
      <c r="M1027" s="279">
        <f>RES_BA!R181</f>
        <v>0</v>
      </c>
      <c r="O1027" s="279">
        <f>RES_BA!S181</f>
        <v>0</v>
      </c>
      <c r="Q1027" s="279">
        <f>RES_BA!T181</f>
        <v>0</v>
      </c>
      <c r="S1027" s="279">
        <f>RES_BA!U181</f>
        <v>0</v>
      </c>
    </row>
    <row r="1028" spans="3:19" s="277" customFormat="1" hidden="1" outlineLevel="1" x14ac:dyDescent="0.3">
      <c r="C1028" s="283" t="str">
        <f>RES_BA!D182</f>
        <v>Other Direct Costs Category 14</v>
      </c>
      <c r="M1028" s="279">
        <f>RES_BA!R182</f>
        <v>0</v>
      </c>
      <c r="O1028" s="279">
        <f>RES_BA!S182</f>
        <v>0</v>
      </c>
      <c r="Q1028" s="279">
        <f>RES_BA!T182</f>
        <v>0</v>
      </c>
      <c r="S1028" s="279">
        <f>RES_BA!U182</f>
        <v>0</v>
      </c>
    </row>
    <row r="1029" spans="3:19" s="277" customFormat="1" hidden="1" outlineLevel="1" x14ac:dyDescent="0.3">
      <c r="C1029" s="283" t="str">
        <f>RES_BA!D183</f>
        <v>Other Direct Costs Category 15</v>
      </c>
      <c r="M1029" s="279">
        <f>RES_BA!R183</f>
        <v>0</v>
      </c>
      <c r="O1029" s="279">
        <f>RES_BA!S183</f>
        <v>0</v>
      </c>
      <c r="Q1029" s="279">
        <f>RES_BA!T183</f>
        <v>0</v>
      </c>
      <c r="S1029" s="279">
        <f>RES_BA!U183</f>
        <v>0</v>
      </c>
    </row>
    <row r="1030" spans="3:19" s="277" customFormat="1" hidden="1" outlineLevel="1" x14ac:dyDescent="0.3">
      <c r="C1030" s="283" t="str">
        <f>RES_BA!D184</f>
        <v>Other Direct Costs Category 16</v>
      </c>
      <c r="M1030" s="279">
        <f>RES_BA!R184</f>
        <v>0</v>
      </c>
      <c r="O1030" s="279">
        <f>RES_BA!S184</f>
        <v>0</v>
      </c>
      <c r="Q1030" s="279">
        <f>RES_BA!T184</f>
        <v>0</v>
      </c>
      <c r="S1030" s="279">
        <f>RES_BA!U184</f>
        <v>0</v>
      </c>
    </row>
    <row r="1031" spans="3:19" s="277" customFormat="1" hidden="1" outlineLevel="1" x14ac:dyDescent="0.3">
      <c r="C1031" s="283" t="str">
        <f>RES_BA!D185</f>
        <v>Other Direct Costs Category 17</v>
      </c>
      <c r="M1031" s="279">
        <f>RES_BA!R185</f>
        <v>0</v>
      </c>
      <c r="O1031" s="279">
        <f>RES_BA!S185</f>
        <v>0</v>
      </c>
      <c r="Q1031" s="279">
        <f>RES_BA!T185</f>
        <v>0</v>
      </c>
      <c r="S1031" s="279">
        <f>RES_BA!U185</f>
        <v>0</v>
      </c>
    </row>
    <row r="1032" spans="3:19" s="277" customFormat="1" hidden="1" outlineLevel="1" x14ac:dyDescent="0.3">
      <c r="C1032" s="283" t="str">
        <f>RES_BA!D186</f>
        <v>Other Direct Costs Category 18</v>
      </c>
      <c r="M1032" s="279">
        <f>RES_BA!R186</f>
        <v>0</v>
      </c>
      <c r="O1032" s="279">
        <f>RES_BA!S186</f>
        <v>0</v>
      </c>
      <c r="Q1032" s="279">
        <f>RES_BA!T186</f>
        <v>0</v>
      </c>
      <c r="S1032" s="279">
        <f>RES_BA!U186</f>
        <v>0</v>
      </c>
    </row>
    <row r="1033" spans="3:19" s="277" customFormat="1" hidden="1" outlineLevel="1" x14ac:dyDescent="0.3">
      <c r="C1033" s="283" t="str">
        <f>RES_BA!D187</f>
        <v>Other Direct Costs Category 19</v>
      </c>
      <c r="M1033" s="279">
        <f>RES_BA!R187</f>
        <v>0</v>
      </c>
      <c r="O1033" s="279">
        <f>RES_BA!S187</f>
        <v>0</v>
      </c>
      <c r="Q1033" s="279">
        <f>RES_BA!T187</f>
        <v>0</v>
      </c>
      <c r="S1033" s="279">
        <f>RES_BA!U187</f>
        <v>0</v>
      </c>
    </row>
    <row r="1034" spans="3:19" s="277" customFormat="1" hidden="1" outlineLevel="1" x14ac:dyDescent="0.3">
      <c r="C1034" s="283" t="str">
        <f>RES_BA!D188</f>
        <v>Other Direct Costs Category 20</v>
      </c>
      <c r="M1034" s="279">
        <f>RES_BA!R188</f>
        <v>0</v>
      </c>
      <c r="O1034" s="279">
        <f>RES_BA!S188</f>
        <v>0</v>
      </c>
      <c r="Q1034" s="279">
        <f>RES_BA!T188</f>
        <v>0</v>
      </c>
      <c r="S1034" s="279">
        <f>RES_BA!U188</f>
        <v>0</v>
      </c>
    </row>
    <row r="1035" spans="3:19" s="277" customFormat="1" hidden="1" outlineLevel="1" x14ac:dyDescent="0.3">
      <c r="C1035" s="283" t="str">
        <f>RES_BA!D189</f>
        <v>Other Direct Costs Category 21</v>
      </c>
      <c r="M1035" s="279">
        <f>RES_BA!R189</f>
        <v>0</v>
      </c>
      <c r="O1035" s="279">
        <f>RES_BA!S189</f>
        <v>0</v>
      </c>
      <c r="Q1035" s="279">
        <f>RES_BA!T189</f>
        <v>0</v>
      </c>
      <c r="S1035" s="279">
        <f>RES_BA!U189</f>
        <v>0</v>
      </c>
    </row>
    <row r="1036" spans="3:19" hidden="1" outlineLevel="1" x14ac:dyDescent="0.3">
      <c r="C1036" s="289" t="str">
        <f>RES_BA!D190</f>
        <v>Other Direct Costs Category 22</v>
      </c>
      <c r="M1036" s="290">
        <f>RES_BA!R190</f>
        <v>0</v>
      </c>
      <c r="O1036" s="290">
        <f>RES_BA!S190</f>
        <v>0</v>
      </c>
      <c r="Q1036" s="290">
        <f>RES_BA!T190</f>
        <v>0</v>
      </c>
      <c r="S1036" s="290">
        <f>RES_BA!U190</f>
        <v>0</v>
      </c>
    </row>
    <row r="1037" spans="3:19" hidden="1" outlineLevel="1" x14ac:dyDescent="0.3">
      <c r="C1037" s="289" t="str">
        <f>RES_BA!D191</f>
        <v>Other Direct Costs Category 23</v>
      </c>
      <c r="M1037" s="290">
        <f>RES_BA!R191</f>
        <v>0</v>
      </c>
      <c r="O1037" s="290">
        <f>RES_BA!S191</f>
        <v>0</v>
      </c>
      <c r="Q1037" s="290">
        <f>RES_BA!T191</f>
        <v>0</v>
      </c>
      <c r="S1037" s="290">
        <f>RES_BA!U191</f>
        <v>0</v>
      </c>
    </row>
    <row r="1038" spans="3:19" hidden="1" outlineLevel="1" collapsed="1" x14ac:dyDescent="0.3">
      <c r="C1038" s="289" t="str">
        <f>RES_BA!D192</f>
        <v>Other Direct Costs Category 24</v>
      </c>
      <c r="M1038" s="290">
        <f>RES_BA!R192</f>
        <v>0</v>
      </c>
      <c r="O1038" s="290">
        <f>RES_BA!S192</f>
        <v>0</v>
      </c>
      <c r="Q1038" s="290">
        <f>RES_BA!T192</f>
        <v>0</v>
      </c>
      <c r="S1038" s="290">
        <f>RES_BA!U192</f>
        <v>0</v>
      </c>
    </row>
    <row r="1039" spans="3:19" hidden="1" outlineLevel="1" x14ac:dyDescent="0.3">
      <c r="C1039" s="289" t="str">
        <f>RES_BA!D193</f>
        <v>Other Direct Costs Category 25</v>
      </c>
      <c r="M1039" s="290">
        <f>RES_BA!R193</f>
        <v>0</v>
      </c>
      <c r="O1039" s="290">
        <f>RES_BA!S193</f>
        <v>0</v>
      </c>
      <c r="Q1039" s="290">
        <f>RES_BA!T193</f>
        <v>0</v>
      </c>
      <c r="S1039" s="290">
        <f>RES_BA!U193</f>
        <v>0</v>
      </c>
    </row>
    <row r="1040" spans="3:19" hidden="1" outlineLevel="1" x14ac:dyDescent="0.3">
      <c r="C1040" s="289" t="str">
        <f>RES_BA!D194</f>
        <v>Other Direct Costs Category 26</v>
      </c>
      <c r="M1040" s="290">
        <f>RES_BA!R194</f>
        <v>0</v>
      </c>
      <c r="O1040" s="290">
        <f>RES_BA!S194</f>
        <v>0</v>
      </c>
      <c r="Q1040" s="290">
        <f>RES_BA!T194</f>
        <v>0</v>
      </c>
      <c r="S1040" s="290">
        <f>RES_BA!U194</f>
        <v>0</v>
      </c>
    </row>
    <row r="1041" spans="3:19" hidden="1" outlineLevel="1" x14ac:dyDescent="0.3">
      <c r="C1041" s="289" t="str">
        <f>RES_BA!D195</f>
        <v>Other Direct Costs Category 27</v>
      </c>
      <c r="M1041" s="290">
        <f>RES_BA!R195</f>
        <v>0</v>
      </c>
      <c r="O1041" s="290">
        <f>RES_BA!S195</f>
        <v>0</v>
      </c>
      <c r="Q1041" s="290">
        <f>RES_BA!T195</f>
        <v>0</v>
      </c>
      <c r="S1041" s="290">
        <f>RES_BA!U195</f>
        <v>0</v>
      </c>
    </row>
    <row r="1042" spans="3:19" hidden="1" outlineLevel="1" x14ac:dyDescent="0.3">
      <c r="C1042" s="289" t="str">
        <f>RES_BA!D196</f>
        <v>Other Direct Costs Category 28</v>
      </c>
      <c r="M1042" s="290">
        <f>RES_BA!R196</f>
        <v>0</v>
      </c>
      <c r="O1042" s="290">
        <f>RES_BA!S196</f>
        <v>0</v>
      </c>
      <c r="Q1042" s="290">
        <f>RES_BA!T196</f>
        <v>0</v>
      </c>
      <c r="S1042" s="290">
        <f>RES_BA!U196</f>
        <v>0</v>
      </c>
    </row>
    <row r="1043" spans="3:19" hidden="1" outlineLevel="1" x14ac:dyDescent="0.3">
      <c r="C1043" s="289" t="str">
        <f>RES_BA!D197</f>
        <v>Other Direct Costs Category 29</v>
      </c>
      <c r="M1043" s="290">
        <f>RES_BA!R197</f>
        <v>0</v>
      </c>
      <c r="O1043" s="290">
        <f>RES_BA!S197</f>
        <v>0</v>
      </c>
      <c r="Q1043" s="290">
        <f>RES_BA!T197</f>
        <v>0</v>
      </c>
      <c r="S1043" s="290">
        <f>RES_BA!U197</f>
        <v>0</v>
      </c>
    </row>
    <row r="1044" spans="3:19" hidden="1" outlineLevel="1" x14ac:dyDescent="0.3">
      <c r="C1044" s="289" t="str">
        <f>RES_BA!D198</f>
        <v>Other Direct Costs Category 30</v>
      </c>
      <c r="M1044" s="290">
        <f>RES_BA!R198</f>
        <v>0</v>
      </c>
      <c r="O1044" s="290">
        <f>RES_BA!S198</f>
        <v>0</v>
      </c>
      <c r="Q1044" s="290">
        <f>RES_BA!T198</f>
        <v>0</v>
      </c>
      <c r="S1044" s="290">
        <f>RES_BA!U198</f>
        <v>0</v>
      </c>
    </row>
    <row r="1045" spans="3:19" hidden="1" outlineLevel="1" x14ac:dyDescent="0.3">
      <c r="C1045" s="289" t="str">
        <f>RES_BA!D199</f>
        <v>Other Direct Costs Category 31</v>
      </c>
      <c r="M1045" s="290">
        <f>RES_BA!R199</f>
        <v>0</v>
      </c>
      <c r="O1045" s="290">
        <f>RES_BA!S199</f>
        <v>0</v>
      </c>
      <c r="Q1045" s="290">
        <f>RES_BA!T199</f>
        <v>0</v>
      </c>
      <c r="S1045" s="290">
        <f>RES_BA!U199</f>
        <v>0</v>
      </c>
    </row>
    <row r="1046" spans="3:19" hidden="1" outlineLevel="1" x14ac:dyDescent="0.3">
      <c r="C1046" s="289" t="str">
        <f>RES_BA!D200</f>
        <v>Other Direct Costs Category 32</v>
      </c>
      <c r="M1046" s="290">
        <f>RES_BA!R200</f>
        <v>0</v>
      </c>
      <c r="O1046" s="290">
        <f>RES_BA!S200</f>
        <v>0</v>
      </c>
      <c r="Q1046" s="290">
        <f>RES_BA!T200</f>
        <v>0</v>
      </c>
      <c r="S1046" s="290">
        <f>RES_BA!U200</f>
        <v>0</v>
      </c>
    </row>
    <row r="1047" spans="3:19" hidden="1" outlineLevel="1" x14ac:dyDescent="0.3">
      <c r="C1047" s="289" t="str">
        <f>RES_BA!D201</f>
        <v>Other Direct Costs Category 33</v>
      </c>
      <c r="M1047" s="290">
        <f>RES_BA!R201</f>
        <v>0</v>
      </c>
      <c r="O1047" s="290">
        <f>RES_BA!S201</f>
        <v>0</v>
      </c>
      <c r="Q1047" s="290">
        <f>RES_BA!T201</f>
        <v>0</v>
      </c>
      <c r="S1047" s="290">
        <f>RES_BA!U201</f>
        <v>0</v>
      </c>
    </row>
    <row r="1048" spans="3:19" hidden="1" outlineLevel="1" x14ac:dyDescent="0.3">
      <c r="C1048" s="289" t="str">
        <f>RES_BA!D202</f>
        <v>Other Direct Costs Category 34</v>
      </c>
      <c r="M1048" s="290">
        <f>RES_BA!R202</f>
        <v>0</v>
      </c>
      <c r="O1048" s="290">
        <f>RES_BA!S202</f>
        <v>0</v>
      </c>
      <c r="Q1048" s="290">
        <f>RES_BA!T202</f>
        <v>0</v>
      </c>
      <c r="S1048" s="290">
        <f>RES_BA!U202</f>
        <v>0</v>
      </c>
    </row>
    <row r="1049" spans="3:19" hidden="1" outlineLevel="1" x14ac:dyDescent="0.3">
      <c r="C1049" s="289" t="str">
        <f>RES_BA!D203</f>
        <v>Other Direct Costs Category 35</v>
      </c>
      <c r="M1049" s="290">
        <f>RES_BA!R203</f>
        <v>0</v>
      </c>
      <c r="O1049" s="290">
        <f>RES_BA!S203</f>
        <v>0</v>
      </c>
      <c r="Q1049" s="290">
        <f>RES_BA!T203</f>
        <v>0</v>
      </c>
      <c r="S1049" s="290">
        <f>RES_BA!U203</f>
        <v>0</v>
      </c>
    </row>
    <row r="1050" spans="3:19" collapsed="1" x14ac:dyDescent="0.3"/>
  </sheetData>
  <sheetProtection algorithmName="SHA-512" hashValue="6upHzChg4cabAEZAcs8eSqknTcPLsNq0mSr1xxO5Sbs2g+Ts1oVKAebj52SXNS39EmMkYyCMdQ3MhGxVPOnPxQ==" saltValue="2z23qYj+WNoCqRaOKb8Fbw==" spinCount="100000" sheet="1" objects="1" scenarios="1" formatColumns="0" formatRows="0"/>
  <mergeCells count="790">
    <mergeCell ref="D848:G848"/>
    <mergeCell ref="D849:G849"/>
    <mergeCell ref="D850:G850"/>
    <mergeCell ref="D818:G818"/>
    <mergeCell ref="D819:G819"/>
    <mergeCell ref="D820:G820"/>
    <mergeCell ref="D821:G821"/>
    <mergeCell ref="U817:X817"/>
    <mergeCell ref="U818:X818"/>
    <mergeCell ref="U819:X819"/>
    <mergeCell ref="U820:X820"/>
    <mergeCell ref="U821:X821"/>
    <mergeCell ref="U848:X848"/>
    <mergeCell ref="U849:X849"/>
    <mergeCell ref="U850:X850"/>
    <mergeCell ref="D822:G822"/>
    <mergeCell ref="D827:G827"/>
    <mergeCell ref="D817:G817"/>
    <mergeCell ref="D831:G831"/>
    <mergeCell ref="D846:G846"/>
    <mergeCell ref="U832:X832"/>
    <mergeCell ref="U833:X833"/>
    <mergeCell ref="U834:X834"/>
    <mergeCell ref="U835:X835"/>
    <mergeCell ref="U798:X798"/>
    <mergeCell ref="U826:X826"/>
    <mergeCell ref="U827:X827"/>
    <mergeCell ref="U831:X831"/>
    <mergeCell ref="U777:X777"/>
    <mergeCell ref="U778:X778"/>
    <mergeCell ref="U779:X779"/>
    <mergeCell ref="U780:X780"/>
    <mergeCell ref="D847:G847"/>
    <mergeCell ref="U788:X788"/>
    <mergeCell ref="U789:X789"/>
    <mergeCell ref="U790:X790"/>
    <mergeCell ref="U791:X791"/>
    <mergeCell ref="U792:X792"/>
    <mergeCell ref="D811:G811"/>
    <mergeCell ref="D798:G798"/>
    <mergeCell ref="D788:G788"/>
    <mergeCell ref="D789:G789"/>
    <mergeCell ref="D790:G790"/>
    <mergeCell ref="D791:G791"/>
    <mergeCell ref="D792:G792"/>
    <mergeCell ref="D781:G781"/>
    <mergeCell ref="D782:G782"/>
    <mergeCell ref="D783:G783"/>
    <mergeCell ref="U729:X729"/>
    <mergeCell ref="U730:X730"/>
    <mergeCell ref="U731:X731"/>
    <mergeCell ref="U732:X732"/>
    <mergeCell ref="U738:X738"/>
    <mergeCell ref="D757:G757"/>
    <mergeCell ref="D758:G758"/>
    <mergeCell ref="D759:G759"/>
    <mergeCell ref="D760:G760"/>
    <mergeCell ref="D761:G761"/>
    <mergeCell ref="U757:X757"/>
    <mergeCell ref="U758:X758"/>
    <mergeCell ref="U759:X759"/>
    <mergeCell ref="U760:X760"/>
    <mergeCell ref="U761:X761"/>
    <mergeCell ref="D739:G739"/>
    <mergeCell ref="U739:X739"/>
    <mergeCell ref="D733:G733"/>
    <mergeCell ref="U736:X736"/>
    <mergeCell ref="D737:G737"/>
    <mergeCell ref="U737:X737"/>
    <mergeCell ref="D738:G738"/>
    <mergeCell ref="D499:G499"/>
    <mergeCell ref="D500:G500"/>
    <mergeCell ref="D501:G501"/>
    <mergeCell ref="D502:G502"/>
    <mergeCell ref="U498:X498"/>
    <mergeCell ref="U499:X499"/>
    <mergeCell ref="U500:X500"/>
    <mergeCell ref="U501:X501"/>
    <mergeCell ref="U502:X502"/>
    <mergeCell ref="D708:G708"/>
    <mergeCell ref="U708:X708"/>
    <mergeCell ref="D709:G709"/>
    <mergeCell ref="U709:X709"/>
    <mergeCell ref="D710:G710"/>
    <mergeCell ref="U710:X710"/>
    <mergeCell ref="D439:G439"/>
    <mergeCell ref="D440:G440"/>
    <mergeCell ref="D441:G441"/>
    <mergeCell ref="D442:G442"/>
    <mergeCell ref="D443:G443"/>
    <mergeCell ref="U439:X439"/>
    <mergeCell ref="U440:X440"/>
    <mergeCell ref="U441:X441"/>
    <mergeCell ref="U442:X442"/>
    <mergeCell ref="U443:X443"/>
    <mergeCell ref="D468:G468"/>
    <mergeCell ref="D469:G469"/>
    <mergeCell ref="D470:G470"/>
    <mergeCell ref="D471:G471"/>
    <mergeCell ref="D472:G472"/>
    <mergeCell ref="U468:X468"/>
    <mergeCell ref="U469:X469"/>
    <mergeCell ref="D498:G498"/>
    <mergeCell ref="U470:X470"/>
    <mergeCell ref="U471:X471"/>
    <mergeCell ref="U472:X472"/>
    <mergeCell ref="U382:X382"/>
    <mergeCell ref="U383:X383"/>
    <mergeCell ref="D408:G408"/>
    <mergeCell ref="D409:G409"/>
    <mergeCell ref="D410:G410"/>
    <mergeCell ref="D411:G411"/>
    <mergeCell ref="U408:X408"/>
    <mergeCell ref="U409:X409"/>
    <mergeCell ref="U410:X410"/>
    <mergeCell ref="U411:X411"/>
    <mergeCell ref="D384:G384"/>
    <mergeCell ref="U387:X387"/>
    <mergeCell ref="D394:G394"/>
    <mergeCell ref="U394:X394"/>
    <mergeCell ref="D396:G396"/>
    <mergeCell ref="D397:G397"/>
    <mergeCell ref="D398:G398"/>
    <mergeCell ref="D399:G399"/>
    <mergeCell ref="D400:G400"/>
    <mergeCell ref="D401:G401"/>
    <mergeCell ref="D402:G402"/>
    <mergeCell ref="D403:G403"/>
    <mergeCell ref="U396:X396"/>
    <mergeCell ref="U397:X397"/>
    <mergeCell ref="D153:G153"/>
    <mergeCell ref="U149:X149"/>
    <mergeCell ref="U150:X150"/>
    <mergeCell ref="U151:X151"/>
    <mergeCell ref="U152:X152"/>
    <mergeCell ref="U153:X153"/>
    <mergeCell ref="U379:X379"/>
    <mergeCell ref="U380:X380"/>
    <mergeCell ref="U381:X381"/>
    <mergeCell ref="D365:G365"/>
    <mergeCell ref="U365:X365"/>
    <mergeCell ref="D366:G366"/>
    <mergeCell ref="U366:X366"/>
    <mergeCell ref="D367:G367"/>
    <mergeCell ref="D368:G368"/>
    <mergeCell ref="D369:G369"/>
    <mergeCell ref="D370:G370"/>
    <mergeCell ref="D371:G371"/>
    <mergeCell ref="D372:G372"/>
    <mergeCell ref="D373:G373"/>
    <mergeCell ref="D374:G374"/>
    <mergeCell ref="D87:G87"/>
    <mergeCell ref="D88:G88"/>
    <mergeCell ref="D89:G89"/>
    <mergeCell ref="D90:G90"/>
    <mergeCell ref="D91:G91"/>
    <mergeCell ref="D375:G375"/>
    <mergeCell ref="D376:G376"/>
    <mergeCell ref="D377:G377"/>
    <mergeCell ref="U90:X90"/>
    <mergeCell ref="U91:X91"/>
    <mergeCell ref="U92:X92"/>
    <mergeCell ref="U93:X93"/>
    <mergeCell ref="U94:X94"/>
    <mergeCell ref="D149:G149"/>
    <mergeCell ref="D150:G150"/>
    <mergeCell ref="D151:G151"/>
    <mergeCell ref="D152:G152"/>
    <mergeCell ref="U115:X115"/>
    <mergeCell ref="U116:X116"/>
    <mergeCell ref="U106:X106"/>
    <mergeCell ref="U107:X107"/>
    <mergeCell ref="U108:X108"/>
    <mergeCell ref="U109:X109"/>
    <mergeCell ref="U110:X110"/>
    <mergeCell ref="U61:X61"/>
    <mergeCell ref="U62:X62"/>
    <mergeCell ref="U63:X63"/>
    <mergeCell ref="U64:X64"/>
    <mergeCell ref="U65:X65"/>
    <mergeCell ref="U130:X130"/>
    <mergeCell ref="D131:G131"/>
    <mergeCell ref="D80:G80"/>
    <mergeCell ref="D81:G81"/>
    <mergeCell ref="D82:G82"/>
    <mergeCell ref="U80:X80"/>
    <mergeCell ref="U81:X81"/>
    <mergeCell ref="U82:X82"/>
    <mergeCell ref="U83:X83"/>
    <mergeCell ref="U84:X84"/>
    <mergeCell ref="U85:X85"/>
    <mergeCell ref="D83:G83"/>
    <mergeCell ref="D84:G84"/>
    <mergeCell ref="D85:G85"/>
    <mergeCell ref="U86:X86"/>
    <mergeCell ref="U87:X87"/>
    <mergeCell ref="U88:X88"/>
    <mergeCell ref="U89:X89"/>
    <mergeCell ref="D86:G86"/>
    <mergeCell ref="D32:G32"/>
    <mergeCell ref="D33:G33"/>
    <mergeCell ref="D34:G34"/>
    <mergeCell ref="D35:G35"/>
    <mergeCell ref="D36:G36"/>
    <mergeCell ref="U32:X32"/>
    <mergeCell ref="U33:X33"/>
    <mergeCell ref="U34:X34"/>
    <mergeCell ref="U35:X35"/>
    <mergeCell ref="U36:X36"/>
    <mergeCell ref="B3:F3"/>
    <mergeCell ref="D133:G133"/>
    <mergeCell ref="U133:X133"/>
    <mergeCell ref="D100:G100"/>
    <mergeCell ref="U100:X100"/>
    <mergeCell ref="D124:G124"/>
    <mergeCell ref="U128:X128"/>
    <mergeCell ref="D154:G154"/>
    <mergeCell ref="D161:G161"/>
    <mergeCell ref="D45:G45"/>
    <mergeCell ref="U45:X45"/>
    <mergeCell ref="D46:G46"/>
    <mergeCell ref="U46:X46"/>
    <mergeCell ref="D47:G47"/>
    <mergeCell ref="U47:X47"/>
    <mergeCell ref="D48:G48"/>
    <mergeCell ref="U48:X48"/>
    <mergeCell ref="D66:G66"/>
    <mergeCell ref="D37:G37"/>
    <mergeCell ref="U40:X40"/>
    <mergeCell ref="D41:G41"/>
    <mergeCell ref="U41:X41"/>
    <mergeCell ref="D42:G42"/>
    <mergeCell ref="U42:X42"/>
    <mergeCell ref="D43:G43"/>
    <mergeCell ref="U43:X43"/>
    <mergeCell ref="U69:X69"/>
    <mergeCell ref="D70:G70"/>
    <mergeCell ref="U70:X70"/>
    <mergeCell ref="D129:G129"/>
    <mergeCell ref="U129:X129"/>
    <mergeCell ref="D71:G71"/>
    <mergeCell ref="U71:X71"/>
    <mergeCell ref="D95:G95"/>
    <mergeCell ref="U98:X98"/>
    <mergeCell ref="D99:G99"/>
    <mergeCell ref="U99:X99"/>
    <mergeCell ref="D101:G101"/>
    <mergeCell ref="D102:G102"/>
    <mergeCell ref="D103:G103"/>
    <mergeCell ref="D104:G104"/>
    <mergeCell ref="D105:G105"/>
    <mergeCell ref="D106:G106"/>
    <mergeCell ref="D107:G107"/>
    <mergeCell ref="D108:G108"/>
    <mergeCell ref="D109:G109"/>
    <mergeCell ref="D110:G110"/>
    <mergeCell ref="D119:G119"/>
    <mergeCell ref="I8:M8"/>
    <mergeCell ref="U11:X11"/>
    <mergeCell ref="D12:G12"/>
    <mergeCell ref="U12:X12"/>
    <mergeCell ref="D73:G73"/>
    <mergeCell ref="U73:X73"/>
    <mergeCell ref="D72:G72"/>
    <mergeCell ref="U72:X72"/>
    <mergeCell ref="D13:G13"/>
    <mergeCell ref="U13:X13"/>
    <mergeCell ref="D14:G14"/>
    <mergeCell ref="U14:X14"/>
    <mergeCell ref="D15:G15"/>
    <mergeCell ref="U15:X15"/>
    <mergeCell ref="D16:G16"/>
    <mergeCell ref="U16:X16"/>
    <mergeCell ref="D17:G17"/>
    <mergeCell ref="U17:X17"/>
    <mergeCell ref="D18:G18"/>
    <mergeCell ref="U18:X18"/>
    <mergeCell ref="D19:G19"/>
    <mergeCell ref="U19:X19"/>
    <mergeCell ref="D29:G29"/>
    <mergeCell ref="D30:G30"/>
    <mergeCell ref="U412:X412"/>
    <mergeCell ref="U369:X369"/>
    <mergeCell ref="D44:G44"/>
    <mergeCell ref="U44:X44"/>
    <mergeCell ref="I355:M355"/>
    <mergeCell ref="U358:X358"/>
    <mergeCell ref="D162:G162"/>
    <mergeCell ref="D130:G130"/>
    <mergeCell ref="D388:G388"/>
    <mergeCell ref="U388:X388"/>
    <mergeCell ref="D389:G389"/>
    <mergeCell ref="U389:X389"/>
    <mergeCell ref="D362:G362"/>
    <mergeCell ref="U362:X362"/>
    <mergeCell ref="D363:G363"/>
    <mergeCell ref="U363:X363"/>
    <mergeCell ref="D364:G364"/>
    <mergeCell ref="U364:X364"/>
    <mergeCell ref="D359:G359"/>
    <mergeCell ref="U359:X359"/>
    <mergeCell ref="D360:G360"/>
    <mergeCell ref="U360:X360"/>
    <mergeCell ref="D361:G361"/>
    <mergeCell ref="U361:X361"/>
    <mergeCell ref="D433:G433"/>
    <mergeCell ref="D434:G434"/>
    <mergeCell ref="D378:G378"/>
    <mergeCell ref="U367:X367"/>
    <mergeCell ref="U368:X368"/>
    <mergeCell ref="D379:G379"/>
    <mergeCell ref="D380:G380"/>
    <mergeCell ref="D413:G413"/>
    <mergeCell ref="U418:X418"/>
    <mergeCell ref="D391:G391"/>
    <mergeCell ref="U391:X391"/>
    <mergeCell ref="D392:G392"/>
    <mergeCell ref="U392:X392"/>
    <mergeCell ref="D393:G393"/>
    <mergeCell ref="U393:X393"/>
    <mergeCell ref="D404:G404"/>
    <mergeCell ref="D405:G405"/>
    <mergeCell ref="D406:G406"/>
    <mergeCell ref="D407:G407"/>
    <mergeCell ref="U404:X404"/>
    <mergeCell ref="U405:X405"/>
    <mergeCell ref="U406:X406"/>
    <mergeCell ref="U407:X407"/>
    <mergeCell ref="D412:G412"/>
    <mergeCell ref="D479:G479"/>
    <mergeCell ref="U479:X479"/>
    <mergeCell ref="D480:G480"/>
    <mergeCell ref="U480:X480"/>
    <mergeCell ref="D481:G481"/>
    <mergeCell ref="U481:X481"/>
    <mergeCell ref="D449:G449"/>
    <mergeCell ref="U449:X449"/>
    <mergeCell ref="D473:G473"/>
    <mergeCell ref="U477:X477"/>
    <mergeCell ref="D478:G478"/>
    <mergeCell ref="U478:X478"/>
    <mergeCell ref="D450:G450"/>
    <mergeCell ref="D451:G451"/>
    <mergeCell ref="D452:G452"/>
    <mergeCell ref="D453:G453"/>
    <mergeCell ref="D454:G454"/>
    <mergeCell ref="D455:G455"/>
    <mergeCell ref="D456:G456"/>
    <mergeCell ref="D457:G457"/>
    <mergeCell ref="D458:G458"/>
    <mergeCell ref="D459:G459"/>
    <mergeCell ref="D460:G460"/>
    <mergeCell ref="D461:G461"/>
    <mergeCell ref="D482:G482"/>
    <mergeCell ref="U482:X482"/>
    <mergeCell ref="D503:G503"/>
    <mergeCell ref="D510:G510"/>
    <mergeCell ref="D511:G511"/>
    <mergeCell ref="I704:M704"/>
    <mergeCell ref="D483:G483"/>
    <mergeCell ref="D484:G484"/>
    <mergeCell ref="D485:G485"/>
    <mergeCell ref="D486:G486"/>
    <mergeCell ref="D487:G487"/>
    <mergeCell ref="D488:G488"/>
    <mergeCell ref="D489:G489"/>
    <mergeCell ref="D490:G490"/>
    <mergeCell ref="D491:G491"/>
    <mergeCell ref="D492:G492"/>
    <mergeCell ref="D493:G493"/>
    <mergeCell ref="D496:G496"/>
    <mergeCell ref="D497:G497"/>
    <mergeCell ref="U483:X483"/>
    <mergeCell ref="U484:X484"/>
    <mergeCell ref="U485:X485"/>
    <mergeCell ref="U486:X486"/>
    <mergeCell ref="U487:X487"/>
    <mergeCell ref="D711:G711"/>
    <mergeCell ref="U711:X711"/>
    <mergeCell ref="D712:G712"/>
    <mergeCell ref="U712:X712"/>
    <mergeCell ref="D713:G713"/>
    <mergeCell ref="U713:X713"/>
    <mergeCell ref="D716:G716"/>
    <mergeCell ref="D717:G717"/>
    <mergeCell ref="D718:G718"/>
    <mergeCell ref="D714:G714"/>
    <mergeCell ref="U714:X714"/>
    <mergeCell ref="D715:G715"/>
    <mergeCell ref="U715:X715"/>
    <mergeCell ref="U716:X716"/>
    <mergeCell ref="U717:X717"/>
    <mergeCell ref="U718:X718"/>
    <mergeCell ref="D719:G719"/>
    <mergeCell ref="D720:G720"/>
    <mergeCell ref="D721:G721"/>
    <mergeCell ref="D722:G722"/>
    <mergeCell ref="D723:G723"/>
    <mergeCell ref="D724:G724"/>
    <mergeCell ref="D725:G725"/>
    <mergeCell ref="D726:G726"/>
    <mergeCell ref="D727:G727"/>
    <mergeCell ref="D728:G728"/>
    <mergeCell ref="D729:G729"/>
    <mergeCell ref="D730:G730"/>
    <mergeCell ref="D731:G731"/>
    <mergeCell ref="D732:G732"/>
    <mergeCell ref="U728:X728"/>
    <mergeCell ref="D768:G768"/>
    <mergeCell ref="U768:X768"/>
    <mergeCell ref="D769:G769"/>
    <mergeCell ref="U769:X769"/>
    <mergeCell ref="D749:G749"/>
    <mergeCell ref="D750:G750"/>
    <mergeCell ref="U745:X745"/>
    <mergeCell ref="U746:X746"/>
    <mergeCell ref="U747:X747"/>
    <mergeCell ref="U748:X748"/>
    <mergeCell ref="U749:X749"/>
    <mergeCell ref="U750:X750"/>
    <mergeCell ref="D740:G740"/>
    <mergeCell ref="U740:X740"/>
    <mergeCell ref="D741:G741"/>
    <mergeCell ref="U741:X741"/>
    <mergeCell ref="D742:G742"/>
    <mergeCell ref="U742:X742"/>
    <mergeCell ref="D770:G770"/>
    <mergeCell ref="U770:X770"/>
    <mergeCell ref="D743:G743"/>
    <mergeCell ref="U743:X743"/>
    <mergeCell ref="D744:G744"/>
    <mergeCell ref="U744:X744"/>
    <mergeCell ref="D762:G762"/>
    <mergeCell ref="U767:X767"/>
    <mergeCell ref="D751:G751"/>
    <mergeCell ref="D752:G752"/>
    <mergeCell ref="D753:G753"/>
    <mergeCell ref="D754:G754"/>
    <mergeCell ref="D755:G755"/>
    <mergeCell ref="D756:G756"/>
    <mergeCell ref="U751:X751"/>
    <mergeCell ref="U752:X752"/>
    <mergeCell ref="U753:X753"/>
    <mergeCell ref="U754:X754"/>
    <mergeCell ref="U755:X755"/>
    <mergeCell ref="U756:X756"/>
    <mergeCell ref="D745:G745"/>
    <mergeCell ref="D746:G746"/>
    <mergeCell ref="D747:G747"/>
    <mergeCell ref="D748:G748"/>
    <mergeCell ref="D771:G771"/>
    <mergeCell ref="U771:X771"/>
    <mergeCell ref="D793:G793"/>
    <mergeCell ref="U796:X796"/>
    <mergeCell ref="D797:G797"/>
    <mergeCell ref="U797:X797"/>
    <mergeCell ref="D799:G799"/>
    <mergeCell ref="D800:G800"/>
    <mergeCell ref="D801:G801"/>
    <mergeCell ref="D779:G779"/>
    <mergeCell ref="D780:G780"/>
    <mergeCell ref="U781:X781"/>
    <mergeCell ref="U782:X782"/>
    <mergeCell ref="U783:X783"/>
    <mergeCell ref="U784:X784"/>
    <mergeCell ref="U785:X785"/>
    <mergeCell ref="U786:X786"/>
    <mergeCell ref="U787:X787"/>
    <mergeCell ref="D772:G772"/>
    <mergeCell ref="U772:X772"/>
    <mergeCell ref="U773:X773"/>
    <mergeCell ref="U774:X774"/>
    <mergeCell ref="U775:X775"/>
    <mergeCell ref="U776:X776"/>
    <mergeCell ref="D852:G852"/>
    <mergeCell ref="D859:G859"/>
    <mergeCell ref="D860:G860"/>
    <mergeCell ref="D828:G828"/>
    <mergeCell ref="U828:X828"/>
    <mergeCell ref="D829:G829"/>
    <mergeCell ref="U829:X829"/>
    <mergeCell ref="D830:G830"/>
    <mergeCell ref="U830:X830"/>
    <mergeCell ref="D832:G832"/>
    <mergeCell ref="D833:G833"/>
    <mergeCell ref="D834:G834"/>
    <mergeCell ref="D835:G835"/>
    <mergeCell ref="D836:G836"/>
    <mergeCell ref="D837:G837"/>
    <mergeCell ref="D838:G838"/>
    <mergeCell ref="D839:G839"/>
    <mergeCell ref="D840:G840"/>
    <mergeCell ref="D841:G841"/>
    <mergeCell ref="D842:G842"/>
    <mergeCell ref="D851:G851"/>
    <mergeCell ref="U847:X847"/>
    <mergeCell ref="D845:G845"/>
    <mergeCell ref="U851:X851"/>
    <mergeCell ref="D31:G31"/>
    <mergeCell ref="U20:X20"/>
    <mergeCell ref="U21:X21"/>
    <mergeCell ref="U22:X22"/>
    <mergeCell ref="U23:X23"/>
    <mergeCell ref="U24:X24"/>
    <mergeCell ref="U25:X25"/>
    <mergeCell ref="U26:X26"/>
    <mergeCell ref="U27:X27"/>
    <mergeCell ref="U28:X28"/>
    <mergeCell ref="U29:X29"/>
    <mergeCell ref="U30:X30"/>
    <mergeCell ref="U31:X31"/>
    <mergeCell ref="D20:G20"/>
    <mergeCell ref="D21:G21"/>
    <mergeCell ref="D22:G22"/>
    <mergeCell ref="D23:G23"/>
    <mergeCell ref="D24:G24"/>
    <mergeCell ref="D25:G25"/>
    <mergeCell ref="D26:G26"/>
    <mergeCell ref="D27:G27"/>
    <mergeCell ref="D28:G28"/>
    <mergeCell ref="U58:X58"/>
    <mergeCell ref="U59:X59"/>
    <mergeCell ref="U60:X60"/>
    <mergeCell ref="D49:G49"/>
    <mergeCell ref="D50:G50"/>
    <mergeCell ref="D51:G51"/>
    <mergeCell ref="D52:G52"/>
    <mergeCell ref="D53:G53"/>
    <mergeCell ref="D54:G54"/>
    <mergeCell ref="D55:G55"/>
    <mergeCell ref="D56:G56"/>
    <mergeCell ref="D57:G57"/>
    <mergeCell ref="U49:X49"/>
    <mergeCell ref="U50:X50"/>
    <mergeCell ref="U51:X51"/>
    <mergeCell ref="U52:X52"/>
    <mergeCell ref="U53:X53"/>
    <mergeCell ref="U54:X54"/>
    <mergeCell ref="U55:X55"/>
    <mergeCell ref="U56:X56"/>
    <mergeCell ref="U57:X57"/>
    <mergeCell ref="D74:G74"/>
    <mergeCell ref="D75:G75"/>
    <mergeCell ref="D76:G76"/>
    <mergeCell ref="D77:G77"/>
    <mergeCell ref="D78:G78"/>
    <mergeCell ref="D79:G79"/>
    <mergeCell ref="D58:G58"/>
    <mergeCell ref="D59:G59"/>
    <mergeCell ref="D60:G60"/>
    <mergeCell ref="D61:G61"/>
    <mergeCell ref="D62:G62"/>
    <mergeCell ref="D63:G63"/>
    <mergeCell ref="D64:G64"/>
    <mergeCell ref="D65:G65"/>
    <mergeCell ref="U118:X118"/>
    <mergeCell ref="U131:X131"/>
    <mergeCell ref="U132:X132"/>
    <mergeCell ref="U119:X119"/>
    <mergeCell ref="U120:X120"/>
    <mergeCell ref="U121:X121"/>
    <mergeCell ref="U122:X122"/>
    <mergeCell ref="U134:X134"/>
    <mergeCell ref="U74:X74"/>
    <mergeCell ref="U75:X75"/>
    <mergeCell ref="U76:X76"/>
    <mergeCell ref="U77:X77"/>
    <mergeCell ref="U78:X78"/>
    <mergeCell ref="U79:X79"/>
    <mergeCell ref="U111:X111"/>
    <mergeCell ref="U112:X112"/>
    <mergeCell ref="U113:X113"/>
    <mergeCell ref="U114:X114"/>
    <mergeCell ref="U123:X123"/>
    <mergeCell ref="D114:G114"/>
    <mergeCell ref="D115:G115"/>
    <mergeCell ref="D116:G116"/>
    <mergeCell ref="U101:X101"/>
    <mergeCell ref="U102:X102"/>
    <mergeCell ref="U103:X103"/>
    <mergeCell ref="U104:X104"/>
    <mergeCell ref="U105:X105"/>
    <mergeCell ref="U117:X117"/>
    <mergeCell ref="D92:G92"/>
    <mergeCell ref="D93:G93"/>
    <mergeCell ref="D94:G94"/>
    <mergeCell ref="D120:G120"/>
    <mergeCell ref="D121:G121"/>
    <mergeCell ref="D145:G145"/>
    <mergeCell ref="D146:G146"/>
    <mergeCell ref="D147:G147"/>
    <mergeCell ref="D148:G148"/>
    <mergeCell ref="D137:G137"/>
    <mergeCell ref="D138:G138"/>
    <mergeCell ref="D139:G139"/>
    <mergeCell ref="D140:G140"/>
    <mergeCell ref="D141:G141"/>
    <mergeCell ref="D117:G117"/>
    <mergeCell ref="D118:G118"/>
    <mergeCell ref="D132:G132"/>
    <mergeCell ref="D122:G122"/>
    <mergeCell ref="D123:G123"/>
    <mergeCell ref="D136:G136"/>
    <mergeCell ref="D134:G134"/>
    <mergeCell ref="D111:G111"/>
    <mergeCell ref="D112:G112"/>
    <mergeCell ref="D113:G113"/>
    <mergeCell ref="U144:X144"/>
    <mergeCell ref="U145:X145"/>
    <mergeCell ref="U146:X146"/>
    <mergeCell ref="U147:X147"/>
    <mergeCell ref="U148:X148"/>
    <mergeCell ref="D135:G135"/>
    <mergeCell ref="D142:G142"/>
    <mergeCell ref="D143:G143"/>
    <mergeCell ref="D144:G144"/>
    <mergeCell ref="U135:X135"/>
    <mergeCell ref="U136:X136"/>
    <mergeCell ref="U137:X137"/>
    <mergeCell ref="U138:X138"/>
    <mergeCell ref="U139:X139"/>
    <mergeCell ref="U140:X140"/>
    <mergeCell ref="U141:X141"/>
    <mergeCell ref="U142:X142"/>
    <mergeCell ref="U143:X143"/>
    <mergeCell ref="U370:X370"/>
    <mergeCell ref="U371:X371"/>
    <mergeCell ref="U372:X372"/>
    <mergeCell ref="U373:X373"/>
    <mergeCell ref="U374:X374"/>
    <mergeCell ref="U375:X375"/>
    <mergeCell ref="U376:X376"/>
    <mergeCell ref="U377:X377"/>
    <mergeCell ref="U378:X378"/>
    <mergeCell ref="D465:G465"/>
    <mergeCell ref="D466:G466"/>
    <mergeCell ref="D467:G467"/>
    <mergeCell ref="D435:G435"/>
    <mergeCell ref="D436:G436"/>
    <mergeCell ref="D437:G437"/>
    <mergeCell ref="D438:G438"/>
    <mergeCell ref="U398:X398"/>
    <mergeCell ref="U399:X399"/>
    <mergeCell ref="U400:X400"/>
    <mergeCell ref="U401:X401"/>
    <mergeCell ref="U402:X402"/>
    <mergeCell ref="U403:X403"/>
    <mergeCell ref="D422:G422"/>
    <mergeCell ref="U422:X422"/>
    <mergeCell ref="D444:G444"/>
    <mergeCell ref="U447:X447"/>
    <mergeCell ref="D448:G448"/>
    <mergeCell ref="U448:X448"/>
    <mergeCell ref="D419:G419"/>
    <mergeCell ref="U419:X419"/>
    <mergeCell ref="D420:G420"/>
    <mergeCell ref="U420:X420"/>
    <mergeCell ref="D421:G421"/>
    <mergeCell ref="U456:X456"/>
    <mergeCell ref="U457:X457"/>
    <mergeCell ref="U458:X458"/>
    <mergeCell ref="D381:G381"/>
    <mergeCell ref="D382:G382"/>
    <mergeCell ref="D383:G383"/>
    <mergeCell ref="D462:G462"/>
    <mergeCell ref="D463:G463"/>
    <mergeCell ref="D464:G464"/>
    <mergeCell ref="D395:G395"/>
    <mergeCell ref="U395:X395"/>
    <mergeCell ref="D390:G390"/>
    <mergeCell ref="U390:X390"/>
    <mergeCell ref="U421:X421"/>
    <mergeCell ref="D423:G423"/>
    <mergeCell ref="D424:G424"/>
    <mergeCell ref="D425:G425"/>
    <mergeCell ref="D426:G426"/>
    <mergeCell ref="D427:G427"/>
    <mergeCell ref="D428:G428"/>
    <mergeCell ref="D429:G429"/>
    <mergeCell ref="D430:G430"/>
    <mergeCell ref="D431:G431"/>
    <mergeCell ref="D432:G432"/>
    <mergeCell ref="U423:X423"/>
    <mergeCell ref="U424:X424"/>
    <mergeCell ref="U425:X425"/>
    <mergeCell ref="U426:X426"/>
    <mergeCell ref="U427:X427"/>
    <mergeCell ref="U428:X428"/>
    <mergeCell ref="U429:X429"/>
    <mergeCell ref="U430:X430"/>
    <mergeCell ref="U431:X431"/>
    <mergeCell ref="U432:X432"/>
    <mergeCell ref="U433:X433"/>
    <mergeCell ref="U434:X434"/>
    <mergeCell ref="U435:X435"/>
    <mergeCell ref="U436:X436"/>
    <mergeCell ref="U437:X437"/>
    <mergeCell ref="U438:X438"/>
    <mergeCell ref="D494:G494"/>
    <mergeCell ref="D495:G495"/>
    <mergeCell ref="U459:X459"/>
    <mergeCell ref="U460:X460"/>
    <mergeCell ref="U461:X461"/>
    <mergeCell ref="U462:X462"/>
    <mergeCell ref="U463:X463"/>
    <mergeCell ref="U464:X464"/>
    <mergeCell ref="U465:X465"/>
    <mergeCell ref="U466:X466"/>
    <mergeCell ref="U467:X467"/>
    <mergeCell ref="U450:X450"/>
    <mergeCell ref="U451:X451"/>
    <mergeCell ref="U452:X452"/>
    <mergeCell ref="U453:X453"/>
    <mergeCell ref="U454:X454"/>
    <mergeCell ref="U455:X455"/>
    <mergeCell ref="U488:X488"/>
    <mergeCell ref="U489:X489"/>
    <mergeCell ref="U490:X490"/>
    <mergeCell ref="U491:X491"/>
    <mergeCell ref="U492:X492"/>
    <mergeCell ref="U493:X493"/>
    <mergeCell ref="U494:X494"/>
    <mergeCell ref="U495:X495"/>
    <mergeCell ref="U496:X496"/>
    <mergeCell ref="U497:X497"/>
    <mergeCell ref="U719:X719"/>
    <mergeCell ref="U720:X720"/>
    <mergeCell ref="U721:X721"/>
    <mergeCell ref="U722:X722"/>
    <mergeCell ref="U723:X723"/>
    <mergeCell ref="U724:X724"/>
    <mergeCell ref="U725:X725"/>
    <mergeCell ref="U726:X726"/>
    <mergeCell ref="U707:X707"/>
    <mergeCell ref="U727:X727"/>
    <mergeCell ref="D812:G812"/>
    <mergeCell ref="D813:G813"/>
    <mergeCell ref="D814:G814"/>
    <mergeCell ref="D815:G815"/>
    <mergeCell ref="D816:G816"/>
    <mergeCell ref="U799:X799"/>
    <mergeCell ref="U800:X800"/>
    <mergeCell ref="U801:X801"/>
    <mergeCell ref="U802:X802"/>
    <mergeCell ref="U803:X803"/>
    <mergeCell ref="U804:X804"/>
    <mergeCell ref="U805:X805"/>
    <mergeCell ref="U806:X806"/>
    <mergeCell ref="U807:X807"/>
    <mergeCell ref="U808:X808"/>
    <mergeCell ref="U809:X809"/>
    <mergeCell ref="U810:X810"/>
    <mergeCell ref="U811:X811"/>
    <mergeCell ref="U812:X812"/>
    <mergeCell ref="U813:X813"/>
    <mergeCell ref="U814:X814"/>
    <mergeCell ref="U815:X815"/>
    <mergeCell ref="U816:X816"/>
    <mergeCell ref="D807:G807"/>
    <mergeCell ref="D808:G808"/>
    <mergeCell ref="D809:G809"/>
    <mergeCell ref="D810:G810"/>
    <mergeCell ref="D773:G773"/>
    <mergeCell ref="D774:G774"/>
    <mergeCell ref="D775:G775"/>
    <mergeCell ref="D776:G776"/>
    <mergeCell ref="D777:G777"/>
    <mergeCell ref="D778:G778"/>
    <mergeCell ref="D784:G784"/>
    <mergeCell ref="D785:G785"/>
    <mergeCell ref="D786:G786"/>
    <mergeCell ref="D787:G787"/>
    <mergeCell ref="D802:G802"/>
    <mergeCell ref="D803:G803"/>
    <mergeCell ref="D804:G804"/>
    <mergeCell ref="D805:G805"/>
    <mergeCell ref="D806:G806"/>
    <mergeCell ref="U845:X845"/>
    <mergeCell ref="U846:X846"/>
    <mergeCell ref="D843:G843"/>
    <mergeCell ref="D844:G844"/>
    <mergeCell ref="U836:X836"/>
    <mergeCell ref="U837:X837"/>
    <mergeCell ref="U838:X838"/>
    <mergeCell ref="U839:X839"/>
    <mergeCell ref="U840:X840"/>
    <mergeCell ref="U841:X841"/>
    <mergeCell ref="U842:X842"/>
    <mergeCell ref="U843:X843"/>
    <mergeCell ref="U844:X844"/>
  </mergeCells>
  <dataValidations count="18">
    <dataValidation type="list" allowBlank="1" showInputMessage="1" showErrorMessage="1" sqref="D129:G133 D134:G148 D149:G153" xr:uid="{00000000-0002-0000-0E00-000000000000}">
      <formula1>LU_ACT_6_ODCS</formula1>
    </dataValidation>
    <dataValidation type="list" allowBlank="1" showInputMessage="1" showErrorMessage="1" sqref="D99:G100 D101:G118 D119:G123" xr:uid="{00000000-0002-0000-0E00-000001000000}">
      <formula1>LU_ACT_6_Equipment</formula1>
    </dataValidation>
    <dataValidation type="list" allowBlank="1" showInputMessage="1" showErrorMessage="1" sqref="D70:G73 D74:G89 D90:G94" xr:uid="{00000000-0002-0000-0E00-000002000000}">
      <formula1>LU_ACT_6_Supplies</formula1>
    </dataValidation>
    <dataValidation type="list" allowBlank="1" showInputMessage="1" showErrorMessage="1" sqref="D41:G48 D49:G60 D61:G65" xr:uid="{00000000-0002-0000-0E00-000003000000}">
      <formula1>LU_ACT_6_Allowances</formula1>
    </dataValidation>
    <dataValidation type="list" allowBlank="1" showInputMessage="1" showErrorMessage="1" sqref="D12:G19 D20:G31 D32:G36" xr:uid="{00000000-0002-0000-0E00-000004000000}">
      <formula1>LU_ACT_6_Pers_Res</formula1>
    </dataValidation>
    <dataValidation type="list" allowBlank="1" showInputMessage="1" showErrorMessage="1" sqref="D359:G366 D367:G378 D379:G383" xr:uid="{00000000-0002-0000-0E00-000006000000}">
      <formula1>LU_ACT_21_Pers_Res</formula1>
    </dataValidation>
    <dataValidation type="list" allowBlank="1" showInputMessage="1" showErrorMessage="1" sqref="D388:G395 D396:G407 D408:G412" xr:uid="{00000000-0002-0000-0E00-000007000000}">
      <formula1>LU_ACT_21_Allowances</formula1>
    </dataValidation>
    <dataValidation type="list" allowBlank="1" showInputMessage="1" showErrorMessage="1" sqref="D419:G422 D423:G438 D439:G443" xr:uid="{00000000-0002-0000-0E00-000008000000}">
      <formula1>LU_ACT_21_Supplies</formula1>
    </dataValidation>
    <dataValidation type="list" allowBlank="1" showInputMessage="1" showErrorMessage="1" sqref="D448:G449 D450:G467 D468:G472" xr:uid="{00000000-0002-0000-0E00-000009000000}">
      <formula1>LU_ACT_21_Equipment</formula1>
    </dataValidation>
    <dataValidation type="list" allowBlank="1" showInputMessage="1" showErrorMessage="1" sqref="D478:G482 D483:G497 D498:G502" xr:uid="{00000000-0002-0000-0E00-00000A000000}">
      <formula1>LU_ACT_21_ODCS</formula1>
    </dataValidation>
    <dataValidation type="list" allowBlank="1" showInputMessage="1" showErrorMessage="1" sqref="D708:G715 D716:G727 D728:G732" xr:uid="{00000000-0002-0000-0E00-00000C000000}">
      <formula1>LU_ACT_22_Pers_Res</formula1>
    </dataValidation>
    <dataValidation type="list" allowBlank="1" showInputMessage="1" showErrorMessage="1" sqref="D737:G744 D745:G756 D757:G761" xr:uid="{00000000-0002-0000-0E00-00000D000000}">
      <formula1>LU_ACT_22_Allowances</formula1>
    </dataValidation>
    <dataValidation type="list" allowBlank="1" showInputMessage="1" showErrorMessage="1" sqref="D768:G771 D772:G787 D788:G792" xr:uid="{00000000-0002-0000-0E00-00000E000000}">
      <formula1>LU_ACT_22_Supplies</formula1>
    </dataValidation>
    <dataValidation type="list" allowBlank="1" showInputMessage="1" showErrorMessage="1" sqref="D797:G798 D799:G816 D817:G821" xr:uid="{00000000-0002-0000-0E00-00000F000000}">
      <formula1>LU_ACT_22_Equipment</formula1>
    </dataValidation>
    <dataValidation type="list" allowBlank="1" showInputMessage="1" showErrorMessage="1" sqref="D827:G831 D832:G846 D847:G851" xr:uid="{00000000-0002-0000-0E00-000010000000}">
      <formula1>LU_ACT_22_ODCS</formula1>
    </dataValidation>
    <dataValidation type="whole" showDropDown="1" showErrorMessage="1" errorTitle="Drop Down Box Cell Link" error="The value in a drop down box cell link must be a whole number within the control's lookup range rows." sqref="I9" xr:uid="{E03EAB80-6328-4078-ADF8-ADC57910944D}">
      <formula1>1</formula1>
      <formula2>ROWS(LU_ACT_6_Meet_Curr)</formula2>
    </dataValidation>
    <dataValidation type="whole" showDropDown="1" showErrorMessage="1" errorTitle="Drop Down Box Cell Link" error="The value in a drop down box cell link must be a whole number within the control's lookup range rows." sqref="I356" xr:uid="{B2E96E34-80FE-42F5-B995-01865D16F643}">
      <formula1>1</formula1>
      <formula2>ROWS(LU_ACT_21_Meet_Curr)</formula2>
    </dataValidation>
    <dataValidation type="whole" showDropDown="1" showErrorMessage="1" errorTitle="Drop Down Box Cell Link" error="The value in a drop down box cell link must be a whole number within the control's lookup range rows." sqref="I705" xr:uid="{6FC4947A-E26F-4A48-9C5D-DFF5D8284082}">
      <formula1>1</formula1>
      <formula2>ROWS(LU_ACT_22_Meet_Curr)</formula2>
    </dataValidation>
  </dataValidations>
  <hyperlinks>
    <hyperlink ref="A4" location="$B$5" tooltip="Go to Top of Sheet" display="$B$5" xr:uid="{00000000-0004-0000-0E00-000000000000}"/>
    <hyperlink ref="B4" location="HL_Sheet_Main_10" tooltip="Go to Previous Sheet" display="HL_Sheet_Main_10" xr:uid="{00000000-0004-0000-0E00-000001000000}"/>
    <hyperlink ref="C4" location="HL_Sheet_Main_35" tooltip="Go to Next Sheet" display="HL_Sheet_Main_35" xr:uid="{00000000-0004-0000-0E00-000002000000}"/>
    <hyperlink ref="B3" location="HL_Home" tooltip="Go to Table of Contents" display="HL_Home" xr:uid="{00000000-0004-0000-0E00-000003000000}"/>
    <hyperlink ref="D4" location="HL_Err_Chk" tooltip="Go to Error Checks" display="HL_Err_Chk" xr:uid="{00000000-0004-0000-0E00-000004000000}"/>
    <hyperlink ref="F4" location="HL_Alt_Chk" tooltip="Go to Alert Checks" display="HL_Alt_Chk" xr:uid="{00000000-0004-0000-0E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pmDropDownACT_6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77829" r:id="rId5" name="bpmDropDownACT_211">
              <controlPr defaultSize="0" autoFill="0" autoPict="0">
                <anchor moveWithCells="1">
                  <from>
                    <xdr:col>8</xdr:col>
                    <xdr:colOff>0</xdr:colOff>
                    <xdr:row>355</xdr:row>
                    <xdr:rowOff>0</xdr:rowOff>
                  </from>
                  <to>
                    <xdr:col>9</xdr:col>
                    <xdr:colOff>0</xdr:colOff>
                    <xdr:row>356</xdr:row>
                    <xdr:rowOff>0</xdr:rowOff>
                  </to>
                </anchor>
              </controlPr>
            </control>
          </mc:Choice>
        </mc:AlternateContent>
        <mc:AlternateContent xmlns:mc="http://schemas.openxmlformats.org/markup-compatibility/2006">
          <mc:Choice Requires="x14">
            <control shapeId="77834" r:id="rId6" name="bpmDropDownACT_221">
              <controlPr defaultSize="0" autoFill="0" autoPict="0">
                <anchor moveWithCells="1">
                  <from>
                    <xdr:col>8</xdr:col>
                    <xdr:colOff>0</xdr:colOff>
                    <xdr:row>704</xdr:row>
                    <xdr:rowOff>0</xdr:rowOff>
                  </from>
                  <to>
                    <xdr:col>9</xdr:col>
                    <xdr:colOff>0</xdr:colOff>
                    <xdr:row>705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pageSetUpPr autoPageBreaks="0"/>
  </sheetPr>
  <dimension ref="A1:M33"/>
  <sheetViews>
    <sheetView showGridLines="0" zoomScaleNormal="100" workbookViewId="0">
      <pane xSplit="1" ySplit="4" topLeftCell="B5" activePane="bottomRight" state="frozen"/>
      <selection activeCell="H63" sqref="H63:P63"/>
      <selection pane="topRight" activeCell="H63" sqref="H63:P63"/>
      <selection pane="bottomLeft" activeCell="H63" sqref="H63:P63"/>
      <selection pane="bottomRight" activeCell="K11" sqref="K11"/>
    </sheetView>
  </sheetViews>
  <sheetFormatPr defaultColWidth="11.6640625" defaultRowHeight="13.8" x14ac:dyDescent="0.3"/>
  <cols>
    <col min="1" max="5" width="3.6640625" customWidth="1"/>
    <col min="12" max="12" width="2.33203125" customWidth="1"/>
  </cols>
  <sheetData>
    <row r="1" spans="1:13" ht="23.4" x14ac:dyDescent="0.3">
      <c r="B1" s="2" t="s">
        <v>524</v>
      </c>
    </row>
    <row r="2" spans="1:13" ht="18" x14ac:dyDescent="0.3">
      <c r="B2" s="6" t="str">
        <f>Model_Name</f>
        <v>Oral Cholera Vaccine Activity-Based Costing</v>
      </c>
    </row>
    <row r="3" spans="1:13" x14ac:dyDescent="0.3">
      <c r="B3" s="331" t="s">
        <v>2</v>
      </c>
      <c r="C3" s="331"/>
      <c r="D3" s="331"/>
      <c r="E3" s="331"/>
      <c r="F3" s="331"/>
    </row>
    <row r="4" spans="1:13" x14ac:dyDescent="0.3">
      <c r="A4" s="7" t="s">
        <v>5</v>
      </c>
      <c r="B4" s="8" t="s">
        <v>10</v>
      </c>
      <c r="C4" s="9" t="s">
        <v>11</v>
      </c>
      <c r="D4" s="38" t="s">
        <v>25</v>
      </c>
      <c r="F4" s="39" t="s">
        <v>26</v>
      </c>
    </row>
    <row r="7" spans="1:13" x14ac:dyDescent="0.3">
      <c r="H7" s="256" t="s">
        <v>475</v>
      </c>
      <c r="I7" s="428" t="s">
        <v>435</v>
      </c>
      <c r="J7" s="428"/>
    </row>
    <row r="8" spans="1:13" x14ac:dyDescent="0.3">
      <c r="G8" s="188" t="s">
        <v>445</v>
      </c>
      <c r="H8" s="124">
        <f>Count_BA!I34</f>
        <v>0</v>
      </c>
      <c r="I8" s="256" t="s">
        <v>380</v>
      </c>
      <c r="J8" s="256" t="s">
        <v>381</v>
      </c>
      <c r="K8" s="256" t="s">
        <v>449</v>
      </c>
    </row>
    <row r="9" spans="1:13" ht="12.6" customHeight="1" x14ac:dyDescent="0.3">
      <c r="G9" s="254" t="s">
        <v>446</v>
      </c>
      <c r="H9" s="97">
        <v>0.25</v>
      </c>
      <c r="I9" s="257" t="s">
        <v>434</v>
      </c>
      <c r="J9" s="257" t="s">
        <v>434</v>
      </c>
      <c r="K9" s="257" t="s">
        <v>434</v>
      </c>
    </row>
    <row r="10" spans="1:13" x14ac:dyDescent="0.3">
      <c r="G10" s="188" t="s">
        <v>433</v>
      </c>
      <c r="H10" s="124">
        <f>H8*H9</f>
        <v>0</v>
      </c>
      <c r="I10" s="124">
        <f>VACC_BA!I36</f>
        <v>0</v>
      </c>
      <c r="J10" s="124">
        <f>VACC_BA!J36</f>
        <v>0</v>
      </c>
      <c r="K10" s="124">
        <f>SUM(Count_BA!K34:M34)</f>
        <v>0</v>
      </c>
    </row>
    <row r="12" spans="1:13" x14ac:dyDescent="0.3">
      <c r="C12" s="119" t="s">
        <v>438</v>
      </c>
      <c r="H12" s="188" t="s">
        <v>447</v>
      </c>
      <c r="I12" s="188" t="s">
        <v>448</v>
      </c>
      <c r="J12" s="150"/>
      <c r="K12" s="188" t="s">
        <v>436</v>
      </c>
      <c r="L12" s="150"/>
      <c r="M12" s="188" t="s">
        <v>402</v>
      </c>
    </row>
    <row r="13" spans="1:13" x14ac:dyDescent="0.3">
      <c r="D13" s="356" t="s">
        <v>184</v>
      </c>
      <c r="E13" s="356"/>
      <c r="F13" s="356"/>
      <c r="G13" s="356"/>
      <c r="H13" s="148">
        <f>H10</f>
        <v>0</v>
      </c>
      <c r="I13" s="118">
        <v>1</v>
      </c>
      <c r="K13" s="97">
        <v>7</v>
      </c>
      <c r="M13" s="124">
        <f t="shared" ref="M13:M17" si="0">(H13*I13)+((H13*I13)*K13)</f>
        <v>0</v>
      </c>
    </row>
    <row r="14" spans="1:13" x14ac:dyDescent="0.3">
      <c r="D14" s="356"/>
      <c r="E14" s="356"/>
      <c r="F14" s="356"/>
      <c r="G14" s="356"/>
      <c r="H14" s="118"/>
      <c r="I14" s="118"/>
      <c r="K14" s="97">
        <v>0.05</v>
      </c>
      <c r="M14" s="124">
        <f t="shared" si="0"/>
        <v>0</v>
      </c>
    </row>
    <row r="15" spans="1:13" x14ac:dyDescent="0.3">
      <c r="D15" s="356"/>
      <c r="E15" s="356"/>
      <c r="F15" s="356"/>
      <c r="G15" s="356"/>
      <c r="H15" s="118"/>
      <c r="I15" s="118"/>
      <c r="K15" s="97">
        <v>0.05</v>
      </c>
      <c r="M15" s="124">
        <f t="shared" si="0"/>
        <v>0</v>
      </c>
    </row>
    <row r="16" spans="1:13" x14ac:dyDescent="0.3">
      <c r="D16" s="356"/>
      <c r="E16" s="356"/>
      <c r="F16" s="356"/>
      <c r="G16" s="356"/>
      <c r="H16" s="118"/>
      <c r="I16" s="118"/>
      <c r="K16" s="97">
        <v>0.05</v>
      </c>
      <c r="M16" s="124">
        <f t="shared" si="0"/>
        <v>0</v>
      </c>
    </row>
    <row r="17" spans="3:13" x14ac:dyDescent="0.3">
      <c r="D17" s="356"/>
      <c r="E17" s="356"/>
      <c r="F17" s="356"/>
      <c r="G17" s="356"/>
      <c r="H17" s="118"/>
      <c r="I17" s="118"/>
      <c r="K17" s="97">
        <v>0.05</v>
      </c>
      <c r="M17" s="124">
        <f t="shared" si="0"/>
        <v>0</v>
      </c>
    </row>
    <row r="20" spans="3:13" x14ac:dyDescent="0.3">
      <c r="C20" s="119" t="s">
        <v>437</v>
      </c>
      <c r="H20" s="188" t="s">
        <v>447</v>
      </c>
      <c r="I20" s="188" t="s">
        <v>448</v>
      </c>
      <c r="J20" s="150"/>
      <c r="K20" s="188" t="s">
        <v>436</v>
      </c>
      <c r="L20" s="150"/>
      <c r="M20" s="188" t="s">
        <v>402</v>
      </c>
    </row>
    <row r="21" spans="3:13" x14ac:dyDescent="0.3">
      <c r="D21" s="356" t="s">
        <v>184</v>
      </c>
      <c r="E21" s="356"/>
      <c r="F21" s="356"/>
      <c r="G21" s="356"/>
      <c r="H21" s="148">
        <f>I10</f>
        <v>0</v>
      </c>
      <c r="I21" s="118">
        <v>1</v>
      </c>
      <c r="K21" s="97">
        <v>0.05</v>
      </c>
      <c r="M21" s="124">
        <f>(H21*I21)+((H21*I21)*K21)</f>
        <v>0</v>
      </c>
    </row>
    <row r="22" spans="3:13" x14ac:dyDescent="0.3">
      <c r="D22" s="356"/>
      <c r="E22" s="356"/>
      <c r="F22" s="356"/>
      <c r="G22" s="356"/>
      <c r="H22" s="118"/>
      <c r="I22" s="118"/>
      <c r="K22" s="97">
        <v>0.05</v>
      </c>
      <c r="M22" s="124">
        <f t="shared" ref="M22:M25" si="1">I22+(I22*K22)</f>
        <v>0</v>
      </c>
    </row>
    <row r="23" spans="3:13" x14ac:dyDescent="0.3">
      <c r="D23" s="356"/>
      <c r="E23" s="356"/>
      <c r="F23" s="356"/>
      <c r="G23" s="356"/>
      <c r="H23" s="118"/>
      <c r="I23" s="118"/>
      <c r="K23" s="97">
        <v>0.05</v>
      </c>
      <c r="M23" s="124">
        <f t="shared" si="1"/>
        <v>0</v>
      </c>
    </row>
    <row r="24" spans="3:13" x14ac:dyDescent="0.3">
      <c r="D24" s="356"/>
      <c r="E24" s="356"/>
      <c r="F24" s="356"/>
      <c r="G24" s="356"/>
      <c r="H24" s="118"/>
      <c r="I24" s="118"/>
      <c r="K24" s="97">
        <v>0.05</v>
      </c>
      <c r="M24" s="124">
        <f t="shared" si="1"/>
        <v>0</v>
      </c>
    </row>
    <row r="25" spans="3:13" x14ac:dyDescent="0.3">
      <c r="D25" s="356"/>
      <c r="E25" s="356"/>
      <c r="F25" s="356"/>
      <c r="G25" s="356"/>
      <c r="H25" s="118"/>
      <c r="I25" s="118"/>
      <c r="K25" s="97">
        <v>0.05</v>
      </c>
      <c r="M25" s="124">
        <f t="shared" si="1"/>
        <v>0</v>
      </c>
    </row>
    <row r="28" spans="3:13" x14ac:dyDescent="0.3">
      <c r="C28" s="119" t="s">
        <v>439</v>
      </c>
      <c r="I28" s="119" t="s">
        <v>440</v>
      </c>
      <c r="K28" s="188" t="s">
        <v>436</v>
      </c>
      <c r="M28" s="188" t="s">
        <v>402</v>
      </c>
    </row>
    <row r="29" spans="3:13" x14ac:dyDescent="0.3">
      <c r="D29" s="356" t="s">
        <v>441</v>
      </c>
      <c r="E29" s="356"/>
      <c r="F29" s="356"/>
      <c r="G29" s="356"/>
      <c r="I29" s="48">
        <v>1</v>
      </c>
      <c r="K29" s="97">
        <v>0.3</v>
      </c>
      <c r="M29" s="124">
        <f>(I29+(I29*K29))*$K$10</f>
        <v>0</v>
      </c>
    </row>
    <row r="30" spans="3:13" x14ac:dyDescent="0.3">
      <c r="D30" s="356" t="s">
        <v>444</v>
      </c>
      <c r="E30" s="356"/>
      <c r="F30" s="356"/>
      <c r="G30" s="356"/>
      <c r="I30" s="48">
        <v>2</v>
      </c>
      <c r="K30" s="97">
        <v>0.3</v>
      </c>
      <c r="M30" s="124">
        <f t="shared" ref="M30:M33" si="2">(I30+(I30*K30))*$K$10</f>
        <v>0</v>
      </c>
    </row>
    <row r="31" spans="3:13" x14ac:dyDescent="0.3">
      <c r="D31" s="356" t="s">
        <v>442</v>
      </c>
      <c r="E31" s="356"/>
      <c r="F31" s="356"/>
      <c r="G31" s="356"/>
      <c r="I31" s="48">
        <v>2</v>
      </c>
      <c r="K31" s="97">
        <v>0.3</v>
      </c>
      <c r="M31" s="124">
        <f t="shared" si="2"/>
        <v>0</v>
      </c>
    </row>
    <row r="32" spans="3:13" x14ac:dyDescent="0.3">
      <c r="D32" s="356" t="s">
        <v>443</v>
      </c>
      <c r="E32" s="356"/>
      <c r="F32" s="356"/>
      <c r="G32" s="356"/>
      <c r="I32" s="48">
        <v>2</v>
      </c>
      <c r="K32" s="97">
        <v>0.3</v>
      </c>
      <c r="M32" s="124">
        <f t="shared" si="2"/>
        <v>0</v>
      </c>
    </row>
    <row r="33" spans="4:13" x14ac:dyDescent="0.3">
      <c r="D33" s="356"/>
      <c r="E33" s="356"/>
      <c r="F33" s="356"/>
      <c r="G33" s="356"/>
      <c r="I33" s="48"/>
      <c r="K33" s="97"/>
      <c r="M33" s="124">
        <f t="shared" si="2"/>
        <v>0</v>
      </c>
    </row>
  </sheetData>
  <mergeCells count="17">
    <mergeCell ref="D22:G22"/>
    <mergeCell ref="B3:F3"/>
    <mergeCell ref="I7:J7"/>
    <mergeCell ref="D13:G13"/>
    <mergeCell ref="D14:G14"/>
    <mergeCell ref="D15:G15"/>
    <mergeCell ref="D16:G16"/>
    <mergeCell ref="D17:G17"/>
    <mergeCell ref="D21:G21"/>
    <mergeCell ref="D32:G32"/>
    <mergeCell ref="D33:G33"/>
    <mergeCell ref="D23:G23"/>
    <mergeCell ref="D24:G24"/>
    <mergeCell ref="D25:G25"/>
    <mergeCell ref="D29:G29"/>
    <mergeCell ref="D30:G30"/>
    <mergeCell ref="D31:G31"/>
  </mergeCells>
  <hyperlinks>
    <hyperlink ref="A4" location="$B$5" tooltip="Go to Top of Sheet" display="$B$5" xr:uid="{00000000-0004-0000-0F00-000000000000}"/>
    <hyperlink ref="B4" location="HL_Sheet_Main_41" tooltip="Go to Previous Sheet" display="HL_Sheet_Main_41" xr:uid="{00000000-0004-0000-0F00-000001000000}"/>
    <hyperlink ref="C4" location="HL_Sheet_Main_35" tooltip="Go to Next Sheet" display="HL_Sheet_Main_35" xr:uid="{00000000-0004-0000-0F00-000002000000}"/>
    <hyperlink ref="B3" location="HL_Home" tooltip="Go to Table of Contents" display="HL_Home" xr:uid="{00000000-0004-0000-0F00-000003000000}"/>
    <hyperlink ref="D4" location="HL_Err_Chk" tooltip="Go to Error Checks" display="HL_Err_Chk" xr:uid="{00000000-0004-0000-0F00-000004000000}"/>
    <hyperlink ref="F4" location="HL_Alt_Chk" tooltip="Go to Alert Checks" display="HL_Alt_Chk" xr:uid="{00000000-0004-0000-0F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autoPageBreaks="0"/>
  </sheetPr>
  <dimension ref="A1:X1751"/>
  <sheetViews>
    <sheetView showGridLines="0" zoomScaleNormal="100" workbookViewId="0">
      <pane xSplit="1" ySplit="4" topLeftCell="B5" activePane="bottomRight" state="frozen"/>
      <selection pane="topRight" activeCell="B1" sqref="B1"/>
      <selection pane="bottomLeft" activeCell="A5" sqref="A5"/>
      <selection pane="bottomRight" activeCell="V1556" sqref="V1556"/>
    </sheetView>
  </sheetViews>
  <sheetFormatPr defaultColWidth="11.6640625" defaultRowHeight="13.8" outlineLevelRow="1" x14ac:dyDescent="0.3"/>
  <cols>
    <col min="1" max="5" width="3.6640625" style="22" customWidth="1"/>
    <col min="6" max="7" width="11.6640625" style="22"/>
    <col min="8" max="8" width="1.88671875" style="22" customWidth="1"/>
    <col min="9" max="9" width="11.6640625" style="22"/>
    <col min="10" max="10" width="2.44140625" style="22" customWidth="1"/>
    <col min="11" max="11" width="11.6640625" style="22"/>
    <col min="12" max="12" width="2" style="22" customWidth="1"/>
    <col min="13" max="13" width="11.6640625" style="22"/>
    <col min="14" max="14" width="1.88671875" style="22" customWidth="1"/>
    <col min="15" max="15" width="11.6640625" style="22"/>
    <col min="16" max="16" width="1.5546875" style="22" customWidth="1"/>
    <col min="17" max="17" width="11.6640625" style="22"/>
    <col min="18" max="18" width="1.5546875" style="22" customWidth="1"/>
    <col min="19" max="19" width="11.6640625" style="22"/>
    <col min="20" max="20" width="1.44140625" style="22" customWidth="1"/>
    <col min="21" max="21" width="11.6640625" style="22"/>
    <col min="22" max="22" width="12.6640625" style="22" customWidth="1"/>
    <col min="23" max="16384" width="11.6640625" style="22"/>
  </cols>
  <sheetData>
    <row r="1" spans="1:24" ht="23.4" x14ac:dyDescent="0.3">
      <c r="B1" s="24" t="s">
        <v>362</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c r="M4" s="120" t="str">
        <f>IF(DD_ACT_17_Meet1_Curr=1,$D$164,$D$165)</f>
        <v>GOZ</v>
      </c>
      <c r="O4" s="120" t="str">
        <f>IF(DD_ACT_17_Meet1_Curr=1,$D$164,$D$165)</f>
        <v>GOZ</v>
      </c>
      <c r="Q4" s="120" t="str">
        <f>IF(DD_ACT_17_Meet1_Curr=1,$D$164,$D$165)</f>
        <v>GOZ</v>
      </c>
      <c r="S4" s="120" t="str">
        <f>IF(DD_ACT_17_Meet1_Curr=1,$D$164,$D$165)</f>
        <v>GOZ</v>
      </c>
    </row>
    <row r="7" spans="1:24" ht="18" x14ac:dyDescent="0.3">
      <c r="B7" s="31" t="str">
        <f>I8</f>
        <v>Training Activity #1 [not in use]</v>
      </c>
    </row>
    <row r="8" spans="1:24" x14ac:dyDescent="0.3">
      <c r="G8" s="41" t="s">
        <v>119</v>
      </c>
      <c r="I8" s="356" t="s">
        <v>993</v>
      </c>
      <c r="J8" s="356"/>
      <c r="K8" s="356"/>
      <c r="L8" s="356"/>
      <c r="M8" s="356"/>
    </row>
    <row r="9" spans="1:24" ht="10.5" customHeight="1" x14ac:dyDescent="0.3">
      <c r="G9" s="41" t="s">
        <v>76</v>
      </c>
      <c r="I9" s="32">
        <v>2</v>
      </c>
    </row>
    <row r="11" spans="1:24" ht="15.6" hidden="1" x14ac:dyDescent="0.3">
      <c r="C11" s="92" t="s">
        <v>77</v>
      </c>
      <c r="M11" s="120" t="str">
        <f>IF(DD_ACT_17_Meet1_Curr=1,$D$164,$D$165)</f>
        <v>GOZ</v>
      </c>
      <c r="O11" s="120" t="str">
        <f>IF(DD_ACT_17_Meet1_Curr=1,$D$164,$D$165)</f>
        <v>GOZ</v>
      </c>
      <c r="Q11" s="120" t="str">
        <f>IF(DD_ACT_17_Meet1_Curr=1,$D$164,$D$165)</f>
        <v>GOZ</v>
      </c>
      <c r="S11" s="120" t="str">
        <f>IF(DD_ACT_17_Meet1_Curr=1,$D$164,$D$165)</f>
        <v>GOZ</v>
      </c>
    </row>
    <row r="12" spans="1:24" ht="27.6" x14ac:dyDescent="0.3">
      <c r="D12" s="90" t="s">
        <v>77</v>
      </c>
      <c r="I12" s="88" t="s">
        <v>80</v>
      </c>
      <c r="K12" s="91" t="s">
        <v>432</v>
      </c>
      <c r="M12" s="42" t="s">
        <v>103</v>
      </c>
      <c r="O12" s="42" t="s">
        <v>104</v>
      </c>
      <c r="Q12" s="42" t="s">
        <v>105</v>
      </c>
      <c r="S12" s="42" t="s">
        <v>106</v>
      </c>
      <c r="U12" s="350" t="s">
        <v>185</v>
      </c>
      <c r="V12" s="351"/>
      <c r="W12" s="351"/>
      <c r="X12" s="351"/>
    </row>
    <row r="13" spans="1:24" x14ac:dyDescent="0.3">
      <c r="D13" s="356" t="s">
        <v>188</v>
      </c>
      <c r="E13" s="356"/>
      <c r="F13" s="356"/>
      <c r="G13" s="356"/>
      <c r="I13" s="48">
        <v>0</v>
      </c>
      <c r="K13" s="48">
        <v>0</v>
      </c>
      <c r="M13" s="40">
        <f t="shared" ref="M13:M37" si="0">IFERROR(IF(DD_ACT_17_Meet1_Curr=1,INDEX($M$170:$M$204,MATCH(D13,LU_ACT_17_Pers_Res,0)),INDEX($Q$170:$Q$204,MATCH(D13,LU_ACT_17_Pers_Res,0))),0)</f>
        <v>0</v>
      </c>
      <c r="O13" s="40">
        <f t="shared" ref="O13:O37" si="1">IFERROR(IF(DD_ACT_17_Meet1_Curr=1,INDEX($O$170:$O$204,MATCH(D13,LU_ACT_17_Pers_Res,0)),INDEX($S$170:$S$204,MATCH(D13,LU_ACT_17_Pers_Res,0))),0)</f>
        <v>0</v>
      </c>
      <c r="Q13" s="293">
        <f t="shared" ref="Q13:Q37" si="2">I13*K13*M13</f>
        <v>0</v>
      </c>
      <c r="S13" s="293">
        <f t="shared" ref="S13:S37" si="3">I13*K13*O13</f>
        <v>0</v>
      </c>
      <c r="U13" s="356"/>
      <c r="V13" s="356"/>
      <c r="W13" s="356"/>
      <c r="X13" s="356"/>
    </row>
    <row r="14" spans="1:24" x14ac:dyDescent="0.3">
      <c r="D14" s="356" t="s">
        <v>189</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190</v>
      </c>
      <c r="E15" s="356"/>
      <c r="F15" s="356"/>
      <c r="G15" s="356"/>
      <c r="I15" s="48">
        <v>0</v>
      </c>
      <c r="K15" s="48">
        <v>0</v>
      </c>
      <c r="M15" s="40">
        <f t="shared" si="0"/>
        <v>0</v>
      </c>
      <c r="O15" s="40">
        <f t="shared" si="1"/>
        <v>0</v>
      </c>
      <c r="Q15" s="293">
        <f t="shared" si="2"/>
        <v>0</v>
      </c>
      <c r="S15" s="293">
        <f t="shared" si="3"/>
        <v>0</v>
      </c>
      <c r="U15" s="356"/>
      <c r="V15" s="356"/>
      <c r="W15" s="356"/>
      <c r="X15" s="356"/>
    </row>
    <row r="16" spans="1:24" s="277" customFormat="1" x14ac:dyDescent="0.3">
      <c r="D16" s="356" t="s">
        <v>191</v>
      </c>
      <c r="E16" s="356"/>
      <c r="F16" s="356"/>
      <c r="G16" s="356"/>
      <c r="I16" s="48">
        <v>0</v>
      </c>
      <c r="K16" s="48">
        <v>0</v>
      </c>
      <c r="M16" s="279">
        <f t="shared" si="0"/>
        <v>0</v>
      </c>
      <c r="O16" s="279">
        <f t="shared" si="1"/>
        <v>0</v>
      </c>
      <c r="Q16" s="293">
        <f t="shared" si="2"/>
        <v>0</v>
      </c>
      <c r="S16" s="293">
        <f t="shared" si="3"/>
        <v>0</v>
      </c>
      <c r="U16" s="385"/>
      <c r="V16" s="385"/>
      <c r="W16" s="385"/>
      <c r="X16" s="385"/>
    </row>
    <row r="17" spans="4:24" s="277" customFormat="1" x14ac:dyDescent="0.3">
      <c r="D17" s="356" t="s">
        <v>192</v>
      </c>
      <c r="E17" s="356"/>
      <c r="F17" s="356"/>
      <c r="G17" s="356"/>
      <c r="I17" s="48">
        <v>0</v>
      </c>
      <c r="K17" s="48">
        <v>0</v>
      </c>
      <c r="M17" s="279">
        <f t="shared" si="0"/>
        <v>0</v>
      </c>
      <c r="O17" s="279">
        <f t="shared" si="1"/>
        <v>0</v>
      </c>
      <c r="Q17" s="293">
        <f t="shared" si="2"/>
        <v>0</v>
      </c>
      <c r="S17" s="293">
        <f t="shared" si="3"/>
        <v>0</v>
      </c>
      <c r="U17" s="385"/>
      <c r="V17" s="385"/>
      <c r="W17" s="385"/>
      <c r="X17" s="385"/>
    </row>
    <row r="18" spans="4:24" s="277" customFormat="1" x14ac:dyDescent="0.3">
      <c r="D18" s="356" t="s">
        <v>193</v>
      </c>
      <c r="E18" s="356"/>
      <c r="F18" s="356"/>
      <c r="G18" s="356"/>
      <c r="I18" s="48">
        <v>0</v>
      </c>
      <c r="K18" s="48">
        <v>0</v>
      </c>
      <c r="M18" s="279">
        <f t="shared" si="0"/>
        <v>0</v>
      </c>
      <c r="O18" s="279">
        <f t="shared" si="1"/>
        <v>0</v>
      </c>
      <c r="Q18" s="293">
        <f t="shared" si="2"/>
        <v>0</v>
      </c>
      <c r="S18" s="293">
        <f t="shared" si="3"/>
        <v>0</v>
      </c>
      <c r="U18" s="385"/>
      <c r="V18" s="385"/>
      <c r="W18" s="385"/>
      <c r="X18" s="385"/>
    </row>
    <row r="19" spans="4:24" s="277" customFormat="1" x14ac:dyDescent="0.3">
      <c r="D19" s="356" t="s">
        <v>120</v>
      </c>
      <c r="E19" s="356"/>
      <c r="F19" s="356"/>
      <c r="G19" s="356"/>
      <c r="I19" s="48">
        <v>0</v>
      </c>
      <c r="K19" s="48">
        <v>0</v>
      </c>
      <c r="M19" s="279">
        <f t="shared" si="0"/>
        <v>0</v>
      </c>
      <c r="O19" s="279">
        <f t="shared" si="1"/>
        <v>0</v>
      </c>
      <c r="Q19" s="293">
        <f t="shared" si="2"/>
        <v>0</v>
      </c>
      <c r="S19" s="293">
        <f t="shared" si="3"/>
        <v>0</v>
      </c>
      <c r="U19" s="385"/>
      <c r="V19" s="385"/>
      <c r="W19" s="385"/>
      <c r="X19" s="385"/>
    </row>
    <row r="20" spans="4:24" s="277" customFormat="1" x14ac:dyDescent="0.3">
      <c r="D20" s="356" t="s">
        <v>121</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830</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831</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832</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833</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834</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835</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836</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837</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846</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847</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848</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849</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971</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973</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974</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975</v>
      </c>
      <c r="E36" s="356"/>
      <c r="F36" s="356"/>
      <c r="G36" s="356"/>
      <c r="I36" s="48">
        <v>0</v>
      </c>
      <c r="K36" s="48">
        <v>0</v>
      </c>
      <c r="M36" s="279">
        <f t="shared" si="0"/>
        <v>0</v>
      </c>
      <c r="O36" s="279">
        <f t="shared" si="1"/>
        <v>0</v>
      </c>
      <c r="Q36" s="293">
        <f t="shared" si="2"/>
        <v>0</v>
      </c>
      <c r="S36" s="293">
        <f t="shared" si="3"/>
        <v>0</v>
      </c>
      <c r="U36" s="385"/>
      <c r="V36" s="385"/>
      <c r="W36" s="385"/>
      <c r="X36" s="385"/>
    </row>
    <row r="37" spans="3:24" s="277" customFormat="1" x14ac:dyDescent="0.3">
      <c r="D37" s="356" t="s">
        <v>976</v>
      </c>
      <c r="E37" s="356"/>
      <c r="F37" s="356"/>
      <c r="G37" s="356"/>
      <c r="I37" s="48">
        <v>0</v>
      </c>
      <c r="K37" s="48">
        <v>0</v>
      </c>
      <c r="M37" s="279">
        <f t="shared" si="0"/>
        <v>0</v>
      </c>
      <c r="O37" s="279">
        <f t="shared" si="1"/>
        <v>0</v>
      </c>
      <c r="Q37" s="293">
        <f t="shared" si="2"/>
        <v>0</v>
      </c>
      <c r="S37" s="293">
        <f t="shared" si="3"/>
        <v>0</v>
      </c>
      <c r="U37" s="385"/>
      <c r="V37" s="385"/>
      <c r="W37" s="385"/>
      <c r="X37" s="385"/>
    </row>
    <row r="38" spans="3:24" ht="14.4" x14ac:dyDescent="0.3">
      <c r="D38" s="420" t="s">
        <v>79</v>
      </c>
      <c r="E38" s="421"/>
      <c r="F38" s="421"/>
      <c r="G38" s="421"/>
      <c r="I38" s="43"/>
      <c r="K38" s="43"/>
      <c r="M38" s="43"/>
      <c r="O38" s="43"/>
      <c r="Q38" s="294">
        <f>SUM(Q13:Q37)</f>
        <v>0</v>
      </c>
      <c r="S38" s="294">
        <f>SUM(S13:S37)</f>
        <v>0</v>
      </c>
    </row>
    <row r="40" spans="3:24" ht="15.6" x14ac:dyDescent="0.3">
      <c r="C40" s="92" t="s">
        <v>164</v>
      </c>
    </row>
    <row r="41" spans="3:24" ht="27.6" x14ac:dyDescent="0.3">
      <c r="D41" s="90" t="s">
        <v>102</v>
      </c>
      <c r="I41" s="91" t="s">
        <v>80</v>
      </c>
      <c r="K41" s="91" t="s">
        <v>432</v>
      </c>
      <c r="M41" s="42" t="s">
        <v>103</v>
      </c>
      <c r="O41" s="42" t="s">
        <v>104</v>
      </c>
      <c r="Q41" s="42" t="s">
        <v>105</v>
      </c>
      <c r="S41" s="42" t="s">
        <v>106</v>
      </c>
      <c r="U41" s="350" t="s">
        <v>185</v>
      </c>
      <c r="V41" s="351"/>
      <c r="W41" s="351"/>
      <c r="X41" s="351"/>
    </row>
    <row r="42" spans="3:24" x14ac:dyDescent="0.3">
      <c r="D42" s="356" t="s">
        <v>109</v>
      </c>
      <c r="E42" s="356"/>
      <c r="F42" s="356"/>
      <c r="G42" s="356"/>
      <c r="I42" s="48">
        <v>0</v>
      </c>
      <c r="K42" s="48">
        <v>0</v>
      </c>
      <c r="M42" s="40">
        <f t="shared" ref="M42:M66" si="4">IFERROR(IF(DD_ACT_17_Meet1_Curr=1,INDEX($M$207:$M$241,MATCH(D42,LU_ACT_17_Allowances,0)),INDEX($Q$207:$Q$241,MATCH(D42,LU_ACT_17_Allowances,0))),0)</f>
        <v>0</v>
      </c>
      <c r="O42" s="40">
        <f t="shared" ref="O42:O66" si="5">IFERROR(IF(DD_ACT_17_Meet1_Curr=1,INDEX($O$207:$O$241,MATCH(D42,LU_ACT_17_Allowances,0)),INDEX($S$207:$S$241,MATCH(D42,LU_ACT_17_Allowances,0))),0)</f>
        <v>0</v>
      </c>
      <c r="Q42" s="293">
        <f t="shared" ref="Q42:Q66" si="6">I42*K42*M42</f>
        <v>0</v>
      </c>
      <c r="S42" s="293">
        <f t="shared" ref="S42:S66" si="7">I42*K42*O42</f>
        <v>0</v>
      </c>
      <c r="U42" s="356"/>
      <c r="V42" s="356"/>
      <c r="W42" s="356"/>
      <c r="X42" s="356"/>
    </row>
    <row r="43" spans="3:24" x14ac:dyDescent="0.3">
      <c r="D43" s="356" t="s">
        <v>110</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111</v>
      </c>
      <c r="E44" s="356"/>
      <c r="F44" s="356"/>
      <c r="G44" s="356"/>
      <c r="I44" s="48">
        <v>0</v>
      </c>
      <c r="K44" s="48">
        <v>0</v>
      </c>
      <c r="M44" s="40">
        <f t="shared" si="4"/>
        <v>0</v>
      </c>
      <c r="O44" s="40">
        <f t="shared" si="5"/>
        <v>0</v>
      </c>
      <c r="Q44" s="293">
        <f t="shared" si="6"/>
        <v>0</v>
      </c>
      <c r="S44" s="293">
        <f t="shared" si="7"/>
        <v>0</v>
      </c>
      <c r="U44" s="356"/>
      <c r="V44" s="356"/>
      <c r="W44" s="356"/>
      <c r="X44" s="356"/>
    </row>
    <row r="45" spans="3:24" s="277" customFormat="1" x14ac:dyDescent="0.3">
      <c r="D45" s="356" t="s">
        <v>112</v>
      </c>
      <c r="E45" s="356"/>
      <c r="F45" s="356"/>
      <c r="G45" s="356"/>
      <c r="I45" s="48">
        <v>0</v>
      </c>
      <c r="K45" s="48">
        <v>0</v>
      </c>
      <c r="M45" s="279">
        <f t="shared" si="4"/>
        <v>0</v>
      </c>
      <c r="O45" s="279">
        <f t="shared" si="5"/>
        <v>0</v>
      </c>
      <c r="Q45" s="293">
        <f t="shared" si="6"/>
        <v>0</v>
      </c>
      <c r="S45" s="293">
        <f t="shared" si="7"/>
        <v>0</v>
      </c>
      <c r="U45" s="385"/>
      <c r="V45" s="385"/>
      <c r="W45" s="385"/>
      <c r="X45" s="385"/>
    </row>
    <row r="46" spans="3:24" s="277" customFormat="1" x14ac:dyDescent="0.3">
      <c r="D46" s="356" t="s">
        <v>113</v>
      </c>
      <c r="E46" s="356"/>
      <c r="F46" s="356"/>
      <c r="G46" s="356"/>
      <c r="I46" s="48">
        <v>0</v>
      </c>
      <c r="K46" s="48">
        <v>0</v>
      </c>
      <c r="M46" s="279">
        <f t="shared" si="4"/>
        <v>0</v>
      </c>
      <c r="O46" s="279">
        <f t="shared" si="5"/>
        <v>0</v>
      </c>
      <c r="Q46" s="293">
        <f t="shared" si="6"/>
        <v>0</v>
      </c>
      <c r="S46" s="293">
        <f t="shared" si="7"/>
        <v>0</v>
      </c>
      <c r="U46" s="385"/>
      <c r="V46" s="385"/>
      <c r="W46" s="385"/>
      <c r="X46" s="385"/>
    </row>
    <row r="47" spans="3:24" s="277" customFormat="1" x14ac:dyDescent="0.3">
      <c r="D47" s="356" t="s">
        <v>114</v>
      </c>
      <c r="E47" s="356"/>
      <c r="F47" s="356"/>
      <c r="G47" s="356"/>
      <c r="I47" s="48">
        <v>0</v>
      </c>
      <c r="K47" s="48">
        <v>0</v>
      </c>
      <c r="M47" s="279">
        <f t="shared" si="4"/>
        <v>0</v>
      </c>
      <c r="O47" s="279">
        <f t="shared" si="5"/>
        <v>0</v>
      </c>
      <c r="Q47" s="293">
        <f t="shared" si="6"/>
        <v>0</v>
      </c>
      <c r="S47" s="293">
        <f t="shared" si="7"/>
        <v>0</v>
      </c>
      <c r="U47" s="385"/>
      <c r="V47" s="385"/>
      <c r="W47" s="385"/>
      <c r="X47" s="385"/>
    </row>
    <row r="48" spans="3:24" s="277" customFormat="1" x14ac:dyDescent="0.3">
      <c r="D48" s="356" t="s">
        <v>115</v>
      </c>
      <c r="E48" s="356"/>
      <c r="F48" s="356"/>
      <c r="G48" s="356"/>
      <c r="I48" s="48">
        <v>0</v>
      </c>
      <c r="K48" s="48">
        <v>0</v>
      </c>
      <c r="M48" s="279">
        <f t="shared" si="4"/>
        <v>0</v>
      </c>
      <c r="O48" s="279">
        <f t="shared" si="5"/>
        <v>0</v>
      </c>
      <c r="Q48" s="293">
        <f t="shared" si="6"/>
        <v>0</v>
      </c>
      <c r="S48" s="293">
        <f t="shared" si="7"/>
        <v>0</v>
      </c>
      <c r="U48" s="385"/>
      <c r="V48" s="385"/>
      <c r="W48" s="385"/>
      <c r="X48" s="385"/>
    </row>
    <row r="49" spans="4:24" s="277" customFormat="1" x14ac:dyDescent="0.3">
      <c r="D49" s="356" t="s">
        <v>116</v>
      </c>
      <c r="E49" s="356"/>
      <c r="F49" s="356"/>
      <c r="G49" s="356"/>
      <c r="I49" s="48">
        <v>0</v>
      </c>
      <c r="K49" s="48">
        <v>0</v>
      </c>
      <c r="M49" s="279">
        <f t="shared" si="4"/>
        <v>0</v>
      </c>
      <c r="O49" s="279">
        <f t="shared" si="5"/>
        <v>0</v>
      </c>
      <c r="Q49" s="293">
        <f t="shared" si="6"/>
        <v>0</v>
      </c>
      <c r="S49" s="293">
        <f t="shared" si="7"/>
        <v>0</v>
      </c>
      <c r="U49" s="385"/>
      <c r="V49" s="385"/>
      <c r="W49" s="385"/>
      <c r="X49" s="385"/>
    </row>
    <row r="50" spans="4:24" s="277" customFormat="1" x14ac:dyDescent="0.3">
      <c r="D50" s="356" t="s">
        <v>838</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839</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840</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841</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842</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843</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844</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845</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850</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851</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852</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853</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972</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977</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978</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979</v>
      </c>
      <c r="E65" s="356"/>
      <c r="F65" s="356"/>
      <c r="G65" s="356"/>
      <c r="I65" s="48">
        <v>0</v>
      </c>
      <c r="K65" s="48">
        <v>0</v>
      </c>
      <c r="M65" s="279">
        <f t="shared" si="4"/>
        <v>0</v>
      </c>
      <c r="O65" s="279">
        <f t="shared" si="5"/>
        <v>0</v>
      </c>
      <c r="Q65" s="293">
        <f t="shared" si="6"/>
        <v>0</v>
      </c>
      <c r="S65" s="293">
        <f t="shared" si="7"/>
        <v>0</v>
      </c>
      <c r="U65" s="385"/>
      <c r="V65" s="385"/>
      <c r="W65" s="385"/>
      <c r="X65" s="385"/>
    </row>
    <row r="66" spans="3:24" s="277" customFormat="1" x14ac:dyDescent="0.3">
      <c r="D66" s="356" t="s">
        <v>980</v>
      </c>
      <c r="E66" s="356"/>
      <c r="F66" s="356"/>
      <c r="G66" s="356"/>
      <c r="I66" s="48">
        <v>0</v>
      </c>
      <c r="K66" s="48">
        <v>0</v>
      </c>
      <c r="M66" s="279">
        <f t="shared" si="4"/>
        <v>0</v>
      </c>
      <c r="O66" s="279">
        <f t="shared" si="5"/>
        <v>0</v>
      </c>
      <c r="Q66" s="293">
        <f t="shared" si="6"/>
        <v>0</v>
      </c>
      <c r="S66" s="293">
        <f t="shared" si="7"/>
        <v>0</v>
      </c>
      <c r="U66" s="385"/>
      <c r="V66" s="385"/>
      <c r="W66" s="385"/>
      <c r="X66" s="385"/>
    </row>
    <row r="67" spans="3:24" ht="14.4" x14ac:dyDescent="0.3">
      <c r="D67" s="420" t="s">
        <v>82</v>
      </c>
      <c r="E67" s="421"/>
      <c r="F67" s="421"/>
      <c r="G67" s="421"/>
      <c r="I67" s="43"/>
      <c r="K67" s="43"/>
      <c r="M67" s="43"/>
      <c r="O67" s="43"/>
      <c r="Q67" s="294">
        <f>SUM(Q42:Q66)</f>
        <v>0</v>
      </c>
      <c r="S67" s="294">
        <f>SUM(S42:S66)</f>
        <v>0</v>
      </c>
    </row>
    <row r="71" spans="3:24" ht="15.6" x14ac:dyDescent="0.3">
      <c r="C71" s="92" t="s">
        <v>84</v>
      </c>
    </row>
    <row r="72" spans="3:24" ht="27.6" x14ac:dyDescent="0.3">
      <c r="D72" s="90" t="s">
        <v>102</v>
      </c>
      <c r="I72" s="91" t="s">
        <v>87</v>
      </c>
      <c r="K72" s="91" t="s">
        <v>432</v>
      </c>
      <c r="M72" s="42" t="s">
        <v>107</v>
      </c>
      <c r="O72" s="42" t="s">
        <v>108</v>
      </c>
      <c r="Q72" s="42" t="s">
        <v>105</v>
      </c>
      <c r="S72" s="42" t="s">
        <v>106</v>
      </c>
      <c r="U72" s="350" t="s">
        <v>185</v>
      </c>
      <c r="V72" s="351"/>
      <c r="W72" s="351"/>
      <c r="X72" s="351"/>
    </row>
    <row r="73" spans="3:24" x14ac:dyDescent="0.3">
      <c r="D73" s="356" t="s">
        <v>892</v>
      </c>
      <c r="E73" s="356"/>
      <c r="F73" s="356"/>
      <c r="G73" s="356"/>
      <c r="I73" s="48">
        <v>0</v>
      </c>
      <c r="K73" s="48">
        <v>0</v>
      </c>
      <c r="M73" s="40">
        <f t="shared" ref="M73:M97" si="8">IFERROR(IF(DD_ACT_17_Meet1_Curr=1,INDEX($M$245:$M$279,MATCH(D73,LU_ACT_17_Supplies,0)),INDEX($Q$245:$Q$279,MATCH(D73,LU_ACT_17_Supplies,0))),0)</f>
        <v>0</v>
      </c>
      <c r="O73" s="40">
        <f t="shared" ref="O73:O97" si="9">IFERROR(IF(DD_ACT_17_Meet1_Curr=1,INDEX($O$245:$O$279,MATCH(D73,LU_ACT_17_Supplies,0)),INDEX($S$245:$S$279,MATCH(D73,LU_ACT_17_Supplies,0))),0)</f>
        <v>0</v>
      </c>
      <c r="Q73" s="295">
        <f t="shared" ref="Q73:Q97" si="10">I73*K73*M73</f>
        <v>0</v>
      </c>
      <c r="S73" s="293">
        <f t="shared" ref="S73:S97" si="11">I73*K73*O73</f>
        <v>0</v>
      </c>
      <c r="U73" s="356"/>
      <c r="V73" s="356"/>
      <c r="W73" s="356"/>
      <c r="X73" s="356"/>
    </row>
    <row r="74" spans="3:24" x14ac:dyDescent="0.3">
      <c r="D74" s="356" t="s">
        <v>893</v>
      </c>
      <c r="E74" s="356"/>
      <c r="F74" s="356"/>
      <c r="G74" s="356"/>
      <c r="I74" s="48">
        <v>0</v>
      </c>
      <c r="K74" s="48">
        <v>0</v>
      </c>
      <c r="M74" s="40">
        <f t="shared" si="8"/>
        <v>0</v>
      </c>
      <c r="O74" s="40">
        <f t="shared" si="9"/>
        <v>0</v>
      </c>
      <c r="Q74" s="295">
        <f t="shared" si="10"/>
        <v>0</v>
      </c>
      <c r="S74" s="293">
        <f t="shared" si="11"/>
        <v>0</v>
      </c>
      <c r="U74" s="356"/>
      <c r="V74" s="356"/>
      <c r="W74" s="356"/>
      <c r="X74" s="356"/>
    </row>
    <row r="75" spans="3:24" s="277" customFormat="1" x14ac:dyDescent="0.3">
      <c r="D75" s="356" t="s">
        <v>854</v>
      </c>
      <c r="E75" s="356"/>
      <c r="F75" s="356"/>
      <c r="G75" s="356"/>
      <c r="I75" s="48">
        <v>0</v>
      </c>
      <c r="K75" s="48">
        <v>0</v>
      </c>
      <c r="M75" s="279">
        <f t="shared" si="8"/>
        <v>0</v>
      </c>
      <c r="O75" s="279">
        <f t="shared" si="9"/>
        <v>0</v>
      </c>
      <c r="Q75" s="295">
        <f t="shared" si="10"/>
        <v>0</v>
      </c>
      <c r="S75" s="293">
        <f t="shared" si="11"/>
        <v>0</v>
      </c>
      <c r="U75" s="385"/>
      <c r="V75" s="385"/>
      <c r="W75" s="385"/>
      <c r="X75" s="385"/>
    </row>
    <row r="76" spans="3:24" s="277" customFormat="1" x14ac:dyDescent="0.3">
      <c r="D76" s="356" t="s">
        <v>855</v>
      </c>
      <c r="E76" s="356"/>
      <c r="F76" s="356"/>
      <c r="G76" s="356"/>
      <c r="I76" s="48">
        <v>0</v>
      </c>
      <c r="K76" s="48">
        <v>0</v>
      </c>
      <c r="M76" s="279">
        <f t="shared" si="8"/>
        <v>0</v>
      </c>
      <c r="O76" s="279">
        <f t="shared" si="9"/>
        <v>0</v>
      </c>
      <c r="Q76" s="295">
        <f t="shared" si="10"/>
        <v>0</v>
      </c>
      <c r="S76" s="293">
        <f t="shared" si="11"/>
        <v>0</v>
      </c>
      <c r="U76" s="385"/>
      <c r="V76" s="385"/>
      <c r="W76" s="385"/>
      <c r="X76" s="385"/>
    </row>
    <row r="77" spans="3:24" s="277" customFormat="1" x14ac:dyDescent="0.3">
      <c r="D77" s="356" t="s">
        <v>856</v>
      </c>
      <c r="E77" s="356"/>
      <c r="F77" s="356"/>
      <c r="G77" s="356"/>
      <c r="I77" s="48">
        <v>0</v>
      </c>
      <c r="K77" s="48">
        <v>0</v>
      </c>
      <c r="M77" s="279">
        <f t="shared" si="8"/>
        <v>0</v>
      </c>
      <c r="O77" s="279">
        <f t="shared" si="9"/>
        <v>0</v>
      </c>
      <c r="Q77" s="295">
        <f t="shared" si="10"/>
        <v>0</v>
      </c>
      <c r="S77" s="293">
        <f t="shared" si="11"/>
        <v>0</v>
      </c>
      <c r="U77" s="385"/>
      <c r="V77" s="385"/>
      <c r="W77" s="385"/>
      <c r="X77" s="385"/>
    </row>
    <row r="78" spans="3:24" s="277" customFormat="1" x14ac:dyDescent="0.3">
      <c r="D78" s="356" t="s">
        <v>857</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858</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859</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860</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861</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862</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863</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864</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865</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866</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867</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868</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869</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870</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871</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981</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982</v>
      </c>
      <c r="E94" s="356"/>
      <c r="F94" s="356"/>
      <c r="G94" s="356"/>
      <c r="I94" s="48">
        <v>0</v>
      </c>
      <c r="K94" s="48">
        <v>0</v>
      </c>
      <c r="M94" s="279">
        <f t="shared" si="8"/>
        <v>0</v>
      </c>
      <c r="O94" s="279">
        <f t="shared" si="9"/>
        <v>0</v>
      </c>
      <c r="Q94" s="295">
        <f t="shared" si="10"/>
        <v>0</v>
      </c>
      <c r="S94" s="293">
        <f t="shared" si="11"/>
        <v>0</v>
      </c>
      <c r="U94" s="385"/>
      <c r="V94" s="385"/>
      <c r="W94" s="385"/>
      <c r="X94" s="385"/>
    </row>
    <row r="95" spans="4:24" s="277" customFormat="1" x14ac:dyDescent="0.3">
      <c r="D95" s="356" t="s">
        <v>983</v>
      </c>
      <c r="E95" s="356"/>
      <c r="F95" s="356"/>
      <c r="G95" s="356"/>
      <c r="I95" s="48">
        <v>0</v>
      </c>
      <c r="K95" s="48">
        <v>0</v>
      </c>
      <c r="M95" s="279">
        <f t="shared" si="8"/>
        <v>0</v>
      </c>
      <c r="O95" s="279">
        <f t="shared" si="9"/>
        <v>0</v>
      </c>
      <c r="Q95" s="295">
        <f t="shared" si="10"/>
        <v>0</v>
      </c>
      <c r="S95" s="293">
        <f t="shared" si="11"/>
        <v>0</v>
      </c>
      <c r="U95" s="385"/>
      <c r="V95" s="385"/>
      <c r="W95" s="385"/>
      <c r="X95" s="385"/>
    </row>
    <row r="96" spans="4:24" s="277" customFormat="1" x14ac:dyDescent="0.3">
      <c r="D96" s="356" t="s">
        <v>984</v>
      </c>
      <c r="E96" s="356"/>
      <c r="F96" s="356"/>
      <c r="G96" s="356"/>
      <c r="I96" s="48">
        <v>0</v>
      </c>
      <c r="K96" s="48">
        <v>0</v>
      </c>
      <c r="M96" s="279">
        <f t="shared" si="8"/>
        <v>0</v>
      </c>
      <c r="O96" s="279">
        <f t="shared" si="9"/>
        <v>0</v>
      </c>
      <c r="Q96" s="295">
        <f t="shared" si="10"/>
        <v>0</v>
      </c>
      <c r="S96" s="293">
        <f t="shared" si="11"/>
        <v>0</v>
      </c>
      <c r="U96" s="385"/>
      <c r="V96" s="385"/>
      <c r="W96" s="385"/>
      <c r="X96" s="385"/>
    </row>
    <row r="97" spans="3:24" s="277" customFormat="1" x14ac:dyDescent="0.3">
      <c r="D97" s="356" t="s">
        <v>985</v>
      </c>
      <c r="E97" s="356"/>
      <c r="F97" s="356"/>
      <c r="G97" s="356"/>
      <c r="I97" s="48">
        <v>0</v>
      </c>
      <c r="K97" s="48">
        <v>0</v>
      </c>
      <c r="M97" s="279">
        <f t="shared" si="8"/>
        <v>0</v>
      </c>
      <c r="O97" s="279">
        <f t="shared" si="9"/>
        <v>0</v>
      </c>
      <c r="Q97" s="295">
        <f t="shared" si="10"/>
        <v>0</v>
      </c>
      <c r="S97" s="293">
        <f t="shared" si="11"/>
        <v>0</v>
      </c>
      <c r="U97" s="385"/>
      <c r="V97" s="385"/>
      <c r="W97" s="385"/>
      <c r="X97" s="385"/>
    </row>
    <row r="98" spans="3:24" ht="14.4" x14ac:dyDescent="0.3">
      <c r="D98" s="420" t="s">
        <v>556</v>
      </c>
      <c r="E98" s="421"/>
      <c r="F98" s="421"/>
      <c r="G98" s="421"/>
      <c r="I98" s="43"/>
      <c r="K98" s="43"/>
      <c r="M98" s="43"/>
      <c r="O98" s="43"/>
      <c r="Q98" s="296">
        <f>SUM(Q73:Q97)</f>
        <v>0</v>
      </c>
      <c r="S98" s="294">
        <f>SUM(S73:S97)</f>
        <v>0</v>
      </c>
      <c r="U98" s="43"/>
      <c r="V98" s="43"/>
      <c r="W98" s="43"/>
      <c r="X98" s="43"/>
    </row>
    <row r="100" spans="3:24" ht="27.6" x14ac:dyDescent="0.3">
      <c r="C100" s="92" t="s">
        <v>130</v>
      </c>
      <c r="Q100" s="44" t="str">
        <f>"FINANCIAL COST ("&amp;INDEX(LU_ACT_17_Meet_Curr,DD_ACT_17_Meet1_Curr)&amp;")"</f>
        <v>FINANCIAL COST (GOZ)</v>
      </c>
      <c r="S100" s="44" t="str">
        <f>"ECONOMIC COST ("&amp;INDEX(LU_ACT_17_Meet_Curr,DD_ACT_17_Meet1_Curr)&amp;")"</f>
        <v>ECONOMIC COST (GOZ)</v>
      </c>
    </row>
    <row r="101" spans="3:24" ht="14.4" x14ac:dyDescent="0.3">
      <c r="D101" s="90" t="s">
        <v>86</v>
      </c>
      <c r="I101" s="91" t="s">
        <v>186</v>
      </c>
      <c r="M101" s="91" t="s">
        <v>81</v>
      </c>
      <c r="O101" s="91" t="s">
        <v>83</v>
      </c>
      <c r="U101" s="350" t="s">
        <v>185</v>
      </c>
      <c r="V101" s="351"/>
      <c r="W101" s="351"/>
      <c r="X101" s="351"/>
    </row>
    <row r="102" spans="3:24" x14ac:dyDescent="0.3">
      <c r="D102" s="356" t="s">
        <v>70</v>
      </c>
      <c r="E102" s="356"/>
      <c r="F102" s="356"/>
      <c r="G102" s="356"/>
      <c r="I102" s="48">
        <v>0</v>
      </c>
      <c r="M102" s="40">
        <f t="shared" ref="M102:M126" si="12">IFERROR(IF(DD_ACT_17_Meet1_Curr=1,INDEX($M$282:$M$316,MATCH(D102,LU_ACT_17_Equipment,0)),INDEX($Q$282:$Q$316,MATCH(D102,LU_ACT_17_Equipment,0))),0)</f>
        <v>0</v>
      </c>
      <c r="O102" s="40">
        <f t="shared" ref="O102:O126" si="13">IFERROR(IF(DD_ACT_17_Meet1_Curr=1,INDEX($O$282:$O$316,MATCH(D102,LU_ACT_17_Equipment,0)),INDEX($S$282:$S$316,MATCH(D102,LU_ACT_17_Equipment,0))),0)</f>
        <v>0</v>
      </c>
      <c r="Q102" s="279">
        <f t="shared" ref="Q102:Q126" si="14">I102*M102</f>
        <v>0</v>
      </c>
      <c r="S102" s="279">
        <f t="shared" ref="S102:S126" si="15">I102*O102</f>
        <v>0</v>
      </c>
      <c r="U102" s="356"/>
      <c r="V102" s="356"/>
      <c r="W102" s="356"/>
      <c r="X102" s="356"/>
    </row>
    <row r="103" spans="3:24" x14ac:dyDescent="0.3">
      <c r="D103" s="356" t="s">
        <v>122</v>
      </c>
      <c r="E103" s="356"/>
      <c r="F103" s="356"/>
      <c r="G103" s="356"/>
      <c r="I103" s="48">
        <v>0</v>
      </c>
      <c r="M103" s="40">
        <f t="shared" si="12"/>
        <v>0</v>
      </c>
      <c r="O103" s="40">
        <f t="shared" si="13"/>
        <v>0</v>
      </c>
      <c r="Q103" s="279">
        <f t="shared" si="14"/>
        <v>0</v>
      </c>
      <c r="S103" s="279">
        <f t="shared" si="15"/>
        <v>0</v>
      </c>
      <c r="U103" s="356"/>
      <c r="V103" s="356"/>
      <c r="W103" s="356"/>
      <c r="X103" s="356"/>
    </row>
    <row r="104" spans="3:24" s="277" customFormat="1" x14ac:dyDescent="0.3">
      <c r="D104" s="356" t="s">
        <v>872</v>
      </c>
      <c r="E104" s="356"/>
      <c r="F104" s="356"/>
      <c r="G104" s="356"/>
      <c r="I104" s="48">
        <v>0</v>
      </c>
      <c r="M104" s="279">
        <f t="shared" si="12"/>
        <v>0</v>
      </c>
      <c r="O104" s="279">
        <f t="shared" si="13"/>
        <v>0</v>
      </c>
      <c r="Q104" s="279">
        <f t="shared" si="14"/>
        <v>0</v>
      </c>
      <c r="S104" s="279">
        <f t="shared" si="15"/>
        <v>0</v>
      </c>
      <c r="U104" s="385"/>
      <c r="V104" s="385"/>
      <c r="W104" s="385"/>
      <c r="X104" s="385"/>
    </row>
    <row r="105" spans="3:24" s="277" customFormat="1" x14ac:dyDescent="0.3">
      <c r="D105" s="356" t="s">
        <v>873</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874</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875</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778</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779</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780</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781</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782</v>
      </c>
      <c r="E112" s="356"/>
      <c r="F112" s="356"/>
      <c r="G112" s="356"/>
      <c r="I112" s="48">
        <v>0</v>
      </c>
      <c r="M112" s="279">
        <f t="shared" si="12"/>
        <v>0</v>
      </c>
      <c r="O112" s="279">
        <f t="shared" si="13"/>
        <v>0</v>
      </c>
      <c r="Q112" s="279">
        <f t="shared" si="14"/>
        <v>0</v>
      </c>
      <c r="S112" s="279">
        <f t="shared" si="15"/>
        <v>0</v>
      </c>
      <c r="U112" s="385"/>
      <c r="V112" s="385"/>
      <c r="W112" s="385"/>
      <c r="X112" s="385"/>
    </row>
    <row r="113" spans="4:24" s="277" customFormat="1" x14ac:dyDescent="0.3">
      <c r="D113" s="356" t="s">
        <v>783</v>
      </c>
      <c r="E113" s="356"/>
      <c r="F113" s="356"/>
      <c r="G113" s="356"/>
      <c r="I113" s="48">
        <v>0</v>
      </c>
      <c r="M113" s="279">
        <f t="shared" si="12"/>
        <v>0</v>
      </c>
      <c r="O113" s="279">
        <f t="shared" si="13"/>
        <v>0</v>
      </c>
      <c r="Q113" s="279">
        <f t="shared" si="14"/>
        <v>0</v>
      </c>
      <c r="S113" s="279">
        <f t="shared" si="15"/>
        <v>0</v>
      </c>
      <c r="U113" s="385"/>
      <c r="V113" s="385"/>
      <c r="W113" s="385"/>
      <c r="X113" s="385"/>
    </row>
    <row r="114" spans="4:24" s="277" customFormat="1" x14ac:dyDescent="0.3">
      <c r="D114" s="356" t="s">
        <v>784</v>
      </c>
      <c r="E114" s="356"/>
      <c r="F114" s="356"/>
      <c r="G114" s="356"/>
      <c r="I114" s="48">
        <v>0</v>
      </c>
      <c r="M114" s="279">
        <f t="shared" si="12"/>
        <v>0</v>
      </c>
      <c r="O114" s="279">
        <f t="shared" si="13"/>
        <v>0</v>
      </c>
      <c r="Q114" s="279">
        <f t="shared" si="14"/>
        <v>0</v>
      </c>
      <c r="S114" s="279">
        <f t="shared" si="15"/>
        <v>0</v>
      </c>
      <c r="U114" s="385"/>
      <c r="V114" s="385"/>
      <c r="W114" s="385"/>
      <c r="X114" s="385"/>
    </row>
    <row r="115" spans="4:24" s="277" customFormat="1" x14ac:dyDescent="0.3">
      <c r="D115" s="356" t="s">
        <v>785</v>
      </c>
      <c r="E115" s="356"/>
      <c r="F115" s="356"/>
      <c r="G115" s="356"/>
      <c r="I115" s="48">
        <v>0</v>
      </c>
      <c r="M115" s="279">
        <f t="shared" si="12"/>
        <v>0</v>
      </c>
      <c r="O115" s="279">
        <f t="shared" si="13"/>
        <v>0</v>
      </c>
      <c r="Q115" s="279">
        <f t="shared" si="14"/>
        <v>0</v>
      </c>
      <c r="S115" s="279">
        <f t="shared" si="15"/>
        <v>0</v>
      </c>
      <c r="U115" s="385"/>
      <c r="V115" s="385"/>
      <c r="W115" s="385"/>
      <c r="X115" s="385"/>
    </row>
    <row r="116" spans="4:24" s="277" customFormat="1" x14ac:dyDescent="0.3">
      <c r="D116" s="356" t="s">
        <v>786</v>
      </c>
      <c r="E116" s="356"/>
      <c r="F116" s="356"/>
      <c r="G116" s="356"/>
      <c r="I116" s="48">
        <v>0</v>
      </c>
      <c r="M116" s="279">
        <f t="shared" si="12"/>
        <v>0</v>
      </c>
      <c r="O116" s="279">
        <f t="shared" si="13"/>
        <v>0</v>
      </c>
      <c r="Q116" s="279">
        <f t="shared" si="14"/>
        <v>0</v>
      </c>
      <c r="S116" s="279">
        <f t="shared" si="15"/>
        <v>0</v>
      </c>
      <c r="U116" s="385"/>
      <c r="V116" s="385"/>
      <c r="W116" s="385"/>
      <c r="X116" s="385"/>
    </row>
    <row r="117" spans="4:24" s="277" customFormat="1" x14ac:dyDescent="0.3">
      <c r="D117" s="356" t="s">
        <v>787</v>
      </c>
      <c r="E117" s="356"/>
      <c r="F117" s="356"/>
      <c r="G117" s="356"/>
      <c r="I117" s="48">
        <v>0</v>
      </c>
      <c r="M117" s="279">
        <f t="shared" si="12"/>
        <v>0</v>
      </c>
      <c r="O117" s="279">
        <f t="shared" si="13"/>
        <v>0</v>
      </c>
      <c r="Q117" s="279">
        <f t="shared" si="14"/>
        <v>0</v>
      </c>
      <c r="S117" s="279">
        <f t="shared" si="15"/>
        <v>0</v>
      </c>
      <c r="U117" s="385"/>
      <c r="V117" s="385"/>
      <c r="W117" s="385"/>
      <c r="X117" s="385"/>
    </row>
    <row r="118" spans="4:24" s="277" customFormat="1" x14ac:dyDescent="0.3">
      <c r="D118" s="356" t="s">
        <v>788</v>
      </c>
      <c r="E118" s="356"/>
      <c r="F118" s="356"/>
      <c r="G118" s="356"/>
      <c r="I118" s="48">
        <v>0</v>
      </c>
      <c r="M118" s="279">
        <f t="shared" si="12"/>
        <v>0</v>
      </c>
      <c r="O118" s="279">
        <f t="shared" si="13"/>
        <v>0</v>
      </c>
      <c r="Q118" s="279">
        <f t="shared" si="14"/>
        <v>0</v>
      </c>
      <c r="S118" s="279">
        <f t="shared" si="15"/>
        <v>0</v>
      </c>
      <c r="U118" s="385"/>
      <c r="V118" s="385"/>
      <c r="W118" s="385"/>
      <c r="X118" s="385"/>
    </row>
    <row r="119" spans="4:24" s="277" customFormat="1" x14ac:dyDescent="0.3">
      <c r="D119" s="356" t="s">
        <v>789</v>
      </c>
      <c r="E119" s="356"/>
      <c r="F119" s="356"/>
      <c r="G119" s="356"/>
      <c r="I119" s="48">
        <v>0</v>
      </c>
      <c r="M119" s="279">
        <f t="shared" si="12"/>
        <v>0</v>
      </c>
      <c r="O119" s="279">
        <f t="shared" si="13"/>
        <v>0</v>
      </c>
      <c r="Q119" s="279">
        <f t="shared" si="14"/>
        <v>0</v>
      </c>
      <c r="S119" s="279">
        <f t="shared" si="15"/>
        <v>0</v>
      </c>
      <c r="U119" s="385"/>
      <c r="V119" s="385"/>
      <c r="W119" s="385"/>
      <c r="X119" s="385"/>
    </row>
    <row r="120" spans="4:24" s="277" customFormat="1" x14ac:dyDescent="0.3">
      <c r="D120" s="356" t="s">
        <v>790</v>
      </c>
      <c r="E120" s="356"/>
      <c r="F120" s="356"/>
      <c r="G120" s="356"/>
      <c r="I120" s="48">
        <v>0</v>
      </c>
      <c r="M120" s="279">
        <f t="shared" si="12"/>
        <v>0</v>
      </c>
      <c r="O120" s="279">
        <f t="shared" si="13"/>
        <v>0</v>
      </c>
      <c r="Q120" s="279">
        <f t="shared" si="14"/>
        <v>0</v>
      </c>
      <c r="S120" s="279">
        <f t="shared" si="15"/>
        <v>0</v>
      </c>
      <c r="U120" s="385"/>
      <c r="V120" s="385"/>
      <c r="W120" s="385"/>
      <c r="X120" s="385"/>
    </row>
    <row r="121" spans="4:24" s="277" customFormat="1" x14ac:dyDescent="0.3">
      <c r="D121" s="356" t="s">
        <v>791</v>
      </c>
      <c r="E121" s="356"/>
      <c r="F121" s="356"/>
      <c r="G121" s="356"/>
      <c r="I121" s="48">
        <v>0</v>
      </c>
      <c r="M121" s="279">
        <f t="shared" si="12"/>
        <v>0</v>
      </c>
      <c r="O121" s="279">
        <f t="shared" si="13"/>
        <v>0</v>
      </c>
      <c r="Q121" s="279">
        <f t="shared" si="14"/>
        <v>0</v>
      </c>
      <c r="S121" s="279">
        <f t="shared" si="15"/>
        <v>0</v>
      </c>
      <c r="U121" s="385"/>
      <c r="V121" s="385"/>
      <c r="W121" s="385"/>
      <c r="X121" s="385"/>
    </row>
    <row r="122" spans="4:24" s="277" customFormat="1" x14ac:dyDescent="0.3">
      <c r="D122" s="356" t="s">
        <v>792</v>
      </c>
      <c r="E122" s="356"/>
      <c r="F122" s="356"/>
      <c r="G122" s="356"/>
      <c r="I122" s="48">
        <v>0</v>
      </c>
      <c r="M122" s="279">
        <f t="shared" si="12"/>
        <v>0</v>
      </c>
      <c r="O122" s="279">
        <f t="shared" si="13"/>
        <v>0</v>
      </c>
      <c r="Q122" s="279">
        <f t="shared" si="14"/>
        <v>0</v>
      </c>
      <c r="S122" s="279">
        <f t="shared" si="15"/>
        <v>0</v>
      </c>
      <c r="U122" s="385"/>
      <c r="V122" s="385"/>
      <c r="W122" s="385"/>
      <c r="X122" s="385"/>
    </row>
    <row r="123" spans="4:24" s="277" customFormat="1" x14ac:dyDescent="0.3">
      <c r="D123" s="356" t="s">
        <v>793</v>
      </c>
      <c r="E123" s="356"/>
      <c r="F123" s="356"/>
      <c r="G123" s="356"/>
      <c r="I123" s="48">
        <v>0</v>
      </c>
      <c r="M123" s="279">
        <f t="shared" si="12"/>
        <v>0</v>
      </c>
      <c r="O123" s="279">
        <f t="shared" si="13"/>
        <v>0</v>
      </c>
      <c r="Q123" s="279">
        <f t="shared" si="14"/>
        <v>0</v>
      </c>
      <c r="S123" s="279">
        <f t="shared" si="15"/>
        <v>0</v>
      </c>
      <c r="U123" s="385"/>
      <c r="V123" s="385"/>
      <c r="W123" s="385"/>
      <c r="X123" s="385"/>
    </row>
    <row r="124" spans="4:24" s="277" customFormat="1" x14ac:dyDescent="0.3">
      <c r="D124" s="356" t="s">
        <v>794</v>
      </c>
      <c r="E124" s="356"/>
      <c r="F124" s="356"/>
      <c r="G124" s="356"/>
      <c r="I124" s="48">
        <v>0</v>
      </c>
      <c r="M124" s="279">
        <f t="shared" si="12"/>
        <v>0</v>
      </c>
      <c r="O124" s="279">
        <f t="shared" si="13"/>
        <v>0</v>
      </c>
      <c r="Q124" s="279">
        <f t="shared" si="14"/>
        <v>0</v>
      </c>
      <c r="S124" s="279">
        <f t="shared" si="15"/>
        <v>0</v>
      </c>
      <c r="U124" s="385"/>
      <c r="V124" s="385"/>
      <c r="W124" s="385"/>
      <c r="X124" s="385"/>
    </row>
    <row r="125" spans="4:24" s="277" customFormat="1" x14ac:dyDescent="0.3">
      <c r="D125" s="356" t="s">
        <v>795</v>
      </c>
      <c r="E125" s="356"/>
      <c r="F125" s="356"/>
      <c r="G125" s="356"/>
      <c r="I125" s="48">
        <v>0</v>
      </c>
      <c r="M125" s="279">
        <f t="shared" si="12"/>
        <v>0</v>
      </c>
      <c r="O125" s="279">
        <f t="shared" si="13"/>
        <v>0</v>
      </c>
      <c r="Q125" s="279">
        <f t="shared" si="14"/>
        <v>0</v>
      </c>
      <c r="S125" s="279">
        <f t="shared" si="15"/>
        <v>0</v>
      </c>
      <c r="U125" s="385"/>
      <c r="V125" s="385"/>
      <c r="W125" s="385"/>
      <c r="X125" s="385"/>
    </row>
    <row r="126" spans="4:24" s="277" customFormat="1" x14ac:dyDescent="0.3">
      <c r="D126" s="356" t="s">
        <v>796</v>
      </c>
      <c r="E126" s="356"/>
      <c r="F126" s="356"/>
      <c r="G126" s="356"/>
      <c r="I126" s="48">
        <v>0</v>
      </c>
      <c r="M126" s="279">
        <f t="shared" si="12"/>
        <v>0</v>
      </c>
      <c r="O126" s="279">
        <f t="shared" si="13"/>
        <v>0</v>
      </c>
      <c r="Q126" s="279">
        <f t="shared" si="14"/>
        <v>0</v>
      </c>
      <c r="S126" s="279">
        <f t="shared" si="15"/>
        <v>0</v>
      </c>
      <c r="U126" s="385"/>
      <c r="V126" s="385"/>
      <c r="W126" s="385"/>
      <c r="X126" s="385"/>
    </row>
    <row r="127" spans="4:24" ht="14.4" x14ac:dyDescent="0.3">
      <c r="D127" s="420" t="s">
        <v>88</v>
      </c>
      <c r="E127" s="421"/>
      <c r="F127" s="421"/>
      <c r="G127" s="421"/>
      <c r="I127" s="40"/>
      <c r="M127" s="40"/>
      <c r="O127" s="40"/>
      <c r="Q127" s="294">
        <f>SUM(Q102:Q126)</f>
        <v>0</v>
      </c>
      <c r="S127" s="294">
        <f>SUM(S102:S126)</f>
        <v>0</v>
      </c>
    </row>
    <row r="129" spans="3:24" ht="15.6" x14ac:dyDescent="0.3">
      <c r="C129" s="92" t="s">
        <v>89</v>
      </c>
    </row>
    <row r="130" spans="3:24" ht="27.6" x14ac:dyDescent="0.3">
      <c r="Q130" s="44" t="str">
        <f>"FINANCIAL COST ("&amp;INDEX(LU_ACT_17_Meet_Curr,DD_ACT_17_Meet1_Curr)&amp;")"</f>
        <v>FINANCIAL COST (GOZ)</v>
      </c>
      <c r="S130" s="44" t="str">
        <f>"ECONOMIC COST ("&amp;INDEX(LU_ACT_17_Meet_Curr,DD_ACT_17_Meet1_Curr)&amp;")"</f>
        <v>ECONOMIC COST (GOZ)</v>
      </c>
    </row>
    <row r="131" spans="3:24" ht="27.6" x14ac:dyDescent="0.3">
      <c r="D131" s="90" t="s">
        <v>86</v>
      </c>
      <c r="I131" s="91" t="s">
        <v>186</v>
      </c>
      <c r="K131" s="91" t="s">
        <v>187</v>
      </c>
      <c r="M131" s="42" t="s">
        <v>81</v>
      </c>
      <c r="O131" s="42" t="s">
        <v>83</v>
      </c>
      <c r="U131" s="350" t="s">
        <v>185</v>
      </c>
      <c r="V131" s="351"/>
      <c r="W131" s="351"/>
      <c r="X131" s="351"/>
    </row>
    <row r="132" spans="3:24" x14ac:dyDescent="0.3">
      <c r="D132" s="356" t="s">
        <v>71</v>
      </c>
      <c r="E132" s="356"/>
      <c r="F132" s="356"/>
      <c r="G132" s="356"/>
      <c r="I132" s="48">
        <v>0</v>
      </c>
      <c r="K132" s="48">
        <v>0</v>
      </c>
      <c r="M132" s="40">
        <f t="shared" ref="M132:M156" si="16">IFERROR(IF(DD_ACT_17_Meet1_Curr=1,INDEX($M$320:$M$354,MATCH(D132,LU_ACT_17_ODCS,0)),INDEX($Q$320:$Q$354,MATCH(D132,LU_ACT_17_ODCS,0))),0)</f>
        <v>0</v>
      </c>
      <c r="O132" s="40">
        <f t="shared" ref="O132:O156" si="17">IFERROR(IF(DD_ACT_17_Meet1_Curr=1,INDEX($O$320:$O$354,MATCH(D132,LU_ACT_17_ODCS,0)),INDEX($S$320:$S$354,MATCH(D132,LU_ACT_17_ODCS,0))),0)</f>
        <v>0</v>
      </c>
      <c r="Q132" s="279">
        <f t="shared" ref="Q132:Q156" si="18">I132*K132*M132</f>
        <v>0</v>
      </c>
      <c r="S132" s="279">
        <f t="shared" ref="S132:S156" si="19">I132*K132*O132</f>
        <v>0</v>
      </c>
      <c r="U132" s="356"/>
      <c r="V132" s="356"/>
      <c r="W132" s="356"/>
      <c r="X132" s="356"/>
    </row>
    <row r="133" spans="3:24" x14ac:dyDescent="0.3">
      <c r="D133" s="356" t="s">
        <v>72</v>
      </c>
      <c r="E133" s="356"/>
      <c r="F133" s="356"/>
      <c r="G133" s="356"/>
      <c r="I133" s="48">
        <v>0</v>
      </c>
      <c r="K133" s="48">
        <v>0</v>
      </c>
      <c r="M133" s="40">
        <f t="shared" si="16"/>
        <v>0</v>
      </c>
      <c r="O133" s="40">
        <f t="shared" si="17"/>
        <v>0</v>
      </c>
      <c r="Q133" s="279">
        <f t="shared" si="18"/>
        <v>0</v>
      </c>
      <c r="S133" s="279">
        <f t="shared" si="19"/>
        <v>0</v>
      </c>
      <c r="U133" s="356"/>
      <c r="V133" s="356"/>
      <c r="W133" s="356"/>
      <c r="X133" s="356"/>
    </row>
    <row r="134" spans="3:24" x14ac:dyDescent="0.3">
      <c r="D134" s="356" t="s">
        <v>73</v>
      </c>
      <c r="E134" s="356"/>
      <c r="F134" s="356"/>
      <c r="G134" s="356"/>
      <c r="I134" s="48">
        <v>0</v>
      </c>
      <c r="K134" s="48">
        <v>0</v>
      </c>
      <c r="M134" s="40">
        <f t="shared" si="16"/>
        <v>0</v>
      </c>
      <c r="O134" s="40">
        <f t="shared" si="17"/>
        <v>0</v>
      </c>
      <c r="Q134" s="279">
        <f t="shared" si="18"/>
        <v>0</v>
      </c>
      <c r="S134" s="279">
        <f t="shared" si="19"/>
        <v>0</v>
      </c>
      <c r="U134" s="356"/>
      <c r="V134" s="356"/>
      <c r="W134" s="356"/>
      <c r="X134" s="356"/>
    </row>
    <row r="135" spans="3:24" x14ac:dyDescent="0.3">
      <c r="D135" s="356" t="s">
        <v>74</v>
      </c>
      <c r="E135" s="356"/>
      <c r="F135" s="356"/>
      <c r="G135" s="356"/>
      <c r="I135" s="48">
        <v>0</v>
      </c>
      <c r="K135" s="48">
        <v>0</v>
      </c>
      <c r="M135" s="40">
        <f t="shared" si="16"/>
        <v>0</v>
      </c>
      <c r="O135" s="40">
        <f t="shared" si="17"/>
        <v>0</v>
      </c>
      <c r="Q135" s="279">
        <f t="shared" si="18"/>
        <v>0</v>
      </c>
      <c r="S135" s="279">
        <f t="shared" si="19"/>
        <v>0</v>
      </c>
      <c r="U135" s="356"/>
      <c r="V135" s="356"/>
      <c r="W135" s="356"/>
      <c r="X135" s="356"/>
    </row>
    <row r="136" spans="3:24" x14ac:dyDescent="0.3">
      <c r="D136" s="356" t="s">
        <v>75</v>
      </c>
      <c r="E136" s="356"/>
      <c r="F136" s="356"/>
      <c r="G136" s="356"/>
      <c r="I136" s="48">
        <v>0</v>
      </c>
      <c r="K136" s="48">
        <v>0</v>
      </c>
      <c r="M136" s="40">
        <f t="shared" si="16"/>
        <v>0</v>
      </c>
      <c r="O136" s="40">
        <f t="shared" si="17"/>
        <v>0</v>
      </c>
      <c r="Q136" s="279">
        <f t="shared" si="18"/>
        <v>0</v>
      </c>
      <c r="S136" s="279">
        <f t="shared" si="19"/>
        <v>0</v>
      </c>
      <c r="U136" s="356"/>
      <c r="V136" s="356"/>
      <c r="W136" s="356"/>
      <c r="X136" s="356"/>
    </row>
    <row r="137" spans="3:24" s="277" customFormat="1" x14ac:dyDescent="0.3">
      <c r="D137" s="356" t="s">
        <v>876</v>
      </c>
      <c r="E137" s="356"/>
      <c r="F137" s="356"/>
      <c r="G137" s="356"/>
      <c r="I137" s="48">
        <v>0</v>
      </c>
      <c r="K137" s="48">
        <v>0</v>
      </c>
      <c r="M137" s="279">
        <f t="shared" si="16"/>
        <v>0</v>
      </c>
      <c r="O137" s="279">
        <f t="shared" si="17"/>
        <v>0</v>
      </c>
      <c r="Q137" s="279">
        <f t="shared" si="18"/>
        <v>0</v>
      </c>
      <c r="S137" s="279">
        <f t="shared" si="19"/>
        <v>0</v>
      </c>
      <c r="U137" s="385"/>
      <c r="V137" s="385"/>
      <c r="W137" s="385"/>
      <c r="X137" s="385"/>
    </row>
    <row r="138" spans="3:24" s="277" customFormat="1" x14ac:dyDescent="0.3">
      <c r="D138" s="356" t="s">
        <v>877</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3:24" s="277" customFormat="1" x14ac:dyDescent="0.3">
      <c r="D139" s="356" t="s">
        <v>878</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3:24" s="277" customFormat="1" x14ac:dyDescent="0.3">
      <c r="D140" s="356" t="s">
        <v>879</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3:24" s="277" customFormat="1" x14ac:dyDescent="0.3">
      <c r="D141" s="356" t="s">
        <v>880</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3:24" s="277" customFormat="1" x14ac:dyDescent="0.3">
      <c r="D142" s="356" t="s">
        <v>881</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3:24" s="277" customFormat="1" x14ac:dyDescent="0.3">
      <c r="D143" s="356" t="s">
        <v>882</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3:24" s="277" customFormat="1" x14ac:dyDescent="0.3">
      <c r="D144" s="356" t="s">
        <v>883</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2:24" s="277" customFormat="1" x14ac:dyDescent="0.3">
      <c r="D145" s="356" t="s">
        <v>884</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2:24" s="277" customFormat="1" x14ac:dyDescent="0.3">
      <c r="D146" s="356" t="s">
        <v>885</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2:24" s="277" customFormat="1" x14ac:dyDescent="0.3">
      <c r="D147" s="356" t="s">
        <v>886</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2:24" s="277" customFormat="1" x14ac:dyDescent="0.3">
      <c r="D148" s="356" t="s">
        <v>887</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2:24" s="277" customFormat="1" x14ac:dyDescent="0.3">
      <c r="D149" s="356" t="s">
        <v>888</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2:24" s="277" customFormat="1" x14ac:dyDescent="0.3">
      <c r="D150" s="356" t="s">
        <v>889</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2:24" s="277" customFormat="1" x14ac:dyDescent="0.3">
      <c r="D151" s="356" t="s">
        <v>890</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2:24" s="277" customFormat="1" x14ac:dyDescent="0.3">
      <c r="D152" s="356" t="s">
        <v>986</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2:24" s="277" customFormat="1" x14ac:dyDescent="0.3">
      <c r="D153" s="356" t="s">
        <v>987</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2:24" s="277" customFormat="1" x14ac:dyDescent="0.3">
      <c r="D154" s="356" t="s">
        <v>988</v>
      </c>
      <c r="E154" s="356"/>
      <c r="F154" s="356"/>
      <c r="G154" s="356"/>
      <c r="I154" s="48">
        <v>0</v>
      </c>
      <c r="K154" s="48">
        <v>0</v>
      </c>
      <c r="M154" s="279">
        <f t="shared" si="16"/>
        <v>0</v>
      </c>
      <c r="O154" s="279">
        <f t="shared" si="17"/>
        <v>0</v>
      </c>
      <c r="Q154" s="279">
        <f t="shared" si="18"/>
        <v>0</v>
      </c>
      <c r="S154" s="279">
        <f t="shared" si="19"/>
        <v>0</v>
      </c>
      <c r="U154" s="385"/>
      <c r="V154" s="385"/>
      <c r="W154" s="385"/>
      <c r="X154" s="385"/>
    </row>
    <row r="155" spans="2:24" s="277" customFormat="1" x14ac:dyDescent="0.3">
      <c r="D155" s="356" t="s">
        <v>989</v>
      </c>
      <c r="E155" s="356"/>
      <c r="F155" s="356"/>
      <c r="G155" s="356"/>
      <c r="I155" s="48">
        <v>0</v>
      </c>
      <c r="K155" s="48">
        <v>0</v>
      </c>
      <c r="M155" s="279">
        <f t="shared" si="16"/>
        <v>0</v>
      </c>
      <c r="O155" s="279">
        <f t="shared" si="17"/>
        <v>0</v>
      </c>
      <c r="Q155" s="279">
        <f t="shared" si="18"/>
        <v>0</v>
      </c>
      <c r="S155" s="279">
        <f t="shared" si="19"/>
        <v>0</v>
      </c>
      <c r="U155" s="385"/>
      <c r="V155" s="385"/>
      <c r="W155" s="385"/>
      <c r="X155" s="385"/>
    </row>
    <row r="156" spans="2:24" s="277" customFormat="1" x14ac:dyDescent="0.3">
      <c r="D156" s="356" t="s">
        <v>990</v>
      </c>
      <c r="E156" s="356"/>
      <c r="F156" s="356"/>
      <c r="G156" s="356"/>
      <c r="I156" s="48">
        <v>0</v>
      </c>
      <c r="K156" s="48">
        <v>0</v>
      </c>
      <c r="M156" s="279">
        <f t="shared" si="16"/>
        <v>0</v>
      </c>
      <c r="O156" s="279">
        <f t="shared" si="17"/>
        <v>0</v>
      </c>
      <c r="Q156" s="279">
        <f t="shared" si="18"/>
        <v>0</v>
      </c>
      <c r="S156" s="279">
        <f t="shared" si="19"/>
        <v>0</v>
      </c>
      <c r="U156" s="385"/>
      <c r="V156" s="385"/>
      <c r="W156" s="385"/>
      <c r="X156" s="385"/>
    </row>
    <row r="157" spans="2:24" ht="14.4" x14ac:dyDescent="0.3">
      <c r="D157" s="420" t="s">
        <v>90</v>
      </c>
      <c r="E157" s="421"/>
      <c r="F157" s="421"/>
      <c r="G157" s="421"/>
      <c r="I157" s="40"/>
      <c r="K157" s="40">
        <f>SUM(K132:K156)</f>
        <v>0</v>
      </c>
      <c r="M157" s="40"/>
      <c r="O157" s="40"/>
      <c r="Q157" s="294">
        <f>SUM(Q132:Q156)</f>
        <v>0</v>
      </c>
      <c r="S157" s="294">
        <f>SUM(S132:S156)</f>
        <v>0</v>
      </c>
    </row>
    <row r="158" spans="2:24" collapsed="1" x14ac:dyDescent="0.3"/>
    <row r="159" spans="2:24" ht="27.6" x14ac:dyDescent="0.3">
      <c r="Q159" s="44" t="str">
        <f>"FINANCIAL COST ("&amp;INDEX(LU_ACT_17_Meet_Curr,DD_ACT_17_Meet1_Curr)&amp;")"</f>
        <v>FINANCIAL COST (GOZ)</v>
      </c>
      <c r="S159" s="44" t="str">
        <f>"ECONOMIC COST ("&amp;INDEX(LU_ACT_17_Meet_Curr,DD_ACT_17_Meet1_Curr)&amp;")"</f>
        <v>ECONOMIC COST (GOZ)</v>
      </c>
      <c r="U159" s="44" t="str">
        <f>"FINANCIAL COST ("&amp;IF(DD_ACT_17_Meet1_Curr=2,$D$164,$D$165)&amp;")"</f>
        <v>FINANCIAL COST (USD)</v>
      </c>
      <c r="V159" s="44" t="str">
        <f>"ECONOMIC COST ("&amp;IF(DD_ACT_17_Meet1_Curr=2,$D$164,$D$165)&amp;")"</f>
        <v>ECONOMIC COST (USD)</v>
      </c>
    </row>
    <row r="160" spans="2:24" ht="16.2" thickBot="1" x14ac:dyDescent="0.35">
      <c r="B160" s="141" t="str">
        <f>"Total Estimated Costs - "&amp;B7</f>
        <v>Total Estimated Costs - Training Activity #1 [not in use]</v>
      </c>
      <c r="Q160" s="46">
        <f>SUM(Q38,Q67,Q98,Q127,Q157)</f>
        <v>0</v>
      </c>
      <c r="S160" s="46">
        <f>SUM(S38,S67,S98,S127,S157)</f>
        <v>0</v>
      </c>
      <c r="U160" s="47">
        <f>IFERROR(IF(DD_ACT_17_Meet1_Curr=2,$Q160/$I$165,$Q160*$I$165), 0)</f>
        <v>0</v>
      </c>
      <c r="V160" s="47">
        <f>IFERROR(IF(DD_ACT_17_Meet1_Curr=2,$S160/$I$165,$S160*$I$165), 0)</f>
        <v>0</v>
      </c>
    </row>
    <row r="161" spans="3:19" ht="14.4" thickTop="1" x14ac:dyDescent="0.3"/>
    <row r="162" spans="3:19" x14ac:dyDescent="0.3">
      <c r="C162" s="91" t="s">
        <v>584</v>
      </c>
    </row>
    <row r="163" spans="3:19" hidden="1" outlineLevel="1" x14ac:dyDescent="0.3"/>
    <row r="164" spans="3:19" ht="12.9" hidden="1" customHeight="1" outlineLevel="1" x14ac:dyDescent="0.3">
      <c r="D164" s="422" t="str">
        <f>CURR_TA!D13</f>
        <v>USD</v>
      </c>
      <c r="E164" s="423"/>
      <c r="F164" s="423"/>
      <c r="G164" s="423"/>
      <c r="I164" s="279">
        <f>CURR_TA!J13</f>
        <v>1</v>
      </c>
      <c r="J164" s="279">
        <f>CURR_TA!K13</f>
        <v>0</v>
      </c>
      <c r="K164" s="279">
        <f>CURR_TA!L13</f>
        <v>0</v>
      </c>
      <c r="L164" s="279">
        <f>CURR_TA!M13</f>
        <v>0</v>
      </c>
    </row>
    <row r="165" spans="3:19" ht="12.9" hidden="1" customHeight="1" outlineLevel="1" x14ac:dyDescent="0.3">
      <c r="D165" s="422" t="str">
        <f>CURR_TA!D14</f>
        <v>GOZ</v>
      </c>
      <c r="E165" s="423"/>
      <c r="F165" s="423"/>
      <c r="G165" s="423"/>
      <c r="I165" s="279">
        <f>CURR_TA!J14</f>
        <v>0</v>
      </c>
      <c r="J165" s="279">
        <f>CURR_TA!K14</f>
        <v>0</v>
      </c>
      <c r="K165" s="279">
        <f>CURR_TA!L14</f>
        <v>0</v>
      </c>
      <c r="L165" s="279">
        <f>CURR_TA!M14</f>
        <v>0</v>
      </c>
    </row>
    <row r="166" spans="3:19" collapsed="1" x14ac:dyDescent="0.3"/>
    <row r="168" spans="3:19" x14ac:dyDescent="0.3">
      <c r="C168" s="91" t="s">
        <v>585</v>
      </c>
    </row>
    <row r="169" spans="3:19" hidden="1" outlineLevel="1" x14ac:dyDescent="0.3">
      <c r="M169" s="40" t="str">
        <f>$D$164</f>
        <v>USD</v>
      </c>
      <c r="O169" s="40" t="str">
        <f>$D$164</f>
        <v>USD</v>
      </c>
      <c r="Q169" s="40" t="str">
        <f>$D$165</f>
        <v>GOZ</v>
      </c>
      <c r="S169" s="40" t="str">
        <f>$D$165</f>
        <v>GOZ</v>
      </c>
    </row>
    <row r="170" spans="3:19" hidden="1" outlineLevel="1" x14ac:dyDescent="0.3">
      <c r="C170" s="89" t="str">
        <f>RES_BA!D14</f>
        <v>Personnel Cadre - Other 1</v>
      </c>
      <c r="M170" s="40">
        <f>RES_BA!R14</f>
        <v>0</v>
      </c>
      <c r="O170" s="40">
        <f>RES_BA!S14</f>
        <v>0</v>
      </c>
      <c r="Q170" s="40">
        <f>RES_BA!T14</f>
        <v>0</v>
      </c>
      <c r="S170" s="40">
        <f>RES_BA!U14</f>
        <v>0</v>
      </c>
    </row>
    <row r="171" spans="3:19" hidden="1" outlineLevel="1" x14ac:dyDescent="0.3">
      <c r="C171" s="89" t="str">
        <f>RES_BA!D15</f>
        <v>Personnel Cadre - Other 2</v>
      </c>
      <c r="M171" s="40">
        <f>RES_BA!R15</f>
        <v>0</v>
      </c>
      <c r="O171" s="40">
        <f>RES_BA!S15</f>
        <v>0</v>
      </c>
      <c r="Q171" s="40">
        <f>RES_BA!T15</f>
        <v>0</v>
      </c>
      <c r="S171" s="40">
        <f>RES_BA!U15</f>
        <v>0</v>
      </c>
    </row>
    <row r="172" spans="3:19" hidden="1" outlineLevel="1" x14ac:dyDescent="0.3">
      <c r="C172" s="89" t="str">
        <f>RES_BA!D16</f>
        <v>Personnel Cadre - Other 3</v>
      </c>
      <c r="M172" s="40">
        <f>RES_BA!R16</f>
        <v>0</v>
      </c>
      <c r="O172" s="40">
        <f>RES_BA!S16</f>
        <v>0</v>
      </c>
      <c r="Q172" s="40">
        <f>RES_BA!T16</f>
        <v>0</v>
      </c>
      <c r="S172" s="40">
        <f>RES_BA!U16</f>
        <v>0</v>
      </c>
    </row>
    <row r="173" spans="3:19" hidden="1" outlineLevel="1" x14ac:dyDescent="0.3">
      <c r="C173" s="89" t="str">
        <f>RES_BA!D17</f>
        <v>Personnel Cadre - Other 4</v>
      </c>
      <c r="M173" s="40">
        <f>RES_BA!R17</f>
        <v>0</v>
      </c>
      <c r="O173" s="40">
        <f>RES_BA!S17</f>
        <v>0</v>
      </c>
      <c r="Q173" s="40">
        <f>RES_BA!T17</f>
        <v>0</v>
      </c>
      <c r="S173" s="40">
        <f>RES_BA!U17</f>
        <v>0</v>
      </c>
    </row>
    <row r="174" spans="3:19" hidden="1" outlineLevel="1" x14ac:dyDescent="0.3">
      <c r="C174" s="89" t="str">
        <f>RES_BA!D18</f>
        <v>Personnel Cadre - Other 5</v>
      </c>
      <c r="M174" s="40">
        <f>RES_BA!R18</f>
        <v>0</v>
      </c>
      <c r="O174" s="40">
        <f>RES_BA!S18</f>
        <v>0</v>
      </c>
      <c r="Q174" s="40">
        <f>RES_BA!T18</f>
        <v>0</v>
      </c>
      <c r="S174" s="40">
        <f>RES_BA!U18</f>
        <v>0</v>
      </c>
    </row>
    <row r="175" spans="3:19" hidden="1" outlineLevel="1" x14ac:dyDescent="0.3">
      <c r="C175" s="89" t="str">
        <f>RES_BA!D19</f>
        <v>Personnel Cadre - Other 6</v>
      </c>
      <c r="M175" s="40">
        <f>RES_BA!R19</f>
        <v>0</v>
      </c>
      <c r="O175" s="40">
        <f>RES_BA!S19</f>
        <v>0</v>
      </c>
      <c r="Q175" s="40">
        <f>RES_BA!T19</f>
        <v>0</v>
      </c>
      <c r="S175" s="40">
        <f>RES_BA!U19</f>
        <v>0</v>
      </c>
    </row>
    <row r="176" spans="3:19" hidden="1" outlineLevel="1" x14ac:dyDescent="0.3">
      <c r="C176" s="89" t="str">
        <f>RES_BA!D20</f>
        <v>Personnel Cadre - Other 7</v>
      </c>
      <c r="M176" s="40">
        <f>RES_BA!R20</f>
        <v>0</v>
      </c>
      <c r="O176" s="40">
        <f>RES_BA!S20</f>
        <v>0</v>
      </c>
      <c r="Q176" s="40">
        <f>RES_BA!T20</f>
        <v>0</v>
      </c>
      <c r="S176" s="40">
        <f>RES_BA!U20</f>
        <v>0</v>
      </c>
    </row>
    <row r="177" spans="3:19" hidden="1" outlineLevel="1" x14ac:dyDescent="0.3">
      <c r="C177" s="89" t="str">
        <f>RES_BA!D21</f>
        <v>Personnel Cadre - Other 8</v>
      </c>
      <c r="M177" s="40">
        <f>RES_BA!R21</f>
        <v>0</v>
      </c>
      <c r="O177" s="40">
        <f>RES_BA!S21</f>
        <v>0</v>
      </c>
      <c r="Q177" s="40">
        <f>RES_BA!T21</f>
        <v>0</v>
      </c>
      <c r="S177" s="40">
        <f>RES_BA!U21</f>
        <v>0</v>
      </c>
    </row>
    <row r="178" spans="3:19" hidden="1" outlineLevel="1" x14ac:dyDescent="0.3">
      <c r="C178" s="89" t="str">
        <f>RES_BA!D22</f>
        <v>Personnel Cadre - Other 9</v>
      </c>
      <c r="M178" s="40">
        <f>RES_BA!R22</f>
        <v>0</v>
      </c>
      <c r="O178" s="40">
        <f>RES_BA!S22</f>
        <v>0</v>
      </c>
      <c r="Q178" s="40">
        <f>RES_BA!T22</f>
        <v>0</v>
      </c>
      <c r="S178" s="40">
        <f>RES_BA!U22</f>
        <v>0</v>
      </c>
    </row>
    <row r="179" spans="3:19" hidden="1" outlineLevel="1" x14ac:dyDescent="0.3">
      <c r="C179" s="89" t="str">
        <f>RES_BA!D23</f>
        <v>Personnel Cadre - Other 10</v>
      </c>
      <c r="M179" s="40">
        <f>RES_BA!R23</f>
        <v>0</v>
      </c>
      <c r="O179" s="40">
        <f>RES_BA!S23</f>
        <v>0</v>
      </c>
      <c r="Q179" s="40">
        <f>RES_BA!T23</f>
        <v>0</v>
      </c>
      <c r="S179" s="40">
        <f>RES_BA!U23</f>
        <v>0</v>
      </c>
    </row>
    <row r="180" spans="3:19" hidden="1" outlineLevel="1" x14ac:dyDescent="0.3">
      <c r="C180" s="89" t="str">
        <f>RES_BA!D24</f>
        <v>Personnel Cadre - Other 11</v>
      </c>
      <c r="M180" s="40">
        <f>RES_BA!R24</f>
        <v>0</v>
      </c>
      <c r="O180" s="40">
        <f>RES_BA!S24</f>
        <v>0</v>
      </c>
      <c r="Q180" s="40">
        <f>RES_BA!T24</f>
        <v>0</v>
      </c>
      <c r="S180" s="40">
        <f>RES_BA!U24</f>
        <v>0</v>
      </c>
    </row>
    <row r="181" spans="3:19" hidden="1" outlineLevel="1" x14ac:dyDescent="0.3">
      <c r="C181" s="89" t="str">
        <f>RES_BA!D25</f>
        <v>Personnel Cadre - Other 12</v>
      </c>
      <c r="M181" s="40">
        <f>RES_BA!R25</f>
        <v>0</v>
      </c>
      <c r="O181" s="40">
        <f>RES_BA!S25</f>
        <v>0</v>
      </c>
      <c r="Q181" s="40">
        <f>RES_BA!T25</f>
        <v>0</v>
      </c>
      <c r="S181" s="40">
        <f>RES_BA!U25</f>
        <v>0</v>
      </c>
    </row>
    <row r="182" spans="3:19" hidden="1" outlineLevel="1" x14ac:dyDescent="0.3">
      <c r="C182" s="89" t="str">
        <f>RES_BA!D26</f>
        <v>Personnel Cadre - Other 13</v>
      </c>
      <c r="M182" s="40">
        <f>RES_BA!R26</f>
        <v>0</v>
      </c>
      <c r="O182" s="40">
        <f>RES_BA!S26</f>
        <v>0</v>
      </c>
      <c r="Q182" s="40">
        <f>RES_BA!T26</f>
        <v>0</v>
      </c>
      <c r="S182" s="40">
        <f>RES_BA!U26</f>
        <v>0</v>
      </c>
    </row>
    <row r="183" spans="3:19" hidden="1" outlineLevel="1" x14ac:dyDescent="0.3">
      <c r="C183" s="89" t="str">
        <f>RES_BA!D27</f>
        <v>Personnel Cadre - Other 14</v>
      </c>
      <c r="M183" s="40">
        <f>RES_BA!R27</f>
        <v>0</v>
      </c>
      <c r="O183" s="40">
        <f>RES_BA!S27</f>
        <v>0</v>
      </c>
      <c r="Q183" s="40">
        <f>RES_BA!T27</f>
        <v>0</v>
      </c>
      <c r="S183" s="40">
        <f>RES_BA!U27</f>
        <v>0</v>
      </c>
    </row>
    <row r="184" spans="3:19" hidden="1" outlineLevel="1" x14ac:dyDescent="0.3">
      <c r="C184" s="89" t="str">
        <f>RES_BA!D28</f>
        <v>Personnel Cadre - Other 15</v>
      </c>
      <c r="M184" s="40">
        <f>RES_BA!R28</f>
        <v>0</v>
      </c>
      <c r="O184" s="40">
        <f>RES_BA!S28</f>
        <v>0</v>
      </c>
      <c r="Q184" s="40">
        <f>RES_BA!T28</f>
        <v>0</v>
      </c>
      <c r="S184" s="40">
        <f>RES_BA!U28</f>
        <v>0</v>
      </c>
    </row>
    <row r="185" spans="3:19" s="277" customFormat="1" hidden="1" outlineLevel="1" collapsed="1" x14ac:dyDescent="0.3">
      <c r="C185" s="283" t="str">
        <f>RES_BA!D29</f>
        <v>Personnel Cadre - Other 16</v>
      </c>
      <c r="M185" s="279">
        <f>RES_BA!R29</f>
        <v>0</v>
      </c>
      <c r="O185" s="279">
        <f>RES_BA!S29</f>
        <v>0</v>
      </c>
      <c r="Q185" s="279">
        <f>RES_BA!T29</f>
        <v>0</v>
      </c>
      <c r="S185" s="279">
        <f>RES_BA!U29</f>
        <v>0</v>
      </c>
    </row>
    <row r="186" spans="3:19" s="277" customFormat="1" hidden="1" outlineLevel="1" collapsed="1" x14ac:dyDescent="0.3">
      <c r="C186" s="283" t="str">
        <f>RES_BA!D30</f>
        <v>Personnel Cadre - Other 17</v>
      </c>
      <c r="M186" s="279">
        <f>RES_BA!R30</f>
        <v>0</v>
      </c>
      <c r="O186" s="279">
        <f>RES_BA!S30</f>
        <v>0</v>
      </c>
      <c r="Q186" s="279">
        <f>RES_BA!T30</f>
        <v>0</v>
      </c>
      <c r="S186" s="279">
        <f>RES_BA!U30</f>
        <v>0</v>
      </c>
    </row>
    <row r="187" spans="3:19" s="277" customFormat="1" hidden="1" outlineLevel="1" collapsed="1" x14ac:dyDescent="0.3">
      <c r="C187" s="283" t="str">
        <f>RES_BA!D31</f>
        <v>Personnel Cadre - Other 18</v>
      </c>
      <c r="M187" s="279">
        <f>RES_BA!R31</f>
        <v>0</v>
      </c>
      <c r="O187" s="279">
        <f>RES_BA!S31</f>
        <v>0</v>
      </c>
      <c r="Q187" s="279">
        <f>RES_BA!T31</f>
        <v>0</v>
      </c>
      <c r="S187" s="279">
        <f>RES_BA!U31</f>
        <v>0</v>
      </c>
    </row>
    <row r="188" spans="3:19" s="277" customFormat="1" hidden="1" outlineLevel="1" x14ac:dyDescent="0.3">
      <c r="C188" s="283" t="str">
        <f>RES_BA!D32</f>
        <v>Personnel Cadre - Other 19</v>
      </c>
      <c r="M188" s="279">
        <f>RES_BA!R32</f>
        <v>0</v>
      </c>
      <c r="O188" s="279">
        <f>RES_BA!S32</f>
        <v>0</v>
      </c>
      <c r="Q188" s="279">
        <f>RES_BA!T32</f>
        <v>0</v>
      </c>
      <c r="S188" s="279">
        <f>RES_BA!U32</f>
        <v>0</v>
      </c>
    </row>
    <row r="189" spans="3:19" s="277" customFormat="1" hidden="1" outlineLevel="1" x14ac:dyDescent="0.3">
      <c r="C189" s="283" t="str">
        <f>RES_BA!D33</f>
        <v>Personnel Cadre - Other 20</v>
      </c>
      <c r="M189" s="279">
        <f>RES_BA!R33</f>
        <v>0</v>
      </c>
      <c r="O189" s="279">
        <f>RES_BA!S33</f>
        <v>0</v>
      </c>
      <c r="Q189" s="279">
        <f>RES_BA!T33</f>
        <v>0</v>
      </c>
      <c r="S189" s="279">
        <f>RES_BA!U33</f>
        <v>0</v>
      </c>
    </row>
    <row r="190" spans="3:19" s="277" customFormat="1" hidden="1" outlineLevel="1" collapsed="1" x14ac:dyDescent="0.3">
      <c r="C190" s="283" t="str">
        <f>RES_BA!D34</f>
        <v>Personnel Cadre - Other 21</v>
      </c>
      <c r="M190" s="279">
        <f>RES_BA!R34</f>
        <v>0</v>
      </c>
      <c r="O190" s="279">
        <f>RES_BA!S34</f>
        <v>0</v>
      </c>
      <c r="Q190" s="279">
        <f>RES_BA!T34</f>
        <v>0</v>
      </c>
      <c r="S190" s="279">
        <f>RES_BA!U34</f>
        <v>0</v>
      </c>
    </row>
    <row r="191" spans="3:19" s="277" customFormat="1" hidden="1" outlineLevel="1" x14ac:dyDescent="0.3">
      <c r="C191" s="283" t="str">
        <f>RES_BA!D35</f>
        <v>Personnel Cadre - Other 22</v>
      </c>
      <c r="M191" s="279">
        <f>RES_BA!R35</f>
        <v>0</v>
      </c>
      <c r="O191" s="279">
        <f>RES_BA!S35</f>
        <v>0</v>
      </c>
      <c r="Q191" s="279">
        <f>RES_BA!T35</f>
        <v>0</v>
      </c>
      <c r="S191" s="279">
        <f>RES_BA!U35</f>
        <v>0</v>
      </c>
    </row>
    <row r="192" spans="3:19" s="277" customFormat="1" hidden="1" outlineLevel="1" x14ac:dyDescent="0.3">
      <c r="C192" s="283" t="str">
        <f>RES_BA!D36</f>
        <v>Personnel Cadre - Other 23</v>
      </c>
      <c r="M192" s="279">
        <f>RES_BA!R36</f>
        <v>0</v>
      </c>
      <c r="O192" s="279">
        <f>RES_BA!S36</f>
        <v>0</v>
      </c>
      <c r="Q192" s="279">
        <f>RES_BA!T36</f>
        <v>0</v>
      </c>
      <c r="S192" s="279">
        <f>RES_BA!U36</f>
        <v>0</v>
      </c>
    </row>
    <row r="193" spans="3:19" s="277" customFormat="1" hidden="1" outlineLevel="1" x14ac:dyDescent="0.3">
      <c r="C193" s="283" t="str">
        <f>RES_BA!D37</f>
        <v>Personnel Cadre - Other 24</v>
      </c>
      <c r="M193" s="279">
        <f>RES_BA!R37</f>
        <v>0</v>
      </c>
      <c r="O193" s="279">
        <f>RES_BA!S37</f>
        <v>0</v>
      </c>
      <c r="Q193" s="279">
        <f>RES_BA!T37</f>
        <v>0</v>
      </c>
      <c r="S193" s="279">
        <f>RES_BA!U37</f>
        <v>0</v>
      </c>
    </row>
    <row r="194" spans="3:19" s="277" customFormat="1" hidden="1" outlineLevel="1" x14ac:dyDescent="0.3">
      <c r="C194" s="283" t="str">
        <f>RES_BA!D38</f>
        <v>Personnel Cadre - Other 25</v>
      </c>
      <c r="M194" s="279">
        <f>RES_BA!R38</f>
        <v>0</v>
      </c>
      <c r="O194" s="279">
        <f>RES_BA!S38</f>
        <v>0</v>
      </c>
      <c r="Q194" s="279">
        <f>RES_BA!T38</f>
        <v>0</v>
      </c>
      <c r="S194" s="279">
        <f>RES_BA!U38</f>
        <v>0</v>
      </c>
    </row>
    <row r="195" spans="3:19" s="277" customFormat="1" hidden="1" outlineLevel="1" x14ac:dyDescent="0.3">
      <c r="C195" s="283" t="str">
        <f>RES_BA!D39</f>
        <v>Personnel Cadre - Other 26</v>
      </c>
      <c r="M195" s="279">
        <f>RES_BA!R39</f>
        <v>0</v>
      </c>
      <c r="O195" s="279">
        <f>RES_BA!S39</f>
        <v>0</v>
      </c>
      <c r="Q195" s="279">
        <f>RES_BA!T39</f>
        <v>0</v>
      </c>
      <c r="S195" s="279">
        <f>RES_BA!U39</f>
        <v>0</v>
      </c>
    </row>
    <row r="196" spans="3:19" s="277" customFormat="1" hidden="1" outlineLevel="1" x14ac:dyDescent="0.3">
      <c r="C196" s="283" t="str">
        <f>RES_BA!D40</f>
        <v>Personnel Cadre - Other 27</v>
      </c>
      <c r="M196" s="279">
        <f>RES_BA!R40</f>
        <v>0</v>
      </c>
      <c r="O196" s="279">
        <f>RES_BA!S40</f>
        <v>0</v>
      </c>
      <c r="Q196" s="279">
        <f>RES_BA!T40</f>
        <v>0</v>
      </c>
      <c r="S196" s="279">
        <f>RES_BA!U40</f>
        <v>0</v>
      </c>
    </row>
    <row r="197" spans="3:19" s="277" customFormat="1" hidden="1" outlineLevel="1" x14ac:dyDescent="0.3">
      <c r="C197" s="283" t="str">
        <f>RES_BA!D41</f>
        <v>Personnel Cadre - Other 28</v>
      </c>
      <c r="M197" s="279">
        <f>RES_BA!R41</f>
        <v>0</v>
      </c>
      <c r="O197" s="279">
        <f>RES_BA!S41</f>
        <v>0</v>
      </c>
      <c r="Q197" s="279">
        <f>RES_BA!T41</f>
        <v>0</v>
      </c>
      <c r="S197" s="279">
        <f>RES_BA!U41</f>
        <v>0</v>
      </c>
    </row>
    <row r="198" spans="3:19" s="277" customFormat="1" hidden="1" outlineLevel="1" x14ac:dyDescent="0.3">
      <c r="C198" s="283" t="str">
        <f>RES_BA!D42</f>
        <v>Personnel Cadre - Other 29</v>
      </c>
      <c r="M198" s="279">
        <f>RES_BA!R42</f>
        <v>0</v>
      </c>
      <c r="O198" s="279">
        <f>RES_BA!S42</f>
        <v>0</v>
      </c>
      <c r="Q198" s="279">
        <f>RES_BA!T42</f>
        <v>0</v>
      </c>
      <c r="S198" s="279">
        <f>RES_BA!U42</f>
        <v>0</v>
      </c>
    </row>
    <row r="199" spans="3:19" s="277" customFormat="1" hidden="1" outlineLevel="1" x14ac:dyDescent="0.3">
      <c r="C199" s="283" t="str">
        <f>RES_BA!D43</f>
        <v>Personnel Cadre - Other 30</v>
      </c>
      <c r="M199" s="279">
        <f>RES_BA!R43</f>
        <v>0</v>
      </c>
      <c r="O199" s="279">
        <f>RES_BA!S43</f>
        <v>0</v>
      </c>
      <c r="Q199" s="279">
        <f>RES_BA!T43</f>
        <v>0</v>
      </c>
      <c r="S199" s="279">
        <f>RES_BA!U43</f>
        <v>0</v>
      </c>
    </row>
    <row r="200" spans="3:19" s="277" customFormat="1" hidden="1" outlineLevel="1" x14ac:dyDescent="0.3">
      <c r="C200" s="283" t="str">
        <f>RES_BA!D44</f>
        <v>Personnel Cadre - Other 31</v>
      </c>
      <c r="M200" s="279">
        <f>RES_BA!R44</f>
        <v>0</v>
      </c>
      <c r="O200" s="279">
        <f>RES_BA!S44</f>
        <v>0</v>
      </c>
      <c r="Q200" s="279">
        <f>RES_BA!T44</f>
        <v>0</v>
      </c>
      <c r="S200" s="279">
        <f>RES_BA!U44</f>
        <v>0</v>
      </c>
    </row>
    <row r="201" spans="3:19" s="277" customFormat="1" hidden="1" outlineLevel="1" x14ac:dyDescent="0.3">
      <c r="C201" s="283" t="str">
        <f>RES_BA!D45</f>
        <v>Personnel Cadre - Other 32</v>
      </c>
      <c r="M201" s="279">
        <f>RES_BA!R45</f>
        <v>0</v>
      </c>
      <c r="O201" s="279">
        <f>RES_BA!S45</f>
        <v>0</v>
      </c>
      <c r="Q201" s="279">
        <f>RES_BA!T45</f>
        <v>0</v>
      </c>
      <c r="S201" s="279">
        <f>RES_BA!U45</f>
        <v>0</v>
      </c>
    </row>
    <row r="202" spans="3:19" s="277" customFormat="1" hidden="1" outlineLevel="1" x14ac:dyDescent="0.3">
      <c r="C202" s="283" t="str">
        <f>RES_BA!D46</f>
        <v>Personnel Cadre - Other 33</v>
      </c>
      <c r="M202" s="279">
        <f>RES_BA!R46</f>
        <v>0</v>
      </c>
      <c r="O202" s="279">
        <f>RES_BA!S46</f>
        <v>0</v>
      </c>
      <c r="Q202" s="279">
        <f>RES_BA!T46</f>
        <v>0</v>
      </c>
      <c r="S202" s="279">
        <f>RES_BA!U46</f>
        <v>0</v>
      </c>
    </row>
    <row r="203" spans="3:19" s="277" customFormat="1" hidden="1" outlineLevel="1" x14ac:dyDescent="0.3">
      <c r="C203" s="283" t="str">
        <f>RES_BA!D47</f>
        <v>Personnel Cadre - Other 34</v>
      </c>
      <c r="M203" s="279">
        <f>RES_BA!R47</f>
        <v>0</v>
      </c>
      <c r="O203" s="279">
        <f>RES_BA!S47</f>
        <v>0</v>
      </c>
      <c r="Q203" s="279">
        <f>RES_BA!T47</f>
        <v>0</v>
      </c>
      <c r="S203" s="279">
        <f>RES_BA!U47</f>
        <v>0</v>
      </c>
    </row>
    <row r="204" spans="3:19" s="277" customFormat="1" hidden="1" outlineLevel="1" x14ac:dyDescent="0.3">
      <c r="C204" s="283" t="str">
        <f>RES_BA!D48</f>
        <v>Personnel Cadre - Other 35</v>
      </c>
      <c r="M204" s="279">
        <f>RES_BA!R48</f>
        <v>0</v>
      </c>
      <c r="O204" s="279">
        <f>RES_BA!S48</f>
        <v>0</v>
      </c>
      <c r="Q204" s="279">
        <f>RES_BA!T48</f>
        <v>0</v>
      </c>
      <c r="S204" s="279">
        <f>RES_BA!U48</f>
        <v>0</v>
      </c>
    </row>
    <row r="205" spans="3:19" hidden="1" outlineLevel="1" x14ac:dyDescent="0.3"/>
    <row r="206" spans="3:19" hidden="1" outlineLevel="1" x14ac:dyDescent="0.3">
      <c r="M206" s="40" t="str">
        <f>$D$164</f>
        <v>USD</v>
      </c>
      <c r="O206" s="40" t="str">
        <f>$D$164</f>
        <v>USD</v>
      </c>
      <c r="Q206" s="40" t="str">
        <f>$D$165</f>
        <v>GOZ</v>
      </c>
      <c r="S206" s="40" t="str">
        <f>$D$165</f>
        <v>GOZ</v>
      </c>
    </row>
    <row r="207" spans="3:19" hidden="1" outlineLevel="1" x14ac:dyDescent="0.3">
      <c r="C207" s="89" t="str">
        <f>RES_BA!D53</f>
        <v>Allowances Category 1</v>
      </c>
      <c r="M207" s="40">
        <f>RES_BA!R53</f>
        <v>0</v>
      </c>
      <c r="O207" s="40">
        <f>RES_BA!S53</f>
        <v>0</v>
      </c>
      <c r="Q207" s="40">
        <f>RES_BA!T53</f>
        <v>0</v>
      </c>
      <c r="S207" s="40">
        <f>RES_BA!U53</f>
        <v>0</v>
      </c>
    </row>
    <row r="208" spans="3:19" hidden="1" outlineLevel="1" x14ac:dyDescent="0.3">
      <c r="C208" s="89" t="str">
        <f>RES_BA!D54</f>
        <v>Allowances Category 2</v>
      </c>
      <c r="M208" s="40">
        <f>RES_BA!R54</f>
        <v>0</v>
      </c>
      <c r="O208" s="40">
        <f>RES_BA!S54</f>
        <v>0</v>
      </c>
      <c r="Q208" s="40">
        <f>RES_BA!T54</f>
        <v>0</v>
      </c>
      <c r="S208" s="40">
        <f>RES_BA!U54</f>
        <v>0</v>
      </c>
    </row>
    <row r="209" spans="3:19" hidden="1" outlineLevel="1" x14ac:dyDescent="0.3">
      <c r="C209" s="89" t="str">
        <f>RES_BA!D55</f>
        <v>Allowances Category 3</v>
      </c>
      <c r="M209" s="40">
        <f>RES_BA!R55</f>
        <v>0</v>
      </c>
      <c r="O209" s="40">
        <f>RES_BA!S55</f>
        <v>0</v>
      </c>
      <c r="Q209" s="40">
        <f>RES_BA!T55</f>
        <v>0</v>
      </c>
      <c r="S209" s="40">
        <f>RES_BA!U55</f>
        <v>0</v>
      </c>
    </row>
    <row r="210" spans="3:19" hidden="1" outlineLevel="1" x14ac:dyDescent="0.3">
      <c r="C210" s="89" t="str">
        <f>RES_BA!D56</f>
        <v>Allowances Category 4</v>
      </c>
      <c r="M210" s="40">
        <f>RES_BA!R56</f>
        <v>0</v>
      </c>
      <c r="O210" s="40">
        <f>RES_BA!S56</f>
        <v>0</v>
      </c>
      <c r="Q210" s="40">
        <f>RES_BA!T56</f>
        <v>0</v>
      </c>
      <c r="S210" s="40">
        <f>RES_BA!U56</f>
        <v>0</v>
      </c>
    </row>
    <row r="211" spans="3:19" hidden="1" outlineLevel="1" x14ac:dyDescent="0.3">
      <c r="C211" s="89" t="str">
        <f>RES_BA!D57</f>
        <v>Allowances Category 5</v>
      </c>
      <c r="M211" s="40">
        <f>RES_BA!R57</f>
        <v>0</v>
      </c>
      <c r="O211" s="40">
        <f>RES_BA!S57</f>
        <v>0</v>
      </c>
      <c r="Q211" s="40">
        <f>RES_BA!T57</f>
        <v>0</v>
      </c>
      <c r="S211" s="40">
        <f>RES_BA!U57</f>
        <v>0</v>
      </c>
    </row>
    <row r="212" spans="3:19" s="277" customFormat="1" hidden="1" outlineLevel="1" collapsed="1" x14ac:dyDescent="0.3">
      <c r="C212" s="283" t="str">
        <f>RES_BA!D58</f>
        <v>Allowances Category 6</v>
      </c>
      <c r="M212" s="279">
        <f>RES_BA!R58</f>
        <v>0</v>
      </c>
      <c r="O212" s="279">
        <f>RES_BA!S58</f>
        <v>0</v>
      </c>
      <c r="Q212" s="279">
        <f>RES_BA!T58</f>
        <v>0</v>
      </c>
      <c r="S212" s="279">
        <f>RES_BA!U58</f>
        <v>0</v>
      </c>
    </row>
    <row r="213" spans="3:19" s="277" customFormat="1" hidden="1" outlineLevel="1" x14ac:dyDescent="0.3">
      <c r="C213" s="283" t="str">
        <f>RES_BA!D59</f>
        <v>Allowances Category 7</v>
      </c>
      <c r="M213" s="279">
        <f>RES_BA!R59</f>
        <v>0</v>
      </c>
      <c r="O213" s="279">
        <f>RES_BA!S59</f>
        <v>0</v>
      </c>
      <c r="Q213" s="279">
        <f>RES_BA!T59</f>
        <v>0</v>
      </c>
      <c r="S213" s="279">
        <f>RES_BA!U59</f>
        <v>0</v>
      </c>
    </row>
    <row r="214" spans="3:19" s="277" customFormat="1" hidden="1" outlineLevel="1" x14ac:dyDescent="0.3">
      <c r="C214" s="283" t="str">
        <f>RES_BA!D60</f>
        <v>Allowances Category 8</v>
      </c>
      <c r="M214" s="279">
        <f>RES_BA!R60</f>
        <v>0</v>
      </c>
      <c r="O214" s="279">
        <f>RES_BA!S60</f>
        <v>0</v>
      </c>
      <c r="Q214" s="279">
        <f>RES_BA!T60</f>
        <v>0</v>
      </c>
      <c r="S214" s="279">
        <f>RES_BA!U60</f>
        <v>0</v>
      </c>
    </row>
    <row r="215" spans="3:19" s="277" customFormat="1" hidden="1" outlineLevel="1" x14ac:dyDescent="0.3">
      <c r="C215" s="283" t="str">
        <f>RES_BA!D61</f>
        <v>Allowances Category 9</v>
      </c>
      <c r="M215" s="279">
        <f>RES_BA!R61</f>
        <v>0</v>
      </c>
      <c r="O215" s="279">
        <f>RES_BA!S61</f>
        <v>0</v>
      </c>
      <c r="Q215" s="279">
        <f>RES_BA!T61</f>
        <v>0</v>
      </c>
      <c r="S215" s="279">
        <f>RES_BA!U61</f>
        <v>0</v>
      </c>
    </row>
    <row r="216" spans="3:19" s="277" customFormat="1" hidden="1" outlineLevel="1" x14ac:dyDescent="0.3">
      <c r="C216" s="283" t="str">
        <f>RES_BA!D62</f>
        <v>Allowances Category 10</v>
      </c>
      <c r="M216" s="279">
        <f>RES_BA!R62</f>
        <v>0</v>
      </c>
      <c r="O216" s="279">
        <f>RES_BA!S62</f>
        <v>0</v>
      </c>
      <c r="Q216" s="279">
        <f>RES_BA!T62</f>
        <v>0</v>
      </c>
      <c r="S216" s="279">
        <f>RES_BA!U62</f>
        <v>0</v>
      </c>
    </row>
    <row r="217" spans="3:19" s="277" customFormat="1" hidden="1" outlineLevel="1" x14ac:dyDescent="0.3">
      <c r="C217" s="283" t="str">
        <f>RES_BA!D63</f>
        <v>Allowances Category 11</v>
      </c>
      <c r="M217" s="279">
        <f>RES_BA!R63</f>
        <v>0</v>
      </c>
      <c r="O217" s="279">
        <f>RES_BA!S63</f>
        <v>0</v>
      </c>
      <c r="Q217" s="279">
        <f>RES_BA!T63</f>
        <v>0</v>
      </c>
      <c r="S217" s="279">
        <f>RES_BA!U63</f>
        <v>0</v>
      </c>
    </row>
    <row r="218" spans="3:19" s="277" customFormat="1" hidden="1" outlineLevel="1" x14ac:dyDescent="0.3">
      <c r="C218" s="283" t="str">
        <f>RES_BA!D64</f>
        <v>Allowances Category 12</v>
      </c>
      <c r="M218" s="279">
        <f>RES_BA!R64</f>
        <v>0</v>
      </c>
      <c r="O218" s="279">
        <f>RES_BA!S64</f>
        <v>0</v>
      </c>
      <c r="Q218" s="279">
        <f>RES_BA!T64</f>
        <v>0</v>
      </c>
      <c r="S218" s="279">
        <f>RES_BA!U64</f>
        <v>0</v>
      </c>
    </row>
    <row r="219" spans="3:19" s="277" customFormat="1" hidden="1" outlineLevel="1" x14ac:dyDescent="0.3">
      <c r="C219" s="283" t="str">
        <f>RES_BA!D65</f>
        <v>Allowances Category 13</v>
      </c>
      <c r="M219" s="279">
        <f>RES_BA!R65</f>
        <v>0</v>
      </c>
      <c r="O219" s="279">
        <f>RES_BA!S65</f>
        <v>0</v>
      </c>
      <c r="Q219" s="279">
        <f>RES_BA!T65</f>
        <v>0</v>
      </c>
      <c r="S219" s="279">
        <f>RES_BA!U65</f>
        <v>0</v>
      </c>
    </row>
    <row r="220" spans="3:19" s="277" customFormat="1" hidden="1" outlineLevel="1" x14ac:dyDescent="0.3">
      <c r="C220" s="283" t="str">
        <f>RES_BA!D66</f>
        <v>Allowances Category 14</v>
      </c>
      <c r="M220" s="279">
        <f>RES_BA!R66</f>
        <v>0</v>
      </c>
      <c r="O220" s="279">
        <f>RES_BA!S66</f>
        <v>0</v>
      </c>
      <c r="Q220" s="279">
        <f>RES_BA!T66</f>
        <v>0</v>
      </c>
      <c r="S220" s="279">
        <f>RES_BA!U66</f>
        <v>0</v>
      </c>
    </row>
    <row r="221" spans="3:19" s="277" customFormat="1" hidden="1" outlineLevel="1" x14ac:dyDescent="0.3">
      <c r="C221" s="283" t="str">
        <f>RES_BA!D67</f>
        <v>Allowances Category 15</v>
      </c>
      <c r="M221" s="279">
        <f>RES_BA!R67</f>
        <v>0</v>
      </c>
      <c r="O221" s="279">
        <f>RES_BA!S67</f>
        <v>0</v>
      </c>
      <c r="Q221" s="279">
        <f>RES_BA!T67</f>
        <v>0</v>
      </c>
      <c r="S221" s="279">
        <f>RES_BA!U67</f>
        <v>0</v>
      </c>
    </row>
    <row r="222" spans="3:19" s="277" customFormat="1" hidden="1" outlineLevel="1" x14ac:dyDescent="0.3">
      <c r="C222" s="283" t="str">
        <f>RES_BA!D68</f>
        <v>Allowances Category 16</v>
      </c>
      <c r="M222" s="279">
        <f>RES_BA!R68</f>
        <v>0</v>
      </c>
      <c r="O222" s="279">
        <f>RES_BA!S68</f>
        <v>0</v>
      </c>
      <c r="Q222" s="279">
        <f>RES_BA!T68</f>
        <v>0</v>
      </c>
      <c r="S222" s="279">
        <f>RES_BA!U68</f>
        <v>0</v>
      </c>
    </row>
    <row r="223" spans="3:19" hidden="1" outlineLevel="1" x14ac:dyDescent="0.3">
      <c r="C223" s="89" t="str">
        <f>RES_BA!D69</f>
        <v>Allowances Category 17</v>
      </c>
      <c r="M223" s="40">
        <f>RES_BA!R69</f>
        <v>0</v>
      </c>
      <c r="O223" s="40">
        <f>RES_BA!S69</f>
        <v>0</v>
      </c>
      <c r="Q223" s="40">
        <f>RES_BA!T69</f>
        <v>0</v>
      </c>
      <c r="S223" s="40">
        <f>RES_BA!U69</f>
        <v>0</v>
      </c>
    </row>
    <row r="224" spans="3:19" hidden="1" outlineLevel="1" x14ac:dyDescent="0.3">
      <c r="C224" s="89" t="str">
        <f>RES_BA!D70</f>
        <v>Allowances Category 18</v>
      </c>
      <c r="M224" s="40">
        <f>RES_BA!R70</f>
        <v>0</v>
      </c>
      <c r="O224" s="40">
        <f>RES_BA!S70</f>
        <v>0</v>
      </c>
      <c r="Q224" s="40">
        <f>RES_BA!T70</f>
        <v>0</v>
      </c>
      <c r="S224" s="40">
        <f>RES_BA!U70</f>
        <v>0</v>
      </c>
    </row>
    <row r="225" spans="3:19" hidden="1" outlineLevel="1" x14ac:dyDescent="0.3">
      <c r="C225" s="89" t="str">
        <f>RES_BA!D71</f>
        <v>Allowances Category 19</v>
      </c>
      <c r="M225" s="40">
        <f>RES_BA!R71</f>
        <v>0</v>
      </c>
      <c r="O225" s="40">
        <f>RES_BA!S71</f>
        <v>0</v>
      </c>
      <c r="Q225" s="40">
        <f>RES_BA!T71</f>
        <v>0</v>
      </c>
      <c r="S225" s="40">
        <f>RES_BA!U71</f>
        <v>0</v>
      </c>
    </row>
    <row r="226" spans="3:19" hidden="1" outlineLevel="1" x14ac:dyDescent="0.3">
      <c r="C226" s="89" t="str">
        <f>RES_BA!D72</f>
        <v>Allowances Category 20</v>
      </c>
      <c r="M226" s="40">
        <f>RES_BA!R72</f>
        <v>0</v>
      </c>
      <c r="O226" s="40">
        <f>RES_BA!S72</f>
        <v>0</v>
      </c>
      <c r="Q226" s="40">
        <f>RES_BA!T72</f>
        <v>0</v>
      </c>
      <c r="S226" s="40">
        <f>RES_BA!U72</f>
        <v>0</v>
      </c>
    </row>
    <row r="227" spans="3:19" hidden="1" outlineLevel="1" x14ac:dyDescent="0.3">
      <c r="C227" s="89" t="str">
        <f>RES_BA!D73</f>
        <v>Allowances Category 21</v>
      </c>
      <c r="M227" s="40">
        <f>RES_BA!R73</f>
        <v>0</v>
      </c>
      <c r="O227" s="40">
        <f>RES_BA!S73</f>
        <v>0</v>
      </c>
      <c r="Q227" s="40">
        <f>RES_BA!T73</f>
        <v>0</v>
      </c>
      <c r="S227" s="40">
        <f>RES_BA!U73</f>
        <v>0</v>
      </c>
    </row>
    <row r="228" spans="3:19" hidden="1" outlineLevel="1" x14ac:dyDescent="0.3">
      <c r="C228" s="89" t="str">
        <f>RES_BA!D74</f>
        <v>Allowances Category 22</v>
      </c>
      <c r="M228" s="40">
        <f>RES_BA!R74</f>
        <v>0</v>
      </c>
      <c r="O228" s="40">
        <f>RES_BA!S74</f>
        <v>0</v>
      </c>
      <c r="Q228" s="40">
        <f>RES_BA!T74</f>
        <v>0</v>
      </c>
      <c r="S228" s="40">
        <f>RES_BA!U74</f>
        <v>0</v>
      </c>
    </row>
    <row r="229" spans="3:19" hidden="1" outlineLevel="1" x14ac:dyDescent="0.3">
      <c r="C229" s="89" t="str">
        <f>RES_BA!D75</f>
        <v>Allowances Category 23</v>
      </c>
      <c r="M229" s="40">
        <f>RES_BA!R75</f>
        <v>0</v>
      </c>
      <c r="O229" s="40">
        <f>RES_BA!S75</f>
        <v>0</v>
      </c>
      <c r="Q229" s="40">
        <f>RES_BA!T75</f>
        <v>0</v>
      </c>
      <c r="S229" s="40">
        <f>RES_BA!U75</f>
        <v>0</v>
      </c>
    </row>
    <row r="230" spans="3:19" s="277" customFormat="1" hidden="1" outlineLevel="1" collapsed="1" x14ac:dyDescent="0.3">
      <c r="C230" s="283" t="str">
        <f>RES_BA!D76</f>
        <v>Allowances Category 24</v>
      </c>
      <c r="M230" s="279">
        <f>RES_BA!R76</f>
        <v>0</v>
      </c>
      <c r="O230" s="279">
        <f>RES_BA!S76</f>
        <v>0</v>
      </c>
      <c r="Q230" s="279">
        <f>RES_BA!T76</f>
        <v>0</v>
      </c>
      <c r="S230" s="279">
        <f>RES_BA!U76</f>
        <v>0</v>
      </c>
    </row>
    <row r="231" spans="3:19" s="277" customFormat="1" hidden="1" outlineLevel="1" x14ac:dyDescent="0.3">
      <c r="C231" s="283" t="str">
        <f>RES_BA!D77</f>
        <v>Allowances Category 25</v>
      </c>
      <c r="M231" s="279">
        <f>RES_BA!R77</f>
        <v>0</v>
      </c>
      <c r="O231" s="279">
        <f>RES_BA!S77</f>
        <v>0</v>
      </c>
      <c r="Q231" s="279">
        <f>RES_BA!T77</f>
        <v>0</v>
      </c>
      <c r="S231" s="279">
        <f>RES_BA!U77</f>
        <v>0</v>
      </c>
    </row>
    <row r="232" spans="3:19" s="277" customFormat="1" hidden="1" outlineLevel="1" x14ac:dyDescent="0.3">
      <c r="C232" s="283" t="str">
        <f>RES_BA!D78</f>
        <v>Allowances Category 26</v>
      </c>
      <c r="M232" s="279">
        <f>RES_BA!R78</f>
        <v>0</v>
      </c>
      <c r="O232" s="279">
        <f>RES_BA!S78</f>
        <v>0</v>
      </c>
      <c r="Q232" s="279">
        <f>RES_BA!T78</f>
        <v>0</v>
      </c>
      <c r="S232" s="279">
        <f>RES_BA!U78</f>
        <v>0</v>
      </c>
    </row>
    <row r="233" spans="3:19" s="277" customFormat="1" hidden="1" outlineLevel="1" x14ac:dyDescent="0.3">
      <c r="C233" s="283" t="str">
        <f>RES_BA!D79</f>
        <v>Allowances Category 27</v>
      </c>
      <c r="M233" s="279">
        <f>RES_BA!R79</f>
        <v>0</v>
      </c>
      <c r="O233" s="279">
        <f>RES_BA!S79</f>
        <v>0</v>
      </c>
      <c r="Q233" s="279">
        <f>RES_BA!T79</f>
        <v>0</v>
      </c>
      <c r="S233" s="279">
        <f>RES_BA!U79</f>
        <v>0</v>
      </c>
    </row>
    <row r="234" spans="3:19" s="277" customFormat="1" hidden="1" outlineLevel="1" x14ac:dyDescent="0.3">
      <c r="C234" s="283" t="str">
        <f>RES_BA!D80</f>
        <v>Allowances Category 28</v>
      </c>
      <c r="M234" s="279">
        <f>RES_BA!R80</f>
        <v>0</v>
      </c>
      <c r="O234" s="279">
        <f>RES_BA!S80</f>
        <v>0</v>
      </c>
      <c r="Q234" s="279">
        <f>RES_BA!T80</f>
        <v>0</v>
      </c>
      <c r="S234" s="279">
        <f>RES_BA!U80</f>
        <v>0</v>
      </c>
    </row>
    <row r="235" spans="3:19" s="277" customFormat="1" hidden="1" outlineLevel="1" x14ac:dyDescent="0.3">
      <c r="C235" s="283" t="str">
        <f>RES_BA!D81</f>
        <v>Allowances Category 29</v>
      </c>
      <c r="M235" s="279">
        <f>RES_BA!R81</f>
        <v>0</v>
      </c>
      <c r="O235" s="279">
        <f>RES_BA!S81</f>
        <v>0</v>
      </c>
      <c r="Q235" s="279">
        <f>RES_BA!T81</f>
        <v>0</v>
      </c>
      <c r="S235" s="279">
        <f>RES_BA!U81</f>
        <v>0</v>
      </c>
    </row>
    <row r="236" spans="3:19" s="277" customFormat="1" hidden="1" outlineLevel="1" x14ac:dyDescent="0.3">
      <c r="C236" s="283" t="str">
        <f>RES_BA!D82</f>
        <v>Allowances Category 30</v>
      </c>
      <c r="M236" s="279">
        <f>RES_BA!R82</f>
        <v>0</v>
      </c>
      <c r="O236" s="279">
        <f>RES_BA!S82</f>
        <v>0</v>
      </c>
      <c r="Q236" s="279">
        <f>RES_BA!T82</f>
        <v>0</v>
      </c>
      <c r="S236" s="279">
        <f>RES_BA!U82</f>
        <v>0</v>
      </c>
    </row>
    <row r="237" spans="3:19" hidden="1" outlineLevel="1" x14ac:dyDescent="0.3">
      <c r="C237" s="89" t="str">
        <f>RES_BA!D83</f>
        <v>Allowances Category 31</v>
      </c>
      <c r="M237" s="40">
        <f>RES_BA!R83</f>
        <v>0</v>
      </c>
      <c r="O237" s="40">
        <f>RES_BA!S83</f>
        <v>0</v>
      </c>
      <c r="Q237" s="40">
        <f>RES_BA!T83</f>
        <v>0</v>
      </c>
      <c r="S237" s="40">
        <f>RES_BA!U83</f>
        <v>0</v>
      </c>
    </row>
    <row r="238" spans="3:19" hidden="1" outlineLevel="1" x14ac:dyDescent="0.3">
      <c r="C238" s="89" t="str">
        <f>RES_BA!D84</f>
        <v>Allowances Category 32</v>
      </c>
      <c r="M238" s="40">
        <f>RES_BA!R84</f>
        <v>0</v>
      </c>
      <c r="O238" s="40">
        <f>RES_BA!S84</f>
        <v>0</v>
      </c>
      <c r="Q238" s="40">
        <f>RES_BA!T84</f>
        <v>0</v>
      </c>
      <c r="S238" s="40">
        <f>RES_BA!U84</f>
        <v>0</v>
      </c>
    </row>
    <row r="239" spans="3:19" hidden="1" outlineLevel="1" x14ac:dyDescent="0.3">
      <c r="C239" s="89" t="str">
        <f>RES_BA!D85</f>
        <v>Allowances Category 33</v>
      </c>
      <c r="M239" s="40">
        <f>RES_BA!R85</f>
        <v>0</v>
      </c>
      <c r="O239" s="40">
        <f>RES_BA!S85</f>
        <v>0</v>
      </c>
      <c r="Q239" s="40">
        <f>RES_BA!T85</f>
        <v>0</v>
      </c>
      <c r="S239" s="40">
        <f>RES_BA!U85</f>
        <v>0</v>
      </c>
    </row>
    <row r="240" spans="3:19" hidden="1" outlineLevel="1" x14ac:dyDescent="0.3">
      <c r="C240" s="89" t="str">
        <f>RES_BA!D86</f>
        <v>Allowances Category 34</v>
      </c>
      <c r="M240" s="40">
        <f>RES_BA!R86</f>
        <v>0</v>
      </c>
      <c r="O240" s="40">
        <f>RES_BA!S86</f>
        <v>0</v>
      </c>
      <c r="Q240" s="40">
        <f>RES_BA!T86</f>
        <v>0</v>
      </c>
      <c r="S240" s="40">
        <f>RES_BA!U86</f>
        <v>0</v>
      </c>
    </row>
    <row r="241" spans="3:19" hidden="1" outlineLevel="1" x14ac:dyDescent="0.3">
      <c r="C241" s="89" t="str">
        <f>RES_BA!D87</f>
        <v>Allowances Category 35</v>
      </c>
      <c r="M241" s="40">
        <f>RES_BA!R87</f>
        <v>0</v>
      </c>
      <c r="O241" s="40">
        <f>RES_BA!S87</f>
        <v>0</v>
      </c>
      <c r="Q241" s="40">
        <f>RES_BA!T87</f>
        <v>0</v>
      </c>
      <c r="S241" s="40">
        <f>RES_BA!U87</f>
        <v>0</v>
      </c>
    </row>
    <row r="242" spans="3:19" hidden="1" outlineLevel="1" x14ac:dyDescent="0.3"/>
    <row r="243" spans="3:19" hidden="1" outlineLevel="1" x14ac:dyDescent="0.3"/>
    <row r="244" spans="3:19" hidden="1" outlineLevel="1" x14ac:dyDescent="0.3">
      <c r="M244" s="40" t="str">
        <f>$D$164</f>
        <v>USD</v>
      </c>
      <c r="O244" s="40" t="str">
        <f>$D$164</f>
        <v>USD</v>
      </c>
      <c r="Q244" s="40" t="str">
        <f>$D$165</f>
        <v>GOZ</v>
      </c>
      <c r="S244" s="40" t="str">
        <f>$D$165</f>
        <v>GOZ</v>
      </c>
    </row>
    <row r="245" spans="3:19" hidden="1" outlineLevel="1" x14ac:dyDescent="0.3">
      <c r="C245" s="89" t="str">
        <f>RES_BA!D91</f>
        <v>Supplies Category 1</v>
      </c>
      <c r="M245" s="40">
        <f>RES_BA!R91</f>
        <v>0</v>
      </c>
      <c r="O245" s="40">
        <f>RES_BA!S91</f>
        <v>0</v>
      </c>
      <c r="Q245" s="40">
        <f>RES_BA!T91</f>
        <v>0</v>
      </c>
      <c r="S245" s="40">
        <f>RES_BA!U91</f>
        <v>0</v>
      </c>
    </row>
    <row r="246" spans="3:19" hidden="1" outlineLevel="1" x14ac:dyDescent="0.3">
      <c r="C246" s="89" t="str">
        <f>RES_BA!D92</f>
        <v>Supplies Category 2</v>
      </c>
      <c r="M246" s="40">
        <f>RES_BA!R92</f>
        <v>0</v>
      </c>
      <c r="O246" s="40">
        <f>RES_BA!S92</f>
        <v>0</v>
      </c>
      <c r="Q246" s="40">
        <f>RES_BA!T92</f>
        <v>0</v>
      </c>
      <c r="S246" s="40">
        <f>RES_BA!U92</f>
        <v>0</v>
      </c>
    </row>
    <row r="247" spans="3:19" hidden="1" outlineLevel="1" x14ac:dyDescent="0.3">
      <c r="C247" s="89" t="str">
        <f>RES_BA!D93</f>
        <v>Supplies Category 3</v>
      </c>
      <c r="M247" s="40">
        <f>RES_BA!R93</f>
        <v>0</v>
      </c>
      <c r="O247" s="40">
        <f>RES_BA!S93</f>
        <v>0</v>
      </c>
      <c r="Q247" s="40">
        <f>RES_BA!T93</f>
        <v>0</v>
      </c>
      <c r="S247" s="40">
        <f>RES_BA!U93</f>
        <v>0</v>
      </c>
    </row>
    <row r="248" spans="3:19" hidden="1" outlineLevel="1" x14ac:dyDescent="0.3">
      <c r="C248" s="89" t="str">
        <f>RES_BA!D94</f>
        <v>Supplies Category 4</v>
      </c>
      <c r="M248" s="40">
        <f>RES_BA!R94</f>
        <v>0</v>
      </c>
      <c r="O248" s="40">
        <f>RES_BA!S94</f>
        <v>0</v>
      </c>
      <c r="Q248" s="40">
        <f>RES_BA!T94</f>
        <v>0</v>
      </c>
      <c r="S248" s="40">
        <f>RES_BA!U94</f>
        <v>0</v>
      </c>
    </row>
    <row r="249" spans="3:19" hidden="1" outlineLevel="1" x14ac:dyDescent="0.3">
      <c r="C249" s="89" t="str">
        <f>RES_BA!D95</f>
        <v>Supplies Category 5</v>
      </c>
      <c r="M249" s="40">
        <f>RES_BA!R95</f>
        <v>0</v>
      </c>
      <c r="O249" s="40">
        <f>RES_BA!S95</f>
        <v>0</v>
      </c>
      <c r="Q249" s="40">
        <f>RES_BA!T95</f>
        <v>0</v>
      </c>
      <c r="S249" s="40">
        <f>RES_BA!U95</f>
        <v>0</v>
      </c>
    </row>
    <row r="250" spans="3:19" hidden="1" outlineLevel="1" x14ac:dyDescent="0.3">
      <c r="C250" s="89" t="str">
        <f>RES_BA!D96</f>
        <v>Supplies Category 6</v>
      </c>
      <c r="M250" s="40">
        <f>RES_BA!R96</f>
        <v>0</v>
      </c>
      <c r="O250" s="40">
        <f>RES_BA!S96</f>
        <v>0</v>
      </c>
      <c r="Q250" s="40">
        <f>RES_BA!T96</f>
        <v>0</v>
      </c>
      <c r="S250" s="40">
        <f>RES_BA!U96</f>
        <v>0</v>
      </c>
    </row>
    <row r="251" spans="3:19" hidden="1" outlineLevel="1" x14ac:dyDescent="0.3">
      <c r="C251" s="89" t="str">
        <f>RES_BA!D97</f>
        <v>Supplies Category 7</v>
      </c>
      <c r="M251" s="40">
        <f>RES_BA!R97</f>
        <v>0</v>
      </c>
      <c r="O251" s="40">
        <f>RES_BA!S97</f>
        <v>0</v>
      </c>
      <c r="Q251" s="40">
        <f>RES_BA!T97</f>
        <v>0</v>
      </c>
      <c r="S251" s="40">
        <f>RES_BA!U97</f>
        <v>0</v>
      </c>
    </row>
    <row r="252" spans="3:19" hidden="1" outlineLevel="1" x14ac:dyDescent="0.3">
      <c r="C252" s="89" t="str">
        <f>RES_BA!D98</f>
        <v>Supplies Category 8</v>
      </c>
      <c r="M252" s="40">
        <f>RES_BA!R98</f>
        <v>0</v>
      </c>
      <c r="O252" s="40">
        <f>RES_BA!S98</f>
        <v>0</v>
      </c>
      <c r="Q252" s="40">
        <f>RES_BA!T98</f>
        <v>0</v>
      </c>
      <c r="S252" s="40">
        <f>RES_BA!U98</f>
        <v>0</v>
      </c>
    </row>
    <row r="253" spans="3:19" hidden="1" outlineLevel="1" x14ac:dyDescent="0.3">
      <c r="C253" s="89" t="str">
        <f>RES_BA!D99</f>
        <v>Supplies Category 9</v>
      </c>
      <c r="M253" s="40">
        <f>RES_BA!R99</f>
        <v>0</v>
      </c>
      <c r="O253" s="40">
        <f>RES_BA!S99</f>
        <v>0</v>
      </c>
      <c r="Q253" s="40">
        <f>RES_BA!T99</f>
        <v>0</v>
      </c>
      <c r="S253" s="40">
        <f>RES_BA!U99</f>
        <v>0</v>
      </c>
    </row>
    <row r="254" spans="3:19" hidden="1" outlineLevel="1" x14ac:dyDescent="0.3">
      <c r="C254" s="89" t="str">
        <f>RES_BA!D100</f>
        <v>Supplies Category 10</v>
      </c>
      <c r="M254" s="40">
        <f>RES_BA!R100</f>
        <v>0</v>
      </c>
      <c r="O254" s="40">
        <f>RES_BA!S100</f>
        <v>0</v>
      </c>
      <c r="Q254" s="40">
        <f>RES_BA!T100</f>
        <v>0</v>
      </c>
      <c r="S254" s="40">
        <f>RES_BA!U100</f>
        <v>0</v>
      </c>
    </row>
    <row r="255" spans="3:19" hidden="1" outlineLevel="1" x14ac:dyDescent="0.3">
      <c r="C255" s="89" t="str">
        <f>RES_BA!D101</f>
        <v>Supplies Category 11</v>
      </c>
      <c r="M255" s="40">
        <f>RES_BA!R101</f>
        <v>0</v>
      </c>
      <c r="O255" s="40">
        <f>RES_BA!S101</f>
        <v>0</v>
      </c>
      <c r="Q255" s="40">
        <f>RES_BA!T101</f>
        <v>0</v>
      </c>
      <c r="S255" s="40">
        <f>RES_BA!U101</f>
        <v>0</v>
      </c>
    </row>
    <row r="256" spans="3:19" hidden="1" outlineLevel="1" x14ac:dyDescent="0.3">
      <c r="C256" s="89" t="str">
        <f>RES_BA!D102</f>
        <v>Supplies Category 12</v>
      </c>
      <c r="M256" s="40">
        <f>RES_BA!R102</f>
        <v>0</v>
      </c>
      <c r="O256" s="40">
        <f>RES_BA!S102</f>
        <v>0</v>
      </c>
      <c r="Q256" s="40">
        <f>RES_BA!T102</f>
        <v>0</v>
      </c>
      <c r="S256" s="40">
        <f>RES_BA!U102</f>
        <v>0</v>
      </c>
    </row>
    <row r="257" spans="3:19" hidden="1" outlineLevel="1" x14ac:dyDescent="0.3">
      <c r="C257" s="89" t="str">
        <f>RES_BA!D103</f>
        <v>Supplies Category 13</v>
      </c>
      <c r="M257" s="40">
        <f>RES_BA!R103</f>
        <v>0</v>
      </c>
      <c r="O257" s="40">
        <f>RES_BA!S103</f>
        <v>0</v>
      </c>
      <c r="Q257" s="40">
        <f>RES_BA!T103</f>
        <v>0</v>
      </c>
      <c r="S257" s="40">
        <f>RES_BA!U103</f>
        <v>0</v>
      </c>
    </row>
    <row r="258" spans="3:19" hidden="1" outlineLevel="1" x14ac:dyDescent="0.3">
      <c r="C258" s="89" t="str">
        <f>RES_BA!D104</f>
        <v>Supplies Category 14</v>
      </c>
      <c r="M258" s="40">
        <f>RES_BA!R104</f>
        <v>0</v>
      </c>
      <c r="O258" s="40">
        <f>RES_BA!S104</f>
        <v>0</v>
      </c>
      <c r="Q258" s="40">
        <f>RES_BA!T104</f>
        <v>0</v>
      </c>
      <c r="S258" s="40">
        <f>RES_BA!U104</f>
        <v>0</v>
      </c>
    </row>
    <row r="259" spans="3:19" hidden="1" outlineLevel="1" x14ac:dyDescent="0.3">
      <c r="C259" s="89" t="str">
        <f>RES_BA!D105</f>
        <v>Supplies Category 15</v>
      </c>
      <c r="M259" s="40">
        <f>RES_BA!R105</f>
        <v>0</v>
      </c>
      <c r="O259" s="40">
        <f>RES_BA!S105</f>
        <v>0</v>
      </c>
      <c r="Q259" s="40">
        <f>RES_BA!T105</f>
        <v>0</v>
      </c>
      <c r="S259" s="40">
        <f>RES_BA!U105</f>
        <v>0</v>
      </c>
    </row>
    <row r="260" spans="3:19" hidden="1" outlineLevel="1" x14ac:dyDescent="0.3">
      <c r="C260" s="89" t="str">
        <f>RES_BA!D106</f>
        <v>Supplies Category 16</v>
      </c>
      <c r="M260" s="40">
        <f>RES_BA!R106</f>
        <v>0</v>
      </c>
      <c r="O260" s="40">
        <f>RES_BA!S106</f>
        <v>0</v>
      </c>
      <c r="Q260" s="40">
        <f>RES_BA!T106</f>
        <v>0</v>
      </c>
      <c r="S260" s="40">
        <f>RES_BA!U106</f>
        <v>0</v>
      </c>
    </row>
    <row r="261" spans="3:19" s="277" customFormat="1" hidden="1" outlineLevel="1" collapsed="1" x14ac:dyDescent="0.3">
      <c r="C261" s="283" t="str">
        <f>RES_BA!D107</f>
        <v>Supplies Category 17</v>
      </c>
      <c r="M261" s="279">
        <f>RES_BA!R107</f>
        <v>0</v>
      </c>
      <c r="O261" s="279">
        <f>RES_BA!S107</f>
        <v>0</v>
      </c>
      <c r="Q261" s="279">
        <f>RES_BA!T107</f>
        <v>0</v>
      </c>
      <c r="S261" s="279">
        <f>RES_BA!U107</f>
        <v>0</v>
      </c>
    </row>
    <row r="262" spans="3:19" s="277" customFormat="1" hidden="1" outlineLevel="1" x14ac:dyDescent="0.3">
      <c r="C262" s="283" t="str">
        <f>RES_BA!D108</f>
        <v>Supplies Category 18</v>
      </c>
      <c r="M262" s="279">
        <f>RES_BA!R108</f>
        <v>0</v>
      </c>
      <c r="O262" s="279">
        <f>RES_BA!S108</f>
        <v>0</v>
      </c>
      <c r="Q262" s="279">
        <f>RES_BA!T108</f>
        <v>0</v>
      </c>
      <c r="S262" s="279">
        <f>RES_BA!U108</f>
        <v>0</v>
      </c>
    </row>
    <row r="263" spans="3:19" s="277" customFormat="1" hidden="1" outlineLevel="1" x14ac:dyDescent="0.3">
      <c r="C263" s="283" t="str">
        <f>RES_BA!D109</f>
        <v>Supplies Category 19</v>
      </c>
      <c r="M263" s="279">
        <f>RES_BA!R109</f>
        <v>0</v>
      </c>
      <c r="O263" s="279">
        <f>RES_BA!S109</f>
        <v>0</v>
      </c>
      <c r="Q263" s="279">
        <f>RES_BA!T109</f>
        <v>0</v>
      </c>
      <c r="S263" s="279">
        <f>RES_BA!U109</f>
        <v>0</v>
      </c>
    </row>
    <row r="264" spans="3:19" s="277" customFormat="1" hidden="1" outlineLevel="1" x14ac:dyDescent="0.3">
      <c r="C264" s="283" t="str">
        <f>RES_BA!D110</f>
        <v>Supplies Category 20</v>
      </c>
      <c r="M264" s="279">
        <f>RES_BA!R110</f>
        <v>0</v>
      </c>
      <c r="O264" s="279">
        <f>RES_BA!S110</f>
        <v>0</v>
      </c>
      <c r="Q264" s="279">
        <f>RES_BA!T110</f>
        <v>0</v>
      </c>
      <c r="S264" s="279">
        <f>RES_BA!U110</f>
        <v>0</v>
      </c>
    </row>
    <row r="265" spans="3:19" s="277" customFormat="1" hidden="1" outlineLevel="1" x14ac:dyDescent="0.3">
      <c r="C265" s="283" t="str">
        <f>RES_BA!D111</f>
        <v>Supplies Category 21</v>
      </c>
      <c r="M265" s="279">
        <f>RES_BA!R111</f>
        <v>0</v>
      </c>
      <c r="O265" s="279">
        <f>RES_BA!S111</f>
        <v>0</v>
      </c>
      <c r="Q265" s="279">
        <f>RES_BA!T111</f>
        <v>0</v>
      </c>
      <c r="S265" s="279">
        <f>RES_BA!U111</f>
        <v>0</v>
      </c>
    </row>
    <row r="266" spans="3:19" s="277" customFormat="1" hidden="1" outlineLevel="1" x14ac:dyDescent="0.3">
      <c r="C266" s="283" t="str">
        <f>RES_BA!D112</f>
        <v>Supplies Category 22</v>
      </c>
      <c r="M266" s="279">
        <f>RES_BA!R112</f>
        <v>0</v>
      </c>
      <c r="O266" s="279">
        <f>RES_BA!S112</f>
        <v>0</v>
      </c>
      <c r="Q266" s="279">
        <f>RES_BA!T112</f>
        <v>0</v>
      </c>
      <c r="S266" s="279">
        <f>RES_BA!U112</f>
        <v>0</v>
      </c>
    </row>
    <row r="267" spans="3:19" s="277" customFormat="1" hidden="1" outlineLevel="1" x14ac:dyDescent="0.3">
      <c r="C267" s="283" t="str">
        <f>RES_BA!D113</f>
        <v>Supplies Category 23</v>
      </c>
      <c r="M267" s="279">
        <f>RES_BA!R113</f>
        <v>0</v>
      </c>
      <c r="O267" s="279">
        <f>RES_BA!S113</f>
        <v>0</v>
      </c>
      <c r="Q267" s="279">
        <f>RES_BA!T113</f>
        <v>0</v>
      </c>
      <c r="S267" s="279">
        <f>RES_BA!U113</f>
        <v>0</v>
      </c>
    </row>
    <row r="268" spans="3:19" s="277" customFormat="1" hidden="1" outlineLevel="1" x14ac:dyDescent="0.3">
      <c r="C268" s="283" t="str">
        <f>RES_BA!D114</f>
        <v>Supplies Category 24</v>
      </c>
      <c r="M268" s="279">
        <f>RES_BA!R114</f>
        <v>0</v>
      </c>
      <c r="O268" s="279">
        <f>RES_BA!S114</f>
        <v>0</v>
      </c>
      <c r="Q268" s="279">
        <f>RES_BA!T114</f>
        <v>0</v>
      </c>
      <c r="S268" s="279">
        <f>RES_BA!U114</f>
        <v>0</v>
      </c>
    </row>
    <row r="269" spans="3:19" s="277" customFormat="1" hidden="1" outlineLevel="1" x14ac:dyDescent="0.3">
      <c r="C269" s="283" t="str">
        <f>RES_BA!D115</f>
        <v>Supplies Category 25</v>
      </c>
      <c r="M269" s="279">
        <f>RES_BA!R115</f>
        <v>0</v>
      </c>
      <c r="O269" s="279">
        <f>RES_BA!S115</f>
        <v>0</v>
      </c>
      <c r="Q269" s="279">
        <f>RES_BA!T115</f>
        <v>0</v>
      </c>
      <c r="S269" s="279">
        <f>RES_BA!U115</f>
        <v>0</v>
      </c>
    </row>
    <row r="270" spans="3:19" s="277" customFormat="1" hidden="1" outlineLevel="1" x14ac:dyDescent="0.3">
      <c r="C270" s="283" t="str">
        <f>RES_BA!D116</f>
        <v>Supplies Category 26</v>
      </c>
      <c r="M270" s="279">
        <f>RES_BA!R116</f>
        <v>0</v>
      </c>
      <c r="O270" s="279">
        <f>RES_BA!S116</f>
        <v>0</v>
      </c>
      <c r="Q270" s="279">
        <f>RES_BA!T116</f>
        <v>0</v>
      </c>
      <c r="S270" s="279">
        <f>RES_BA!U116</f>
        <v>0</v>
      </c>
    </row>
    <row r="271" spans="3:19" s="277" customFormat="1" hidden="1" outlineLevel="1" x14ac:dyDescent="0.3">
      <c r="C271" s="283" t="str">
        <f>RES_BA!D117</f>
        <v>Supplies Category 27</v>
      </c>
      <c r="M271" s="279">
        <f>RES_BA!R117</f>
        <v>0</v>
      </c>
      <c r="O271" s="279">
        <f>RES_BA!S117</f>
        <v>0</v>
      </c>
      <c r="Q271" s="279">
        <f>RES_BA!T117</f>
        <v>0</v>
      </c>
      <c r="S271" s="279">
        <f>RES_BA!U117</f>
        <v>0</v>
      </c>
    </row>
    <row r="272" spans="3:19" s="277" customFormat="1" hidden="1" outlineLevel="1" x14ac:dyDescent="0.3">
      <c r="C272" s="283" t="str">
        <f>RES_BA!D118</f>
        <v>Supplies Category 28</v>
      </c>
      <c r="M272" s="279">
        <f>RES_BA!R118</f>
        <v>0</v>
      </c>
      <c r="O272" s="279">
        <f>RES_BA!S118</f>
        <v>0</v>
      </c>
      <c r="Q272" s="279">
        <f>RES_BA!T118</f>
        <v>0</v>
      </c>
      <c r="S272" s="279">
        <f>RES_BA!U118</f>
        <v>0</v>
      </c>
    </row>
    <row r="273" spans="3:19" s="277" customFormat="1" hidden="1" outlineLevel="1" x14ac:dyDescent="0.3">
      <c r="C273" s="283" t="str">
        <f>RES_BA!D119</f>
        <v>Supplies Category 29</v>
      </c>
      <c r="M273" s="279">
        <f>RES_BA!R119</f>
        <v>0</v>
      </c>
      <c r="O273" s="279">
        <f>RES_BA!S119</f>
        <v>0</v>
      </c>
      <c r="Q273" s="279">
        <f>RES_BA!T119</f>
        <v>0</v>
      </c>
      <c r="S273" s="279">
        <f>RES_BA!U119</f>
        <v>0</v>
      </c>
    </row>
    <row r="274" spans="3:19" s="277" customFormat="1" hidden="1" outlineLevel="1" collapsed="1" x14ac:dyDescent="0.3">
      <c r="C274" s="283" t="str">
        <f>RES_BA!D120</f>
        <v>Supplies Category 30</v>
      </c>
      <c r="M274" s="279">
        <f>RES_BA!R120</f>
        <v>0</v>
      </c>
      <c r="O274" s="279">
        <f>RES_BA!S120</f>
        <v>0</v>
      </c>
      <c r="Q274" s="279">
        <f>RES_BA!T120</f>
        <v>0</v>
      </c>
      <c r="S274" s="279">
        <f>RES_BA!U120</f>
        <v>0</v>
      </c>
    </row>
    <row r="275" spans="3:19" s="277" customFormat="1" hidden="1" outlineLevel="1" x14ac:dyDescent="0.3">
      <c r="C275" s="283" t="str">
        <f>RES_BA!D121</f>
        <v>Supplies Category 31</v>
      </c>
      <c r="M275" s="279">
        <f>RES_BA!R121</f>
        <v>0</v>
      </c>
      <c r="O275" s="279">
        <f>RES_BA!S121</f>
        <v>0</v>
      </c>
      <c r="Q275" s="279">
        <f>RES_BA!T121</f>
        <v>0</v>
      </c>
      <c r="S275" s="279">
        <f>RES_BA!U121</f>
        <v>0</v>
      </c>
    </row>
    <row r="276" spans="3:19" s="277" customFormat="1" hidden="1" outlineLevel="1" x14ac:dyDescent="0.3">
      <c r="C276" s="283" t="str">
        <f>RES_BA!D122</f>
        <v>Supplies Category 32</v>
      </c>
      <c r="M276" s="279">
        <f>RES_BA!R122</f>
        <v>0</v>
      </c>
      <c r="O276" s="279">
        <f>RES_BA!S122</f>
        <v>0</v>
      </c>
      <c r="Q276" s="279">
        <f>RES_BA!T122</f>
        <v>0</v>
      </c>
      <c r="S276" s="279">
        <f>RES_BA!U122</f>
        <v>0</v>
      </c>
    </row>
    <row r="277" spans="3:19" s="277" customFormat="1" hidden="1" outlineLevel="1" x14ac:dyDescent="0.3">
      <c r="C277" s="283" t="str">
        <f>RES_BA!D123</f>
        <v>Supplies Category 33</v>
      </c>
      <c r="M277" s="279">
        <f>RES_BA!R123</f>
        <v>0</v>
      </c>
      <c r="O277" s="279">
        <f>RES_BA!S123</f>
        <v>0</v>
      </c>
      <c r="Q277" s="279">
        <f>RES_BA!T123</f>
        <v>0</v>
      </c>
      <c r="S277" s="279">
        <f>RES_BA!U123</f>
        <v>0</v>
      </c>
    </row>
    <row r="278" spans="3:19" s="277" customFormat="1" hidden="1" outlineLevel="1" x14ac:dyDescent="0.3">
      <c r="C278" s="283" t="str">
        <f>RES_BA!D124</f>
        <v>Supplies Category 34</v>
      </c>
      <c r="M278" s="279">
        <f>RES_BA!R124</f>
        <v>0</v>
      </c>
      <c r="O278" s="279">
        <f>RES_BA!S124</f>
        <v>0</v>
      </c>
      <c r="Q278" s="279">
        <f>RES_BA!T124</f>
        <v>0</v>
      </c>
      <c r="S278" s="279">
        <f>RES_BA!U124</f>
        <v>0</v>
      </c>
    </row>
    <row r="279" spans="3:19" s="277" customFormat="1" hidden="1" outlineLevel="1" x14ac:dyDescent="0.3">
      <c r="C279" s="283" t="str">
        <f>RES_BA!D125</f>
        <v>Supplies Category 35</v>
      </c>
      <c r="M279" s="279">
        <f>RES_BA!R125</f>
        <v>0</v>
      </c>
      <c r="O279" s="279">
        <f>RES_BA!S125</f>
        <v>0</v>
      </c>
      <c r="Q279" s="279">
        <f>RES_BA!T125</f>
        <v>0</v>
      </c>
      <c r="S279" s="279">
        <f>RES_BA!U125</f>
        <v>0</v>
      </c>
    </row>
    <row r="280" spans="3:19" hidden="1" outlineLevel="1" x14ac:dyDescent="0.3"/>
    <row r="281" spans="3:19" hidden="1" outlineLevel="1" x14ac:dyDescent="0.3">
      <c r="M281" s="40" t="str">
        <f>$D$164</f>
        <v>USD</v>
      </c>
      <c r="O281" s="40" t="str">
        <f>$D$164</f>
        <v>USD</v>
      </c>
      <c r="Q281" s="40" t="str">
        <f>$D$165</f>
        <v>GOZ</v>
      </c>
      <c r="S281" s="40" t="str">
        <f>$D$165</f>
        <v>GOZ</v>
      </c>
    </row>
    <row r="282" spans="3:19" hidden="1" outlineLevel="1" x14ac:dyDescent="0.3">
      <c r="C282" s="89" t="str">
        <f>RES_BA!D130</f>
        <v>Equipment Category 1</v>
      </c>
      <c r="M282" s="40">
        <f>RES_BA!R130</f>
        <v>0</v>
      </c>
      <c r="O282" s="40">
        <f>RES_BA!S130</f>
        <v>0</v>
      </c>
      <c r="Q282" s="40">
        <f>RES_BA!T130</f>
        <v>0</v>
      </c>
      <c r="S282" s="40">
        <f>RES_BA!U130</f>
        <v>0</v>
      </c>
    </row>
    <row r="283" spans="3:19" hidden="1" outlineLevel="1" x14ac:dyDescent="0.3">
      <c r="C283" s="89" t="str">
        <f>RES_BA!D131</f>
        <v>Equipment Category 2</v>
      </c>
      <c r="M283" s="40">
        <f>RES_BA!R131</f>
        <v>0</v>
      </c>
      <c r="O283" s="40">
        <f>RES_BA!S131</f>
        <v>0</v>
      </c>
      <c r="Q283" s="40">
        <f>RES_BA!T131</f>
        <v>0</v>
      </c>
      <c r="S283" s="40">
        <f>RES_BA!U131</f>
        <v>0</v>
      </c>
    </row>
    <row r="284" spans="3:19" hidden="1" outlineLevel="1" x14ac:dyDescent="0.3">
      <c r="C284" s="89" t="str">
        <f>RES_BA!D132</f>
        <v>Equipment Category 3</v>
      </c>
      <c r="M284" s="40">
        <f>RES_BA!R132</f>
        <v>0</v>
      </c>
      <c r="O284" s="40">
        <f>RES_BA!S132</f>
        <v>0</v>
      </c>
      <c r="Q284" s="40">
        <f>RES_BA!T132</f>
        <v>0</v>
      </c>
      <c r="S284" s="40">
        <f>RES_BA!U132</f>
        <v>0</v>
      </c>
    </row>
    <row r="285" spans="3:19" hidden="1" outlineLevel="1" x14ac:dyDescent="0.3">
      <c r="C285" s="89" t="str">
        <f>RES_BA!D133</f>
        <v>Equipment Category 4</v>
      </c>
      <c r="M285" s="40">
        <f>RES_BA!R133</f>
        <v>0</v>
      </c>
      <c r="O285" s="40">
        <f>RES_BA!S133</f>
        <v>0</v>
      </c>
      <c r="Q285" s="40">
        <f>RES_BA!T133</f>
        <v>0</v>
      </c>
      <c r="S285" s="40">
        <f>RES_BA!U133</f>
        <v>0</v>
      </c>
    </row>
    <row r="286" spans="3:19" hidden="1" outlineLevel="1" x14ac:dyDescent="0.3">
      <c r="C286" s="89" t="str">
        <f>RES_BA!D134</f>
        <v>Equipment Category 5</v>
      </c>
      <c r="M286" s="40">
        <f>RES_BA!R134</f>
        <v>0</v>
      </c>
      <c r="O286" s="40">
        <f>RES_BA!S134</f>
        <v>0</v>
      </c>
      <c r="Q286" s="40">
        <f>RES_BA!T134</f>
        <v>0</v>
      </c>
      <c r="S286" s="40">
        <f>RES_BA!U134</f>
        <v>0</v>
      </c>
    </row>
    <row r="287" spans="3:19" hidden="1" outlineLevel="1" x14ac:dyDescent="0.3">
      <c r="C287" s="89" t="str">
        <f>RES_BA!D135</f>
        <v>Equipment Category 6</v>
      </c>
      <c r="M287" s="40">
        <f>RES_BA!R135</f>
        <v>0</v>
      </c>
      <c r="O287" s="40">
        <f>RES_BA!S135</f>
        <v>0</v>
      </c>
      <c r="Q287" s="40">
        <f>RES_BA!T135</f>
        <v>0</v>
      </c>
      <c r="S287" s="40">
        <f>RES_BA!U135</f>
        <v>0</v>
      </c>
    </row>
    <row r="288" spans="3:19" s="277" customFormat="1" hidden="1" outlineLevel="1" collapsed="1" x14ac:dyDescent="0.3">
      <c r="C288" s="283" t="str">
        <f>RES_BA!D136</f>
        <v>Equipment Category 7</v>
      </c>
      <c r="M288" s="279">
        <f>RES_BA!R136</f>
        <v>0</v>
      </c>
      <c r="O288" s="279">
        <f>RES_BA!S136</f>
        <v>0</v>
      </c>
      <c r="Q288" s="279">
        <f>RES_BA!T136</f>
        <v>0</v>
      </c>
      <c r="S288" s="279">
        <f>RES_BA!U136</f>
        <v>0</v>
      </c>
    </row>
    <row r="289" spans="3:19" s="277" customFormat="1" hidden="1" outlineLevel="1" x14ac:dyDescent="0.3">
      <c r="C289" s="283" t="str">
        <f>RES_BA!D137</f>
        <v>Equipment Category 8</v>
      </c>
      <c r="M289" s="279">
        <f>RES_BA!R137</f>
        <v>0</v>
      </c>
      <c r="O289" s="279">
        <f>RES_BA!S137</f>
        <v>0</v>
      </c>
      <c r="Q289" s="279">
        <f>RES_BA!T137</f>
        <v>0</v>
      </c>
      <c r="S289" s="279">
        <f>RES_BA!U137</f>
        <v>0</v>
      </c>
    </row>
    <row r="290" spans="3:19" s="277" customFormat="1" hidden="1" outlineLevel="1" x14ac:dyDescent="0.3">
      <c r="C290" s="283" t="str">
        <f>RES_BA!D138</f>
        <v>Equipment Category 9</v>
      </c>
      <c r="M290" s="279">
        <f>RES_BA!R138</f>
        <v>0</v>
      </c>
      <c r="O290" s="279">
        <f>RES_BA!S138</f>
        <v>0</v>
      </c>
      <c r="Q290" s="279">
        <f>RES_BA!T138</f>
        <v>0</v>
      </c>
      <c r="S290" s="279">
        <f>RES_BA!U138</f>
        <v>0</v>
      </c>
    </row>
    <row r="291" spans="3:19" s="277" customFormat="1" hidden="1" outlineLevel="1" x14ac:dyDescent="0.3">
      <c r="C291" s="283" t="str">
        <f>RES_BA!D139</f>
        <v>Equipment Category 10</v>
      </c>
      <c r="M291" s="279">
        <f>RES_BA!R139</f>
        <v>0</v>
      </c>
      <c r="O291" s="279">
        <f>RES_BA!S139</f>
        <v>0</v>
      </c>
      <c r="Q291" s="279">
        <f>RES_BA!T139</f>
        <v>0</v>
      </c>
      <c r="S291" s="279">
        <f>RES_BA!U139</f>
        <v>0</v>
      </c>
    </row>
    <row r="292" spans="3:19" s="277" customFormat="1" hidden="1" outlineLevel="1" x14ac:dyDescent="0.3">
      <c r="C292" s="283" t="str">
        <f>RES_BA!D140</f>
        <v>Equipment Category 11</v>
      </c>
      <c r="M292" s="279">
        <f>RES_BA!R140</f>
        <v>0</v>
      </c>
      <c r="O292" s="279">
        <f>RES_BA!S140</f>
        <v>0</v>
      </c>
      <c r="Q292" s="279">
        <f>RES_BA!T140</f>
        <v>0</v>
      </c>
      <c r="S292" s="279">
        <f>RES_BA!U140</f>
        <v>0</v>
      </c>
    </row>
    <row r="293" spans="3:19" s="277" customFormat="1" hidden="1" outlineLevel="1" x14ac:dyDescent="0.3">
      <c r="C293" s="283" t="str">
        <f>RES_BA!D141</f>
        <v>Equipment Category 12</v>
      </c>
      <c r="M293" s="279">
        <f>RES_BA!R141</f>
        <v>0</v>
      </c>
      <c r="O293" s="279">
        <f>RES_BA!S141</f>
        <v>0</v>
      </c>
      <c r="Q293" s="279">
        <f>RES_BA!T141</f>
        <v>0</v>
      </c>
      <c r="S293" s="279">
        <f>RES_BA!U141</f>
        <v>0</v>
      </c>
    </row>
    <row r="294" spans="3:19" s="277" customFormat="1" hidden="1" outlineLevel="1" collapsed="1" x14ac:dyDescent="0.3">
      <c r="C294" s="283" t="str">
        <f>RES_BA!D142</f>
        <v>Equipment Category 13</v>
      </c>
      <c r="M294" s="279">
        <f>RES_BA!R142</f>
        <v>0</v>
      </c>
      <c r="O294" s="279">
        <f>RES_BA!S142</f>
        <v>0</v>
      </c>
      <c r="Q294" s="279">
        <f>RES_BA!T142</f>
        <v>0</v>
      </c>
      <c r="S294" s="279">
        <f>RES_BA!U142</f>
        <v>0</v>
      </c>
    </row>
    <row r="295" spans="3:19" s="277" customFormat="1" hidden="1" outlineLevel="1" x14ac:dyDescent="0.3">
      <c r="C295" s="283" t="str">
        <f>RES_BA!D143</f>
        <v>Equipment Category 14</v>
      </c>
      <c r="M295" s="279">
        <f>RES_BA!R143</f>
        <v>0</v>
      </c>
      <c r="O295" s="279">
        <f>RES_BA!S143</f>
        <v>0</v>
      </c>
      <c r="Q295" s="279">
        <f>RES_BA!T143</f>
        <v>0</v>
      </c>
      <c r="S295" s="279">
        <f>RES_BA!U143</f>
        <v>0</v>
      </c>
    </row>
    <row r="296" spans="3:19" s="277" customFormat="1" hidden="1" outlineLevel="1" x14ac:dyDescent="0.3">
      <c r="C296" s="283" t="str">
        <f>RES_BA!D144</f>
        <v>Equipment Category 15</v>
      </c>
      <c r="M296" s="279">
        <f>RES_BA!R144</f>
        <v>0</v>
      </c>
      <c r="O296" s="279">
        <f>RES_BA!S144</f>
        <v>0</v>
      </c>
      <c r="Q296" s="279">
        <f>RES_BA!T144</f>
        <v>0</v>
      </c>
      <c r="S296" s="279">
        <f>RES_BA!U144</f>
        <v>0</v>
      </c>
    </row>
    <row r="297" spans="3:19" s="277" customFormat="1" hidden="1" outlineLevel="1" x14ac:dyDescent="0.3">
      <c r="C297" s="283" t="str">
        <f>RES_BA!D145</f>
        <v>Equipment Category 16</v>
      </c>
      <c r="M297" s="279">
        <f>RES_BA!R145</f>
        <v>0</v>
      </c>
      <c r="O297" s="279">
        <f>RES_BA!S145</f>
        <v>0</v>
      </c>
      <c r="Q297" s="279">
        <f>RES_BA!T145</f>
        <v>0</v>
      </c>
      <c r="S297" s="279">
        <f>RES_BA!U145</f>
        <v>0</v>
      </c>
    </row>
    <row r="298" spans="3:19" s="277" customFormat="1" hidden="1" outlineLevel="1" x14ac:dyDescent="0.3">
      <c r="C298" s="283" t="str">
        <f>RES_BA!D146</f>
        <v>Equipment Category 17</v>
      </c>
      <c r="M298" s="279">
        <f>RES_BA!R146</f>
        <v>0</v>
      </c>
      <c r="O298" s="279">
        <f>RES_BA!S146</f>
        <v>0</v>
      </c>
      <c r="Q298" s="279">
        <f>RES_BA!T146</f>
        <v>0</v>
      </c>
      <c r="S298" s="279">
        <f>RES_BA!U146</f>
        <v>0</v>
      </c>
    </row>
    <row r="299" spans="3:19" s="277" customFormat="1" hidden="1" outlineLevel="1" x14ac:dyDescent="0.3">
      <c r="C299" s="283" t="str">
        <f>RES_BA!D147</f>
        <v>Equipment Category 18</v>
      </c>
      <c r="M299" s="279">
        <f>RES_BA!R147</f>
        <v>0</v>
      </c>
      <c r="O299" s="279">
        <f>RES_BA!S147</f>
        <v>0</v>
      </c>
      <c r="Q299" s="279">
        <f>RES_BA!T147</f>
        <v>0</v>
      </c>
      <c r="S299" s="279">
        <f>RES_BA!U147</f>
        <v>0</v>
      </c>
    </row>
    <row r="300" spans="3:19" s="277" customFormat="1" hidden="1" outlineLevel="1" x14ac:dyDescent="0.3">
      <c r="C300" s="283" t="str">
        <f>RES_BA!D148</f>
        <v>Equipment Category 19</v>
      </c>
      <c r="M300" s="279">
        <f>RES_BA!R148</f>
        <v>0</v>
      </c>
      <c r="O300" s="279">
        <f>RES_BA!S148</f>
        <v>0</v>
      </c>
      <c r="Q300" s="279">
        <f>RES_BA!T148</f>
        <v>0</v>
      </c>
      <c r="S300" s="279">
        <f>RES_BA!U148</f>
        <v>0</v>
      </c>
    </row>
    <row r="301" spans="3:19" s="277" customFormat="1" hidden="1" outlineLevel="1" x14ac:dyDescent="0.3">
      <c r="C301" s="283" t="str">
        <f>RES_BA!D149</f>
        <v>Equipment Category 20</v>
      </c>
      <c r="M301" s="279">
        <f>RES_BA!R149</f>
        <v>0</v>
      </c>
      <c r="O301" s="279">
        <f>RES_BA!S149</f>
        <v>0</v>
      </c>
      <c r="Q301" s="279">
        <f>RES_BA!T149</f>
        <v>0</v>
      </c>
      <c r="S301" s="279">
        <f>RES_BA!U149</f>
        <v>0</v>
      </c>
    </row>
    <row r="302" spans="3:19" s="277" customFormat="1" hidden="1" outlineLevel="1" x14ac:dyDescent="0.3">
      <c r="C302" s="283" t="str">
        <f>RES_BA!D150</f>
        <v>Equipment Category 21</v>
      </c>
      <c r="M302" s="279">
        <f>RES_BA!R150</f>
        <v>0</v>
      </c>
      <c r="O302" s="279">
        <f>RES_BA!S150</f>
        <v>0</v>
      </c>
      <c r="Q302" s="279">
        <f>RES_BA!T150</f>
        <v>0</v>
      </c>
      <c r="S302" s="279">
        <f>RES_BA!U150</f>
        <v>0</v>
      </c>
    </row>
    <row r="303" spans="3:19" s="277" customFormat="1" hidden="1" outlineLevel="1" x14ac:dyDescent="0.3">
      <c r="C303" s="283" t="str">
        <f>RES_BA!D151</f>
        <v>Equipment Category 22</v>
      </c>
      <c r="M303" s="279">
        <f>RES_BA!R151</f>
        <v>0</v>
      </c>
      <c r="O303" s="279">
        <f>RES_BA!S151</f>
        <v>0</v>
      </c>
      <c r="Q303" s="279">
        <f>RES_BA!T151</f>
        <v>0</v>
      </c>
      <c r="S303" s="279">
        <f>RES_BA!U151</f>
        <v>0</v>
      </c>
    </row>
    <row r="304" spans="3:19" s="277" customFormat="1" hidden="1" outlineLevel="1" x14ac:dyDescent="0.3">
      <c r="C304" s="283" t="str">
        <f>RES_BA!D152</f>
        <v>Equipment Category 23</v>
      </c>
      <c r="M304" s="279">
        <f>RES_BA!R152</f>
        <v>0</v>
      </c>
      <c r="O304" s="279">
        <f>RES_BA!S152</f>
        <v>0</v>
      </c>
      <c r="Q304" s="279">
        <f>RES_BA!T152</f>
        <v>0</v>
      </c>
      <c r="S304" s="279">
        <f>RES_BA!U152</f>
        <v>0</v>
      </c>
    </row>
    <row r="305" spans="3:19" s="277" customFormat="1" hidden="1" outlineLevel="1" collapsed="1" x14ac:dyDescent="0.3">
      <c r="C305" s="283" t="str">
        <f>RES_BA!D153</f>
        <v>Equipment Category 24</v>
      </c>
      <c r="M305" s="279">
        <f>RES_BA!R153</f>
        <v>0</v>
      </c>
      <c r="O305" s="279">
        <f>RES_BA!S153</f>
        <v>0</v>
      </c>
      <c r="Q305" s="279">
        <f>RES_BA!T153</f>
        <v>0</v>
      </c>
      <c r="S305" s="279">
        <f>RES_BA!U153</f>
        <v>0</v>
      </c>
    </row>
    <row r="306" spans="3:19" s="277" customFormat="1" hidden="1" outlineLevel="1" x14ac:dyDescent="0.3">
      <c r="C306" s="283" t="str">
        <f>RES_BA!D154</f>
        <v>Equipment Category 25</v>
      </c>
      <c r="M306" s="279">
        <f>RES_BA!R154</f>
        <v>0</v>
      </c>
      <c r="O306" s="279">
        <f>RES_BA!S154</f>
        <v>0</v>
      </c>
      <c r="Q306" s="279">
        <f>RES_BA!T154</f>
        <v>0</v>
      </c>
      <c r="S306" s="279">
        <f>RES_BA!U154</f>
        <v>0</v>
      </c>
    </row>
    <row r="307" spans="3:19" s="277" customFormat="1" hidden="1" outlineLevel="1" x14ac:dyDescent="0.3">
      <c r="C307" s="283" t="str">
        <f>RES_BA!D155</f>
        <v>Equipment Category 26</v>
      </c>
      <c r="M307" s="279">
        <f>RES_BA!R155</f>
        <v>0</v>
      </c>
      <c r="O307" s="279">
        <f>RES_BA!S155</f>
        <v>0</v>
      </c>
      <c r="Q307" s="279">
        <f>RES_BA!T155</f>
        <v>0</v>
      </c>
      <c r="S307" s="279">
        <f>RES_BA!U155</f>
        <v>0</v>
      </c>
    </row>
    <row r="308" spans="3:19" s="277" customFormat="1" hidden="1" outlineLevel="1" x14ac:dyDescent="0.3">
      <c r="C308" s="283" t="str">
        <f>RES_BA!D156</f>
        <v>Equipment Category 27</v>
      </c>
      <c r="M308" s="279">
        <f>RES_BA!R156</f>
        <v>0</v>
      </c>
      <c r="O308" s="279">
        <f>RES_BA!S156</f>
        <v>0</v>
      </c>
      <c r="Q308" s="279">
        <f>RES_BA!T156</f>
        <v>0</v>
      </c>
      <c r="S308" s="279">
        <f>RES_BA!U156</f>
        <v>0</v>
      </c>
    </row>
    <row r="309" spans="3:19" s="277" customFormat="1" hidden="1" outlineLevel="1" x14ac:dyDescent="0.3">
      <c r="C309" s="283" t="str">
        <f>RES_BA!D157</f>
        <v>Equipment Category 28</v>
      </c>
      <c r="M309" s="279">
        <f>RES_BA!R157</f>
        <v>0</v>
      </c>
      <c r="O309" s="279">
        <f>RES_BA!S157</f>
        <v>0</v>
      </c>
      <c r="Q309" s="279">
        <f>RES_BA!T157</f>
        <v>0</v>
      </c>
      <c r="S309" s="279">
        <f>RES_BA!U157</f>
        <v>0</v>
      </c>
    </row>
    <row r="310" spans="3:19" s="277" customFormat="1" hidden="1" outlineLevel="1" x14ac:dyDescent="0.3">
      <c r="C310" s="283" t="str">
        <f>RES_BA!D158</f>
        <v>Equipment Category 29</v>
      </c>
      <c r="M310" s="279">
        <f>RES_BA!R158</f>
        <v>0</v>
      </c>
      <c r="O310" s="279">
        <f>RES_BA!S158</f>
        <v>0</v>
      </c>
      <c r="Q310" s="279">
        <f>RES_BA!T158</f>
        <v>0</v>
      </c>
      <c r="S310" s="279">
        <f>RES_BA!U158</f>
        <v>0</v>
      </c>
    </row>
    <row r="311" spans="3:19" s="277" customFormat="1" hidden="1" outlineLevel="1" x14ac:dyDescent="0.3">
      <c r="C311" s="283" t="str">
        <f>RES_BA!D159</f>
        <v>Equipment Category 30</v>
      </c>
      <c r="M311" s="279">
        <f>RES_BA!R159</f>
        <v>0</v>
      </c>
      <c r="O311" s="279">
        <f>RES_BA!S159</f>
        <v>0</v>
      </c>
      <c r="Q311" s="279">
        <f>RES_BA!T159</f>
        <v>0</v>
      </c>
      <c r="S311" s="279">
        <f>RES_BA!U159</f>
        <v>0</v>
      </c>
    </row>
    <row r="312" spans="3:19" s="277" customFormat="1" hidden="1" outlineLevel="1" x14ac:dyDescent="0.3">
      <c r="C312" s="283" t="str">
        <f>RES_BA!D160</f>
        <v>Equipment Category 31</v>
      </c>
      <c r="M312" s="279">
        <f>RES_BA!R160</f>
        <v>0</v>
      </c>
      <c r="O312" s="279">
        <f>RES_BA!S160</f>
        <v>0</v>
      </c>
      <c r="Q312" s="279">
        <f>RES_BA!T160</f>
        <v>0</v>
      </c>
      <c r="S312" s="279">
        <f>RES_BA!U160</f>
        <v>0</v>
      </c>
    </row>
    <row r="313" spans="3:19" s="277" customFormat="1" hidden="1" outlineLevel="1" x14ac:dyDescent="0.3">
      <c r="C313" s="283" t="str">
        <f>RES_BA!D161</f>
        <v>Equipment Category 32</v>
      </c>
      <c r="M313" s="279">
        <f>RES_BA!R161</f>
        <v>0</v>
      </c>
      <c r="O313" s="279">
        <f>RES_BA!S161</f>
        <v>0</v>
      </c>
      <c r="Q313" s="279">
        <f>RES_BA!T161</f>
        <v>0</v>
      </c>
      <c r="S313" s="279">
        <f>RES_BA!U161</f>
        <v>0</v>
      </c>
    </row>
    <row r="314" spans="3:19" s="277" customFormat="1" hidden="1" outlineLevel="1" x14ac:dyDescent="0.3">
      <c r="C314" s="283" t="str">
        <f>RES_BA!D162</f>
        <v>Equipment Category 33</v>
      </c>
      <c r="M314" s="279">
        <f>RES_BA!R162</f>
        <v>0</v>
      </c>
      <c r="O314" s="279">
        <f>RES_BA!S162</f>
        <v>0</v>
      </c>
      <c r="Q314" s="279">
        <f>RES_BA!T162</f>
        <v>0</v>
      </c>
      <c r="S314" s="279">
        <f>RES_BA!U162</f>
        <v>0</v>
      </c>
    </row>
    <row r="315" spans="3:19" s="277" customFormat="1" hidden="1" outlineLevel="1" collapsed="1" x14ac:dyDescent="0.3">
      <c r="C315" s="283" t="str">
        <f>RES_BA!D163</f>
        <v>Equipment Category 34</v>
      </c>
      <c r="M315" s="279">
        <f>RES_BA!R163</f>
        <v>0</v>
      </c>
      <c r="O315" s="279">
        <f>RES_BA!S163</f>
        <v>0</v>
      </c>
      <c r="Q315" s="279">
        <f>RES_BA!T163</f>
        <v>0</v>
      </c>
      <c r="S315" s="279">
        <f>RES_BA!U163</f>
        <v>0</v>
      </c>
    </row>
    <row r="316" spans="3:19" s="277" customFormat="1" hidden="1" outlineLevel="1" x14ac:dyDescent="0.3">
      <c r="C316" s="283" t="str">
        <f>RES_BA!D164</f>
        <v>Equipment Category 35</v>
      </c>
      <c r="M316" s="279">
        <f>RES_BA!R164</f>
        <v>0</v>
      </c>
      <c r="O316" s="279">
        <f>RES_BA!S164</f>
        <v>0</v>
      </c>
      <c r="Q316" s="279">
        <f>RES_BA!T164</f>
        <v>0</v>
      </c>
      <c r="S316" s="279">
        <f>RES_BA!U164</f>
        <v>0</v>
      </c>
    </row>
    <row r="317" spans="3:19" hidden="1" outlineLevel="1" x14ac:dyDescent="0.3"/>
    <row r="318" spans="3:19" hidden="1" outlineLevel="1" x14ac:dyDescent="0.3"/>
    <row r="319" spans="3:19" hidden="1" outlineLevel="1" x14ac:dyDescent="0.3">
      <c r="M319" s="40" t="str">
        <f>$D$164</f>
        <v>USD</v>
      </c>
      <c r="O319" s="40" t="str">
        <f>$D$164</f>
        <v>USD</v>
      </c>
      <c r="Q319" s="40" t="str">
        <f>$D$165</f>
        <v>GOZ</v>
      </c>
      <c r="S319" s="40" t="str">
        <f>$D$165</f>
        <v>GOZ</v>
      </c>
    </row>
    <row r="320" spans="3:19" hidden="1" outlineLevel="1" x14ac:dyDescent="0.3">
      <c r="C320" s="89" t="str">
        <f>RES_BA!D169</f>
        <v>Other Direct Costs Category 1</v>
      </c>
      <c r="M320" s="40">
        <f>RES_BA!R169</f>
        <v>0</v>
      </c>
      <c r="O320" s="40">
        <f>RES_BA!S169</f>
        <v>0</v>
      </c>
      <c r="Q320" s="40">
        <f>RES_BA!T169</f>
        <v>0</v>
      </c>
      <c r="S320" s="40">
        <f>RES_BA!U169</f>
        <v>0</v>
      </c>
    </row>
    <row r="321" spans="3:19" hidden="1" outlineLevel="1" x14ac:dyDescent="0.3">
      <c r="C321" s="89" t="str">
        <f>RES_BA!D170</f>
        <v>Other Direct Costs Category 2</v>
      </c>
      <c r="M321" s="40">
        <f>RES_BA!R170</f>
        <v>0</v>
      </c>
      <c r="O321" s="40">
        <f>RES_BA!S170</f>
        <v>0</v>
      </c>
      <c r="Q321" s="40">
        <f>RES_BA!T170</f>
        <v>0</v>
      </c>
      <c r="S321" s="40">
        <f>RES_BA!U170</f>
        <v>0</v>
      </c>
    </row>
    <row r="322" spans="3:19" hidden="1" outlineLevel="1" x14ac:dyDescent="0.3">
      <c r="C322" s="89" t="str">
        <f>RES_BA!D171</f>
        <v>Other Direct Costs Category 3</v>
      </c>
      <c r="M322" s="40">
        <f>RES_BA!R171</f>
        <v>0</v>
      </c>
      <c r="O322" s="40">
        <f>RES_BA!S171</f>
        <v>0</v>
      </c>
      <c r="Q322" s="40">
        <f>RES_BA!T171</f>
        <v>0</v>
      </c>
      <c r="S322" s="40">
        <f>RES_BA!U171</f>
        <v>0</v>
      </c>
    </row>
    <row r="323" spans="3:19" s="277" customFormat="1" hidden="1" outlineLevel="1" collapsed="1" x14ac:dyDescent="0.3">
      <c r="C323" s="283" t="str">
        <f>RES_BA!D172</f>
        <v>Other Direct Costs Category 4</v>
      </c>
      <c r="M323" s="279">
        <f>RES_BA!R172</f>
        <v>0</v>
      </c>
      <c r="O323" s="279">
        <f>RES_BA!S172</f>
        <v>0</v>
      </c>
      <c r="Q323" s="279">
        <f>RES_BA!T172</f>
        <v>0</v>
      </c>
      <c r="S323" s="279">
        <f>RES_BA!U172</f>
        <v>0</v>
      </c>
    </row>
    <row r="324" spans="3:19" s="277" customFormat="1" hidden="1" outlineLevel="1" x14ac:dyDescent="0.3">
      <c r="C324" s="283" t="str">
        <f>RES_BA!D173</f>
        <v>Other Direct Costs Category 5</v>
      </c>
      <c r="M324" s="279">
        <f>RES_BA!R173</f>
        <v>0</v>
      </c>
      <c r="O324" s="279">
        <f>RES_BA!S173</f>
        <v>0</v>
      </c>
      <c r="Q324" s="279">
        <f>RES_BA!T173</f>
        <v>0</v>
      </c>
      <c r="S324" s="279">
        <f>RES_BA!U173</f>
        <v>0</v>
      </c>
    </row>
    <row r="325" spans="3:19" s="277" customFormat="1" hidden="1" outlineLevel="1" x14ac:dyDescent="0.3">
      <c r="C325" s="283" t="str">
        <f>RES_BA!D174</f>
        <v>Other Direct Costs Category 6</v>
      </c>
      <c r="M325" s="279">
        <f>RES_BA!R174</f>
        <v>0</v>
      </c>
      <c r="O325" s="279">
        <f>RES_BA!S174</f>
        <v>0</v>
      </c>
      <c r="Q325" s="279">
        <f>RES_BA!T174</f>
        <v>0</v>
      </c>
      <c r="S325" s="279">
        <f>RES_BA!U174</f>
        <v>0</v>
      </c>
    </row>
    <row r="326" spans="3:19" s="277" customFormat="1" hidden="1" outlineLevel="1" x14ac:dyDescent="0.3">
      <c r="C326" s="283" t="str">
        <f>RES_BA!D175</f>
        <v>Other Direct Costs Category 7</v>
      </c>
      <c r="M326" s="279">
        <f>RES_BA!R175</f>
        <v>0</v>
      </c>
      <c r="O326" s="279">
        <f>RES_BA!S175</f>
        <v>0</v>
      </c>
      <c r="Q326" s="279">
        <f>RES_BA!T175</f>
        <v>0</v>
      </c>
      <c r="S326" s="279">
        <f>RES_BA!U175</f>
        <v>0</v>
      </c>
    </row>
    <row r="327" spans="3:19" s="277" customFormat="1" hidden="1" outlineLevel="1" x14ac:dyDescent="0.3">
      <c r="C327" s="283" t="str">
        <f>RES_BA!D176</f>
        <v>Other Direct Costs Category 8</v>
      </c>
      <c r="M327" s="279">
        <f>RES_BA!R176</f>
        <v>0</v>
      </c>
      <c r="O327" s="279">
        <f>RES_BA!S176</f>
        <v>0</v>
      </c>
      <c r="Q327" s="279">
        <f>RES_BA!T176</f>
        <v>0</v>
      </c>
      <c r="S327" s="279">
        <f>RES_BA!U176</f>
        <v>0</v>
      </c>
    </row>
    <row r="328" spans="3:19" s="277" customFormat="1" hidden="1" outlineLevel="1" x14ac:dyDescent="0.3">
      <c r="C328" s="283" t="str">
        <f>RES_BA!D177</f>
        <v>Other Direct Costs Category 9</v>
      </c>
      <c r="M328" s="279">
        <f>RES_BA!R177</f>
        <v>0</v>
      </c>
      <c r="O328" s="279">
        <f>RES_BA!S177</f>
        <v>0</v>
      </c>
      <c r="Q328" s="279">
        <f>RES_BA!T177</f>
        <v>0</v>
      </c>
      <c r="S328" s="279">
        <f>RES_BA!U177</f>
        <v>0</v>
      </c>
    </row>
    <row r="329" spans="3:19" s="277" customFormat="1" hidden="1" outlineLevel="1" x14ac:dyDescent="0.3">
      <c r="C329" s="283" t="str">
        <f>RES_BA!D178</f>
        <v>Other Direct Costs Category 10</v>
      </c>
      <c r="M329" s="279">
        <f>RES_BA!R178</f>
        <v>0</v>
      </c>
      <c r="O329" s="279">
        <f>RES_BA!S178</f>
        <v>0</v>
      </c>
      <c r="Q329" s="279">
        <f>RES_BA!T178</f>
        <v>0</v>
      </c>
      <c r="S329" s="279">
        <f>RES_BA!U178</f>
        <v>0</v>
      </c>
    </row>
    <row r="330" spans="3:19" s="277" customFormat="1" hidden="1" outlineLevel="1" x14ac:dyDescent="0.3">
      <c r="C330" s="283" t="str">
        <f>RES_BA!D179</f>
        <v>Other Direct Costs Category 11</v>
      </c>
      <c r="M330" s="279">
        <f>RES_BA!R179</f>
        <v>0</v>
      </c>
      <c r="O330" s="279">
        <f>RES_BA!S179</f>
        <v>0</v>
      </c>
      <c r="Q330" s="279">
        <f>RES_BA!T179</f>
        <v>0</v>
      </c>
      <c r="S330" s="279">
        <f>RES_BA!U179</f>
        <v>0</v>
      </c>
    </row>
    <row r="331" spans="3:19" s="277" customFormat="1" hidden="1" outlineLevel="1" collapsed="1" x14ac:dyDescent="0.3">
      <c r="C331" s="283" t="str">
        <f>RES_BA!D180</f>
        <v>Other Direct Costs Category 12</v>
      </c>
      <c r="M331" s="279">
        <f>RES_BA!R180</f>
        <v>0</v>
      </c>
      <c r="O331" s="279">
        <f>RES_BA!S180</f>
        <v>0</v>
      </c>
      <c r="Q331" s="279">
        <f>RES_BA!T180</f>
        <v>0</v>
      </c>
      <c r="S331" s="279">
        <f>RES_BA!U180</f>
        <v>0</v>
      </c>
    </row>
    <row r="332" spans="3:19" s="277" customFormat="1" hidden="1" outlineLevel="1" x14ac:dyDescent="0.3">
      <c r="C332" s="283" t="str">
        <f>RES_BA!D181</f>
        <v>Other Direct Costs Category 13</v>
      </c>
      <c r="M332" s="279">
        <f>RES_BA!R181</f>
        <v>0</v>
      </c>
      <c r="O332" s="279">
        <f>RES_BA!S181</f>
        <v>0</v>
      </c>
      <c r="Q332" s="279">
        <f>RES_BA!T181</f>
        <v>0</v>
      </c>
      <c r="S332" s="279">
        <f>RES_BA!U181</f>
        <v>0</v>
      </c>
    </row>
    <row r="333" spans="3:19" s="277" customFormat="1" hidden="1" outlineLevel="1" x14ac:dyDescent="0.3">
      <c r="C333" s="283" t="str">
        <f>RES_BA!D182</f>
        <v>Other Direct Costs Category 14</v>
      </c>
      <c r="M333" s="279">
        <f>RES_BA!R182</f>
        <v>0</v>
      </c>
      <c r="O333" s="279">
        <f>RES_BA!S182</f>
        <v>0</v>
      </c>
      <c r="Q333" s="279">
        <f>RES_BA!T182</f>
        <v>0</v>
      </c>
      <c r="S333" s="279">
        <f>RES_BA!U182</f>
        <v>0</v>
      </c>
    </row>
    <row r="334" spans="3:19" s="277" customFormat="1" hidden="1" outlineLevel="1" x14ac:dyDescent="0.3">
      <c r="C334" s="283" t="str">
        <f>RES_BA!D183</f>
        <v>Other Direct Costs Category 15</v>
      </c>
      <c r="M334" s="279">
        <f>RES_BA!R183</f>
        <v>0</v>
      </c>
      <c r="O334" s="279">
        <f>RES_BA!S183</f>
        <v>0</v>
      </c>
      <c r="Q334" s="279">
        <f>RES_BA!T183</f>
        <v>0</v>
      </c>
      <c r="S334" s="279">
        <f>RES_BA!U183</f>
        <v>0</v>
      </c>
    </row>
    <row r="335" spans="3:19" s="277" customFormat="1" hidden="1" outlineLevel="1" x14ac:dyDescent="0.3">
      <c r="C335" s="283" t="str">
        <f>RES_BA!D184</f>
        <v>Other Direct Costs Category 16</v>
      </c>
      <c r="M335" s="279">
        <f>RES_BA!R184</f>
        <v>0</v>
      </c>
      <c r="O335" s="279">
        <f>RES_BA!S184</f>
        <v>0</v>
      </c>
      <c r="Q335" s="279">
        <f>RES_BA!T184</f>
        <v>0</v>
      </c>
      <c r="S335" s="279">
        <f>RES_BA!U184</f>
        <v>0</v>
      </c>
    </row>
    <row r="336" spans="3:19" s="277" customFormat="1" hidden="1" outlineLevel="1" x14ac:dyDescent="0.3">
      <c r="C336" s="283" t="str">
        <f>RES_BA!D185</f>
        <v>Other Direct Costs Category 17</v>
      </c>
      <c r="M336" s="279">
        <f>RES_BA!R185</f>
        <v>0</v>
      </c>
      <c r="O336" s="279">
        <f>RES_BA!S185</f>
        <v>0</v>
      </c>
      <c r="Q336" s="279">
        <f>RES_BA!T185</f>
        <v>0</v>
      </c>
      <c r="S336" s="279">
        <f>RES_BA!U185</f>
        <v>0</v>
      </c>
    </row>
    <row r="337" spans="3:19" s="277" customFormat="1" hidden="1" outlineLevel="1" x14ac:dyDescent="0.3">
      <c r="C337" s="283" t="str">
        <f>RES_BA!D186</f>
        <v>Other Direct Costs Category 18</v>
      </c>
      <c r="M337" s="279">
        <f>RES_BA!R186</f>
        <v>0</v>
      </c>
      <c r="O337" s="279">
        <f>RES_BA!S186</f>
        <v>0</v>
      </c>
      <c r="Q337" s="279">
        <f>RES_BA!T186</f>
        <v>0</v>
      </c>
      <c r="S337" s="279">
        <f>RES_BA!U186</f>
        <v>0</v>
      </c>
    </row>
    <row r="338" spans="3:19" s="277" customFormat="1" hidden="1" outlineLevel="1" x14ac:dyDescent="0.3">
      <c r="C338" s="283" t="str">
        <f>RES_BA!D187</f>
        <v>Other Direct Costs Category 19</v>
      </c>
      <c r="M338" s="279">
        <f>RES_BA!R187</f>
        <v>0</v>
      </c>
      <c r="O338" s="279">
        <f>RES_BA!S187</f>
        <v>0</v>
      </c>
      <c r="Q338" s="279">
        <f>RES_BA!T187</f>
        <v>0</v>
      </c>
      <c r="S338" s="279">
        <f>RES_BA!U187</f>
        <v>0</v>
      </c>
    </row>
    <row r="339" spans="3:19" s="277" customFormat="1" hidden="1" outlineLevel="1" x14ac:dyDescent="0.3">
      <c r="C339" s="283" t="str">
        <f>RES_BA!D188</f>
        <v>Other Direct Costs Category 20</v>
      </c>
      <c r="M339" s="279">
        <f>RES_BA!R188</f>
        <v>0</v>
      </c>
      <c r="O339" s="279">
        <f>RES_BA!S188</f>
        <v>0</v>
      </c>
      <c r="Q339" s="279">
        <f>RES_BA!T188</f>
        <v>0</v>
      </c>
      <c r="S339" s="279">
        <f>RES_BA!U188</f>
        <v>0</v>
      </c>
    </row>
    <row r="340" spans="3:19" s="277" customFormat="1" hidden="1" outlineLevel="1" x14ac:dyDescent="0.3">
      <c r="C340" s="283" t="str">
        <f>RES_BA!D189</f>
        <v>Other Direct Costs Category 21</v>
      </c>
      <c r="M340" s="279">
        <f>RES_BA!R189</f>
        <v>0</v>
      </c>
      <c r="O340" s="279">
        <f>RES_BA!S189</f>
        <v>0</v>
      </c>
      <c r="Q340" s="279">
        <f>RES_BA!T189</f>
        <v>0</v>
      </c>
      <c r="S340" s="279">
        <f>RES_BA!U189</f>
        <v>0</v>
      </c>
    </row>
    <row r="341" spans="3:19" s="277" customFormat="1" hidden="1" outlineLevel="1" x14ac:dyDescent="0.3">
      <c r="C341" s="283" t="str">
        <f>RES_BA!D190</f>
        <v>Other Direct Costs Category 22</v>
      </c>
      <c r="M341" s="279">
        <f>RES_BA!R190</f>
        <v>0</v>
      </c>
      <c r="O341" s="279">
        <f>RES_BA!S190</f>
        <v>0</v>
      </c>
      <c r="Q341" s="279">
        <f>RES_BA!T190</f>
        <v>0</v>
      </c>
      <c r="S341" s="279">
        <f>RES_BA!U190</f>
        <v>0</v>
      </c>
    </row>
    <row r="342" spans="3:19" s="277" customFormat="1" hidden="1" outlineLevel="1" x14ac:dyDescent="0.3">
      <c r="C342" s="283" t="str">
        <f>RES_BA!D191</f>
        <v>Other Direct Costs Category 23</v>
      </c>
      <c r="M342" s="279">
        <f>RES_BA!R191</f>
        <v>0</v>
      </c>
      <c r="O342" s="279">
        <f>RES_BA!S191</f>
        <v>0</v>
      </c>
      <c r="Q342" s="279">
        <f>RES_BA!T191</f>
        <v>0</v>
      </c>
      <c r="S342" s="279">
        <f>RES_BA!U191</f>
        <v>0</v>
      </c>
    </row>
    <row r="343" spans="3:19" s="277" customFormat="1" hidden="1" outlineLevel="1" collapsed="1" x14ac:dyDescent="0.3">
      <c r="C343" s="283" t="str">
        <f>RES_BA!D192</f>
        <v>Other Direct Costs Category 24</v>
      </c>
      <c r="M343" s="279">
        <f>RES_BA!R192</f>
        <v>0</v>
      </c>
      <c r="O343" s="279">
        <f>RES_BA!S192</f>
        <v>0</v>
      </c>
      <c r="Q343" s="279">
        <f>RES_BA!T192</f>
        <v>0</v>
      </c>
      <c r="S343" s="279">
        <f>RES_BA!U192</f>
        <v>0</v>
      </c>
    </row>
    <row r="344" spans="3:19" s="277" customFormat="1" hidden="1" outlineLevel="1" x14ac:dyDescent="0.3">
      <c r="C344" s="283" t="str">
        <f>RES_BA!D193</f>
        <v>Other Direct Costs Category 25</v>
      </c>
      <c r="M344" s="279">
        <f>RES_BA!R193</f>
        <v>0</v>
      </c>
      <c r="O344" s="279">
        <f>RES_BA!S193</f>
        <v>0</v>
      </c>
      <c r="Q344" s="279">
        <f>RES_BA!T193</f>
        <v>0</v>
      </c>
      <c r="S344" s="279">
        <f>RES_BA!U193</f>
        <v>0</v>
      </c>
    </row>
    <row r="345" spans="3:19" s="277" customFormat="1" hidden="1" outlineLevel="1" x14ac:dyDescent="0.3">
      <c r="C345" s="283" t="str">
        <f>RES_BA!D194</f>
        <v>Other Direct Costs Category 26</v>
      </c>
      <c r="M345" s="279">
        <f>RES_BA!R194</f>
        <v>0</v>
      </c>
      <c r="O345" s="279">
        <f>RES_BA!S194</f>
        <v>0</v>
      </c>
      <c r="Q345" s="279">
        <f>RES_BA!T194</f>
        <v>0</v>
      </c>
      <c r="S345" s="279">
        <f>RES_BA!U194</f>
        <v>0</v>
      </c>
    </row>
    <row r="346" spans="3:19" s="277" customFormat="1" hidden="1" outlineLevel="1" x14ac:dyDescent="0.3">
      <c r="C346" s="283" t="str">
        <f>RES_BA!D195</f>
        <v>Other Direct Costs Category 27</v>
      </c>
      <c r="M346" s="279">
        <f>RES_BA!R195</f>
        <v>0</v>
      </c>
      <c r="O346" s="279">
        <f>RES_BA!S195</f>
        <v>0</v>
      </c>
      <c r="Q346" s="279">
        <f>RES_BA!T195</f>
        <v>0</v>
      </c>
      <c r="S346" s="279">
        <f>RES_BA!U195</f>
        <v>0</v>
      </c>
    </row>
    <row r="347" spans="3:19" s="277" customFormat="1" hidden="1" outlineLevel="1" x14ac:dyDescent="0.3">
      <c r="C347" s="283" t="str">
        <f>RES_BA!D196</f>
        <v>Other Direct Costs Category 28</v>
      </c>
      <c r="M347" s="279">
        <f>RES_BA!R196</f>
        <v>0</v>
      </c>
      <c r="O347" s="279">
        <f>RES_BA!S196</f>
        <v>0</v>
      </c>
      <c r="Q347" s="279">
        <f>RES_BA!T196</f>
        <v>0</v>
      </c>
      <c r="S347" s="279">
        <f>RES_BA!U196</f>
        <v>0</v>
      </c>
    </row>
    <row r="348" spans="3:19" s="277" customFormat="1" hidden="1" outlineLevel="1" x14ac:dyDescent="0.3">
      <c r="C348" s="283" t="str">
        <f>RES_BA!D197</f>
        <v>Other Direct Costs Category 29</v>
      </c>
      <c r="M348" s="279">
        <f>RES_BA!R197</f>
        <v>0</v>
      </c>
      <c r="O348" s="279">
        <f>RES_BA!S197</f>
        <v>0</v>
      </c>
      <c r="Q348" s="279">
        <f>RES_BA!T197</f>
        <v>0</v>
      </c>
      <c r="S348" s="279">
        <f>RES_BA!U197</f>
        <v>0</v>
      </c>
    </row>
    <row r="349" spans="3:19" s="277" customFormat="1" hidden="1" outlineLevel="1" x14ac:dyDescent="0.3">
      <c r="C349" s="283" t="str">
        <f>RES_BA!D198</f>
        <v>Other Direct Costs Category 30</v>
      </c>
      <c r="M349" s="279">
        <f>RES_BA!R198</f>
        <v>0</v>
      </c>
      <c r="O349" s="279">
        <f>RES_BA!S198</f>
        <v>0</v>
      </c>
      <c r="Q349" s="279">
        <f>RES_BA!T198</f>
        <v>0</v>
      </c>
      <c r="S349" s="279">
        <f>RES_BA!U198</f>
        <v>0</v>
      </c>
    </row>
    <row r="350" spans="3:19" s="277" customFormat="1" hidden="1" outlineLevel="1" x14ac:dyDescent="0.3">
      <c r="C350" s="283" t="str">
        <f>RES_BA!D199</f>
        <v>Other Direct Costs Category 31</v>
      </c>
      <c r="M350" s="279">
        <f>RES_BA!R199</f>
        <v>0</v>
      </c>
      <c r="O350" s="279">
        <f>RES_BA!S199</f>
        <v>0</v>
      </c>
      <c r="Q350" s="279">
        <f>RES_BA!T199</f>
        <v>0</v>
      </c>
      <c r="S350" s="279">
        <f>RES_BA!U199</f>
        <v>0</v>
      </c>
    </row>
    <row r="351" spans="3:19" s="277" customFormat="1" hidden="1" outlineLevel="1" x14ac:dyDescent="0.3">
      <c r="C351" s="283" t="str">
        <f>RES_BA!D200</f>
        <v>Other Direct Costs Category 32</v>
      </c>
      <c r="M351" s="279">
        <f>RES_BA!R200</f>
        <v>0</v>
      </c>
      <c r="O351" s="279">
        <f>RES_BA!S200</f>
        <v>0</v>
      </c>
      <c r="Q351" s="279">
        <f>RES_BA!T200</f>
        <v>0</v>
      </c>
      <c r="S351" s="279">
        <f>RES_BA!U200</f>
        <v>0</v>
      </c>
    </row>
    <row r="352" spans="3:19" s="277" customFormat="1" hidden="1" outlineLevel="1" x14ac:dyDescent="0.3">
      <c r="C352" s="283" t="str">
        <f>RES_BA!D201</f>
        <v>Other Direct Costs Category 33</v>
      </c>
      <c r="M352" s="279">
        <f>RES_BA!R201</f>
        <v>0</v>
      </c>
      <c r="O352" s="279">
        <f>RES_BA!S201</f>
        <v>0</v>
      </c>
      <c r="Q352" s="279">
        <f>RES_BA!T201</f>
        <v>0</v>
      </c>
      <c r="S352" s="279">
        <f>RES_BA!U201</f>
        <v>0</v>
      </c>
    </row>
    <row r="353" spans="2:24" s="277" customFormat="1" hidden="1" outlineLevel="1" x14ac:dyDescent="0.3">
      <c r="C353" s="283" t="str">
        <f>RES_BA!D202</f>
        <v>Other Direct Costs Category 34</v>
      </c>
      <c r="M353" s="279">
        <f>RES_BA!R202</f>
        <v>0</v>
      </c>
      <c r="O353" s="279">
        <f>RES_BA!S202</f>
        <v>0</v>
      </c>
      <c r="Q353" s="279">
        <f>RES_BA!T202</f>
        <v>0</v>
      </c>
      <c r="S353" s="279">
        <f>RES_BA!U202</f>
        <v>0</v>
      </c>
    </row>
    <row r="354" spans="2:24" s="277" customFormat="1" hidden="1" outlineLevel="1" x14ac:dyDescent="0.3">
      <c r="C354" s="283" t="str">
        <f>RES_BA!D203</f>
        <v>Other Direct Costs Category 35</v>
      </c>
      <c r="M354" s="279">
        <f>RES_BA!R203</f>
        <v>0</v>
      </c>
      <c r="O354" s="279">
        <f>RES_BA!S203</f>
        <v>0</v>
      </c>
      <c r="Q354" s="279">
        <f>RES_BA!T203</f>
        <v>0</v>
      </c>
      <c r="S354" s="279">
        <f>RES_BA!U203</f>
        <v>0</v>
      </c>
    </row>
    <row r="355" spans="2:24" collapsed="1" x14ac:dyDescent="0.3"/>
    <row r="357" spans="2:24" ht="18" x14ac:dyDescent="0.3">
      <c r="B357" s="31" t="str">
        <f>I358</f>
        <v>Training Activity #2 [not in use]</v>
      </c>
    </row>
    <row r="358" spans="2:24" x14ac:dyDescent="0.3">
      <c r="G358" s="41" t="s">
        <v>119</v>
      </c>
      <c r="I358" s="356" t="s">
        <v>994</v>
      </c>
      <c r="J358" s="356"/>
      <c r="K358" s="356"/>
      <c r="L358" s="356"/>
      <c r="M358" s="356"/>
      <c r="N358" s="356"/>
      <c r="O358" s="356"/>
      <c r="P358" s="356"/>
      <c r="Q358" s="356"/>
    </row>
    <row r="359" spans="2:24" ht="10.5" customHeight="1" x14ac:dyDescent="0.3">
      <c r="G359" s="41" t="s">
        <v>644</v>
      </c>
      <c r="I359" s="32">
        <v>2</v>
      </c>
    </row>
    <row r="360" spans="2:24" ht="15.6" hidden="1" x14ac:dyDescent="0.3">
      <c r="C360" s="92" t="s">
        <v>77</v>
      </c>
      <c r="M360" s="40" t="str">
        <f>IF(DD_ACT_18_Meet1_Curr=1,$D$513,$D$514)</f>
        <v>GOZ</v>
      </c>
      <c r="O360" s="40" t="str">
        <f>IF(DD_ACT_18_Meet1_Curr=1,$D$513,$D$514)</f>
        <v>GOZ</v>
      </c>
      <c r="Q360" s="40" t="str">
        <f>IF(DD_ACT_18_Meet1_Curr=1,$D$513,$D$514)</f>
        <v>GOZ</v>
      </c>
      <c r="S360" s="40" t="str">
        <f>IF(DD_ACT_18_Meet1_Curr=1,$D$513,$D$514)</f>
        <v>GOZ</v>
      </c>
    </row>
    <row r="361" spans="2:24" ht="27.6" x14ac:dyDescent="0.3">
      <c r="D361" s="90" t="s">
        <v>77</v>
      </c>
      <c r="I361" s="88" t="s">
        <v>80</v>
      </c>
      <c r="K361" s="91" t="s">
        <v>187</v>
      </c>
      <c r="M361" s="42" t="s">
        <v>103</v>
      </c>
      <c r="O361" s="42" t="s">
        <v>104</v>
      </c>
      <c r="Q361" s="42" t="s">
        <v>105</v>
      </c>
      <c r="S361" s="42" t="s">
        <v>106</v>
      </c>
      <c r="U361" s="350" t="s">
        <v>185</v>
      </c>
      <c r="V361" s="351"/>
      <c r="W361" s="351"/>
      <c r="X361" s="351"/>
    </row>
    <row r="362" spans="2:24" x14ac:dyDescent="0.3">
      <c r="D362" s="356" t="s">
        <v>188</v>
      </c>
      <c r="E362" s="356"/>
      <c r="F362" s="356"/>
      <c r="G362" s="356"/>
      <c r="I362" s="48">
        <v>0</v>
      </c>
      <c r="K362" s="86">
        <v>0</v>
      </c>
      <c r="M362" s="40">
        <f t="shared" ref="M362:M386" si="20">IFERROR(IF(DD_ACT_18_Meet1_Curr=1,INDEX($M$519:$M$553,MATCH(D362,LU_ACT_18_Pers_Res,0)),INDEX($Q$519:$Q$553,MATCH(D362,LU_ACT_18_Pers_Res,0))),0)</f>
        <v>0</v>
      </c>
      <c r="O362" s="40">
        <f t="shared" ref="O362:O386" si="21">IFERROR(IF(DD_ACT_18_Meet1_Curr=1,INDEX($O$519:$O$553,MATCH(D362,LU_ACT_18_Pers_Res,0)),INDEX($S$519:$S$553,MATCH(D362,LU_ACT_18_Pers_Res,0))),0)</f>
        <v>0</v>
      </c>
      <c r="Q362" s="293">
        <f t="shared" ref="Q362:Q386" si="22">I362*K362*M362</f>
        <v>0</v>
      </c>
      <c r="S362" s="293">
        <f t="shared" ref="S362:S386" si="23">I362*K362*O362</f>
        <v>0</v>
      </c>
      <c r="U362" s="356"/>
      <c r="V362" s="356"/>
      <c r="W362" s="356"/>
      <c r="X362" s="356"/>
    </row>
    <row r="363" spans="2:24" x14ac:dyDescent="0.3">
      <c r="D363" s="356" t="s">
        <v>189</v>
      </c>
      <c r="E363" s="356"/>
      <c r="F363" s="356"/>
      <c r="G363" s="356"/>
      <c r="I363" s="48">
        <v>0</v>
      </c>
      <c r="K363" s="86">
        <v>0</v>
      </c>
      <c r="M363" s="40">
        <f t="shared" si="20"/>
        <v>0</v>
      </c>
      <c r="O363" s="40">
        <f t="shared" si="21"/>
        <v>0</v>
      </c>
      <c r="Q363" s="293">
        <f t="shared" si="22"/>
        <v>0</v>
      </c>
      <c r="S363" s="293">
        <f t="shared" si="23"/>
        <v>0</v>
      </c>
      <c r="U363" s="356"/>
      <c r="V363" s="356"/>
      <c r="W363" s="356"/>
      <c r="X363" s="356"/>
    </row>
    <row r="364" spans="2:24" x14ac:dyDescent="0.3">
      <c r="D364" s="356" t="s">
        <v>190</v>
      </c>
      <c r="E364" s="356"/>
      <c r="F364" s="356"/>
      <c r="G364" s="356"/>
      <c r="I364" s="48">
        <v>0</v>
      </c>
      <c r="K364" s="86">
        <v>0</v>
      </c>
      <c r="M364" s="40">
        <f t="shared" si="20"/>
        <v>0</v>
      </c>
      <c r="O364" s="40">
        <f t="shared" si="21"/>
        <v>0</v>
      </c>
      <c r="Q364" s="293">
        <f t="shared" si="22"/>
        <v>0</v>
      </c>
      <c r="S364" s="293">
        <f t="shared" si="23"/>
        <v>0</v>
      </c>
      <c r="U364" s="356"/>
      <c r="V364" s="356"/>
      <c r="W364" s="356"/>
      <c r="X364" s="356"/>
    </row>
    <row r="365" spans="2:24" x14ac:dyDescent="0.3">
      <c r="D365" s="356" t="s">
        <v>191</v>
      </c>
      <c r="E365" s="356"/>
      <c r="F365" s="356"/>
      <c r="G365" s="356"/>
      <c r="I365" s="48">
        <v>0</v>
      </c>
      <c r="K365" s="86">
        <v>0</v>
      </c>
      <c r="M365" s="40">
        <f t="shared" si="20"/>
        <v>0</v>
      </c>
      <c r="O365" s="40">
        <f t="shared" si="21"/>
        <v>0</v>
      </c>
      <c r="Q365" s="293">
        <f t="shared" si="22"/>
        <v>0</v>
      </c>
      <c r="S365" s="293">
        <f t="shared" si="23"/>
        <v>0</v>
      </c>
      <c r="U365" s="356"/>
      <c r="V365" s="356"/>
      <c r="W365" s="356"/>
      <c r="X365" s="356"/>
    </row>
    <row r="366" spans="2:24" x14ac:dyDescent="0.3">
      <c r="D366" s="356" t="s">
        <v>192</v>
      </c>
      <c r="E366" s="356"/>
      <c r="F366" s="356"/>
      <c r="G366" s="356"/>
      <c r="I366" s="48">
        <v>0</v>
      </c>
      <c r="K366" s="86">
        <v>0</v>
      </c>
      <c r="M366" s="40">
        <f t="shared" si="20"/>
        <v>0</v>
      </c>
      <c r="O366" s="40">
        <f t="shared" si="21"/>
        <v>0</v>
      </c>
      <c r="Q366" s="293">
        <f t="shared" si="22"/>
        <v>0</v>
      </c>
      <c r="S366" s="293">
        <f t="shared" si="23"/>
        <v>0</v>
      </c>
      <c r="U366" s="356"/>
      <c r="V366" s="356"/>
      <c r="W366" s="356"/>
      <c r="X366" s="356"/>
    </row>
    <row r="367" spans="2:24" x14ac:dyDescent="0.3">
      <c r="D367" s="356" t="s">
        <v>193</v>
      </c>
      <c r="E367" s="356"/>
      <c r="F367" s="356"/>
      <c r="G367" s="356"/>
      <c r="I367" s="48">
        <v>0</v>
      </c>
      <c r="K367" s="86">
        <v>0</v>
      </c>
      <c r="M367" s="40">
        <f t="shared" si="20"/>
        <v>0</v>
      </c>
      <c r="O367" s="40">
        <f t="shared" si="21"/>
        <v>0</v>
      </c>
      <c r="Q367" s="293">
        <f t="shared" si="22"/>
        <v>0</v>
      </c>
      <c r="S367" s="293">
        <f t="shared" si="23"/>
        <v>0</v>
      </c>
      <c r="U367" s="356"/>
      <c r="V367" s="356"/>
      <c r="W367" s="356"/>
      <c r="X367" s="356"/>
    </row>
    <row r="368" spans="2:24" x14ac:dyDescent="0.3">
      <c r="D368" s="356" t="s">
        <v>120</v>
      </c>
      <c r="E368" s="356"/>
      <c r="F368" s="356"/>
      <c r="G368" s="356"/>
      <c r="I368" s="48">
        <v>0</v>
      </c>
      <c r="K368" s="86">
        <v>0</v>
      </c>
      <c r="M368" s="40">
        <f t="shared" si="20"/>
        <v>0</v>
      </c>
      <c r="O368" s="40">
        <f t="shared" si="21"/>
        <v>0</v>
      </c>
      <c r="Q368" s="293">
        <f t="shared" si="22"/>
        <v>0</v>
      </c>
      <c r="S368" s="293">
        <f t="shared" si="23"/>
        <v>0</v>
      </c>
      <c r="U368" s="356"/>
      <c r="V368" s="356"/>
      <c r="W368" s="356"/>
      <c r="X368" s="356"/>
    </row>
    <row r="369" spans="4:24" x14ac:dyDescent="0.3">
      <c r="D369" s="356" t="s">
        <v>121</v>
      </c>
      <c r="E369" s="356"/>
      <c r="F369" s="356"/>
      <c r="G369" s="356"/>
      <c r="I369" s="48">
        <v>0</v>
      </c>
      <c r="K369" s="86">
        <v>0</v>
      </c>
      <c r="M369" s="40">
        <f t="shared" si="20"/>
        <v>0</v>
      </c>
      <c r="O369" s="40">
        <f t="shared" si="21"/>
        <v>0</v>
      </c>
      <c r="Q369" s="293">
        <f t="shared" si="22"/>
        <v>0</v>
      </c>
      <c r="S369" s="293">
        <f t="shared" si="23"/>
        <v>0</v>
      </c>
      <c r="U369" s="356"/>
      <c r="V369" s="356"/>
      <c r="W369" s="356"/>
      <c r="X369" s="356"/>
    </row>
    <row r="370" spans="4:24" s="277" customFormat="1" x14ac:dyDescent="0.3">
      <c r="D370" s="356" t="s">
        <v>830</v>
      </c>
      <c r="E370" s="356"/>
      <c r="F370" s="356"/>
      <c r="G370" s="356"/>
      <c r="I370" s="48">
        <v>0</v>
      </c>
      <c r="K370" s="86">
        <v>0</v>
      </c>
      <c r="M370" s="279">
        <f t="shared" si="20"/>
        <v>0</v>
      </c>
      <c r="O370" s="279">
        <f t="shared" si="21"/>
        <v>0</v>
      </c>
      <c r="Q370" s="293">
        <f t="shared" si="22"/>
        <v>0</v>
      </c>
      <c r="S370" s="293">
        <f t="shared" si="23"/>
        <v>0</v>
      </c>
      <c r="U370" s="385"/>
      <c r="V370" s="385"/>
      <c r="W370" s="385"/>
      <c r="X370" s="385"/>
    </row>
    <row r="371" spans="4:24" s="277" customFormat="1" x14ac:dyDescent="0.3">
      <c r="D371" s="356" t="s">
        <v>831</v>
      </c>
      <c r="E371" s="356"/>
      <c r="F371" s="356"/>
      <c r="G371" s="356"/>
      <c r="I371" s="48">
        <v>0</v>
      </c>
      <c r="K371" s="86">
        <v>0</v>
      </c>
      <c r="M371" s="279">
        <f t="shared" si="20"/>
        <v>0</v>
      </c>
      <c r="O371" s="279">
        <f t="shared" si="21"/>
        <v>0</v>
      </c>
      <c r="Q371" s="293">
        <f t="shared" si="22"/>
        <v>0</v>
      </c>
      <c r="S371" s="293">
        <f t="shared" si="23"/>
        <v>0</v>
      </c>
      <c r="U371" s="385"/>
      <c r="V371" s="385"/>
      <c r="W371" s="385"/>
      <c r="X371" s="385"/>
    </row>
    <row r="372" spans="4:24" s="277" customFormat="1" x14ac:dyDescent="0.3">
      <c r="D372" s="356" t="s">
        <v>832</v>
      </c>
      <c r="E372" s="356"/>
      <c r="F372" s="356"/>
      <c r="G372" s="356"/>
      <c r="I372" s="48">
        <v>0</v>
      </c>
      <c r="K372" s="86">
        <v>0</v>
      </c>
      <c r="M372" s="279">
        <f t="shared" si="20"/>
        <v>0</v>
      </c>
      <c r="O372" s="279">
        <f t="shared" si="21"/>
        <v>0</v>
      </c>
      <c r="Q372" s="293">
        <f t="shared" si="22"/>
        <v>0</v>
      </c>
      <c r="S372" s="293">
        <f t="shared" si="23"/>
        <v>0</v>
      </c>
      <c r="U372" s="385"/>
      <c r="V372" s="385"/>
      <c r="W372" s="385"/>
      <c r="X372" s="385"/>
    </row>
    <row r="373" spans="4:24" s="277" customFormat="1" x14ac:dyDescent="0.3">
      <c r="D373" s="356" t="s">
        <v>833</v>
      </c>
      <c r="E373" s="356"/>
      <c r="F373" s="356"/>
      <c r="G373" s="356"/>
      <c r="I373" s="48">
        <v>0</v>
      </c>
      <c r="K373" s="86">
        <v>0</v>
      </c>
      <c r="M373" s="279">
        <f t="shared" si="20"/>
        <v>0</v>
      </c>
      <c r="O373" s="279">
        <f t="shared" si="21"/>
        <v>0</v>
      </c>
      <c r="Q373" s="293">
        <f t="shared" si="22"/>
        <v>0</v>
      </c>
      <c r="S373" s="293">
        <f t="shared" si="23"/>
        <v>0</v>
      </c>
      <c r="U373" s="385"/>
      <c r="V373" s="385"/>
      <c r="W373" s="385"/>
      <c r="X373" s="385"/>
    </row>
    <row r="374" spans="4:24" s="277" customFormat="1" x14ac:dyDescent="0.3">
      <c r="D374" s="356" t="s">
        <v>834</v>
      </c>
      <c r="E374" s="356"/>
      <c r="F374" s="356"/>
      <c r="G374" s="356"/>
      <c r="I374" s="48">
        <v>0</v>
      </c>
      <c r="K374" s="86">
        <v>0</v>
      </c>
      <c r="M374" s="279">
        <f t="shared" si="20"/>
        <v>0</v>
      </c>
      <c r="O374" s="279">
        <f t="shared" si="21"/>
        <v>0</v>
      </c>
      <c r="Q374" s="293">
        <f t="shared" si="22"/>
        <v>0</v>
      </c>
      <c r="S374" s="293">
        <f t="shared" si="23"/>
        <v>0</v>
      </c>
      <c r="U374" s="385"/>
      <c r="V374" s="385"/>
      <c r="W374" s="385"/>
      <c r="X374" s="385"/>
    </row>
    <row r="375" spans="4:24" s="277" customFormat="1" x14ac:dyDescent="0.3">
      <c r="D375" s="356" t="s">
        <v>835</v>
      </c>
      <c r="E375" s="356"/>
      <c r="F375" s="356"/>
      <c r="G375" s="356"/>
      <c r="I375" s="48">
        <v>0</v>
      </c>
      <c r="K375" s="86">
        <v>0</v>
      </c>
      <c r="M375" s="279">
        <f t="shared" si="20"/>
        <v>0</v>
      </c>
      <c r="O375" s="279">
        <f t="shared" si="21"/>
        <v>0</v>
      </c>
      <c r="Q375" s="293">
        <f t="shared" si="22"/>
        <v>0</v>
      </c>
      <c r="S375" s="293">
        <f t="shared" si="23"/>
        <v>0</v>
      </c>
      <c r="U375" s="385"/>
      <c r="V375" s="385"/>
      <c r="W375" s="385"/>
      <c r="X375" s="385"/>
    </row>
    <row r="376" spans="4:24" s="277" customFormat="1" x14ac:dyDescent="0.3">
      <c r="D376" s="356" t="s">
        <v>836</v>
      </c>
      <c r="E376" s="356"/>
      <c r="F376" s="356"/>
      <c r="G376" s="356"/>
      <c r="I376" s="48">
        <v>0</v>
      </c>
      <c r="K376" s="86">
        <v>0</v>
      </c>
      <c r="M376" s="279">
        <f t="shared" si="20"/>
        <v>0</v>
      </c>
      <c r="O376" s="279">
        <f t="shared" si="21"/>
        <v>0</v>
      </c>
      <c r="Q376" s="293">
        <f t="shared" si="22"/>
        <v>0</v>
      </c>
      <c r="S376" s="293">
        <f t="shared" si="23"/>
        <v>0</v>
      </c>
      <c r="U376" s="385"/>
      <c r="V376" s="385"/>
      <c r="W376" s="385"/>
      <c r="X376" s="385"/>
    </row>
    <row r="377" spans="4:24" s="277" customFormat="1" x14ac:dyDescent="0.3">
      <c r="D377" s="356" t="s">
        <v>837</v>
      </c>
      <c r="E377" s="356"/>
      <c r="F377" s="356"/>
      <c r="G377" s="356"/>
      <c r="I377" s="48">
        <v>0</v>
      </c>
      <c r="K377" s="86">
        <v>0</v>
      </c>
      <c r="M377" s="279">
        <f t="shared" si="20"/>
        <v>0</v>
      </c>
      <c r="O377" s="279">
        <f t="shared" si="21"/>
        <v>0</v>
      </c>
      <c r="Q377" s="293">
        <f t="shared" si="22"/>
        <v>0</v>
      </c>
      <c r="S377" s="293">
        <f t="shared" si="23"/>
        <v>0</v>
      </c>
      <c r="U377" s="385"/>
      <c r="V377" s="385"/>
      <c r="W377" s="385"/>
      <c r="X377" s="385"/>
    </row>
    <row r="378" spans="4:24" s="277" customFormat="1" x14ac:dyDescent="0.3">
      <c r="D378" s="356" t="s">
        <v>846</v>
      </c>
      <c r="E378" s="356"/>
      <c r="F378" s="356"/>
      <c r="G378" s="356"/>
      <c r="I378" s="48">
        <v>0</v>
      </c>
      <c r="K378" s="86">
        <v>0</v>
      </c>
      <c r="M378" s="279">
        <f t="shared" si="20"/>
        <v>0</v>
      </c>
      <c r="O378" s="279">
        <f t="shared" si="21"/>
        <v>0</v>
      </c>
      <c r="Q378" s="293">
        <f t="shared" si="22"/>
        <v>0</v>
      </c>
      <c r="S378" s="293">
        <f t="shared" si="23"/>
        <v>0</v>
      </c>
      <c r="U378" s="385"/>
      <c r="V378" s="385"/>
      <c r="W378" s="385"/>
      <c r="X378" s="385"/>
    </row>
    <row r="379" spans="4:24" s="277" customFormat="1" x14ac:dyDescent="0.3">
      <c r="D379" s="356" t="s">
        <v>847</v>
      </c>
      <c r="E379" s="356"/>
      <c r="F379" s="356"/>
      <c r="G379" s="356"/>
      <c r="I379" s="48">
        <v>0</v>
      </c>
      <c r="K379" s="86">
        <v>0</v>
      </c>
      <c r="M379" s="279">
        <f t="shared" si="20"/>
        <v>0</v>
      </c>
      <c r="O379" s="279">
        <f t="shared" si="21"/>
        <v>0</v>
      </c>
      <c r="Q379" s="293">
        <f t="shared" si="22"/>
        <v>0</v>
      </c>
      <c r="S379" s="293">
        <f t="shared" si="23"/>
        <v>0</v>
      </c>
      <c r="U379" s="385"/>
      <c r="V379" s="385"/>
      <c r="W379" s="385"/>
      <c r="X379" s="385"/>
    </row>
    <row r="380" spans="4:24" s="277" customFormat="1" x14ac:dyDescent="0.3">
      <c r="D380" s="356" t="s">
        <v>848</v>
      </c>
      <c r="E380" s="356"/>
      <c r="F380" s="356"/>
      <c r="G380" s="356"/>
      <c r="I380" s="48">
        <v>0</v>
      </c>
      <c r="K380" s="86">
        <v>0</v>
      </c>
      <c r="M380" s="279">
        <f t="shared" si="20"/>
        <v>0</v>
      </c>
      <c r="O380" s="279">
        <f t="shared" si="21"/>
        <v>0</v>
      </c>
      <c r="Q380" s="293">
        <f t="shared" si="22"/>
        <v>0</v>
      </c>
      <c r="S380" s="293">
        <f t="shared" si="23"/>
        <v>0</v>
      </c>
      <c r="U380" s="385"/>
      <c r="V380" s="385"/>
      <c r="W380" s="385"/>
      <c r="X380" s="385"/>
    </row>
    <row r="381" spans="4:24" s="277" customFormat="1" x14ac:dyDescent="0.3">
      <c r="D381" s="356" t="s">
        <v>849</v>
      </c>
      <c r="E381" s="356"/>
      <c r="F381" s="356"/>
      <c r="G381" s="356"/>
      <c r="I381" s="48">
        <v>0</v>
      </c>
      <c r="K381" s="86">
        <v>0</v>
      </c>
      <c r="M381" s="279">
        <f t="shared" si="20"/>
        <v>0</v>
      </c>
      <c r="O381" s="279">
        <f t="shared" si="21"/>
        <v>0</v>
      </c>
      <c r="Q381" s="293">
        <f t="shared" si="22"/>
        <v>0</v>
      </c>
      <c r="S381" s="293">
        <f t="shared" si="23"/>
        <v>0</v>
      </c>
      <c r="U381" s="385"/>
      <c r="V381" s="385"/>
      <c r="W381" s="385"/>
      <c r="X381" s="385"/>
    </row>
    <row r="382" spans="4:24" s="277" customFormat="1" x14ac:dyDescent="0.3">
      <c r="D382" s="356" t="s">
        <v>971</v>
      </c>
      <c r="E382" s="356"/>
      <c r="F382" s="356"/>
      <c r="G382" s="356"/>
      <c r="I382" s="48">
        <v>0</v>
      </c>
      <c r="K382" s="86">
        <v>0</v>
      </c>
      <c r="M382" s="279">
        <f t="shared" si="20"/>
        <v>0</v>
      </c>
      <c r="O382" s="279">
        <f t="shared" si="21"/>
        <v>0</v>
      </c>
      <c r="Q382" s="293">
        <f t="shared" si="22"/>
        <v>0</v>
      </c>
      <c r="S382" s="293">
        <f t="shared" si="23"/>
        <v>0</v>
      </c>
      <c r="U382" s="385"/>
      <c r="V382" s="385"/>
      <c r="W382" s="385"/>
      <c r="X382" s="385"/>
    </row>
    <row r="383" spans="4:24" s="277" customFormat="1" x14ac:dyDescent="0.3">
      <c r="D383" s="356" t="s">
        <v>973</v>
      </c>
      <c r="E383" s="356"/>
      <c r="F383" s="356"/>
      <c r="G383" s="356"/>
      <c r="I383" s="48">
        <v>0</v>
      </c>
      <c r="K383" s="86">
        <v>0</v>
      </c>
      <c r="M383" s="279">
        <f t="shared" si="20"/>
        <v>0</v>
      </c>
      <c r="O383" s="279">
        <f t="shared" si="21"/>
        <v>0</v>
      </c>
      <c r="Q383" s="293">
        <f t="shared" si="22"/>
        <v>0</v>
      </c>
      <c r="S383" s="293">
        <f t="shared" si="23"/>
        <v>0</v>
      </c>
      <c r="U383" s="385"/>
      <c r="V383" s="385"/>
      <c r="W383" s="385"/>
      <c r="X383" s="385"/>
    </row>
    <row r="384" spans="4:24" s="277" customFormat="1" x14ac:dyDescent="0.3">
      <c r="D384" s="356" t="s">
        <v>974</v>
      </c>
      <c r="E384" s="356"/>
      <c r="F384" s="356"/>
      <c r="G384" s="356"/>
      <c r="I384" s="48">
        <v>0</v>
      </c>
      <c r="K384" s="86">
        <v>0</v>
      </c>
      <c r="M384" s="279">
        <f t="shared" si="20"/>
        <v>0</v>
      </c>
      <c r="O384" s="279">
        <f t="shared" si="21"/>
        <v>0</v>
      </c>
      <c r="Q384" s="293">
        <f t="shared" si="22"/>
        <v>0</v>
      </c>
      <c r="S384" s="293">
        <f t="shared" si="23"/>
        <v>0</v>
      </c>
      <c r="U384" s="385"/>
      <c r="V384" s="385"/>
      <c r="W384" s="385"/>
      <c r="X384" s="385"/>
    </row>
    <row r="385" spans="3:24" s="277" customFormat="1" x14ac:dyDescent="0.3">
      <c r="D385" s="356" t="s">
        <v>975</v>
      </c>
      <c r="E385" s="356"/>
      <c r="F385" s="356"/>
      <c r="G385" s="356"/>
      <c r="I385" s="48">
        <v>0</v>
      </c>
      <c r="K385" s="86">
        <v>0</v>
      </c>
      <c r="M385" s="279">
        <f t="shared" si="20"/>
        <v>0</v>
      </c>
      <c r="O385" s="279">
        <f t="shared" si="21"/>
        <v>0</v>
      </c>
      <c r="Q385" s="293">
        <f t="shared" si="22"/>
        <v>0</v>
      </c>
      <c r="S385" s="293">
        <f t="shared" si="23"/>
        <v>0</v>
      </c>
      <c r="U385" s="385"/>
      <c r="V385" s="385"/>
      <c r="W385" s="385"/>
      <c r="X385" s="385"/>
    </row>
    <row r="386" spans="3:24" s="277" customFormat="1" x14ac:dyDescent="0.3">
      <c r="D386" s="356" t="s">
        <v>976</v>
      </c>
      <c r="E386" s="356"/>
      <c r="F386" s="356"/>
      <c r="G386" s="356"/>
      <c r="I386" s="48">
        <v>0</v>
      </c>
      <c r="K386" s="86">
        <v>0</v>
      </c>
      <c r="M386" s="279">
        <f t="shared" si="20"/>
        <v>0</v>
      </c>
      <c r="O386" s="279">
        <f t="shared" si="21"/>
        <v>0</v>
      </c>
      <c r="Q386" s="293">
        <f t="shared" si="22"/>
        <v>0</v>
      </c>
      <c r="S386" s="293">
        <f t="shared" si="23"/>
        <v>0</v>
      </c>
      <c r="U386" s="385"/>
      <c r="V386" s="385"/>
      <c r="W386" s="385"/>
      <c r="X386" s="385"/>
    </row>
    <row r="387" spans="3:24" ht="14.4" x14ac:dyDescent="0.3">
      <c r="D387" s="420" t="s">
        <v>79</v>
      </c>
      <c r="E387" s="421"/>
      <c r="F387" s="421"/>
      <c r="G387" s="421"/>
      <c r="I387" s="43"/>
      <c r="K387" s="43"/>
      <c r="M387" s="43"/>
      <c r="O387" s="43"/>
      <c r="Q387" s="294">
        <f>SUM(Q362:Q386)</f>
        <v>0</v>
      </c>
      <c r="S387" s="294">
        <f>SUM(S362:S386)</f>
        <v>0</v>
      </c>
    </row>
    <row r="389" spans="3:24" ht="15.6" x14ac:dyDescent="0.3">
      <c r="C389" s="92" t="s">
        <v>164</v>
      </c>
    </row>
    <row r="390" spans="3:24" ht="27.6" x14ac:dyDescent="0.3">
      <c r="D390" s="90" t="s">
        <v>102</v>
      </c>
      <c r="I390" s="91" t="s">
        <v>80</v>
      </c>
      <c r="K390" s="91" t="s">
        <v>432</v>
      </c>
      <c r="M390" s="42" t="s">
        <v>103</v>
      </c>
      <c r="O390" s="42" t="s">
        <v>104</v>
      </c>
      <c r="Q390" s="42" t="s">
        <v>105</v>
      </c>
      <c r="S390" s="42" t="s">
        <v>106</v>
      </c>
      <c r="U390" s="350" t="s">
        <v>185</v>
      </c>
      <c r="V390" s="351"/>
      <c r="W390" s="351"/>
      <c r="X390" s="351"/>
    </row>
    <row r="391" spans="3:24" x14ac:dyDescent="0.3">
      <c r="D391" s="356" t="s">
        <v>109</v>
      </c>
      <c r="E391" s="356"/>
      <c r="F391" s="356"/>
      <c r="G391" s="356"/>
      <c r="I391" s="48">
        <v>0</v>
      </c>
      <c r="K391" s="48">
        <v>0</v>
      </c>
      <c r="M391" s="40">
        <f t="shared" ref="M391:M415" si="24">IFERROR(IF(DD_ACT_18_Meet1_Curr=1,INDEX($M$556:$M$590,MATCH(D391,LU_ACT_18_Allowances,0)),INDEX($Q$556:$Q$590,MATCH(D391,LU_ACT_18_Allowances,0))),0)</f>
        <v>0</v>
      </c>
      <c r="O391" s="40">
        <f t="shared" ref="O391:O415" si="25">IFERROR(IF(DD_ACT_18_Meet1_Curr=1,INDEX($O$556:$O$590,MATCH(D391,LU_ACT_18_Allowances,0)),INDEX($S$556:$S$590,MATCH(D391,LU_ACT_18_Allowances,0))),0)</f>
        <v>0</v>
      </c>
      <c r="Q391" s="293">
        <f t="shared" ref="Q391:Q415" si="26">I391*K391*M391</f>
        <v>0</v>
      </c>
      <c r="S391" s="293">
        <f t="shared" ref="S391:S415" si="27">I391*K391*O391</f>
        <v>0</v>
      </c>
      <c r="U391" s="356"/>
      <c r="V391" s="356"/>
      <c r="W391" s="356"/>
      <c r="X391" s="356"/>
    </row>
    <row r="392" spans="3:24" x14ac:dyDescent="0.3">
      <c r="D392" s="356" t="s">
        <v>110</v>
      </c>
      <c r="E392" s="356"/>
      <c r="F392" s="356"/>
      <c r="G392" s="356"/>
      <c r="I392" s="48">
        <v>0</v>
      </c>
      <c r="K392" s="48">
        <v>0</v>
      </c>
      <c r="M392" s="40">
        <f t="shared" si="24"/>
        <v>0</v>
      </c>
      <c r="O392" s="40">
        <f t="shared" si="25"/>
        <v>0</v>
      </c>
      <c r="Q392" s="293">
        <f t="shared" si="26"/>
        <v>0</v>
      </c>
      <c r="S392" s="293">
        <f t="shared" si="27"/>
        <v>0</v>
      </c>
      <c r="U392" s="356"/>
      <c r="V392" s="356"/>
      <c r="W392" s="356"/>
      <c r="X392" s="356"/>
    </row>
    <row r="393" spans="3:24" x14ac:dyDescent="0.3">
      <c r="D393" s="356" t="s">
        <v>111</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112</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113</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x14ac:dyDescent="0.3">
      <c r="D396" s="356" t="s">
        <v>114</v>
      </c>
      <c r="E396" s="356"/>
      <c r="F396" s="356"/>
      <c r="G396" s="356"/>
      <c r="I396" s="48">
        <v>0</v>
      </c>
      <c r="K396" s="48">
        <v>0</v>
      </c>
      <c r="M396" s="40">
        <f t="shared" si="24"/>
        <v>0</v>
      </c>
      <c r="O396" s="40">
        <f t="shared" si="25"/>
        <v>0</v>
      </c>
      <c r="Q396" s="293">
        <f t="shared" si="26"/>
        <v>0</v>
      </c>
      <c r="S396" s="293">
        <f t="shared" si="27"/>
        <v>0</v>
      </c>
      <c r="U396" s="356"/>
      <c r="V396" s="356"/>
      <c r="W396" s="356"/>
      <c r="X396" s="356"/>
    </row>
    <row r="397" spans="3:24" x14ac:dyDescent="0.3">
      <c r="D397" s="356" t="s">
        <v>115</v>
      </c>
      <c r="E397" s="356"/>
      <c r="F397" s="356"/>
      <c r="G397" s="356"/>
      <c r="I397" s="48">
        <v>0</v>
      </c>
      <c r="K397" s="48">
        <v>0</v>
      </c>
      <c r="M397" s="40">
        <f t="shared" si="24"/>
        <v>0</v>
      </c>
      <c r="O397" s="40">
        <f t="shared" si="25"/>
        <v>0</v>
      </c>
      <c r="Q397" s="293">
        <f t="shared" si="26"/>
        <v>0</v>
      </c>
      <c r="S397" s="293">
        <f t="shared" si="27"/>
        <v>0</v>
      </c>
      <c r="U397" s="356"/>
      <c r="V397" s="356"/>
      <c r="W397" s="356"/>
      <c r="X397" s="356"/>
    </row>
    <row r="398" spans="3:24" x14ac:dyDescent="0.3">
      <c r="D398" s="356" t="s">
        <v>116</v>
      </c>
      <c r="E398" s="356"/>
      <c r="F398" s="356"/>
      <c r="G398" s="356"/>
      <c r="I398" s="48">
        <v>0</v>
      </c>
      <c r="K398" s="48">
        <v>0</v>
      </c>
      <c r="M398" s="40">
        <f t="shared" si="24"/>
        <v>0</v>
      </c>
      <c r="O398" s="40">
        <f t="shared" si="25"/>
        <v>0</v>
      </c>
      <c r="Q398" s="293">
        <f t="shared" si="26"/>
        <v>0</v>
      </c>
      <c r="S398" s="293">
        <f t="shared" si="27"/>
        <v>0</v>
      </c>
      <c r="U398" s="356"/>
      <c r="V398" s="356"/>
      <c r="W398" s="356"/>
      <c r="X398" s="356"/>
    </row>
    <row r="399" spans="3:24" s="277" customFormat="1" x14ac:dyDescent="0.3">
      <c r="D399" s="356" t="s">
        <v>838</v>
      </c>
      <c r="E399" s="356"/>
      <c r="F399" s="356"/>
      <c r="G399" s="356"/>
      <c r="I399" s="48">
        <v>0</v>
      </c>
      <c r="K399" s="48">
        <v>0</v>
      </c>
      <c r="M399" s="279">
        <f t="shared" si="24"/>
        <v>0</v>
      </c>
      <c r="O399" s="279">
        <f t="shared" si="25"/>
        <v>0</v>
      </c>
      <c r="Q399" s="293">
        <f t="shared" si="26"/>
        <v>0</v>
      </c>
      <c r="S399" s="293">
        <f t="shared" si="27"/>
        <v>0</v>
      </c>
      <c r="U399" s="385"/>
      <c r="V399" s="385"/>
      <c r="W399" s="385"/>
      <c r="X399" s="385"/>
    </row>
    <row r="400" spans="3:24" s="277" customFormat="1" x14ac:dyDescent="0.3">
      <c r="D400" s="356" t="s">
        <v>839</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840</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841</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842</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843</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844</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845</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850</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851</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852</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853</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972</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977</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s="277" customFormat="1" x14ac:dyDescent="0.3">
      <c r="D413" s="356" t="s">
        <v>978</v>
      </c>
      <c r="E413" s="356"/>
      <c r="F413" s="356"/>
      <c r="G413" s="356"/>
      <c r="I413" s="48">
        <v>0</v>
      </c>
      <c r="K413" s="48">
        <v>0</v>
      </c>
      <c r="M413" s="279">
        <f t="shared" si="24"/>
        <v>0</v>
      </c>
      <c r="O413" s="279">
        <f t="shared" si="25"/>
        <v>0</v>
      </c>
      <c r="Q413" s="293">
        <f t="shared" si="26"/>
        <v>0</v>
      </c>
      <c r="S413" s="293">
        <f t="shared" si="27"/>
        <v>0</v>
      </c>
      <c r="U413" s="385"/>
      <c r="V413" s="385"/>
      <c r="W413" s="385"/>
      <c r="X413" s="385"/>
    </row>
    <row r="414" spans="4:24" s="277" customFormat="1" x14ac:dyDescent="0.3">
      <c r="D414" s="356" t="s">
        <v>979</v>
      </c>
      <c r="E414" s="356"/>
      <c r="F414" s="356"/>
      <c r="G414" s="356"/>
      <c r="I414" s="48">
        <v>0</v>
      </c>
      <c r="K414" s="48">
        <v>0</v>
      </c>
      <c r="M414" s="279">
        <f t="shared" si="24"/>
        <v>0</v>
      </c>
      <c r="O414" s="279">
        <f t="shared" si="25"/>
        <v>0</v>
      </c>
      <c r="Q414" s="293">
        <f t="shared" si="26"/>
        <v>0</v>
      </c>
      <c r="S414" s="293">
        <f t="shared" si="27"/>
        <v>0</v>
      </c>
      <c r="U414" s="385"/>
      <c r="V414" s="385"/>
      <c r="W414" s="385"/>
      <c r="X414" s="385"/>
    </row>
    <row r="415" spans="4:24" s="277" customFormat="1" x14ac:dyDescent="0.3">
      <c r="D415" s="356" t="s">
        <v>980</v>
      </c>
      <c r="E415" s="356"/>
      <c r="F415" s="356"/>
      <c r="G415" s="356"/>
      <c r="I415" s="48">
        <v>0</v>
      </c>
      <c r="K415" s="48">
        <v>0</v>
      </c>
      <c r="M415" s="279">
        <f t="shared" si="24"/>
        <v>0</v>
      </c>
      <c r="O415" s="279">
        <f t="shared" si="25"/>
        <v>0</v>
      </c>
      <c r="Q415" s="293">
        <f t="shared" si="26"/>
        <v>0</v>
      </c>
      <c r="S415" s="293">
        <f t="shared" si="27"/>
        <v>0</v>
      </c>
      <c r="U415" s="385"/>
      <c r="V415" s="385"/>
      <c r="W415" s="385"/>
      <c r="X415" s="385"/>
    </row>
    <row r="416" spans="4:24" ht="14.4" x14ac:dyDescent="0.3">
      <c r="D416" s="420" t="s">
        <v>82</v>
      </c>
      <c r="E416" s="421"/>
      <c r="F416" s="421"/>
      <c r="G416" s="421"/>
      <c r="I416" s="43"/>
      <c r="K416" s="43"/>
      <c r="M416" s="43"/>
      <c r="O416" s="43"/>
      <c r="Q416" s="294">
        <f>SUM(Q391:Q415)</f>
        <v>0</v>
      </c>
      <c r="S416" s="294">
        <f>SUM(S391:S415)</f>
        <v>0</v>
      </c>
    </row>
    <row r="420" spans="3:24" ht="15.6" x14ac:dyDescent="0.3">
      <c r="C420" s="92" t="s">
        <v>84</v>
      </c>
    </row>
    <row r="421" spans="3:24" ht="27.6" x14ac:dyDescent="0.3">
      <c r="D421" s="90" t="s">
        <v>102</v>
      </c>
      <c r="I421" s="91" t="s">
        <v>87</v>
      </c>
      <c r="K421" s="91" t="s">
        <v>432</v>
      </c>
      <c r="M421" s="42" t="s">
        <v>107</v>
      </c>
      <c r="O421" s="42" t="s">
        <v>108</v>
      </c>
      <c r="Q421" s="42" t="s">
        <v>105</v>
      </c>
      <c r="S421" s="42" t="s">
        <v>106</v>
      </c>
      <c r="U421" s="350" t="s">
        <v>185</v>
      </c>
      <c r="V421" s="351"/>
      <c r="W421" s="351"/>
      <c r="X421" s="351"/>
    </row>
    <row r="422" spans="3:24" x14ac:dyDescent="0.3">
      <c r="D422" s="356" t="s">
        <v>892</v>
      </c>
      <c r="E422" s="356"/>
      <c r="F422" s="356"/>
      <c r="G422" s="356"/>
      <c r="I422" s="48">
        <v>0</v>
      </c>
      <c r="K422" s="48">
        <v>0</v>
      </c>
      <c r="M422" s="40">
        <f t="shared" ref="M422:M446" si="28">IFERROR(IF(DD_ACT_18_Meet1_Curr=1,INDEX($M$594:$M$628,MATCH(D422,LU_ACT_18_Supplies,0)),INDEX($Q$594:$Q$628,MATCH(D422,LU_ACT_18_Supplies,0))),0)</f>
        <v>0</v>
      </c>
      <c r="O422" s="40">
        <f t="shared" ref="O422:O446" si="29">IFERROR(IF(DD_ACT_18_Meet1_Curr=1,INDEX($O$594:$O$628,MATCH(D422,LU_ACT_18_Supplies,0)),INDEX($S$594:$S$628,MATCH(D422,LU_ACT_18_Supplies,0))),0)</f>
        <v>0</v>
      </c>
      <c r="Q422" s="295">
        <f t="shared" ref="Q422:Q446" si="30">I422*K422*M422</f>
        <v>0</v>
      </c>
      <c r="S422" s="293">
        <f t="shared" ref="S422:S446" si="31">I422*K422*O422</f>
        <v>0</v>
      </c>
      <c r="U422" s="356"/>
      <c r="V422" s="356"/>
      <c r="W422" s="356"/>
      <c r="X422" s="356"/>
    </row>
    <row r="423" spans="3:24" x14ac:dyDescent="0.3">
      <c r="D423" s="356" t="s">
        <v>893</v>
      </c>
      <c r="E423" s="356"/>
      <c r="F423" s="356"/>
      <c r="G423" s="356"/>
      <c r="I423" s="48">
        <v>0</v>
      </c>
      <c r="K423" s="48">
        <v>0</v>
      </c>
      <c r="M423" s="40">
        <f t="shared" si="28"/>
        <v>0</v>
      </c>
      <c r="O423" s="40">
        <f t="shared" si="29"/>
        <v>0</v>
      </c>
      <c r="Q423" s="295">
        <f t="shared" si="30"/>
        <v>0</v>
      </c>
      <c r="S423" s="293">
        <f t="shared" si="31"/>
        <v>0</v>
      </c>
      <c r="U423" s="356"/>
      <c r="V423" s="356"/>
      <c r="W423" s="356"/>
      <c r="X423" s="356"/>
    </row>
    <row r="424" spans="3:24" s="277" customFormat="1" x14ac:dyDescent="0.3">
      <c r="D424" s="356" t="s">
        <v>854</v>
      </c>
      <c r="E424" s="356"/>
      <c r="F424" s="356"/>
      <c r="G424" s="356"/>
      <c r="I424" s="48">
        <v>0</v>
      </c>
      <c r="K424" s="48">
        <v>0</v>
      </c>
      <c r="M424" s="279">
        <f t="shared" si="28"/>
        <v>0</v>
      </c>
      <c r="O424" s="279">
        <f t="shared" si="29"/>
        <v>0</v>
      </c>
      <c r="Q424" s="295">
        <f t="shared" si="30"/>
        <v>0</v>
      </c>
      <c r="S424" s="293">
        <f t="shared" si="31"/>
        <v>0</v>
      </c>
      <c r="U424" s="385"/>
      <c r="V424" s="385"/>
      <c r="W424" s="385"/>
      <c r="X424" s="385"/>
    </row>
    <row r="425" spans="3:24" s="277" customFormat="1" x14ac:dyDescent="0.3">
      <c r="D425" s="356" t="s">
        <v>855</v>
      </c>
      <c r="E425" s="356"/>
      <c r="F425" s="356"/>
      <c r="G425" s="356"/>
      <c r="I425" s="48">
        <v>0</v>
      </c>
      <c r="K425" s="48">
        <v>0</v>
      </c>
      <c r="M425" s="279">
        <f t="shared" si="28"/>
        <v>0</v>
      </c>
      <c r="O425" s="279">
        <f t="shared" si="29"/>
        <v>0</v>
      </c>
      <c r="Q425" s="295">
        <f t="shared" si="30"/>
        <v>0</v>
      </c>
      <c r="S425" s="293">
        <f t="shared" si="31"/>
        <v>0</v>
      </c>
      <c r="U425" s="385"/>
      <c r="V425" s="385"/>
      <c r="W425" s="385"/>
      <c r="X425" s="385"/>
    </row>
    <row r="426" spans="3:24" s="277" customFormat="1" x14ac:dyDescent="0.3">
      <c r="D426" s="356" t="s">
        <v>856</v>
      </c>
      <c r="E426" s="356"/>
      <c r="F426" s="356"/>
      <c r="G426" s="356"/>
      <c r="I426" s="48">
        <v>0</v>
      </c>
      <c r="K426" s="48">
        <v>0</v>
      </c>
      <c r="M426" s="279">
        <f t="shared" si="28"/>
        <v>0</v>
      </c>
      <c r="O426" s="279">
        <f t="shared" si="29"/>
        <v>0</v>
      </c>
      <c r="Q426" s="295">
        <f t="shared" si="30"/>
        <v>0</v>
      </c>
      <c r="S426" s="293">
        <f t="shared" si="31"/>
        <v>0</v>
      </c>
      <c r="U426" s="385"/>
      <c r="V426" s="385"/>
      <c r="W426" s="385"/>
      <c r="X426" s="385"/>
    </row>
    <row r="427" spans="3:24" s="277" customFormat="1" x14ac:dyDescent="0.3">
      <c r="D427" s="356" t="s">
        <v>857</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858</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859</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860</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861</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862</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4:24" s="277" customFormat="1" x14ac:dyDescent="0.3">
      <c r="D433" s="356" t="s">
        <v>863</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4:24" s="277" customFormat="1" x14ac:dyDescent="0.3">
      <c r="D434" s="356" t="s">
        <v>864</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4:24" s="277" customFormat="1" x14ac:dyDescent="0.3">
      <c r="D435" s="356" t="s">
        <v>865</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4:24" s="277" customFormat="1" x14ac:dyDescent="0.3">
      <c r="D436" s="356" t="s">
        <v>866</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4:24" s="277" customFormat="1" x14ac:dyDescent="0.3">
      <c r="D437" s="356" t="s">
        <v>867</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4:24" s="277" customFormat="1" x14ac:dyDescent="0.3">
      <c r="D438" s="356" t="s">
        <v>868</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4:24" s="277" customFormat="1" x14ac:dyDescent="0.3">
      <c r="D439" s="356" t="s">
        <v>869</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4:24" s="277" customFormat="1" x14ac:dyDescent="0.3">
      <c r="D440" s="356" t="s">
        <v>870</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4:24" s="277" customFormat="1" x14ac:dyDescent="0.3">
      <c r="D441" s="356" t="s">
        <v>871</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4:24" s="277" customFormat="1" x14ac:dyDescent="0.3">
      <c r="D442" s="356" t="s">
        <v>981</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4:24" s="277" customFormat="1" x14ac:dyDescent="0.3">
      <c r="D443" s="356" t="s">
        <v>982</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4:24" s="277" customFormat="1" x14ac:dyDescent="0.3">
      <c r="D444" s="356" t="s">
        <v>983</v>
      </c>
      <c r="E444" s="356"/>
      <c r="F444" s="356"/>
      <c r="G444" s="356"/>
      <c r="I444" s="48">
        <v>0</v>
      </c>
      <c r="K444" s="48">
        <v>0</v>
      </c>
      <c r="M444" s="279">
        <f t="shared" si="28"/>
        <v>0</v>
      </c>
      <c r="O444" s="279">
        <f t="shared" si="29"/>
        <v>0</v>
      </c>
      <c r="Q444" s="295">
        <f t="shared" si="30"/>
        <v>0</v>
      </c>
      <c r="S444" s="293">
        <f t="shared" si="31"/>
        <v>0</v>
      </c>
      <c r="U444" s="385"/>
      <c r="V444" s="385"/>
      <c r="W444" s="385"/>
      <c r="X444" s="385"/>
    </row>
    <row r="445" spans="4:24" s="277" customFormat="1" x14ac:dyDescent="0.3">
      <c r="D445" s="356" t="s">
        <v>984</v>
      </c>
      <c r="E445" s="356"/>
      <c r="F445" s="356"/>
      <c r="G445" s="356"/>
      <c r="I445" s="48">
        <v>0</v>
      </c>
      <c r="K445" s="48">
        <v>0</v>
      </c>
      <c r="M445" s="279">
        <f t="shared" si="28"/>
        <v>0</v>
      </c>
      <c r="O445" s="279">
        <f t="shared" si="29"/>
        <v>0</v>
      </c>
      <c r="Q445" s="295">
        <f t="shared" si="30"/>
        <v>0</v>
      </c>
      <c r="S445" s="293">
        <f t="shared" si="31"/>
        <v>0</v>
      </c>
      <c r="U445" s="385"/>
      <c r="V445" s="385"/>
      <c r="W445" s="385"/>
      <c r="X445" s="385"/>
    </row>
    <row r="446" spans="4:24" s="277" customFormat="1" x14ac:dyDescent="0.3">
      <c r="D446" s="356" t="s">
        <v>985</v>
      </c>
      <c r="E446" s="356"/>
      <c r="F446" s="356"/>
      <c r="G446" s="356"/>
      <c r="I446" s="48">
        <v>0</v>
      </c>
      <c r="K446" s="48">
        <v>0</v>
      </c>
      <c r="M446" s="279">
        <f t="shared" si="28"/>
        <v>0</v>
      </c>
      <c r="O446" s="279">
        <f t="shared" si="29"/>
        <v>0</v>
      </c>
      <c r="Q446" s="295">
        <f t="shared" si="30"/>
        <v>0</v>
      </c>
      <c r="S446" s="293">
        <f t="shared" si="31"/>
        <v>0</v>
      </c>
      <c r="U446" s="385"/>
      <c r="V446" s="385"/>
      <c r="W446" s="385"/>
      <c r="X446" s="385"/>
    </row>
    <row r="447" spans="4:24" ht="14.4" x14ac:dyDescent="0.3">
      <c r="D447" s="420" t="s">
        <v>85</v>
      </c>
      <c r="E447" s="421"/>
      <c r="F447" s="421"/>
      <c r="G447" s="421"/>
      <c r="I447" s="43"/>
      <c r="K447" s="43"/>
      <c r="M447" s="43"/>
      <c r="O447" s="43"/>
      <c r="Q447" s="296">
        <f>SUM(Q422:Q446)</f>
        <v>0</v>
      </c>
      <c r="S447" s="294">
        <f>SUM(S422:S446)</f>
        <v>0</v>
      </c>
      <c r="U447" s="43"/>
      <c r="V447" s="43"/>
      <c r="W447" s="43"/>
      <c r="X447" s="43"/>
    </row>
    <row r="449" spans="3:24" ht="27.6" x14ac:dyDescent="0.3">
      <c r="C449" s="92" t="s">
        <v>130</v>
      </c>
      <c r="Q449" s="44" t="str">
        <f>"FINANCIAL COST ("&amp;INDEX(LU_ACT_18_Meet_Curr,DD_ACT_18_Meet1_Curr)&amp;")"</f>
        <v>FINANCIAL COST (GOZ)</v>
      </c>
      <c r="S449" s="44" t="str">
        <f>"ECONOMIC COST ("&amp;INDEX(LU_ACT_18_Meet_Curr,DD_ACT_18_Meet1_Curr)&amp;")"</f>
        <v>ECONOMIC COST (GOZ)</v>
      </c>
    </row>
    <row r="450" spans="3:24" ht="14.4" x14ac:dyDescent="0.3">
      <c r="D450" s="90" t="s">
        <v>86</v>
      </c>
      <c r="I450" s="91" t="s">
        <v>186</v>
      </c>
      <c r="M450" s="91" t="s">
        <v>81</v>
      </c>
      <c r="O450" s="91" t="s">
        <v>83</v>
      </c>
      <c r="U450" s="350" t="s">
        <v>185</v>
      </c>
      <c r="V450" s="351"/>
      <c r="W450" s="351"/>
      <c r="X450" s="351"/>
    </row>
    <row r="451" spans="3:24" x14ac:dyDescent="0.3">
      <c r="D451" s="356" t="s">
        <v>70</v>
      </c>
      <c r="E451" s="356"/>
      <c r="F451" s="356"/>
      <c r="G451" s="356"/>
      <c r="I451" s="48">
        <v>0</v>
      </c>
      <c r="M451" s="40">
        <f t="shared" ref="M451:M475" si="32">IFERROR(IF(DD_ACT_18_Meet1_Curr=1,INDEX($M$631:$M$665,MATCH(D451,LU_ACT_18_Equipment,0)),INDEX($Q$631:$Q$665,MATCH(D451,LU_ACT_18_Equipment,0))),0)</f>
        <v>0</v>
      </c>
      <c r="O451" s="40">
        <f t="shared" ref="O451:O475" si="33">IFERROR(IF(DD_ACT_18_Meet1_Curr=1,INDEX($O$631:$O$665,MATCH(D451,LU_ACT_18_Equipment,0)),INDEX($S$631:$S$665,MATCH(D451,LU_ACT_18_Equipment,0))),0)</f>
        <v>0</v>
      </c>
      <c r="Q451" s="279">
        <f t="shared" ref="Q451:Q475" si="34">I451*M451</f>
        <v>0</v>
      </c>
      <c r="S451" s="279">
        <f t="shared" ref="S451:S475" si="35">I451*O451</f>
        <v>0</v>
      </c>
      <c r="U451" s="356"/>
      <c r="V451" s="356"/>
      <c r="W451" s="356"/>
      <c r="X451" s="356"/>
    </row>
    <row r="452" spans="3:24" x14ac:dyDescent="0.3">
      <c r="D452" s="356" t="s">
        <v>122</v>
      </c>
      <c r="E452" s="356"/>
      <c r="F452" s="356"/>
      <c r="G452" s="356"/>
      <c r="I452" s="48">
        <v>0</v>
      </c>
      <c r="M452" s="40">
        <f t="shared" si="32"/>
        <v>0</v>
      </c>
      <c r="O452" s="40">
        <f t="shared" si="33"/>
        <v>0</v>
      </c>
      <c r="Q452" s="279">
        <f t="shared" si="34"/>
        <v>0</v>
      </c>
      <c r="S452" s="279">
        <f t="shared" si="35"/>
        <v>0</v>
      </c>
      <c r="U452" s="356"/>
      <c r="V452" s="356"/>
      <c r="W452" s="356"/>
      <c r="X452" s="356"/>
    </row>
    <row r="453" spans="3:24" s="277" customFormat="1" x14ac:dyDescent="0.3">
      <c r="D453" s="356" t="s">
        <v>872</v>
      </c>
      <c r="E453" s="356"/>
      <c r="F453" s="356"/>
      <c r="G453" s="356"/>
      <c r="I453" s="48">
        <v>0</v>
      </c>
      <c r="M453" s="279">
        <f t="shared" si="32"/>
        <v>0</v>
      </c>
      <c r="O453" s="279">
        <f t="shared" si="33"/>
        <v>0</v>
      </c>
      <c r="Q453" s="279">
        <f t="shared" si="34"/>
        <v>0</v>
      </c>
      <c r="S453" s="279">
        <f t="shared" si="35"/>
        <v>0</v>
      </c>
      <c r="U453" s="385"/>
      <c r="V453" s="385"/>
      <c r="W453" s="385"/>
      <c r="X453" s="385"/>
    </row>
    <row r="454" spans="3:24" s="277" customFormat="1" x14ac:dyDescent="0.3">
      <c r="D454" s="356" t="s">
        <v>873</v>
      </c>
      <c r="E454" s="356"/>
      <c r="F454" s="356"/>
      <c r="G454" s="356"/>
      <c r="I454" s="48">
        <v>0</v>
      </c>
      <c r="M454" s="279">
        <f t="shared" si="32"/>
        <v>0</v>
      </c>
      <c r="O454" s="279">
        <f t="shared" si="33"/>
        <v>0</v>
      </c>
      <c r="Q454" s="279">
        <f t="shared" si="34"/>
        <v>0</v>
      </c>
      <c r="S454" s="279">
        <f t="shared" si="35"/>
        <v>0</v>
      </c>
      <c r="U454" s="385"/>
      <c r="V454" s="385"/>
      <c r="W454" s="385"/>
      <c r="X454" s="385"/>
    </row>
    <row r="455" spans="3:24" s="277" customFormat="1" x14ac:dyDescent="0.3">
      <c r="D455" s="356" t="s">
        <v>874</v>
      </c>
      <c r="E455" s="356"/>
      <c r="F455" s="356"/>
      <c r="G455" s="356"/>
      <c r="I455" s="48">
        <v>0</v>
      </c>
      <c r="M455" s="279">
        <f t="shared" si="32"/>
        <v>0</v>
      </c>
      <c r="O455" s="279">
        <f t="shared" si="33"/>
        <v>0</v>
      </c>
      <c r="Q455" s="279">
        <f t="shared" si="34"/>
        <v>0</v>
      </c>
      <c r="S455" s="279">
        <f t="shared" si="35"/>
        <v>0</v>
      </c>
      <c r="U455" s="385"/>
      <c r="V455" s="385"/>
      <c r="W455" s="385"/>
      <c r="X455" s="385"/>
    </row>
    <row r="456" spans="3:24" s="277" customFormat="1" x14ac:dyDescent="0.3">
      <c r="D456" s="356" t="s">
        <v>875</v>
      </c>
      <c r="E456" s="356"/>
      <c r="F456" s="356"/>
      <c r="G456" s="356"/>
      <c r="I456" s="48">
        <v>0</v>
      </c>
      <c r="M456" s="279">
        <f t="shared" si="32"/>
        <v>0</v>
      </c>
      <c r="O456" s="279">
        <f t="shared" si="33"/>
        <v>0</v>
      </c>
      <c r="Q456" s="279">
        <f t="shared" si="34"/>
        <v>0</v>
      </c>
      <c r="S456" s="279">
        <f t="shared" si="35"/>
        <v>0</v>
      </c>
      <c r="U456" s="385"/>
      <c r="V456" s="385"/>
      <c r="W456" s="385"/>
      <c r="X456" s="385"/>
    </row>
    <row r="457" spans="3:24" s="277" customFormat="1" x14ac:dyDescent="0.3">
      <c r="D457" s="356" t="s">
        <v>778</v>
      </c>
      <c r="E457" s="356"/>
      <c r="F457" s="356"/>
      <c r="G457" s="356"/>
      <c r="I457" s="48">
        <v>0</v>
      </c>
      <c r="M457" s="279">
        <f t="shared" si="32"/>
        <v>0</v>
      </c>
      <c r="O457" s="279">
        <f t="shared" si="33"/>
        <v>0</v>
      </c>
      <c r="Q457" s="279">
        <f t="shared" si="34"/>
        <v>0</v>
      </c>
      <c r="S457" s="279">
        <f t="shared" si="35"/>
        <v>0</v>
      </c>
      <c r="U457" s="385"/>
      <c r="V457" s="385"/>
      <c r="W457" s="385"/>
      <c r="X457" s="385"/>
    </row>
    <row r="458" spans="3:24" s="277" customFormat="1" x14ac:dyDescent="0.3">
      <c r="D458" s="356" t="s">
        <v>779</v>
      </c>
      <c r="E458" s="356"/>
      <c r="F458" s="356"/>
      <c r="G458" s="356"/>
      <c r="I458" s="48">
        <v>0</v>
      </c>
      <c r="M458" s="279">
        <f t="shared" si="32"/>
        <v>0</v>
      </c>
      <c r="O458" s="279">
        <f t="shared" si="33"/>
        <v>0</v>
      </c>
      <c r="Q458" s="279">
        <f t="shared" si="34"/>
        <v>0</v>
      </c>
      <c r="S458" s="279">
        <f t="shared" si="35"/>
        <v>0</v>
      </c>
      <c r="U458" s="385"/>
      <c r="V458" s="385"/>
      <c r="W458" s="385"/>
      <c r="X458" s="385"/>
    </row>
    <row r="459" spans="3:24" s="277" customFormat="1" x14ac:dyDescent="0.3">
      <c r="D459" s="356" t="s">
        <v>780</v>
      </c>
      <c r="E459" s="356"/>
      <c r="F459" s="356"/>
      <c r="G459" s="356"/>
      <c r="I459" s="48">
        <v>0</v>
      </c>
      <c r="M459" s="279">
        <f t="shared" si="32"/>
        <v>0</v>
      </c>
      <c r="O459" s="279">
        <f t="shared" si="33"/>
        <v>0</v>
      </c>
      <c r="Q459" s="279">
        <f t="shared" si="34"/>
        <v>0</v>
      </c>
      <c r="S459" s="279">
        <f t="shared" si="35"/>
        <v>0</v>
      </c>
      <c r="U459" s="385"/>
      <c r="V459" s="385"/>
      <c r="W459" s="385"/>
      <c r="X459" s="385"/>
    </row>
    <row r="460" spans="3:24" s="277" customFormat="1" x14ac:dyDescent="0.3">
      <c r="D460" s="356" t="s">
        <v>781</v>
      </c>
      <c r="E460" s="356"/>
      <c r="F460" s="356"/>
      <c r="G460" s="356"/>
      <c r="I460" s="48">
        <v>0</v>
      </c>
      <c r="M460" s="279">
        <f t="shared" si="32"/>
        <v>0</v>
      </c>
      <c r="O460" s="279">
        <f t="shared" si="33"/>
        <v>0</v>
      </c>
      <c r="Q460" s="279">
        <f t="shared" si="34"/>
        <v>0</v>
      </c>
      <c r="S460" s="279">
        <f t="shared" si="35"/>
        <v>0</v>
      </c>
      <c r="U460" s="385"/>
      <c r="V460" s="385"/>
      <c r="W460" s="385"/>
      <c r="X460" s="385"/>
    </row>
    <row r="461" spans="3:24" s="277" customFormat="1" x14ac:dyDescent="0.3">
      <c r="D461" s="356" t="s">
        <v>782</v>
      </c>
      <c r="E461" s="356"/>
      <c r="F461" s="356"/>
      <c r="G461" s="356"/>
      <c r="I461" s="48">
        <v>0</v>
      </c>
      <c r="M461" s="279">
        <f t="shared" si="32"/>
        <v>0</v>
      </c>
      <c r="O461" s="279">
        <f t="shared" si="33"/>
        <v>0</v>
      </c>
      <c r="Q461" s="279">
        <f t="shared" si="34"/>
        <v>0</v>
      </c>
      <c r="S461" s="279">
        <f t="shared" si="35"/>
        <v>0</v>
      </c>
      <c r="U461" s="385"/>
      <c r="V461" s="385"/>
      <c r="W461" s="385"/>
      <c r="X461" s="385"/>
    </row>
    <row r="462" spans="3:24" s="277" customFormat="1" x14ac:dyDescent="0.3">
      <c r="D462" s="356" t="s">
        <v>783</v>
      </c>
      <c r="E462" s="356"/>
      <c r="F462" s="356"/>
      <c r="G462" s="356"/>
      <c r="I462" s="48">
        <v>0</v>
      </c>
      <c r="M462" s="279">
        <f t="shared" si="32"/>
        <v>0</v>
      </c>
      <c r="O462" s="279">
        <f t="shared" si="33"/>
        <v>0</v>
      </c>
      <c r="Q462" s="279">
        <f t="shared" si="34"/>
        <v>0</v>
      </c>
      <c r="S462" s="279">
        <f t="shared" si="35"/>
        <v>0</v>
      </c>
      <c r="U462" s="385"/>
      <c r="V462" s="385"/>
      <c r="W462" s="385"/>
      <c r="X462" s="385"/>
    </row>
    <row r="463" spans="3:24" s="277" customFormat="1" x14ac:dyDescent="0.3">
      <c r="D463" s="356" t="s">
        <v>784</v>
      </c>
      <c r="E463" s="356"/>
      <c r="F463" s="356"/>
      <c r="G463" s="356"/>
      <c r="I463" s="48">
        <v>0</v>
      </c>
      <c r="M463" s="279">
        <f t="shared" si="32"/>
        <v>0</v>
      </c>
      <c r="O463" s="279">
        <f t="shared" si="33"/>
        <v>0</v>
      </c>
      <c r="Q463" s="279">
        <f t="shared" si="34"/>
        <v>0</v>
      </c>
      <c r="S463" s="279">
        <f t="shared" si="35"/>
        <v>0</v>
      </c>
      <c r="U463" s="385"/>
      <c r="V463" s="385"/>
      <c r="W463" s="385"/>
      <c r="X463" s="385"/>
    </row>
    <row r="464" spans="3:24" s="277" customFormat="1" x14ac:dyDescent="0.3">
      <c r="D464" s="356" t="s">
        <v>785</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786</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787</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788</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789</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790</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791</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792</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793</v>
      </c>
      <c r="E472" s="356"/>
      <c r="F472" s="356"/>
      <c r="G472" s="356"/>
      <c r="I472" s="48">
        <v>0</v>
      </c>
      <c r="M472" s="279">
        <f t="shared" si="32"/>
        <v>0</v>
      </c>
      <c r="O472" s="279">
        <f t="shared" si="33"/>
        <v>0</v>
      </c>
      <c r="Q472" s="279">
        <f t="shared" si="34"/>
        <v>0</v>
      </c>
      <c r="S472" s="279">
        <f t="shared" si="35"/>
        <v>0</v>
      </c>
      <c r="U472" s="385"/>
      <c r="V472" s="385"/>
      <c r="W472" s="385"/>
      <c r="X472" s="385"/>
    </row>
    <row r="473" spans="3:24" s="277" customFormat="1" x14ac:dyDescent="0.3">
      <c r="D473" s="356" t="s">
        <v>794</v>
      </c>
      <c r="E473" s="356"/>
      <c r="F473" s="356"/>
      <c r="G473" s="356"/>
      <c r="I473" s="48">
        <v>0</v>
      </c>
      <c r="M473" s="279">
        <f t="shared" si="32"/>
        <v>0</v>
      </c>
      <c r="O473" s="279">
        <f t="shared" si="33"/>
        <v>0</v>
      </c>
      <c r="Q473" s="279">
        <f t="shared" si="34"/>
        <v>0</v>
      </c>
      <c r="S473" s="279">
        <f t="shared" si="35"/>
        <v>0</v>
      </c>
      <c r="U473" s="385"/>
      <c r="V473" s="385"/>
      <c r="W473" s="385"/>
      <c r="X473" s="385"/>
    </row>
    <row r="474" spans="3:24" s="277" customFormat="1" x14ac:dyDescent="0.3">
      <c r="D474" s="356" t="s">
        <v>795</v>
      </c>
      <c r="E474" s="356"/>
      <c r="F474" s="356"/>
      <c r="G474" s="356"/>
      <c r="I474" s="48">
        <v>0</v>
      </c>
      <c r="M474" s="279">
        <f t="shared" si="32"/>
        <v>0</v>
      </c>
      <c r="O474" s="279">
        <f t="shared" si="33"/>
        <v>0</v>
      </c>
      <c r="Q474" s="279">
        <f t="shared" si="34"/>
        <v>0</v>
      </c>
      <c r="S474" s="279">
        <f t="shared" si="35"/>
        <v>0</v>
      </c>
      <c r="U474" s="385"/>
      <c r="V474" s="385"/>
      <c r="W474" s="385"/>
      <c r="X474" s="385"/>
    </row>
    <row r="475" spans="3:24" s="277" customFormat="1" x14ac:dyDescent="0.3">
      <c r="D475" s="356" t="s">
        <v>796</v>
      </c>
      <c r="E475" s="356"/>
      <c r="F475" s="356"/>
      <c r="G475" s="356"/>
      <c r="I475" s="48">
        <v>0</v>
      </c>
      <c r="M475" s="279">
        <f t="shared" si="32"/>
        <v>0</v>
      </c>
      <c r="O475" s="279">
        <f t="shared" si="33"/>
        <v>0</v>
      </c>
      <c r="Q475" s="279">
        <f t="shared" si="34"/>
        <v>0</v>
      </c>
      <c r="S475" s="279">
        <f t="shared" si="35"/>
        <v>0</v>
      </c>
      <c r="U475" s="385"/>
      <c r="V475" s="385"/>
      <c r="W475" s="385"/>
      <c r="X475" s="385"/>
    </row>
    <row r="476" spans="3:24" ht="14.4" x14ac:dyDescent="0.3">
      <c r="D476" s="420" t="s">
        <v>88</v>
      </c>
      <c r="E476" s="421"/>
      <c r="F476" s="421"/>
      <c r="G476" s="421"/>
      <c r="I476" s="40"/>
      <c r="M476" s="40"/>
      <c r="O476" s="40"/>
      <c r="Q476" s="294">
        <f>SUM(Q451:Q475)</f>
        <v>0</v>
      </c>
      <c r="S476" s="294">
        <f>SUM(S451:S475)</f>
        <v>0</v>
      </c>
    </row>
    <row r="478" spans="3:24" ht="15.6" x14ac:dyDescent="0.3">
      <c r="C478" s="92" t="s">
        <v>89</v>
      </c>
    </row>
    <row r="479" spans="3:24" ht="27.6" x14ac:dyDescent="0.3">
      <c r="Q479" s="44" t="str">
        <f>"FINANCIAL COST ("&amp;INDEX(LU_ACT_18_Meet_Curr,DD_ACT_18_Meet1_Curr)&amp;")"</f>
        <v>FINANCIAL COST (GOZ)</v>
      </c>
      <c r="S479" s="44" t="str">
        <f>"ECONOMIC COST ("&amp;INDEX(LU_ACT_18_Meet_Curr,DD_ACT_18_Meet1_Curr)&amp;")"</f>
        <v>ECONOMIC COST (GOZ)</v>
      </c>
    </row>
    <row r="480" spans="3:24" ht="27.6" x14ac:dyDescent="0.3">
      <c r="D480" s="90" t="s">
        <v>86</v>
      </c>
      <c r="I480" s="91" t="s">
        <v>186</v>
      </c>
      <c r="K480" s="91" t="s">
        <v>187</v>
      </c>
      <c r="M480" s="42" t="s">
        <v>81</v>
      </c>
      <c r="O480" s="42" t="s">
        <v>83</v>
      </c>
      <c r="U480" s="350" t="s">
        <v>185</v>
      </c>
      <c r="V480" s="351"/>
      <c r="W480" s="351"/>
      <c r="X480" s="351"/>
    </row>
    <row r="481" spans="4:24" x14ac:dyDescent="0.3">
      <c r="D481" s="356" t="s">
        <v>71</v>
      </c>
      <c r="E481" s="356"/>
      <c r="F481" s="356"/>
      <c r="G481" s="356"/>
      <c r="I481" s="48">
        <v>0</v>
      </c>
      <c r="K481" s="48">
        <v>2</v>
      </c>
      <c r="M481" s="40">
        <f t="shared" ref="M481:M505" si="36">IFERROR(IF(DD_ACT_18_Meet1_Curr=1,INDEX($M$669:$M$703,MATCH(D481,LU_ACT_18_ODCS,0)),INDEX($Q$669:$Q$703,MATCH(D481,LU_ACT_18_ODCS,0))),0)</f>
        <v>0</v>
      </c>
      <c r="O481" s="40">
        <f t="shared" ref="O481:O505" si="37">IFERROR(IF(DD_ACT_18_Meet1_Curr=1,INDEX($O$669:$O$703,MATCH(D481,LU_ACT_18_ODCS,0)),INDEX($S$669:$S$703,MATCH(D481,LU_ACT_18_ODCS,0))),0)</f>
        <v>0</v>
      </c>
      <c r="Q481" s="279">
        <f t="shared" ref="Q481:Q505" si="38">I481*K481*M481</f>
        <v>0</v>
      </c>
      <c r="S481" s="279">
        <f t="shared" ref="S481:S505" si="39">I481*K481*O481</f>
        <v>0</v>
      </c>
      <c r="U481" s="356"/>
      <c r="V481" s="356"/>
      <c r="W481" s="356"/>
      <c r="X481" s="356"/>
    </row>
    <row r="482" spans="4:24" x14ac:dyDescent="0.3">
      <c r="D482" s="356" t="s">
        <v>72</v>
      </c>
      <c r="E482" s="356"/>
      <c r="F482" s="356"/>
      <c r="G482" s="356"/>
      <c r="I482" s="48">
        <v>0</v>
      </c>
      <c r="K482" s="48">
        <v>1</v>
      </c>
      <c r="M482" s="40">
        <f t="shared" si="36"/>
        <v>0</v>
      </c>
      <c r="O482" s="40">
        <f t="shared" si="37"/>
        <v>0</v>
      </c>
      <c r="Q482" s="279">
        <f t="shared" si="38"/>
        <v>0</v>
      </c>
      <c r="S482" s="279">
        <f t="shared" si="39"/>
        <v>0</v>
      </c>
      <c r="U482" s="356"/>
      <c r="V482" s="356"/>
      <c r="W482" s="356"/>
      <c r="X482" s="356"/>
    </row>
    <row r="483" spans="4:24" x14ac:dyDescent="0.3">
      <c r="D483" s="356" t="s">
        <v>73</v>
      </c>
      <c r="E483" s="356"/>
      <c r="F483" s="356"/>
      <c r="G483" s="356"/>
      <c r="I483" s="48">
        <v>0</v>
      </c>
      <c r="K483" s="48">
        <v>0</v>
      </c>
      <c r="M483" s="40">
        <f t="shared" si="36"/>
        <v>0</v>
      </c>
      <c r="O483" s="40">
        <f t="shared" si="37"/>
        <v>0</v>
      </c>
      <c r="Q483" s="279">
        <f t="shared" si="38"/>
        <v>0</v>
      </c>
      <c r="S483" s="279">
        <f t="shared" si="39"/>
        <v>0</v>
      </c>
      <c r="U483" s="356"/>
      <c r="V483" s="356"/>
      <c r="W483" s="356"/>
      <c r="X483" s="356"/>
    </row>
    <row r="484" spans="4:24" x14ac:dyDescent="0.3">
      <c r="D484" s="356" t="s">
        <v>74</v>
      </c>
      <c r="E484" s="356"/>
      <c r="F484" s="356"/>
      <c r="G484" s="356"/>
      <c r="I484" s="48">
        <v>0</v>
      </c>
      <c r="K484" s="48">
        <v>0</v>
      </c>
      <c r="M484" s="40">
        <f t="shared" si="36"/>
        <v>0</v>
      </c>
      <c r="O484" s="40">
        <f t="shared" si="37"/>
        <v>0</v>
      </c>
      <c r="Q484" s="279">
        <f t="shared" si="38"/>
        <v>0</v>
      </c>
      <c r="S484" s="279">
        <f t="shared" si="39"/>
        <v>0</v>
      </c>
      <c r="U484" s="356"/>
      <c r="V484" s="356"/>
      <c r="W484" s="356"/>
      <c r="X484" s="356"/>
    </row>
    <row r="485" spans="4:24" x14ac:dyDescent="0.3">
      <c r="D485" s="356" t="s">
        <v>75</v>
      </c>
      <c r="E485" s="356"/>
      <c r="F485" s="356"/>
      <c r="G485" s="356"/>
      <c r="I485" s="48">
        <v>0</v>
      </c>
      <c r="K485" s="48">
        <v>0</v>
      </c>
      <c r="M485" s="40">
        <f t="shared" si="36"/>
        <v>0</v>
      </c>
      <c r="O485" s="40">
        <f t="shared" si="37"/>
        <v>0</v>
      </c>
      <c r="Q485" s="279">
        <f t="shared" si="38"/>
        <v>0</v>
      </c>
      <c r="S485" s="279">
        <f t="shared" si="39"/>
        <v>0</v>
      </c>
      <c r="U485" s="356"/>
      <c r="V485" s="356"/>
      <c r="W485" s="356"/>
      <c r="X485" s="356"/>
    </row>
    <row r="486" spans="4:24" s="277" customFormat="1" x14ac:dyDescent="0.3">
      <c r="D486" s="356" t="s">
        <v>876</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877</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878</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879</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880</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881</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882</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883</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884</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885</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886</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887</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888</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889</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890</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986</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s="277" customFormat="1" x14ac:dyDescent="0.3">
      <c r="D502" s="356" t="s">
        <v>987</v>
      </c>
      <c r="E502" s="356"/>
      <c r="F502" s="356"/>
      <c r="G502" s="356"/>
      <c r="I502" s="48">
        <v>0</v>
      </c>
      <c r="K502" s="48">
        <v>0</v>
      </c>
      <c r="M502" s="279">
        <f t="shared" si="36"/>
        <v>0</v>
      </c>
      <c r="O502" s="279">
        <f t="shared" si="37"/>
        <v>0</v>
      </c>
      <c r="Q502" s="279">
        <f t="shared" si="38"/>
        <v>0</v>
      </c>
      <c r="S502" s="279">
        <f t="shared" si="39"/>
        <v>0</v>
      </c>
      <c r="U502" s="385"/>
      <c r="V502" s="385"/>
      <c r="W502" s="385"/>
      <c r="X502" s="385"/>
    </row>
    <row r="503" spans="2:24" s="277" customFormat="1" x14ac:dyDescent="0.3">
      <c r="D503" s="356" t="s">
        <v>988</v>
      </c>
      <c r="E503" s="356"/>
      <c r="F503" s="356"/>
      <c r="G503" s="356"/>
      <c r="I503" s="48">
        <v>0</v>
      </c>
      <c r="K503" s="48">
        <v>0</v>
      </c>
      <c r="M503" s="279">
        <f t="shared" si="36"/>
        <v>0</v>
      </c>
      <c r="O503" s="279">
        <f t="shared" si="37"/>
        <v>0</v>
      </c>
      <c r="Q503" s="279">
        <f t="shared" si="38"/>
        <v>0</v>
      </c>
      <c r="S503" s="279">
        <f t="shared" si="39"/>
        <v>0</v>
      </c>
      <c r="U503" s="385"/>
      <c r="V503" s="385"/>
      <c r="W503" s="385"/>
      <c r="X503" s="385"/>
    </row>
    <row r="504" spans="2:24" s="277" customFormat="1" x14ac:dyDescent="0.3">
      <c r="D504" s="356" t="s">
        <v>989</v>
      </c>
      <c r="E504" s="356"/>
      <c r="F504" s="356"/>
      <c r="G504" s="356"/>
      <c r="I504" s="48">
        <v>0</v>
      </c>
      <c r="K504" s="48">
        <v>0</v>
      </c>
      <c r="M504" s="279">
        <f t="shared" si="36"/>
        <v>0</v>
      </c>
      <c r="O504" s="279">
        <f t="shared" si="37"/>
        <v>0</v>
      </c>
      <c r="Q504" s="279">
        <f t="shared" si="38"/>
        <v>0</v>
      </c>
      <c r="S504" s="279">
        <f t="shared" si="39"/>
        <v>0</v>
      </c>
      <c r="U504" s="385"/>
      <c r="V504" s="385"/>
      <c r="W504" s="385"/>
      <c r="X504" s="385"/>
    </row>
    <row r="505" spans="2:24" s="277" customFormat="1" x14ac:dyDescent="0.3">
      <c r="D505" s="356" t="s">
        <v>990</v>
      </c>
      <c r="E505" s="356"/>
      <c r="F505" s="356"/>
      <c r="G505" s="356"/>
      <c r="I505" s="48">
        <v>0</v>
      </c>
      <c r="K505" s="48">
        <v>0</v>
      </c>
      <c r="M505" s="279">
        <f t="shared" si="36"/>
        <v>0</v>
      </c>
      <c r="O505" s="279">
        <f t="shared" si="37"/>
        <v>0</v>
      </c>
      <c r="Q505" s="279">
        <f t="shared" si="38"/>
        <v>0</v>
      </c>
      <c r="S505" s="279">
        <f t="shared" si="39"/>
        <v>0</v>
      </c>
      <c r="U505" s="385"/>
      <c r="V505" s="385"/>
      <c r="W505" s="385"/>
      <c r="X505" s="385"/>
    </row>
    <row r="506" spans="2:24" ht="14.4" x14ac:dyDescent="0.3">
      <c r="D506" s="420" t="s">
        <v>90</v>
      </c>
      <c r="E506" s="421"/>
      <c r="F506" s="421"/>
      <c r="G506" s="421"/>
      <c r="I506" s="40"/>
      <c r="K506" s="40">
        <f>SUM(K481:K505)</f>
        <v>3</v>
      </c>
      <c r="M506" s="40"/>
      <c r="O506" s="40"/>
      <c r="Q506" s="294">
        <f>SUM(Q481:Q505)</f>
        <v>0</v>
      </c>
      <c r="S506" s="294">
        <f>SUM(S481:S505)</f>
        <v>0</v>
      </c>
    </row>
    <row r="507" spans="2:24" collapsed="1" x14ac:dyDescent="0.3"/>
    <row r="508" spans="2:24" ht="27.6" x14ac:dyDescent="0.3">
      <c r="Q508" s="44" t="str">
        <f>"FINANCIAL COST ("&amp;INDEX(LU_ACT_18_Meet_Curr,DD_ACT_18_Meet1_Curr)&amp;")"</f>
        <v>FINANCIAL COST (GOZ)</v>
      </c>
      <c r="S508" s="44" t="str">
        <f>"ECONOMIC COST ("&amp;INDEX(LU_ACT_18_Meet_Curr,DD_ACT_18_Meet1_Curr)&amp;")"</f>
        <v>ECONOMIC COST (GOZ)</v>
      </c>
      <c r="U508" s="44" t="str">
        <f>"FINANCIAL COST ("&amp;IF(DD_ACT_18_Meet1_Curr=2,$D$513,$D$514)&amp;")"</f>
        <v>FINANCIAL COST (USD)</v>
      </c>
      <c r="V508" s="44" t="str">
        <f>"ECONOMIC COST ("&amp;IF(DD_ACT_18_Meet1_Curr=2,$D$513,$D$514)&amp;")"</f>
        <v>ECONOMIC COST (USD)</v>
      </c>
    </row>
    <row r="509" spans="2:24" ht="16.2" thickBot="1" x14ac:dyDescent="0.35">
      <c r="B509" s="141" t="str">
        <f>"Total Estimated Costs - "&amp;B357</f>
        <v>Total Estimated Costs - Training Activity #2 [not in use]</v>
      </c>
      <c r="Q509" s="46">
        <f>SUM(Q387,Q416,Q447,Q476,Q506)</f>
        <v>0</v>
      </c>
      <c r="S509" s="46">
        <f>SUM(S387,S416,S447,S476,S506)</f>
        <v>0</v>
      </c>
      <c r="U509" s="47">
        <f>IFERROR(IF(DD_ACT_18_Meet1_Curr=2,$Q509/$I$514,$Q509*$I$514), 0)</f>
        <v>0</v>
      </c>
      <c r="V509" s="47">
        <f>IFERROR(IF(DD_ACT_18_Meet1_Curr=2,$S509/$I$514,$S509*$I$514), 0)</f>
        <v>0</v>
      </c>
    </row>
    <row r="510" spans="2:24" ht="14.4" thickTop="1" x14ac:dyDescent="0.3"/>
    <row r="511" spans="2:24" x14ac:dyDescent="0.3">
      <c r="C511" s="91" t="s">
        <v>587</v>
      </c>
    </row>
    <row r="512" spans="2:24" hidden="1" outlineLevel="1" x14ac:dyDescent="0.3"/>
    <row r="513" spans="3:19" ht="12.9" hidden="1" customHeight="1" outlineLevel="1" x14ac:dyDescent="0.3">
      <c r="D513" s="422" t="str">
        <f>CURR_TA!D13</f>
        <v>USD</v>
      </c>
      <c r="E513" s="429"/>
      <c r="F513" s="429"/>
      <c r="G513" s="429"/>
      <c r="I513" s="279">
        <f>CURR_TA!J13</f>
        <v>1</v>
      </c>
      <c r="J513" s="279">
        <f>CURR_TA!K13</f>
        <v>0</v>
      </c>
      <c r="K513" s="279">
        <f>CURR_TA!L13</f>
        <v>0</v>
      </c>
      <c r="L513" s="279">
        <f>CURR_TA!M13</f>
        <v>0</v>
      </c>
    </row>
    <row r="514" spans="3:19" ht="12.9" hidden="1" customHeight="1" outlineLevel="1" x14ac:dyDescent="0.3">
      <c r="D514" s="422" t="str">
        <f>CURR_TA!D14</f>
        <v>GOZ</v>
      </c>
      <c r="E514" s="429"/>
      <c r="F514" s="429"/>
      <c r="G514" s="429"/>
      <c r="I514" s="279">
        <f>CURR_TA!J14</f>
        <v>0</v>
      </c>
      <c r="J514" s="279">
        <f>CURR_TA!K14</f>
        <v>0</v>
      </c>
      <c r="K514" s="279">
        <f>CURR_TA!L14</f>
        <v>0</v>
      </c>
      <c r="L514" s="279">
        <f>CURR_TA!M14</f>
        <v>0</v>
      </c>
    </row>
    <row r="515" spans="3:19" collapsed="1" x14ac:dyDescent="0.3"/>
    <row r="517" spans="3:19" x14ac:dyDescent="0.3">
      <c r="C517" s="91" t="s">
        <v>588</v>
      </c>
    </row>
    <row r="518" spans="3:19" hidden="1" outlineLevel="1" x14ac:dyDescent="0.3">
      <c r="M518" s="40" t="str">
        <f>$D$513</f>
        <v>USD</v>
      </c>
      <c r="O518" s="40" t="str">
        <f>$D$513</f>
        <v>USD</v>
      </c>
      <c r="Q518" s="40" t="str">
        <f>$D$514</f>
        <v>GOZ</v>
      </c>
      <c r="S518" s="40" t="str">
        <f>$D$514</f>
        <v>GOZ</v>
      </c>
    </row>
    <row r="519" spans="3:19" hidden="1" outlineLevel="1" x14ac:dyDescent="0.3">
      <c r="C519" s="89" t="str">
        <f>RES_BA!D14</f>
        <v>Personnel Cadre - Other 1</v>
      </c>
      <c r="M519" s="40">
        <f>RES_BA!R14</f>
        <v>0</v>
      </c>
      <c r="O519" s="40">
        <f>RES_BA!S14</f>
        <v>0</v>
      </c>
      <c r="Q519" s="40">
        <f>RES_BA!T14</f>
        <v>0</v>
      </c>
      <c r="S519" s="40">
        <f>RES_BA!U14</f>
        <v>0</v>
      </c>
    </row>
    <row r="520" spans="3:19" hidden="1" outlineLevel="1" x14ac:dyDescent="0.3">
      <c r="C520" s="89" t="str">
        <f>RES_BA!D15</f>
        <v>Personnel Cadre - Other 2</v>
      </c>
      <c r="M520" s="40">
        <f>RES_BA!R15</f>
        <v>0</v>
      </c>
      <c r="O520" s="40">
        <f>RES_BA!S15</f>
        <v>0</v>
      </c>
      <c r="Q520" s="40">
        <f>RES_BA!T15</f>
        <v>0</v>
      </c>
      <c r="S520" s="40">
        <f>RES_BA!U15</f>
        <v>0</v>
      </c>
    </row>
    <row r="521" spans="3:19" hidden="1" outlineLevel="1" x14ac:dyDescent="0.3">
      <c r="C521" s="89" t="str">
        <f>RES_BA!D16</f>
        <v>Personnel Cadre - Other 3</v>
      </c>
      <c r="M521" s="40">
        <f>RES_BA!R16</f>
        <v>0</v>
      </c>
      <c r="O521" s="40">
        <f>RES_BA!S16</f>
        <v>0</v>
      </c>
      <c r="Q521" s="40">
        <f>RES_BA!T16</f>
        <v>0</v>
      </c>
      <c r="S521" s="40">
        <f>RES_BA!U16</f>
        <v>0</v>
      </c>
    </row>
    <row r="522" spans="3:19" hidden="1" outlineLevel="1" x14ac:dyDescent="0.3">
      <c r="C522" s="89" t="str">
        <f>RES_BA!D17</f>
        <v>Personnel Cadre - Other 4</v>
      </c>
      <c r="M522" s="40">
        <f>RES_BA!R17</f>
        <v>0</v>
      </c>
      <c r="O522" s="40">
        <f>RES_BA!S17</f>
        <v>0</v>
      </c>
      <c r="Q522" s="40">
        <f>RES_BA!T17</f>
        <v>0</v>
      </c>
      <c r="S522" s="40">
        <f>RES_BA!U17</f>
        <v>0</v>
      </c>
    </row>
    <row r="523" spans="3:19" hidden="1" outlineLevel="1" x14ac:dyDescent="0.3">
      <c r="C523" s="89" t="str">
        <f>RES_BA!D18</f>
        <v>Personnel Cadre - Other 5</v>
      </c>
      <c r="M523" s="40">
        <f>RES_BA!R18</f>
        <v>0</v>
      </c>
      <c r="O523" s="40">
        <f>RES_BA!S18</f>
        <v>0</v>
      </c>
      <c r="Q523" s="40">
        <f>RES_BA!T18</f>
        <v>0</v>
      </c>
      <c r="S523" s="40">
        <f>RES_BA!U18</f>
        <v>0</v>
      </c>
    </row>
    <row r="524" spans="3:19" hidden="1" outlineLevel="1" x14ac:dyDescent="0.3">
      <c r="C524" s="89" t="str">
        <f>RES_BA!D19</f>
        <v>Personnel Cadre - Other 6</v>
      </c>
      <c r="M524" s="40">
        <f>RES_BA!R19</f>
        <v>0</v>
      </c>
      <c r="O524" s="40">
        <f>RES_BA!S19</f>
        <v>0</v>
      </c>
      <c r="Q524" s="40">
        <f>RES_BA!T19</f>
        <v>0</v>
      </c>
      <c r="S524" s="40">
        <f>RES_BA!U19</f>
        <v>0</v>
      </c>
    </row>
    <row r="525" spans="3:19" hidden="1" outlineLevel="1" x14ac:dyDescent="0.3">
      <c r="C525" s="89" t="str">
        <f>RES_BA!D20</f>
        <v>Personnel Cadre - Other 7</v>
      </c>
      <c r="M525" s="40">
        <f>RES_BA!R20</f>
        <v>0</v>
      </c>
      <c r="O525" s="40">
        <f>RES_BA!S20</f>
        <v>0</v>
      </c>
      <c r="Q525" s="40">
        <f>RES_BA!T20</f>
        <v>0</v>
      </c>
      <c r="S525" s="40">
        <f>RES_BA!U20</f>
        <v>0</v>
      </c>
    </row>
    <row r="526" spans="3:19" hidden="1" outlineLevel="1" x14ac:dyDescent="0.3">
      <c r="C526" s="89" t="str">
        <f>RES_BA!D21</f>
        <v>Personnel Cadre - Other 8</v>
      </c>
      <c r="M526" s="40">
        <f>RES_BA!R21</f>
        <v>0</v>
      </c>
      <c r="O526" s="40">
        <f>RES_BA!S21</f>
        <v>0</v>
      </c>
      <c r="Q526" s="40">
        <f>RES_BA!T21</f>
        <v>0</v>
      </c>
      <c r="S526" s="40">
        <f>RES_BA!U21</f>
        <v>0</v>
      </c>
    </row>
    <row r="527" spans="3:19" hidden="1" outlineLevel="1" x14ac:dyDescent="0.3">
      <c r="C527" s="89" t="str">
        <f>RES_BA!D22</f>
        <v>Personnel Cadre - Other 9</v>
      </c>
      <c r="M527" s="40">
        <f>RES_BA!R22</f>
        <v>0</v>
      </c>
      <c r="O527" s="40">
        <f>RES_BA!S22</f>
        <v>0</v>
      </c>
      <c r="Q527" s="40">
        <f>RES_BA!T22</f>
        <v>0</v>
      </c>
      <c r="S527" s="40">
        <f>RES_BA!U22</f>
        <v>0</v>
      </c>
    </row>
    <row r="528" spans="3:19" hidden="1" outlineLevel="1" x14ac:dyDescent="0.3">
      <c r="C528" s="89" t="str">
        <f>RES_BA!D23</f>
        <v>Personnel Cadre - Other 10</v>
      </c>
      <c r="M528" s="40">
        <f>RES_BA!R23</f>
        <v>0</v>
      </c>
      <c r="O528" s="40">
        <f>RES_BA!S23</f>
        <v>0</v>
      </c>
      <c r="Q528" s="40">
        <f>RES_BA!T23</f>
        <v>0</v>
      </c>
      <c r="S528" s="40">
        <f>RES_BA!U23</f>
        <v>0</v>
      </c>
    </row>
    <row r="529" spans="3:19" hidden="1" outlineLevel="1" x14ac:dyDescent="0.3">
      <c r="C529" s="89" t="str">
        <f>RES_BA!D24</f>
        <v>Personnel Cadre - Other 11</v>
      </c>
      <c r="M529" s="40">
        <f>RES_BA!R24</f>
        <v>0</v>
      </c>
      <c r="O529" s="40">
        <f>RES_BA!S24</f>
        <v>0</v>
      </c>
      <c r="Q529" s="40">
        <f>RES_BA!T24</f>
        <v>0</v>
      </c>
      <c r="S529" s="40">
        <f>RES_BA!U24</f>
        <v>0</v>
      </c>
    </row>
    <row r="530" spans="3:19" hidden="1" outlineLevel="1" x14ac:dyDescent="0.3">
      <c r="C530" s="89" t="str">
        <f>RES_BA!D25</f>
        <v>Personnel Cadre - Other 12</v>
      </c>
      <c r="M530" s="40">
        <f>RES_BA!R25</f>
        <v>0</v>
      </c>
      <c r="O530" s="40">
        <f>RES_BA!S25</f>
        <v>0</v>
      </c>
      <c r="Q530" s="40">
        <f>RES_BA!T25</f>
        <v>0</v>
      </c>
      <c r="S530" s="40">
        <f>RES_BA!U25</f>
        <v>0</v>
      </c>
    </row>
    <row r="531" spans="3:19" hidden="1" outlineLevel="1" x14ac:dyDescent="0.3">
      <c r="C531" s="89" t="str">
        <f>RES_BA!D26</f>
        <v>Personnel Cadre - Other 13</v>
      </c>
      <c r="M531" s="40">
        <f>RES_BA!R26</f>
        <v>0</v>
      </c>
      <c r="O531" s="40">
        <f>RES_BA!S26</f>
        <v>0</v>
      </c>
      <c r="Q531" s="40">
        <f>RES_BA!T26</f>
        <v>0</v>
      </c>
      <c r="S531" s="40">
        <f>RES_BA!U26</f>
        <v>0</v>
      </c>
    </row>
    <row r="532" spans="3:19" hidden="1" outlineLevel="1" x14ac:dyDescent="0.3">
      <c r="C532" s="89" t="str">
        <f>RES_BA!D27</f>
        <v>Personnel Cadre - Other 14</v>
      </c>
      <c r="M532" s="40">
        <f>RES_BA!R27</f>
        <v>0</v>
      </c>
      <c r="O532" s="40">
        <f>RES_BA!S27</f>
        <v>0</v>
      </c>
      <c r="Q532" s="40">
        <f>RES_BA!T27</f>
        <v>0</v>
      </c>
      <c r="S532" s="40">
        <f>RES_BA!U27</f>
        <v>0</v>
      </c>
    </row>
    <row r="533" spans="3:19" hidden="1" outlineLevel="1" x14ac:dyDescent="0.3">
      <c r="C533" s="89" t="str">
        <f>RES_BA!D28</f>
        <v>Personnel Cadre - Other 15</v>
      </c>
      <c r="M533" s="40">
        <f>RES_BA!R28</f>
        <v>0</v>
      </c>
      <c r="O533" s="40">
        <f>RES_BA!S28</f>
        <v>0</v>
      </c>
      <c r="Q533" s="40">
        <f>RES_BA!T28</f>
        <v>0</v>
      </c>
      <c r="S533" s="40">
        <f>RES_BA!U28</f>
        <v>0</v>
      </c>
    </row>
    <row r="534" spans="3:19" s="277" customFormat="1" hidden="1" outlineLevel="1" collapsed="1" x14ac:dyDescent="0.3">
      <c r="C534" s="283" t="str">
        <f>RES_BA!D29</f>
        <v>Personnel Cadre - Other 16</v>
      </c>
      <c r="M534" s="279">
        <f>RES_BA!R29</f>
        <v>0</v>
      </c>
      <c r="O534" s="279">
        <f>RES_BA!S29</f>
        <v>0</v>
      </c>
      <c r="Q534" s="279">
        <f>RES_BA!T29</f>
        <v>0</v>
      </c>
      <c r="S534" s="279">
        <f>RES_BA!U29</f>
        <v>0</v>
      </c>
    </row>
    <row r="535" spans="3:19" s="277" customFormat="1" hidden="1" outlineLevel="1" collapsed="1" x14ac:dyDescent="0.3">
      <c r="C535" s="283" t="str">
        <f>RES_BA!D30</f>
        <v>Personnel Cadre - Other 17</v>
      </c>
      <c r="M535" s="279">
        <f>RES_BA!R30</f>
        <v>0</v>
      </c>
      <c r="O535" s="279">
        <f>RES_BA!S30</f>
        <v>0</v>
      </c>
      <c r="Q535" s="279">
        <f>RES_BA!T30</f>
        <v>0</v>
      </c>
      <c r="S535" s="279">
        <f>RES_BA!U30</f>
        <v>0</v>
      </c>
    </row>
    <row r="536" spans="3:19" s="277" customFormat="1" hidden="1" outlineLevel="1" collapsed="1" x14ac:dyDescent="0.3">
      <c r="C536" s="283" t="str">
        <f>RES_BA!D31</f>
        <v>Personnel Cadre - Other 18</v>
      </c>
      <c r="M536" s="279">
        <f>RES_BA!R31</f>
        <v>0</v>
      </c>
      <c r="O536" s="279">
        <f>RES_BA!S31</f>
        <v>0</v>
      </c>
      <c r="Q536" s="279">
        <f>RES_BA!T31</f>
        <v>0</v>
      </c>
      <c r="S536" s="279">
        <f>RES_BA!U31</f>
        <v>0</v>
      </c>
    </row>
    <row r="537" spans="3:19" s="277" customFormat="1" hidden="1" outlineLevel="1" x14ac:dyDescent="0.3">
      <c r="C537" s="283" t="str">
        <f>RES_BA!D32</f>
        <v>Personnel Cadre - Other 19</v>
      </c>
      <c r="M537" s="279">
        <f>RES_BA!R32</f>
        <v>0</v>
      </c>
      <c r="O537" s="279">
        <f>RES_BA!S32</f>
        <v>0</v>
      </c>
      <c r="Q537" s="279">
        <f>RES_BA!T32</f>
        <v>0</v>
      </c>
      <c r="S537" s="279">
        <f>RES_BA!U32</f>
        <v>0</v>
      </c>
    </row>
    <row r="538" spans="3:19" s="277" customFormat="1" hidden="1" outlineLevel="1" x14ac:dyDescent="0.3">
      <c r="C538" s="283" t="str">
        <f>RES_BA!D33</f>
        <v>Personnel Cadre - Other 20</v>
      </c>
      <c r="M538" s="279">
        <f>RES_BA!R33</f>
        <v>0</v>
      </c>
      <c r="O538" s="279">
        <f>RES_BA!S33</f>
        <v>0</v>
      </c>
      <c r="Q538" s="279">
        <f>RES_BA!T33</f>
        <v>0</v>
      </c>
      <c r="S538" s="279">
        <f>RES_BA!U33</f>
        <v>0</v>
      </c>
    </row>
    <row r="539" spans="3:19" s="277" customFormat="1" hidden="1" outlineLevel="1" collapsed="1" x14ac:dyDescent="0.3">
      <c r="C539" s="283" t="str">
        <f>RES_BA!D34</f>
        <v>Personnel Cadre - Other 21</v>
      </c>
      <c r="M539" s="279">
        <f>RES_BA!R34</f>
        <v>0</v>
      </c>
      <c r="O539" s="279">
        <f>RES_BA!S34</f>
        <v>0</v>
      </c>
      <c r="Q539" s="279">
        <f>RES_BA!T34</f>
        <v>0</v>
      </c>
      <c r="S539" s="279">
        <f>RES_BA!U34</f>
        <v>0</v>
      </c>
    </row>
    <row r="540" spans="3:19" s="277" customFormat="1" hidden="1" outlineLevel="1" x14ac:dyDescent="0.3">
      <c r="C540" s="283" t="str">
        <f>RES_BA!D35</f>
        <v>Personnel Cadre - Other 22</v>
      </c>
      <c r="M540" s="279">
        <f>RES_BA!R35</f>
        <v>0</v>
      </c>
      <c r="O540" s="279">
        <f>RES_BA!S35</f>
        <v>0</v>
      </c>
      <c r="Q540" s="279">
        <f>RES_BA!T35</f>
        <v>0</v>
      </c>
      <c r="S540" s="279">
        <f>RES_BA!U35</f>
        <v>0</v>
      </c>
    </row>
    <row r="541" spans="3:19" s="277" customFormat="1" hidden="1" outlineLevel="1" x14ac:dyDescent="0.3">
      <c r="C541" s="283" t="str">
        <f>RES_BA!D36</f>
        <v>Personnel Cadre - Other 23</v>
      </c>
      <c r="M541" s="279">
        <f>RES_BA!R36</f>
        <v>0</v>
      </c>
      <c r="O541" s="279">
        <f>RES_BA!S36</f>
        <v>0</v>
      </c>
      <c r="Q541" s="279">
        <f>RES_BA!T36</f>
        <v>0</v>
      </c>
      <c r="S541" s="279">
        <f>RES_BA!U36</f>
        <v>0</v>
      </c>
    </row>
    <row r="542" spans="3:19" s="277" customFormat="1" hidden="1" outlineLevel="1" x14ac:dyDescent="0.3">
      <c r="C542" s="283" t="str">
        <f>RES_BA!D37</f>
        <v>Personnel Cadre - Other 24</v>
      </c>
      <c r="M542" s="279">
        <f>RES_BA!R37</f>
        <v>0</v>
      </c>
      <c r="O542" s="279">
        <f>RES_BA!S37</f>
        <v>0</v>
      </c>
      <c r="Q542" s="279">
        <f>RES_BA!T37</f>
        <v>0</v>
      </c>
      <c r="S542" s="279">
        <f>RES_BA!U37</f>
        <v>0</v>
      </c>
    </row>
    <row r="543" spans="3:19" s="277" customFormat="1" hidden="1" outlineLevel="1" x14ac:dyDescent="0.3">
      <c r="C543" s="283" t="str">
        <f>RES_BA!D38</f>
        <v>Personnel Cadre - Other 25</v>
      </c>
      <c r="M543" s="279">
        <f>RES_BA!R38</f>
        <v>0</v>
      </c>
      <c r="O543" s="279">
        <f>RES_BA!S38</f>
        <v>0</v>
      </c>
      <c r="Q543" s="279">
        <f>RES_BA!T38</f>
        <v>0</v>
      </c>
      <c r="S543" s="279">
        <f>RES_BA!U38</f>
        <v>0</v>
      </c>
    </row>
    <row r="544" spans="3:19" s="277" customFormat="1" hidden="1" outlineLevel="1" x14ac:dyDescent="0.3">
      <c r="C544" s="283" t="str">
        <f>RES_BA!D39</f>
        <v>Personnel Cadre - Other 26</v>
      </c>
      <c r="M544" s="279">
        <f>RES_BA!R39</f>
        <v>0</v>
      </c>
      <c r="O544" s="279">
        <f>RES_BA!S39</f>
        <v>0</v>
      </c>
      <c r="Q544" s="279">
        <f>RES_BA!T39</f>
        <v>0</v>
      </c>
      <c r="S544" s="279">
        <f>RES_BA!U39</f>
        <v>0</v>
      </c>
    </row>
    <row r="545" spans="3:19" s="277" customFormat="1" hidden="1" outlineLevel="1" x14ac:dyDescent="0.3">
      <c r="C545" s="283" t="str">
        <f>RES_BA!D40</f>
        <v>Personnel Cadre - Other 27</v>
      </c>
      <c r="M545" s="279">
        <f>RES_BA!R40</f>
        <v>0</v>
      </c>
      <c r="O545" s="279">
        <f>RES_BA!S40</f>
        <v>0</v>
      </c>
      <c r="Q545" s="279">
        <f>RES_BA!T40</f>
        <v>0</v>
      </c>
      <c r="S545" s="279">
        <f>RES_BA!U40</f>
        <v>0</v>
      </c>
    </row>
    <row r="546" spans="3:19" s="277" customFormat="1" hidden="1" outlineLevel="1" x14ac:dyDescent="0.3">
      <c r="C546" s="283" t="str">
        <f>RES_BA!D41</f>
        <v>Personnel Cadre - Other 28</v>
      </c>
      <c r="M546" s="279">
        <f>RES_BA!R41</f>
        <v>0</v>
      </c>
      <c r="O546" s="279">
        <f>RES_BA!S41</f>
        <v>0</v>
      </c>
      <c r="Q546" s="279">
        <f>RES_BA!T41</f>
        <v>0</v>
      </c>
      <c r="S546" s="279">
        <f>RES_BA!U41</f>
        <v>0</v>
      </c>
    </row>
    <row r="547" spans="3:19" s="277" customFormat="1" hidden="1" outlineLevel="1" x14ac:dyDescent="0.3">
      <c r="C547" s="283" t="str">
        <f>RES_BA!D42</f>
        <v>Personnel Cadre - Other 29</v>
      </c>
      <c r="M547" s="279">
        <f>RES_BA!R42</f>
        <v>0</v>
      </c>
      <c r="O547" s="279">
        <f>RES_BA!S42</f>
        <v>0</v>
      </c>
      <c r="Q547" s="279">
        <f>RES_BA!T42</f>
        <v>0</v>
      </c>
      <c r="S547" s="279">
        <f>RES_BA!U42</f>
        <v>0</v>
      </c>
    </row>
    <row r="548" spans="3:19" s="277" customFormat="1" hidden="1" outlineLevel="1" x14ac:dyDescent="0.3">
      <c r="C548" s="283" t="str">
        <f>RES_BA!D43</f>
        <v>Personnel Cadre - Other 30</v>
      </c>
      <c r="M548" s="279">
        <f>RES_BA!R43</f>
        <v>0</v>
      </c>
      <c r="O548" s="279">
        <f>RES_BA!S43</f>
        <v>0</v>
      </c>
      <c r="Q548" s="279">
        <f>RES_BA!T43</f>
        <v>0</v>
      </c>
      <c r="S548" s="279">
        <f>RES_BA!U43</f>
        <v>0</v>
      </c>
    </row>
    <row r="549" spans="3:19" s="277" customFormat="1" hidden="1" outlineLevel="1" x14ac:dyDescent="0.3">
      <c r="C549" s="283" t="str">
        <f>RES_BA!D44</f>
        <v>Personnel Cadre - Other 31</v>
      </c>
      <c r="M549" s="279">
        <f>RES_BA!R44</f>
        <v>0</v>
      </c>
      <c r="O549" s="279">
        <f>RES_BA!S44</f>
        <v>0</v>
      </c>
      <c r="Q549" s="279">
        <f>RES_BA!T44</f>
        <v>0</v>
      </c>
      <c r="S549" s="279">
        <f>RES_BA!U44</f>
        <v>0</v>
      </c>
    </row>
    <row r="550" spans="3:19" s="277" customFormat="1" hidden="1" outlineLevel="1" x14ac:dyDescent="0.3">
      <c r="C550" s="283" t="str">
        <f>RES_BA!D45</f>
        <v>Personnel Cadre - Other 32</v>
      </c>
      <c r="M550" s="279">
        <f>RES_BA!R45</f>
        <v>0</v>
      </c>
      <c r="O550" s="279">
        <f>RES_BA!S45</f>
        <v>0</v>
      </c>
      <c r="Q550" s="279">
        <f>RES_BA!T45</f>
        <v>0</v>
      </c>
      <c r="S550" s="279">
        <f>RES_BA!U45</f>
        <v>0</v>
      </c>
    </row>
    <row r="551" spans="3:19" s="277" customFormat="1" hidden="1" outlineLevel="1" x14ac:dyDescent="0.3">
      <c r="C551" s="283" t="str">
        <f>RES_BA!D46</f>
        <v>Personnel Cadre - Other 33</v>
      </c>
      <c r="M551" s="279">
        <f>RES_BA!R46</f>
        <v>0</v>
      </c>
      <c r="O551" s="279">
        <f>RES_BA!S46</f>
        <v>0</v>
      </c>
      <c r="Q551" s="279">
        <f>RES_BA!T46</f>
        <v>0</v>
      </c>
      <c r="S551" s="279">
        <f>RES_BA!U46</f>
        <v>0</v>
      </c>
    </row>
    <row r="552" spans="3:19" s="277" customFormat="1" hidden="1" outlineLevel="1" x14ac:dyDescent="0.3">
      <c r="C552" s="283" t="str">
        <f>RES_BA!D47</f>
        <v>Personnel Cadre - Other 34</v>
      </c>
      <c r="M552" s="279">
        <f>RES_BA!R47</f>
        <v>0</v>
      </c>
      <c r="O552" s="279">
        <f>RES_BA!S47</f>
        <v>0</v>
      </c>
      <c r="Q552" s="279">
        <f>RES_BA!T47</f>
        <v>0</v>
      </c>
      <c r="S552" s="279">
        <f>RES_BA!U47</f>
        <v>0</v>
      </c>
    </row>
    <row r="553" spans="3:19" s="277" customFormat="1" hidden="1" outlineLevel="1" x14ac:dyDescent="0.3">
      <c r="C553" s="283" t="str">
        <f>RES_BA!D48</f>
        <v>Personnel Cadre - Other 35</v>
      </c>
      <c r="M553" s="279">
        <f>RES_BA!R48</f>
        <v>0</v>
      </c>
      <c r="O553" s="279">
        <f>RES_BA!S48</f>
        <v>0</v>
      </c>
      <c r="Q553" s="279">
        <f>RES_BA!T48</f>
        <v>0</v>
      </c>
      <c r="S553" s="279">
        <f>RES_BA!U48</f>
        <v>0</v>
      </c>
    </row>
    <row r="554" spans="3:19" hidden="1" outlineLevel="1" x14ac:dyDescent="0.3"/>
    <row r="555" spans="3:19" hidden="1" outlineLevel="1" x14ac:dyDescent="0.3">
      <c r="M555" s="40" t="str">
        <f>$D$513</f>
        <v>USD</v>
      </c>
      <c r="O555" s="40" t="str">
        <f>$D$513</f>
        <v>USD</v>
      </c>
      <c r="Q555" s="40" t="str">
        <f>$D$514</f>
        <v>GOZ</v>
      </c>
      <c r="S555" s="40" t="str">
        <f>$D$514</f>
        <v>GOZ</v>
      </c>
    </row>
    <row r="556" spans="3:19" hidden="1" outlineLevel="1" x14ac:dyDescent="0.3">
      <c r="C556" s="89" t="str">
        <f>RES_BA!D53</f>
        <v>Allowances Category 1</v>
      </c>
      <c r="M556" s="40">
        <f>RES_BA!R53</f>
        <v>0</v>
      </c>
      <c r="O556" s="40">
        <f>RES_BA!S53</f>
        <v>0</v>
      </c>
      <c r="Q556" s="40">
        <f>RES_BA!T53</f>
        <v>0</v>
      </c>
      <c r="S556" s="40">
        <f>RES_BA!U53</f>
        <v>0</v>
      </c>
    </row>
    <row r="557" spans="3:19" hidden="1" outlineLevel="1" x14ac:dyDescent="0.3">
      <c r="C557" s="89" t="str">
        <f>RES_BA!D54</f>
        <v>Allowances Category 2</v>
      </c>
      <c r="M557" s="40">
        <f>RES_BA!R54</f>
        <v>0</v>
      </c>
      <c r="O557" s="40">
        <f>RES_BA!S54</f>
        <v>0</v>
      </c>
      <c r="Q557" s="40">
        <f>RES_BA!T54</f>
        <v>0</v>
      </c>
      <c r="S557" s="40">
        <f>RES_BA!U54</f>
        <v>0</v>
      </c>
    </row>
    <row r="558" spans="3:19" hidden="1" outlineLevel="1" x14ac:dyDescent="0.3">
      <c r="C558" s="89" t="str">
        <f>RES_BA!D55</f>
        <v>Allowances Category 3</v>
      </c>
      <c r="M558" s="40">
        <f>RES_BA!R55</f>
        <v>0</v>
      </c>
      <c r="O558" s="40">
        <f>RES_BA!S55</f>
        <v>0</v>
      </c>
      <c r="Q558" s="40">
        <f>RES_BA!T55</f>
        <v>0</v>
      </c>
      <c r="S558" s="40">
        <f>RES_BA!U55</f>
        <v>0</v>
      </c>
    </row>
    <row r="559" spans="3:19" hidden="1" outlineLevel="1" x14ac:dyDescent="0.3">
      <c r="C559" s="89" t="str">
        <f>RES_BA!D56</f>
        <v>Allowances Category 4</v>
      </c>
      <c r="M559" s="40">
        <f>RES_BA!R56</f>
        <v>0</v>
      </c>
      <c r="O559" s="40">
        <f>RES_BA!S56</f>
        <v>0</v>
      </c>
      <c r="Q559" s="40">
        <f>RES_BA!T56</f>
        <v>0</v>
      </c>
      <c r="S559" s="40">
        <f>RES_BA!U56</f>
        <v>0</v>
      </c>
    </row>
    <row r="560" spans="3:19" hidden="1" outlineLevel="1" x14ac:dyDescent="0.3">
      <c r="C560" s="89" t="str">
        <f>RES_BA!D57</f>
        <v>Allowances Category 5</v>
      </c>
      <c r="M560" s="40">
        <f>RES_BA!R57</f>
        <v>0</v>
      </c>
      <c r="O560" s="40">
        <f>RES_BA!S57</f>
        <v>0</v>
      </c>
      <c r="Q560" s="40">
        <f>RES_BA!T57</f>
        <v>0</v>
      </c>
      <c r="S560" s="40">
        <f>RES_BA!U57</f>
        <v>0</v>
      </c>
    </row>
    <row r="561" spans="3:19" s="277" customFormat="1" hidden="1" outlineLevel="1" collapsed="1" x14ac:dyDescent="0.3">
      <c r="C561" s="283" t="str">
        <f>RES_BA!D58</f>
        <v>Allowances Category 6</v>
      </c>
      <c r="M561" s="279">
        <f>RES_BA!R58</f>
        <v>0</v>
      </c>
      <c r="O561" s="279">
        <f>RES_BA!S58</f>
        <v>0</v>
      </c>
      <c r="Q561" s="279">
        <f>RES_BA!T58</f>
        <v>0</v>
      </c>
      <c r="S561" s="279">
        <f>RES_BA!U58</f>
        <v>0</v>
      </c>
    </row>
    <row r="562" spans="3:19" s="277" customFormat="1" hidden="1" outlineLevel="1" x14ac:dyDescent="0.3">
      <c r="C562" s="283" t="str">
        <f>RES_BA!D59</f>
        <v>Allowances Category 7</v>
      </c>
      <c r="M562" s="279">
        <f>RES_BA!R59</f>
        <v>0</v>
      </c>
      <c r="O562" s="279">
        <f>RES_BA!S59</f>
        <v>0</v>
      </c>
      <c r="Q562" s="279">
        <f>RES_BA!T59</f>
        <v>0</v>
      </c>
      <c r="S562" s="279">
        <f>RES_BA!U59</f>
        <v>0</v>
      </c>
    </row>
    <row r="563" spans="3:19" s="277" customFormat="1" hidden="1" outlineLevel="1" x14ac:dyDescent="0.3">
      <c r="C563" s="283" t="str">
        <f>RES_BA!D60</f>
        <v>Allowances Category 8</v>
      </c>
      <c r="M563" s="279">
        <f>RES_BA!R60</f>
        <v>0</v>
      </c>
      <c r="O563" s="279">
        <f>RES_BA!S60</f>
        <v>0</v>
      </c>
      <c r="Q563" s="279">
        <f>RES_BA!T60</f>
        <v>0</v>
      </c>
      <c r="S563" s="279">
        <f>RES_BA!U60</f>
        <v>0</v>
      </c>
    </row>
    <row r="564" spans="3:19" s="277" customFormat="1" hidden="1" outlineLevel="1" x14ac:dyDescent="0.3">
      <c r="C564" s="283" t="str">
        <f>RES_BA!D61</f>
        <v>Allowances Category 9</v>
      </c>
      <c r="M564" s="279">
        <f>RES_BA!R61</f>
        <v>0</v>
      </c>
      <c r="O564" s="279">
        <f>RES_BA!S61</f>
        <v>0</v>
      </c>
      <c r="Q564" s="279">
        <f>RES_BA!T61</f>
        <v>0</v>
      </c>
      <c r="S564" s="279">
        <f>RES_BA!U61</f>
        <v>0</v>
      </c>
    </row>
    <row r="565" spans="3:19" s="277" customFormat="1" hidden="1" outlineLevel="1" x14ac:dyDescent="0.3">
      <c r="C565" s="283" t="str">
        <f>RES_BA!D62</f>
        <v>Allowances Category 10</v>
      </c>
      <c r="M565" s="279">
        <f>RES_BA!R62</f>
        <v>0</v>
      </c>
      <c r="O565" s="279">
        <f>RES_BA!S62</f>
        <v>0</v>
      </c>
      <c r="Q565" s="279">
        <f>RES_BA!T62</f>
        <v>0</v>
      </c>
      <c r="S565" s="279">
        <f>RES_BA!U62</f>
        <v>0</v>
      </c>
    </row>
    <row r="566" spans="3:19" s="277" customFormat="1" hidden="1" outlineLevel="1" x14ac:dyDescent="0.3">
      <c r="C566" s="283" t="str">
        <f>RES_BA!D63</f>
        <v>Allowances Category 11</v>
      </c>
      <c r="M566" s="279">
        <f>RES_BA!R63</f>
        <v>0</v>
      </c>
      <c r="O566" s="279">
        <f>RES_BA!S63</f>
        <v>0</v>
      </c>
      <c r="Q566" s="279">
        <f>RES_BA!T63</f>
        <v>0</v>
      </c>
      <c r="S566" s="279">
        <f>RES_BA!U63</f>
        <v>0</v>
      </c>
    </row>
    <row r="567" spans="3:19" s="277" customFormat="1" hidden="1" outlineLevel="1" x14ac:dyDescent="0.3">
      <c r="C567" s="283" t="str">
        <f>RES_BA!D64</f>
        <v>Allowances Category 12</v>
      </c>
      <c r="M567" s="279">
        <f>RES_BA!R64</f>
        <v>0</v>
      </c>
      <c r="O567" s="279">
        <f>RES_BA!S64</f>
        <v>0</v>
      </c>
      <c r="Q567" s="279">
        <f>RES_BA!T64</f>
        <v>0</v>
      </c>
      <c r="S567" s="279">
        <f>RES_BA!U64</f>
        <v>0</v>
      </c>
    </row>
    <row r="568" spans="3:19" s="277" customFormat="1" hidden="1" outlineLevel="1" x14ac:dyDescent="0.3">
      <c r="C568" s="283" t="str">
        <f>RES_BA!D65</f>
        <v>Allowances Category 13</v>
      </c>
      <c r="M568" s="279">
        <f>RES_BA!R65</f>
        <v>0</v>
      </c>
      <c r="O568" s="279">
        <f>RES_BA!S65</f>
        <v>0</v>
      </c>
      <c r="Q568" s="279">
        <f>RES_BA!T65</f>
        <v>0</v>
      </c>
      <c r="S568" s="279">
        <f>RES_BA!U65</f>
        <v>0</v>
      </c>
    </row>
    <row r="569" spans="3:19" s="277" customFormat="1" hidden="1" outlineLevel="1" x14ac:dyDescent="0.3">
      <c r="C569" s="283" t="str">
        <f>RES_BA!D66</f>
        <v>Allowances Category 14</v>
      </c>
      <c r="M569" s="279">
        <f>RES_BA!R66</f>
        <v>0</v>
      </c>
      <c r="O569" s="279">
        <f>RES_BA!S66</f>
        <v>0</v>
      </c>
      <c r="Q569" s="279">
        <f>RES_BA!T66</f>
        <v>0</v>
      </c>
      <c r="S569" s="279">
        <f>RES_BA!U66</f>
        <v>0</v>
      </c>
    </row>
    <row r="570" spans="3:19" s="277" customFormat="1" hidden="1" outlineLevel="1" x14ac:dyDescent="0.3">
      <c r="C570" s="283" t="str">
        <f>RES_BA!D67</f>
        <v>Allowances Category 15</v>
      </c>
      <c r="M570" s="279">
        <f>RES_BA!R67</f>
        <v>0</v>
      </c>
      <c r="O570" s="279">
        <f>RES_BA!S67</f>
        <v>0</v>
      </c>
      <c r="Q570" s="279">
        <f>RES_BA!T67</f>
        <v>0</v>
      </c>
      <c r="S570" s="279">
        <f>RES_BA!U67</f>
        <v>0</v>
      </c>
    </row>
    <row r="571" spans="3:19" s="277" customFormat="1" hidden="1" outlineLevel="1" x14ac:dyDescent="0.3">
      <c r="C571" s="283" t="str">
        <f>RES_BA!D68</f>
        <v>Allowances Category 16</v>
      </c>
      <c r="M571" s="279">
        <f>RES_BA!R68</f>
        <v>0</v>
      </c>
      <c r="O571" s="279">
        <f>RES_BA!S68</f>
        <v>0</v>
      </c>
      <c r="Q571" s="279">
        <f>RES_BA!T68</f>
        <v>0</v>
      </c>
      <c r="S571" s="279">
        <f>RES_BA!U68</f>
        <v>0</v>
      </c>
    </row>
    <row r="572" spans="3:19" hidden="1" outlineLevel="1" x14ac:dyDescent="0.3">
      <c r="C572" s="89" t="str">
        <f>RES_BA!D69</f>
        <v>Allowances Category 17</v>
      </c>
      <c r="M572" s="40">
        <f>RES_BA!R69</f>
        <v>0</v>
      </c>
      <c r="O572" s="40">
        <f>RES_BA!S69</f>
        <v>0</v>
      </c>
      <c r="Q572" s="40">
        <f>RES_BA!T69</f>
        <v>0</v>
      </c>
      <c r="S572" s="40">
        <f>RES_BA!U69</f>
        <v>0</v>
      </c>
    </row>
    <row r="573" spans="3:19" hidden="1" outlineLevel="1" x14ac:dyDescent="0.3">
      <c r="C573" s="89" t="str">
        <f>RES_BA!D70</f>
        <v>Allowances Category 18</v>
      </c>
      <c r="M573" s="40">
        <f>RES_BA!R70</f>
        <v>0</v>
      </c>
      <c r="O573" s="40">
        <f>RES_BA!S70</f>
        <v>0</v>
      </c>
      <c r="Q573" s="40">
        <f>RES_BA!T70</f>
        <v>0</v>
      </c>
      <c r="S573" s="40">
        <f>RES_BA!U70</f>
        <v>0</v>
      </c>
    </row>
    <row r="574" spans="3:19" hidden="1" outlineLevel="1" x14ac:dyDescent="0.3">
      <c r="C574" s="89" t="str">
        <f>RES_BA!D71</f>
        <v>Allowances Category 19</v>
      </c>
      <c r="M574" s="40">
        <f>RES_BA!R71</f>
        <v>0</v>
      </c>
      <c r="O574" s="40">
        <f>RES_BA!S71</f>
        <v>0</v>
      </c>
      <c r="Q574" s="40">
        <f>RES_BA!T71</f>
        <v>0</v>
      </c>
      <c r="S574" s="40">
        <f>RES_BA!U71</f>
        <v>0</v>
      </c>
    </row>
    <row r="575" spans="3:19" hidden="1" outlineLevel="1" x14ac:dyDescent="0.3">
      <c r="C575" s="89" t="str">
        <f>RES_BA!D72</f>
        <v>Allowances Category 20</v>
      </c>
      <c r="M575" s="40">
        <f>RES_BA!R72</f>
        <v>0</v>
      </c>
      <c r="O575" s="40">
        <f>RES_BA!S72</f>
        <v>0</v>
      </c>
      <c r="Q575" s="40">
        <f>RES_BA!T72</f>
        <v>0</v>
      </c>
      <c r="S575" s="40">
        <f>RES_BA!U72</f>
        <v>0</v>
      </c>
    </row>
    <row r="576" spans="3:19" hidden="1" outlineLevel="1" x14ac:dyDescent="0.3">
      <c r="C576" s="89" t="str">
        <f>RES_BA!D73</f>
        <v>Allowances Category 21</v>
      </c>
      <c r="M576" s="40">
        <f>RES_BA!R73</f>
        <v>0</v>
      </c>
      <c r="O576" s="40">
        <f>RES_BA!S73</f>
        <v>0</v>
      </c>
      <c r="Q576" s="40">
        <f>RES_BA!T73</f>
        <v>0</v>
      </c>
      <c r="S576" s="40">
        <f>RES_BA!U73</f>
        <v>0</v>
      </c>
    </row>
    <row r="577" spans="3:19" hidden="1" outlineLevel="1" x14ac:dyDescent="0.3">
      <c r="C577" s="89" t="str">
        <f>RES_BA!D74</f>
        <v>Allowances Category 22</v>
      </c>
      <c r="M577" s="40">
        <f>RES_BA!R74</f>
        <v>0</v>
      </c>
      <c r="O577" s="40">
        <f>RES_BA!S74</f>
        <v>0</v>
      </c>
      <c r="Q577" s="40">
        <f>RES_BA!T74</f>
        <v>0</v>
      </c>
      <c r="S577" s="40">
        <f>RES_BA!U74</f>
        <v>0</v>
      </c>
    </row>
    <row r="578" spans="3:19" hidden="1" outlineLevel="1" x14ac:dyDescent="0.3">
      <c r="C578" s="89" t="str">
        <f>RES_BA!D75</f>
        <v>Allowances Category 23</v>
      </c>
      <c r="M578" s="40">
        <f>RES_BA!R75</f>
        <v>0</v>
      </c>
      <c r="O578" s="40">
        <f>RES_BA!S75</f>
        <v>0</v>
      </c>
      <c r="Q578" s="40">
        <f>RES_BA!T75</f>
        <v>0</v>
      </c>
      <c r="S578" s="40">
        <f>RES_BA!U75</f>
        <v>0</v>
      </c>
    </row>
    <row r="579" spans="3:19" s="277" customFormat="1" hidden="1" outlineLevel="1" collapsed="1" x14ac:dyDescent="0.3">
      <c r="C579" s="283" t="str">
        <f>RES_BA!D76</f>
        <v>Allowances Category 24</v>
      </c>
      <c r="M579" s="279">
        <f>RES_BA!R76</f>
        <v>0</v>
      </c>
      <c r="O579" s="279">
        <f>RES_BA!S76</f>
        <v>0</v>
      </c>
      <c r="Q579" s="279">
        <f>RES_BA!T76</f>
        <v>0</v>
      </c>
      <c r="S579" s="279">
        <f>RES_BA!U76</f>
        <v>0</v>
      </c>
    </row>
    <row r="580" spans="3:19" s="277" customFormat="1" hidden="1" outlineLevel="1" x14ac:dyDescent="0.3">
      <c r="C580" s="283" t="str">
        <f>RES_BA!D77</f>
        <v>Allowances Category 25</v>
      </c>
      <c r="M580" s="279">
        <f>RES_BA!R77</f>
        <v>0</v>
      </c>
      <c r="O580" s="279">
        <f>RES_BA!S77</f>
        <v>0</v>
      </c>
      <c r="Q580" s="279">
        <f>RES_BA!T77</f>
        <v>0</v>
      </c>
      <c r="S580" s="279">
        <f>RES_BA!U77</f>
        <v>0</v>
      </c>
    </row>
    <row r="581" spans="3:19" s="277" customFormat="1" hidden="1" outlineLevel="1" x14ac:dyDescent="0.3">
      <c r="C581" s="283" t="str">
        <f>RES_BA!D78</f>
        <v>Allowances Category 26</v>
      </c>
      <c r="M581" s="279">
        <f>RES_BA!R78</f>
        <v>0</v>
      </c>
      <c r="O581" s="279">
        <f>RES_BA!S78</f>
        <v>0</v>
      </c>
      <c r="Q581" s="279">
        <f>RES_BA!T78</f>
        <v>0</v>
      </c>
      <c r="S581" s="279">
        <f>RES_BA!U78</f>
        <v>0</v>
      </c>
    </row>
    <row r="582" spans="3:19" s="277" customFormat="1" hidden="1" outlineLevel="1" x14ac:dyDescent="0.3">
      <c r="C582" s="283" t="str">
        <f>RES_BA!D79</f>
        <v>Allowances Category 27</v>
      </c>
      <c r="M582" s="279">
        <f>RES_BA!R79</f>
        <v>0</v>
      </c>
      <c r="O582" s="279">
        <f>RES_BA!S79</f>
        <v>0</v>
      </c>
      <c r="Q582" s="279">
        <f>RES_BA!T79</f>
        <v>0</v>
      </c>
      <c r="S582" s="279">
        <f>RES_BA!U79</f>
        <v>0</v>
      </c>
    </row>
    <row r="583" spans="3:19" s="277" customFormat="1" hidden="1" outlineLevel="1" x14ac:dyDescent="0.3">
      <c r="C583" s="283" t="str">
        <f>RES_BA!D80</f>
        <v>Allowances Category 28</v>
      </c>
      <c r="M583" s="279">
        <f>RES_BA!R80</f>
        <v>0</v>
      </c>
      <c r="O583" s="279">
        <f>RES_BA!S80</f>
        <v>0</v>
      </c>
      <c r="Q583" s="279">
        <f>RES_BA!T80</f>
        <v>0</v>
      </c>
      <c r="S583" s="279">
        <f>RES_BA!U80</f>
        <v>0</v>
      </c>
    </row>
    <row r="584" spans="3:19" s="277" customFormat="1" hidden="1" outlineLevel="1" x14ac:dyDescent="0.3">
      <c r="C584" s="283" t="str">
        <f>RES_BA!D81</f>
        <v>Allowances Category 29</v>
      </c>
      <c r="M584" s="279">
        <f>RES_BA!R81</f>
        <v>0</v>
      </c>
      <c r="O584" s="279">
        <f>RES_BA!S81</f>
        <v>0</v>
      </c>
      <c r="Q584" s="279">
        <f>RES_BA!T81</f>
        <v>0</v>
      </c>
      <c r="S584" s="279">
        <f>RES_BA!U81</f>
        <v>0</v>
      </c>
    </row>
    <row r="585" spans="3:19" s="277" customFormat="1" hidden="1" outlineLevel="1" x14ac:dyDescent="0.3">
      <c r="C585" s="283" t="str">
        <f>RES_BA!D82</f>
        <v>Allowances Category 30</v>
      </c>
      <c r="M585" s="279">
        <f>RES_BA!R82</f>
        <v>0</v>
      </c>
      <c r="O585" s="279">
        <f>RES_BA!S82</f>
        <v>0</v>
      </c>
      <c r="Q585" s="279">
        <f>RES_BA!T82</f>
        <v>0</v>
      </c>
      <c r="S585" s="279">
        <f>RES_BA!U82</f>
        <v>0</v>
      </c>
    </row>
    <row r="586" spans="3:19" hidden="1" outlineLevel="1" x14ac:dyDescent="0.3">
      <c r="C586" s="89" t="str">
        <f>RES_BA!D83</f>
        <v>Allowances Category 31</v>
      </c>
      <c r="M586" s="40">
        <f>RES_BA!R83</f>
        <v>0</v>
      </c>
      <c r="O586" s="40">
        <f>RES_BA!S83</f>
        <v>0</v>
      </c>
      <c r="Q586" s="40">
        <f>RES_BA!T83</f>
        <v>0</v>
      </c>
      <c r="S586" s="40">
        <f>RES_BA!U83</f>
        <v>0</v>
      </c>
    </row>
    <row r="587" spans="3:19" hidden="1" outlineLevel="1" x14ac:dyDescent="0.3">
      <c r="C587" s="89" t="str">
        <f>RES_BA!D84</f>
        <v>Allowances Category 32</v>
      </c>
      <c r="M587" s="40">
        <f>RES_BA!R84</f>
        <v>0</v>
      </c>
      <c r="O587" s="40">
        <f>RES_BA!S84</f>
        <v>0</v>
      </c>
      <c r="Q587" s="40">
        <f>RES_BA!T84</f>
        <v>0</v>
      </c>
      <c r="S587" s="40">
        <f>RES_BA!U84</f>
        <v>0</v>
      </c>
    </row>
    <row r="588" spans="3:19" hidden="1" outlineLevel="1" x14ac:dyDescent="0.3">
      <c r="C588" s="89" t="str">
        <f>RES_BA!D85</f>
        <v>Allowances Category 33</v>
      </c>
      <c r="M588" s="40">
        <f>RES_BA!R85</f>
        <v>0</v>
      </c>
      <c r="O588" s="40">
        <f>RES_BA!S85</f>
        <v>0</v>
      </c>
      <c r="Q588" s="40">
        <f>RES_BA!T85</f>
        <v>0</v>
      </c>
      <c r="S588" s="40">
        <f>RES_BA!U85</f>
        <v>0</v>
      </c>
    </row>
    <row r="589" spans="3:19" hidden="1" outlineLevel="1" x14ac:dyDescent="0.3">
      <c r="C589" s="89" t="str">
        <f>RES_BA!D86</f>
        <v>Allowances Category 34</v>
      </c>
      <c r="M589" s="40">
        <f>RES_BA!R86</f>
        <v>0</v>
      </c>
      <c r="O589" s="40">
        <f>RES_BA!S86</f>
        <v>0</v>
      </c>
      <c r="Q589" s="40">
        <f>RES_BA!T86</f>
        <v>0</v>
      </c>
      <c r="S589" s="40">
        <f>RES_BA!U86</f>
        <v>0</v>
      </c>
    </row>
    <row r="590" spans="3:19" hidden="1" outlineLevel="1" x14ac:dyDescent="0.3">
      <c r="C590" s="89" t="str">
        <f>RES_BA!D87</f>
        <v>Allowances Category 35</v>
      </c>
      <c r="M590" s="40">
        <f>RES_BA!R87</f>
        <v>0</v>
      </c>
      <c r="O590" s="40">
        <f>RES_BA!S87</f>
        <v>0</v>
      </c>
      <c r="Q590" s="40">
        <f>RES_BA!T87</f>
        <v>0</v>
      </c>
      <c r="S590" s="40">
        <f>RES_BA!U87</f>
        <v>0</v>
      </c>
    </row>
    <row r="591" spans="3:19" hidden="1" outlineLevel="1" x14ac:dyDescent="0.3"/>
    <row r="592" spans="3:19" hidden="1" outlineLevel="1" x14ac:dyDescent="0.3"/>
    <row r="593" spans="3:19" hidden="1" outlineLevel="1" x14ac:dyDescent="0.3">
      <c r="M593" s="40" t="str">
        <f>$D$513</f>
        <v>USD</v>
      </c>
      <c r="O593" s="40" t="str">
        <f>$D$513</f>
        <v>USD</v>
      </c>
      <c r="Q593" s="40" t="str">
        <f>$D$514</f>
        <v>GOZ</v>
      </c>
      <c r="S593" s="40" t="str">
        <f>$D$514</f>
        <v>GOZ</v>
      </c>
    </row>
    <row r="594" spans="3:19" hidden="1" outlineLevel="1" x14ac:dyDescent="0.3">
      <c r="C594" s="89" t="str">
        <f>RES_BA!D91</f>
        <v>Supplies Category 1</v>
      </c>
      <c r="M594" s="40">
        <f>RES_BA!R91</f>
        <v>0</v>
      </c>
      <c r="O594" s="40">
        <f>RES_BA!S91</f>
        <v>0</v>
      </c>
      <c r="Q594" s="40">
        <f>RES_BA!T91</f>
        <v>0</v>
      </c>
      <c r="S594" s="40">
        <f>RES_BA!U91</f>
        <v>0</v>
      </c>
    </row>
    <row r="595" spans="3:19" hidden="1" outlineLevel="1" x14ac:dyDescent="0.3">
      <c r="C595" s="89" t="str">
        <f>RES_BA!D92</f>
        <v>Supplies Category 2</v>
      </c>
      <c r="M595" s="40">
        <f>RES_BA!R92</f>
        <v>0</v>
      </c>
      <c r="O595" s="40">
        <f>RES_BA!S92</f>
        <v>0</v>
      </c>
      <c r="Q595" s="40">
        <f>RES_BA!T92</f>
        <v>0</v>
      </c>
      <c r="S595" s="40">
        <f>RES_BA!U92</f>
        <v>0</v>
      </c>
    </row>
    <row r="596" spans="3:19" hidden="1" outlineLevel="1" x14ac:dyDescent="0.3">
      <c r="C596" s="89" t="str">
        <f>RES_BA!D93</f>
        <v>Supplies Category 3</v>
      </c>
      <c r="M596" s="40">
        <f>RES_BA!R93</f>
        <v>0</v>
      </c>
      <c r="O596" s="40">
        <f>RES_BA!S93</f>
        <v>0</v>
      </c>
      <c r="Q596" s="40">
        <f>RES_BA!T93</f>
        <v>0</v>
      </c>
      <c r="S596" s="40">
        <f>RES_BA!U93</f>
        <v>0</v>
      </c>
    </row>
    <row r="597" spans="3:19" hidden="1" outlineLevel="1" x14ac:dyDescent="0.3">
      <c r="C597" s="89" t="str">
        <f>RES_BA!D94</f>
        <v>Supplies Category 4</v>
      </c>
      <c r="M597" s="40">
        <f>RES_BA!R94</f>
        <v>0</v>
      </c>
      <c r="O597" s="40">
        <f>RES_BA!S94</f>
        <v>0</v>
      </c>
      <c r="Q597" s="40">
        <f>RES_BA!T94</f>
        <v>0</v>
      </c>
      <c r="S597" s="40">
        <f>RES_BA!U94</f>
        <v>0</v>
      </c>
    </row>
    <row r="598" spans="3:19" hidden="1" outlineLevel="1" x14ac:dyDescent="0.3">
      <c r="C598" s="89" t="str">
        <f>RES_BA!D95</f>
        <v>Supplies Category 5</v>
      </c>
      <c r="M598" s="40">
        <f>RES_BA!R95</f>
        <v>0</v>
      </c>
      <c r="O598" s="40">
        <f>RES_BA!S95</f>
        <v>0</v>
      </c>
      <c r="Q598" s="40">
        <f>RES_BA!T95</f>
        <v>0</v>
      </c>
      <c r="S598" s="40">
        <f>RES_BA!U95</f>
        <v>0</v>
      </c>
    </row>
    <row r="599" spans="3:19" hidden="1" outlineLevel="1" x14ac:dyDescent="0.3">
      <c r="C599" s="89" t="str">
        <f>RES_BA!D96</f>
        <v>Supplies Category 6</v>
      </c>
      <c r="M599" s="40">
        <f>RES_BA!R96</f>
        <v>0</v>
      </c>
      <c r="O599" s="40">
        <f>RES_BA!S96</f>
        <v>0</v>
      </c>
      <c r="Q599" s="40">
        <f>RES_BA!T96</f>
        <v>0</v>
      </c>
      <c r="S599" s="40">
        <f>RES_BA!U96</f>
        <v>0</v>
      </c>
    </row>
    <row r="600" spans="3:19" hidden="1" outlineLevel="1" x14ac:dyDescent="0.3">
      <c r="C600" s="89" t="str">
        <f>RES_BA!D97</f>
        <v>Supplies Category 7</v>
      </c>
      <c r="M600" s="40">
        <f>RES_BA!R97</f>
        <v>0</v>
      </c>
      <c r="O600" s="40">
        <f>RES_BA!S97</f>
        <v>0</v>
      </c>
      <c r="Q600" s="40">
        <f>RES_BA!T97</f>
        <v>0</v>
      </c>
      <c r="S600" s="40">
        <f>RES_BA!U97</f>
        <v>0</v>
      </c>
    </row>
    <row r="601" spans="3:19" hidden="1" outlineLevel="1" x14ac:dyDescent="0.3">
      <c r="C601" s="89" t="str">
        <f>RES_BA!D98</f>
        <v>Supplies Category 8</v>
      </c>
      <c r="M601" s="40">
        <f>RES_BA!R98</f>
        <v>0</v>
      </c>
      <c r="O601" s="40">
        <f>RES_BA!S98</f>
        <v>0</v>
      </c>
      <c r="Q601" s="40">
        <f>RES_BA!T98</f>
        <v>0</v>
      </c>
      <c r="S601" s="40">
        <f>RES_BA!U98</f>
        <v>0</v>
      </c>
    </row>
    <row r="602" spans="3:19" hidden="1" outlineLevel="1" x14ac:dyDescent="0.3">
      <c r="C602" s="89" t="str">
        <f>RES_BA!D99</f>
        <v>Supplies Category 9</v>
      </c>
      <c r="M602" s="40">
        <f>RES_BA!R99</f>
        <v>0</v>
      </c>
      <c r="O602" s="40">
        <f>RES_BA!S99</f>
        <v>0</v>
      </c>
      <c r="Q602" s="40">
        <f>RES_BA!T99</f>
        <v>0</v>
      </c>
      <c r="S602" s="40">
        <f>RES_BA!U99</f>
        <v>0</v>
      </c>
    </row>
    <row r="603" spans="3:19" hidden="1" outlineLevel="1" x14ac:dyDescent="0.3">
      <c r="C603" s="89" t="str">
        <f>RES_BA!D100</f>
        <v>Supplies Category 10</v>
      </c>
      <c r="M603" s="40">
        <f>RES_BA!R100</f>
        <v>0</v>
      </c>
      <c r="O603" s="40">
        <f>RES_BA!S100</f>
        <v>0</v>
      </c>
      <c r="Q603" s="40">
        <f>RES_BA!T100</f>
        <v>0</v>
      </c>
      <c r="S603" s="40">
        <f>RES_BA!U100</f>
        <v>0</v>
      </c>
    </row>
    <row r="604" spans="3:19" hidden="1" outlineLevel="1" x14ac:dyDescent="0.3">
      <c r="C604" s="89" t="str">
        <f>RES_BA!D101</f>
        <v>Supplies Category 11</v>
      </c>
      <c r="M604" s="40">
        <f>RES_BA!R101</f>
        <v>0</v>
      </c>
      <c r="O604" s="40">
        <f>RES_BA!S101</f>
        <v>0</v>
      </c>
      <c r="Q604" s="40">
        <f>RES_BA!T101</f>
        <v>0</v>
      </c>
      <c r="S604" s="40">
        <f>RES_BA!U101</f>
        <v>0</v>
      </c>
    </row>
    <row r="605" spans="3:19" hidden="1" outlineLevel="1" x14ac:dyDescent="0.3">
      <c r="C605" s="89" t="str">
        <f>RES_BA!D102</f>
        <v>Supplies Category 12</v>
      </c>
      <c r="M605" s="40">
        <f>RES_BA!R102</f>
        <v>0</v>
      </c>
      <c r="O605" s="40">
        <f>RES_BA!S102</f>
        <v>0</v>
      </c>
      <c r="Q605" s="40">
        <f>RES_BA!T102</f>
        <v>0</v>
      </c>
      <c r="S605" s="40">
        <f>RES_BA!U102</f>
        <v>0</v>
      </c>
    </row>
    <row r="606" spans="3:19" hidden="1" outlineLevel="1" x14ac:dyDescent="0.3">
      <c r="C606" s="89" t="str">
        <f>RES_BA!D103</f>
        <v>Supplies Category 13</v>
      </c>
      <c r="M606" s="40">
        <f>RES_BA!R103</f>
        <v>0</v>
      </c>
      <c r="O606" s="40">
        <f>RES_BA!S103</f>
        <v>0</v>
      </c>
      <c r="Q606" s="40">
        <f>RES_BA!T103</f>
        <v>0</v>
      </c>
      <c r="S606" s="40">
        <f>RES_BA!U103</f>
        <v>0</v>
      </c>
    </row>
    <row r="607" spans="3:19" hidden="1" outlineLevel="1" x14ac:dyDescent="0.3">
      <c r="C607" s="89" t="str">
        <f>RES_BA!D104</f>
        <v>Supplies Category 14</v>
      </c>
      <c r="M607" s="40">
        <f>RES_BA!R104</f>
        <v>0</v>
      </c>
      <c r="O607" s="40">
        <f>RES_BA!S104</f>
        <v>0</v>
      </c>
      <c r="Q607" s="40">
        <f>RES_BA!T104</f>
        <v>0</v>
      </c>
      <c r="S607" s="40">
        <f>RES_BA!U104</f>
        <v>0</v>
      </c>
    </row>
    <row r="608" spans="3:19" hidden="1" outlineLevel="1" x14ac:dyDescent="0.3">
      <c r="C608" s="89" t="str">
        <f>RES_BA!D105</f>
        <v>Supplies Category 15</v>
      </c>
      <c r="M608" s="40">
        <f>RES_BA!R105</f>
        <v>0</v>
      </c>
      <c r="O608" s="40">
        <f>RES_BA!S105</f>
        <v>0</v>
      </c>
      <c r="Q608" s="40">
        <f>RES_BA!T105</f>
        <v>0</v>
      </c>
      <c r="S608" s="40">
        <f>RES_BA!U105</f>
        <v>0</v>
      </c>
    </row>
    <row r="609" spans="3:19" hidden="1" outlineLevel="1" x14ac:dyDescent="0.3">
      <c r="C609" s="89" t="str">
        <f>RES_BA!D106</f>
        <v>Supplies Category 16</v>
      </c>
      <c r="M609" s="40">
        <f>RES_BA!R106</f>
        <v>0</v>
      </c>
      <c r="O609" s="40">
        <f>RES_BA!S106</f>
        <v>0</v>
      </c>
      <c r="Q609" s="40">
        <f>RES_BA!T106</f>
        <v>0</v>
      </c>
      <c r="S609" s="40">
        <f>RES_BA!U106</f>
        <v>0</v>
      </c>
    </row>
    <row r="610" spans="3:19" s="277" customFormat="1" hidden="1" outlineLevel="1" collapsed="1" x14ac:dyDescent="0.3">
      <c r="C610" s="283" t="str">
        <f>RES_BA!D107</f>
        <v>Supplies Category 17</v>
      </c>
      <c r="M610" s="279">
        <f>RES_BA!R107</f>
        <v>0</v>
      </c>
      <c r="O610" s="279">
        <f>RES_BA!S107</f>
        <v>0</v>
      </c>
      <c r="Q610" s="279">
        <f>RES_BA!T107</f>
        <v>0</v>
      </c>
      <c r="S610" s="279">
        <f>RES_BA!U107</f>
        <v>0</v>
      </c>
    </row>
    <row r="611" spans="3:19" s="277" customFormat="1" hidden="1" outlineLevel="1" x14ac:dyDescent="0.3">
      <c r="C611" s="283" t="str">
        <f>RES_BA!D108</f>
        <v>Supplies Category 18</v>
      </c>
      <c r="M611" s="279">
        <f>RES_BA!R108</f>
        <v>0</v>
      </c>
      <c r="O611" s="279">
        <f>RES_BA!S108</f>
        <v>0</v>
      </c>
      <c r="Q611" s="279">
        <f>RES_BA!T108</f>
        <v>0</v>
      </c>
      <c r="S611" s="279">
        <f>RES_BA!U108</f>
        <v>0</v>
      </c>
    </row>
    <row r="612" spans="3:19" s="277" customFormat="1" hidden="1" outlineLevel="1" x14ac:dyDescent="0.3">
      <c r="C612" s="283" t="str">
        <f>RES_BA!D109</f>
        <v>Supplies Category 19</v>
      </c>
      <c r="M612" s="279">
        <f>RES_BA!R109</f>
        <v>0</v>
      </c>
      <c r="O612" s="279">
        <f>RES_BA!S109</f>
        <v>0</v>
      </c>
      <c r="Q612" s="279">
        <f>RES_BA!T109</f>
        <v>0</v>
      </c>
      <c r="S612" s="279">
        <f>RES_BA!U109</f>
        <v>0</v>
      </c>
    </row>
    <row r="613" spans="3:19" s="277" customFormat="1" hidden="1" outlineLevel="1" x14ac:dyDescent="0.3">
      <c r="C613" s="283" t="str">
        <f>RES_BA!D110</f>
        <v>Supplies Category 20</v>
      </c>
      <c r="M613" s="279">
        <f>RES_BA!R110</f>
        <v>0</v>
      </c>
      <c r="O613" s="279">
        <f>RES_BA!S110</f>
        <v>0</v>
      </c>
      <c r="Q613" s="279">
        <f>RES_BA!T110</f>
        <v>0</v>
      </c>
      <c r="S613" s="279">
        <f>RES_BA!U110</f>
        <v>0</v>
      </c>
    </row>
    <row r="614" spans="3:19" s="277" customFormat="1" hidden="1" outlineLevel="1" x14ac:dyDescent="0.3">
      <c r="C614" s="283" t="str">
        <f>RES_BA!D111</f>
        <v>Supplies Category 21</v>
      </c>
      <c r="M614" s="279">
        <f>RES_BA!R111</f>
        <v>0</v>
      </c>
      <c r="O614" s="279">
        <f>RES_BA!S111</f>
        <v>0</v>
      </c>
      <c r="Q614" s="279">
        <f>RES_BA!T111</f>
        <v>0</v>
      </c>
      <c r="S614" s="279">
        <f>RES_BA!U111</f>
        <v>0</v>
      </c>
    </row>
    <row r="615" spans="3:19" s="277" customFormat="1" hidden="1" outlineLevel="1" x14ac:dyDescent="0.3">
      <c r="C615" s="283" t="str">
        <f>RES_BA!D112</f>
        <v>Supplies Category 22</v>
      </c>
      <c r="M615" s="279">
        <f>RES_BA!R112</f>
        <v>0</v>
      </c>
      <c r="O615" s="279">
        <f>RES_BA!S112</f>
        <v>0</v>
      </c>
      <c r="Q615" s="279">
        <f>RES_BA!T112</f>
        <v>0</v>
      </c>
      <c r="S615" s="279">
        <f>RES_BA!U112</f>
        <v>0</v>
      </c>
    </row>
    <row r="616" spans="3:19" s="277" customFormat="1" hidden="1" outlineLevel="1" x14ac:dyDescent="0.3">
      <c r="C616" s="283" t="str">
        <f>RES_BA!D113</f>
        <v>Supplies Category 23</v>
      </c>
      <c r="M616" s="279">
        <f>RES_BA!R113</f>
        <v>0</v>
      </c>
      <c r="O616" s="279">
        <f>RES_BA!S113</f>
        <v>0</v>
      </c>
      <c r="Q616" s="279">
        <f>RES_BA!T113</f>
        <v>0</v>
      </c>
      <c r="S616" s="279">
        <f>RES_BA!U113</f>
        <v>0</v>
      </c>
    </row>
    <row r="617" spans="3:19" s="277" customFormat="1" hidden="1" outlineLevel="1" x14ac:dyDescent="0.3">
      <c r="C617" s="283" t="str">
        <f>RES_BA!D114</f>
        <v>Supplies Category 24</v>
      </c>
      <c r="M617" s="279">
        <f>RES_BA!R114</f>
        <v>0</v>
      </c>
      <c r="O617" s="279">
        <f>RES_BA!S114</f>
        <v>0</v>
      </c>
      <c r="Q617" s="279">
        <f>RES_BA!T114</f>
        <v>0</v>
      </c>
      <c r="S617" s="279">
        <f>RES_BA!U114</f>
        <v>0</v>
      </c>
    </row>
    <row r="618" spans="3:19" s="277" customFormat="1" hidden="1" outlineLevel="1" x14ac:dyDescent="0.3">
      <c r="C618" s="283" t="str">
        <f>RES_BA!D115</f>
        <v>Supplies Category 25</v>
      </c>
      <c r="M618" s="279">
        <f>RES_BA!R115</f>
        <v>0</v>
      </c>
      <c r="O618" s="279">
        <f>RES_BA!S115</f>
        <v>0</v>
      </c>
      <c r="Q618" s="279">
        <f>RES_BA!T115</f>
        <v>0</v>
      </c>
      <c r="S618" s="279">
        <f>RES_BA!U115</f>
        <v>0</v>
      </c>
    </row>
    <row r="619" spans="3:19" s="277" customFormat="1" hidden="1" outlineLevel="1" x14ac:dyDescent="0.3">
      <c r="C619" s="283" t="str">
        <f>RES_BA!D116</f>
        <v>Supplies Category 26</v>
      </c>
      <c r="M619" s="279">
        <f>RES_BA!R116</f>
        <v>0</v>
      </c>
      <c r="O619" s="279">
        <f>RES_BA!S116</f>
        <v>0</v>
      </c>
      <c r="Q619" s="279">
        <f>RES_BA!T116</f>
        <v>0</v>
      </c>
      <c r="S619" s="279">
        <f>RES_BA!U116</f>
        <v>0</v>
      </c>
    </row>
    <row r="620" spans="3:19" s="277" customFormat="1" hidden="1" outlineLevel="1" x14ac:dyDescent="0.3">
      <c r="C620" s="283" t="str">
        <f>RES_BA!D117</f>
        <v>Supplies Category 27</v>
      </c>
      <c r="M620" s="279">
        <f>RES_BA!R117</f>
        <v>0</v>
      </c>
      <c r="O620" s="279">
        <f>RES_BA!S117</f>
        <v>0</v>
      </c>
      <c r="Q620" s="279">
        <f>RES_BA!T117</f>
        <v>0</v>
      </c>
      <c r="S620" s="279">
        <f>RES_BA!U117</f>
        <v>0</v>
      </c>
    </row>
    <row r="621" spans="3:19" s="277" customFormat="1" hidden="1" outlineLevel="1" x14ac:dyDescent="0.3">
      <c r="C621" s="283" t="str">
        <f>RES_BA!D118</f>
        <v>Supplies Category 28</v>
      </c>
      <c r="M621" s="279">
        <f>RES_BA!R118</f>
        <v>0</v>
      </c>
      <c r="O621" s="279">
        <f>RES_BA!S118</f>
        <v>0</v>
      </c>
      <c r="Q621" s="279">
        <f>RES_BA!T118</f>
        <v>0</v>
      </c>
      <c r="S621" s="279">
        <f>RES_BA!U118</f>
        <v>0</v>
      </c>
    </row>
    <row r="622" spans="3:19" s="277" customFormat="1" hidden="1" outlineLevel="1" x14ac:dyDescent="0.3">
      <c r="C622" s="283" t="str">
        <f>RES_BA!D119</f>
        <v>Supplies Category 29</v>
      </c>
      <c r="M622" s="279">
        <f>RES_BA!R119</f>
        <v>0</v>
      </c>
      <c r="O622" s="279">
        <f>RES_BA!S119</f>
        <v>0</v>
      </c>
      <c r="Q622" s="279">
        <f>RES_BA!T119</f>
        <v>0</v>
      </c>
      <c r="S622" s="279">
        <f>RES_BA!U119</f>
        <v>0</v>
      </c>
    </row>
    <row r="623" spans="3:19" s="277" customFormat="1" hidden="1" outlineLevel="1" collapsed="1" x14ac:dyDescent="0.3">
      <c r="C623" s="283" t="str">
        <f>RES_BA!D120</f>
        <v>Supplies Category 30</v>
      </c>
      <c r="M623" s="279">
        <f>RES_BA!R120</f>
        <v>0</v>
      </c>
      <c r="O623" s="279">
        <f>RES_BA!S120</f>
        <v>0</v>
      </c>
      <c r="Q623" s="279">
        <f>RES_BA!T120</f>
        <v>0</v>
      </c>
      <c r="S623" s="279">
        <f>RES_BA!U120</f>
        <v>0</v>
      </c>
    </row>
    <row r="624" spans="3:19" s="277" customFormat="1" hidden="1" outlineLevel="1" x14ac:dyDescent="0.3">
      <c r="C624" s="283" t="str">
        <f>RES_BA!D121</f>
        <v>Supplies Category 31</v>
      </c>
      <c r="M624" s="279">
        <f>RES_BA!R121</f>
        <v>0</v>
      </c>
      <c r="O624" s="279">
        <f>RES_BA!S121</f>
        <v>0</v>
      </c>
      <c r="Q624" s="279">
        <f>RES_BA!T121</f>
        <v>0</v>
      </c>
      <c r="S624" s="279">
        <f>RES_BA!U121</f>
        <v>0</v>
      </c>
    </row>
    <row r="625" spans="3:19" s="277" customFormat="1" hidden="1" outlineLevel="1" x14ac:dyDescent="0.3">
      <c r="C625" s="283" t="str">
        <f>RES_BA!D122</f>
        <v>Supplies Category 32</v>
      </c>
      <c r="M625" s="279">
        <f>RES_BA!R122</f>
        <v>0</v>
      </c>
      <c r="O625" s="279">
        <f>RES_BA!S122</f>
        <v>0</v>
      </c>
      <c r="Q625" s="279">
        <f>RES_BA!T122</f>
        <v>0</v>
      </c>
      <c r="S625" s="279">
        <f>RES_BA!U122</f>
        <v>0</v>
      </c>
    </row>
    <row r="626" spans="3:19" s="277" customFormat="1" hidden="1" outlineLevel="1" x14ac:dyDescent="0.3">
      <c r="C626" s="283" t="str">
        <f>RES_BA!D123</f>
        <v>Supplies Category 33</v>
      </c>
      <c r="M626" s="279">
        <f>RES_BA!R123</f>
        <v>0</v>
      </c>
      <c r="O626" s="279">
        <f>RES_BA!S123</f>
        <v>0</v>
      </c>
      <c r="Q626" s="279">
        <f>RES_BA!T123</f>
        <v>0</v>
      </c>
      <c r="S626" s="279">
        <f>RES_BA!U123</f>
        <v>0</v>
      </c>
    </row>
    <row r="627" spans="3:19" s="277" customFormat="1" hidden="1" outlineLevel="1" x14ac:dyDescent="0.3">
      <c r="C627" s="283" t="str">
        <f>RES_BA!D124</f>
        <v>Supplies Category 34</v>
      </c>
      <c r="M627" s="279">
        <f>RES_BA!R124</f>
        <v>0</v>
      </c>
      <c r="O627" s="279">
        <f>RES_BA!S124</f>
        <v>0</v>
      </c>
      <c r="Q627" s="279">
        <f>RES_BA!T124</f>
        <v>0</v>
      </c>
      <c r="S627" s="279">
        <f>RES_BA!U124</f>
        <v>0</v>
      </c>
    </row>
    <row r="628" spans="3:19" s="277" customFormat="1" hidden="1" outlineLevel="1" x14ac:dyDescent="0.3">
      <c r="C628" s="283" t="str">
        <f>RES_BA!D125</f>
        <v>Supplies Category 35</v>
      </c>
      <c r="M628" s="279">
        <f>RES_BA!R125</f>
        <v>0</v>
      </c>
      <c r="O628" s="279">
        <f>RES_BA!S125</f>
        <v>0</v>
      </c>
      <c r="Q628" s="279">
        <f>RES_BA!T125</f>
        <v>0</v>
      </c>
      <c r="S628" s="279">
        <f>RES_BA!U125</f>
        <v>0</v>
      </c>
    </row>
    <row r="629" spans="3:19" hidden="1" outlineLevel="1" x14ac:dyDescent="0.3"/>
    <row r="630" spans="3:19" hidden="1" outlineLevel="1" x14ac:dyDescent="0.3">
      <c r="M630" s="40" t="str">
        <f>$D$513</f>
        <v>USD</v>
      </c>
      <c r="O630" s="40" t="str">
        <f>$D$513</f>
        <v>USD</v>
      </c>
      <c r="Q630" s="40" t="str">
        <f>$D$514</f>
        <v>GOZ</v>
      </c>
      <c r="S630" s="40" t="str">
        <f>$D$514</f>
        <v>GOZ</v>
      </c>
    </row>
    <row r="631" spans="3:19" hidden="1" outlineLevel="1" x14ac:dyDescent="0.3">
      <c r="C631" s="89" t="str">
        <f>RES_BA!D130</f>
        <v>Equipment Category 1</v>
      </c>
      <c r="M631" s="40">
        <f>RES_BA!R130</f>
        <v>0</v>
      </c>
      <c r="O631" s="40">
        <f>RES_BA!S130</f>
        <v>0</v>
      </c>
      <c r="Q631" s="40">
        <f>RES_BA!T130</f>
        <v>0</v>
      </c>
      <c r="S631" s="40">
        <f>RES_BA!U130</f>
        <v>0</v>
      </c>
    </row>
    <row r="632" spans="3:19" hidden="1" outlineLevel="1" x14ac:dyDescent="0.3">
      <c r="C632" s="89" t="str">
        <f>RES_BA!D131</f>
        <v>Equipment Category 2</v>
      </c>
      <c r="M632" s="40">
        <f>RES_BA!R131</f>
        <v>0</v>
      </c>
      <c r="O632" s="40">
        <f>RES_BA!S131</f>
        <v>0</v>
      </c>
      <c r="Q632" s="40">
        <f>RES_BA!T131</f>
        <v>0</v>
      </c>
      <c r="S632" s="40">
        <f>RES_BA!U131</f>
        <v>0</v>
      </c>
    </row>
    <row r="633" spans="3:19" hidden="1" outlineLevel="1" x14ac:dyDescent="0.3">
      <c r="C633" s="89" t="str">
        <f>RES_BA!D132</f>
        <v>Equipment Category 3</v>
      </c>
      <c r="M633" s="40">
        <f>RES_BA!R132</f>
        <v>0</v>
      </c>
      <c r="O633" s="40">
        <f>RES_BA!S132</f>
        <v>0</v>
      </c>
      <c r="Q633" s="40">
        <f>RES_BA!T132</f>
        <v>0</v>
      </c>
      <c r="S633" s="40">
        <f>RES_BA!U132</f>
        <v>0</v>
      </c>
    </row>
    <row r="634" spans="3:19" hidden="1" outlineLevel="1" x14ac:dyDescent="0.3">
      <c r="C634" s="89" t="str">
        <f>RES_BA!D133</f>
        <v>Equipment Category 4</v>
      </c>
      <c r="M634" s="40">
        <f>RES_BA!R133</f>
        <v>0</v>
      </c>
      <c r="O634" s="40">
        <f>RES_BA!S133</f>
        <v>0</v>
      </c>
      <c r="Q634" s="40">
        <f>RES_BA!T133</f>
        <v>0</v>
      </c>
      <c r="S634" s="40">
        <f>RES_BA!U133</f>
        <v>0</v>
      </c>
    </row>
    <row r="635" spans="3:19" hidden="1" outlineLevel="1" x14ac:dyDescent="0.3">
      <c r="C635" s="89" t="str">
        <f>RES_BA!D134</f>
        <v>Equipment Category 5</v>
      </c>
      <c r="M635" s="40">
        <f>RES_BA!R134</f>
        <v>0</v>
      </c>
      <c r="O635" s="40">
        <f>RES_BA!S134</f>
        <v>0</v>
      </c>
      <c r="Q635" s="40">
        <f>RES_BA!T134</f>
        <v>0</v>
      </c>
      <c r="S635" s="40">
        <f>RES_BA!U134</f>
        <v>0</v>
      </c>
    </row>
    <row r="636" spans="3:19" hidden="1" outlineLevel="1" x14ac:dyDescent="0.3">
      <c r="C636" s="89" t="str">
        <f>RES_BA!D135</f>
        <v>Equipment Category 6</v>
      </c>
      <c r="M636" s="40">
        <f>RES_BA!R135</f>
        <v>0</v>
      </c>
      <c r="O636" s="40">
        <f>RES_BA!S135</f>
        <v>0</v>
      </c>
      <c r="Q636" s="40">
        <f>RES_BA!T135</f>
        <v>0</v>
      </c>
      <c r="S636" s="40">
        <f>RES_BA!U135</f>
        <v>0</v>
      </c>
    </row>
    <row r="637" spans="3:19" s="277" customFormat="1" hidden="1" outlineLevel="1" collapsed="1" x14ac:dyDescent="0.3">
      <c r="C637" s="283" t="str">
        <f>RES_BA!D136</f>
        <v>Equipment Category 7</v>
      </c>
      <c r="M637" s="279">
        <f>RES_BA!R136</f>
        <v>0</v>
      </c>
      <c r="O637" s="279">
        <f>RES_BA!S136</f>
        <v>0</v>
      </c>
      <c r="Q637" s="279">
        <f>RES_BA!T136</f>
        <v>0</v>
      </c>
      <c r="S637" s="279">
        <f>RES_BA!U136</f>
        <v>0</v>
      </c>
    </row>
    <row r="638" spans="3:19" s="277" customFormat="1" hidden="1" outlineLevel="1" x14ac:dyDescent="0.3">
      <c r="C638" s="283" t="str">
        <f>RES_BA!D137</f>
        <v>Equipment Category 8</v>
      </c>
      <c r="M638" s="279">
        <f>RES_BA!R137</f>
        <v>0</v>
      </c>
      <c r="O638" s="279">
        <f>RES_BA!S137</f>
        <v>0</v>
      </c>
      <c r="Q638" s="279">
        <f>RES_BA!T137</f>
        <v>0</v>
      </c>
      <c r="S638" s="279">
        <f>RES_BA!U137</f>
        <v>0</v>
      </c>
    </row>
    <row r="639" spans="3:19" s="277" customFormat="1" hidden="1" outlineLevel="1" x14ac:dyDescent="0.3">
      <c r="C639" s="283" t="str">
        <f>RES_BA!D138</f>
        <v>Equipment Category 9</v>
      </c>
      <c r="M639" s="279">
        <f>RES_BA!R138</f>
        <v>0</v>
      </c>
      <c r="O639" s="279">
        <f>RES_BA!S138</f>
        <v>0</v>
      </c>
      <c r="Q639" s="279">
        <f>RES_BA!T138</f>
        <v>0</v>
      </c>
      <c r="S639" s="279">
        <f>RES_BA!U138</f>
        <v>0</v>
      </c>
    </row>
    <row r="640" spans="3:19" s="277" customFormat="1" hidden="1" outlineLevel="1" x14ac:dyDescent="0.3">
      <c r="C640" s="283" t="str">
        <f>RES_BA!D139</f>
        <v>Equipment Category 10</v>
      </c>
      <c r="M640" s="279">
        <f>RES_BA!R139</f>
        <v>0</v>
      </c>
      <c r="O640" s="279">
        <f>RES_BA!S139</f>
        <v>0</v>
      </c>
      <c r="Q640" s="279">
        <f>RES_BA!T139</f>
        <v>0</v>
      </c>
      <c r="S640" s="279">
        <f>RES_BA!U139</f>
        <v>0</v>
      </c>
    </row>
    <row r="641" spans="3:19" s="277" customFormat="1" hidden="1" outlineLevel="1" x14ac:dyDescent="0.3">
      <c r="C641" s="283" t="str">
        <f>RES_BA!D140</f>
        <v>Equipment Category 11</v>
      </c>
      <c r="M641" s="279">
        <f>RES_BA!R140</f>
        <v>0</v>
      </c>
      <c r="O641" s="279">
        <f>RES_BA!S140</f>
        <v>0</v>
      </c>
      <c r="Q641" s="279">
        <f>RES_BA!T140</f>
        <v>0</v>
      </c>
      <c r="S641" s="279">
        <f>RES_BA!U140</f>
        <v>0</v>
      </c>
    </row>
    <row r="642" spans="3:19" s="277" customFormat="1" hidden="1" outlineLevel="1" x14ac:dyDescent="0.3">
      <c r="C642" s="283" t="str">
        <f>RES_BA!D141</f>
        <v>Equipment Category 12</v>
      </c>
      <c r="M642" s="279">
        <f>RES_BA!R141</f>
        <v>0</v>
      </c>
      <c r="O642" s="279">
        <f>RES_BA!S141</f>
        <v>0</v>
      </c>
      <c r="Q642" s="279">
        <f>RES_BA!T141</f>
        <v>0</v>
      </c>
      <c r="S642" s="279">
        <f>RES_BA!U141</f>
        <v>0</v>
      </c>
    </row>
    <row r="643" spans="3:19" s="277" customFormat="1" hidden="1" outlineLevel="1" collapsed="1" x14ac:dyDescent="0.3">
      <c r="C643" s="283" t="str">
        <f>RES_BA!D142</f>
        <v>Equipment Category 13</v>
      </c>
      <c r="M643" s="279">
        <f>RES_BA!R142</f>
        <v>0</v>
      </c>
      <c r="O643" s="279">
        <f>RES_BA!S142</f>
        <v>0</v>
      </c>
      <c r="Q643" s="279">
        <f>RES_BA!T142</f>
        <v>0</v>
      </c>
      <c r="S643" s="279">
        <f>RES_BA!U142</f>
        <v>0</v>
      </c>
    </row>
    <row r="644" spans="3:19" s="277" customFormat="1" hidden="1" outlineLevel="1" x14ac:dyDescent="0.3">
      <c r="C644" s="283" t="str">
        <f>RES_BA!D143</f>
        <v>Equipment Category 14</v>
      </c>
      <c r="M644" s="279">
        <f>RES_BA!R143</f>
        <v>0</v>
      </c>
      <c r="O644" s="279">
        <f>RES_BA!S143</f>
        <v>0</v>
      </c>
      <c r="Q644" s="279">
        <f>RES_BA!T143</f>
        <v>0</v>
      </c>
      <c r="S644" s="279">
        <f>RES_BA!U143</f>
        <v>0</v>
      </c>
    </row>
    <row r="645" spans="3:19" s="277" customFormat="1" hidden="1" outlineLevel="1" x14ac:dyDescent="0.3">
      <c r="C645" s="283" t="str">
        <f>RES_BA!D144</f>
        <v>Equipment Category 15</v>
      </c>
      <c r="M645" s="279">
        <f>RES_BA!R144</f>
        <v>0</v>
      </c>
      <c r="O645" s="279">
        <f>RES_BA!S144</f>
        <v>0</v>
      </c>
      <c r="Q645" s="279">
        <f>RES_BA!T144</f>
        <v>0</v>
      </c>
      <c r="S645" s="279">
        <f>RES_BA!U144</f>
        <v>0</v>
      </c>
    </row>
    <row r="646" spans="3:19" s="277" customFormat="1" hidden="1" outlineLevel="1" x14ac:dyDescent="0.3">
      <c r="C646" s="283" t="str">
        <f>RES_BA!D145</f>
        <v>Equipment Category 16</v>
      </c>
      <c r="M646" s="279">
        <f>RES_BA!R145</f>
        <v>0</v>
      </c>
      <c r="O646" s="279">
        <f>RES_BA!S145</f>
        <v>0</v>
      </c>
      <c r="Q646" s="279">
        <f>RES_BA!T145</f>
        <v>0</v>
      </c>
      <c r="S646" s="279">
        <f>RES_BA!U145</f>
        <v>0</v>
      </c>
    </row>
    <row r="647" spans="3:19" s="277" customFormat="1" hidden="1" outlineLevel="1" x14ac:dyDescent="0.3">
      <c r="C647" s="283" t="str">
        <f>RES_BA!D146</f>
        <v>Equipment Category 17</v>
      </c>
      <c r="M647" s="279">
        <f>RES_BA!R146</f>
        <v>0</v>
      </c>
      <c r="O647" s="279">
        <f>RES_BA!S146</f>
        <v>0</v>
      </c>
      <c r="Q647" s="279">
        <f>RES_BA!T146</f>
        <v>0</v>
      </c>
      <c r="S647" s="279">
        <f>RES_BA!U146</f>
        <v>0</v>
      </c>
    </row>
    <row r="648" spans="3:19" s="277" customFormat="1" hidden="1" outlineLevel="1" x14ac:dyDescent="0.3">
      <c r="C648" s="283" t="str">
        <f>RES_BA!D147</f>
        <v>Equipment Category 18</v>
      </c>
      <c r="M648" s="279">
        <f>RES_BA!R147</f>
        <v>0</v>
      </c>
      <c r="O648" s="279">
        <f>RES_BA!S147</f>
        <v>0</v>
      </c>
      <c r="Q648" s="279">
        <f>RES_BA!T147</f>
        <v>0</v>
      </c>
      <c r="S648" s="279">
        <f>RES_BA!U147</f>
        <v>0</v>
      </c>
    </row>
    <row r="649" spans="3:19" s="277" customFormat="1" hidden="1" outlineLevel="1" x14ac:dyDescent="0.3">
      <c r="C649" s="283" t="str">
        <f>RES_BA!D148</f>
        <v>Equipment Category 19</v>
      </c>
      <c r="M649" s="279">
        <f>RES_BA!R148</f>
        <v>0</v>
      </c>
      <c r="O649" s="279">
        <f>RES_BA!S148</f>
        <v>0</v>
      </c>
      <c r="Q649" s="279">
        <f>RES_BA!T148</f>
        <v>0</v>
      </c>
      <c r="S649" s="279">
        <f>RES_BA!U148</f>
        <v>0</v>
      </c>
    </row>
    <row r="650" spans="3:19" s="277" customFormat="1" hidden="1" outlineLevel="1" x14ac:dyDescent="0.3">
      <c r="C650" s="283" t="str">
        <f>RES_BA!D149</f>
        <v>Equipment Category 20</v>
      </c>
      <c r="M650" s="279">
        <f>RES_BA!R149</f>
        <v>0</v>
      </c>
      <c r="O650" s="279">
        <f>RES_BA!S149</f>
        <v>0</v>
      </c>
      <c r="Q650" s="279">
        <f>RES_BA!T149</f>
        <v>0</v>
      </c>
      <c r="S650" s="279">
        <f>RES_BA!U149</f>
        <v>0</v>
      </c>
    </row>
    <row r="651" spans="3:19" s="277" customFormat="1" hidden="1" outlineLevel="1" x14ac:dyDescent="0.3">
      <c r="C651" s="283" t="str">
        <f>RES_BA!D150</f>
        <v>Equipment Category 21</v>
      </c>
      <c r="M651" s="279">
        <f>RES_BA!R150</f>
        <v>0</v>
      </c>
      <c r="O651" s="279">
        <f>RES_BA!S150</f>
        <v>0</v>
      </c>
      <c r="Q651" s="279">
        <f>RES_BA!T150</f>
        <v>0</v>
      </c>
      <c r="S651" s="279">
        <f>RES_BA!U150</f>
        <v>0</v>
      </c>
    </row>
    <row r="652" spans="3:19" s="277" customFormat="1" hidden="1" outlineLevel="1" x14ac:dyDescent="0.3">
      <c r="C652" s="283" t="str">
        <f>RES_BA!D151</f>
        <v>Equipment Category 22</v>
      </c>
      <c r="M652" s="279">
        <f>RES_BA!R151</f>
        <v>0</v>
      </c>
      <c r="O652" s="279">
        <f>RES_BA!S151</f>
        <v>0</v>
      </c>
      <c r="Q652" s="279">
        <f>RES_BA!T151</f>
        <v>0</v>
      </c>
      <c r="S652" s="279">
        <f>RES_BA!U151</f>
        <v>0</v>
      </c>
    </row>
    <row r="653" spans="3:19" s="277" customFormat="1" hidden="1" outlineLevel="1" x14ac:dyDescent="0.3">
      <c r="C653" s="283" t="str">
        <f>RES_BA!D152</f>
        <v>Equipment Category 23</v>
      </c>
      <c r="M653" s="279">
        <f>RES_BA!R152</f>
        <v>0</v>
      </c>
      <c r="O653" s="279">
        <f>RES_BA!S152</f>
        <v>0</v>
      </c>
      <c r="Q653" s="279">
        <f>RES_BA!T152</f>
        <v>0</v>
      </c>
      <c r="S653" s="279">
        <f>RES_BA!U152</f>
        <v>0</v>
      </c>
    </row>
    <row r="654" spans="3:19" s="277" customFormat="1" hidden="1" outlineLevel="1" collapsed="1" x14ac:dyDescent="0.3">
      <c r="C654" s="283" t="str">
        <f>RES_BA!D153</f>
        <v>Equipment Category 24</v>
      </c>
      <c r="M654" s="279">
        <f>RES_BA!R153</f>
        <v>0</v>
      </c>
      <c r="O654" s="279">
        <f>RES_BA!S153</f>
        <v>0</v>
      </c>
      <c r="Q654" s="279">
        <f>RES_BA!T153</f>
        <v>0</v>
      </c>
      <c r="S654" s="279">
        <f>RES_BA!U153</f>
        <v>0</v>
      </c>
    </row>
    <row r="655" spans="3:19" s="277" customFormat="1" hidden="1" outlineLevel="1" x14ac:dyDescent="0.3">
      <c r="C655" s="283" t="str">
        <f>RES_BA!D154</f>
        <v>Equipment Category 25</v>
      </c>
      <c r="M655" s="279">
        <f>RES_BA!R154</f>
        <v>0</v>
      </c>
      <c r="O655" s="279">
        <f>RES_BA!S154</f>
        <v>0</v>
      </c>
      <c r="Q655" s="279">
        <f>RES_BA!T154</f>
        <v>0</v>
      </c>
      <c r="S655" s="279">
        <f>RES_BA!U154</f>
        <v>0</v>
      </c>
    </row>
    <row r="656" spans="3:19" s="277" customFormat="1" hidden="1" outlineLevel="1" x14ac:dyDescent="0.3">
      <c r="C656" s="283" t="str">
        <f>RES_BA!D155</f>
        <v>Equipment Category 26</v>
      </c>
      <c r="M656" s="279">
        <f>RES_BA!R155</f>
        <v>0</v>
      </c>
      <c r="O656" s="279">
        <f>RES_BA!S155</f>
        <v>0</v>
      </c>
      <c r="Q656" s="279">
        <f>RES_BA!T155</f>
        <v>0</v>
      </c>
      <c r="S656" s="279">
        <f>RES_BA!U155</f>
        <v>0</v>
      </c>
    </row>
    <row r="657" spans="3:19" s="277" customFormat="1" hidden="1" outlineLevel="1" x14ac:dyDescent="0.3">
      <c r="C657" s="283" t="str">
        <f>RES_BA!D156</f>
        <v>Equipment Category 27</v>
      </c>
      <c r="M657" s="279">
        <f>RES_BA!R156</f>
        <v>0</v>
      </c>
      <c r="O657" s="279">
        <f>RES_BA!S156</f>
        <v>0</v>
      </c>
      <c r="Q657" s="279">
        <f>RES_BA!T156</f>
        <v>0</v>
      </c>
      <c r="S657" s="279">
        <f>RES_BA!U156</f>
        <v>0</v>
      </c>
    </row>
    <row r="658" spans="3:19" s="277" customFormat="1" hidden="1" outlineLevel="1" x14ac:dyDescent="0.3">
      <c r="C658" s="283" t="str">
        <f>RES_BA!D157</f>
        <v>Equipment Category 28</v>
      </c>
      <c r="M658" s="279">
        <f>RES_BA!R157</f>
        <v>0</v>
      </c>
      <c r="O658" s="279">
        <f>RES_BA!S157</f>
        <v>0</v>
      </c>
      <c r="Q658" s="279">
        <f>RES_BA!T157</f>
        <v>0</v>
      </c>
      <c r="S658" s="279">
        <f>RES_BA!U157</f>
        <v>0</v>
      </c>
    </row>
    <row r="659" spans="3:19" s="277" customFormat="1" hidden="1" outlineLevel="1" x14ac:dyDescent="0.3">
      <c r="C659" s="283" t="str">
        <f>RES_BA!D158</f>
        <v>Equipment Category 29</v>
      </c>
      <c r="M659" s="279">
        <f>RES_BA!R158</f>
        <v>0</v>
      </c>
      <c r="O659" s="279">
        <f>RES_BA!S158</f>
        <v>0</v>
      </c>
      <c r="Q659" s="279">
        <f>RES_BA!T158</f>
        <v>0</v>
      </c>
      <c r="S659" s="279">
        <f>RES_BA!U158</f>
        <v>0</v>
      </c>
    </row>
    <row r="660" spans="3:19" s="277" customFormat="1" hidden="1" outlineLevel="1" x14ac:dyDescent="0.3">
      <c r="C660" s="283" t="str">
        <f>RES_BA!D159</f>
        <v>Equipment Category 30</v>
      </c>
      <c r="M660" s="279">
        <f>RES_BA!R159</f>
        <v>0</v>
      </c>
      <c r="O660" s="279">
        <f>RES_BA!S159</f>
        <v>0</v>
      </c>
      <c r="Q660" s="279">
        <f>RES_BA!T159</f>
        <v>0</v>
      </c>
      <c r="S660" s="279">
        <f>RES_BA!U159</f>
        <v>0</v>
      </c>
    </row>
    <row r="661" spans="3:19" s="277" customFormat="1" hidden="1" outlineLevel="1" x14ac:dyDescent="0.3">
      <c r="C661" s="283" t="str">
        <f>RES_BA!D160</f>
        <v>Equipment Category 31</v>
      </c>
      <c r="M661" s="279">
        <f>RES_BA!R160</f>
        <v>0</v>
      </c>
      <c r="O661" s="279">
        <f>RES_BA!S160</f>
        <v>0</v>
      </c>
      <c r="Q661" s="279">
        <f>RES_BA!T160</f>
        <v>0</v>
      </c>
      <c r="S661" s="279">
        <f>RES_BA!U160</f>
        <v>0</v>
      </c>
    </row>
    <row r="662" spans="3:19" s="277" customFormat="1" hidden="1" outlineLevel="1" x14ac:dyDescent="0.3">
      <c r="C662" s="283" t="str">
        <f>RES_BA!D161</f>
        <v>Equipment Category 32</v>
      </c>
      <c r="M662" s="279">
        <f>RES_BA!R161</f>
        <v>0</v>
      </c>
      <c r="O662" s="279">
        <f>RES_BA!S161</f>
        <v>0</v>
      </c>
      <c r="Q662" s="279">
        <f>RES_BA!T161</f>
        <v>0</v>
      </c>
      <c r="S662" s="279">
        <f>RES_BA!U161</f>
        <v>0</v>
      </c>
    </row>
    <row r="663" spans="3:19" s="277" customFormat="1" hidden="1" outlineLevel="1" x14ac:dyDescent="0.3">
      <c r="C663" s="283" t="str">
        <f>RES_BA!D162</f>
        <v>Equipment Category 33</v>
      </c>
      <c r="M663" s="279">
        <f>RES_BA!R162</f>
        <v>0</v>
      </c>
      <c r="O663" s="279">
        <f>RES_BA!S162</f>
        <v>0</v>
      </c>
      <c r="Q663" s="279">
        <f>RES_BA!T162</f>
        <v>0</v>
      </c>
      <c r="S663" s="279">
        <f>RES_BA!U162</f>
        <v>0</v>
      </c>
    </row>
    <row r="664" spans="3:19" s="277" customFormat="1" hidden="1" outlineLevel="1" collapsed="1" x14ac:dyDescent="0.3">
      <c r="C664" s="283" t="str">
        <f>RES_BA!D163</f>
        <v>Equipment Category 34</v>
      </c>
      <c r="M664" s="279">
        <f>RES_BA!R163</f>
        <v>0</v>
      </c>
      <c r="O664" s="279">
        <f>RES_BA!S163</f>
        <v>0</v>
      </c>
      <c r="Q664" s="279">
        <f>RES_BA!T163</f>
        <v>0</v>
      </c>
      <c r="S664" s="279">
        <f>RES_BA!U163</f>
        <v>0</v>
      </c>
    </row>
    <row r="665" spans="3:19" s="277" customFormat="1" hidden="1" outlineLevel="1" x14ac:dyDescent="0.3">
      <c r="C665" s="283" t="str">
        <f>RES_BA!D164</f>
        <v>Equipment Category 35</v>
      </c>
      <c r="M665" s="279">
        <f>RES_BA!R164</f>
        <v>0</v>
      </c>
      <c r="O665" s="279">
        <f>RES_BA!S164</f>
        <v>0</v>
      </c>
      <c r="Q665" s="279">
        <f>RES_BA!T164</f>
        <v>0</v>
      </c>
      <c r="S665" s="279">
        <f>RES_BA!U164</f>
        <v>0</v>
      </c>
    </row>
    <row r="666" spans="3:19" hidden="1" outlineLevel="1" x14ac:dyDescent="0.3"/>
    <row r="667" spans="3:19" hidden="1" outlineLevel="1" x14ac:dyDescent="0.3"/>
    <row r="668" spans="3:19" hidden="1" outlineLevel="1" x14ac:dyDescent="0.3">
      <c r="M668" s="40" t="str">
        <f>$D$513</f>
        <v>USD</v>
      </c>
      <c r="O668" s="40" t="str">
        <f>$D$513</f>
        <v>USD</v>
      </c>
      <c r="Q668" s="40" t="str">
        <f>$D$514</f>
        <v>GOZ</v>
      </c>
      <c r="S668" s="40" t="str">
        <f>$D$514</f>
        <v>GOZ</v>
      </c>
    </row>
    <row r="669" spans="3:19" hidden="1" outlineLevel="1" x14ac:dyDescent="0.3">
      <c r="C669" s="89" t="str">
        <f>RES_BA!D169</f>
        <v>Other Direct Costs Category 1</v>
      </c>
      <c r="M669" s="40">
        <f>RES_BA!R169</f>
        <v>0</v>
      </c>
      <c r="O669" s="40">
        <f>RES_BA!S169</f>
        <v>0</v>
      </c>
      <c r="Q669" s="40">
        <f>RES_BA!T169</f>
        <v>0</v>
      </c>
      <c r="S669" s="40">
        <f>RES_BA!U169</f>
        <v>0</v>
      </c>
    </row>
    <row r="670" spans="3:19" hidden="1" outlineLevel="1" x14ac:dyDescent="0.3">
      <c r="C670" s="89" t="str">
        <f>RES_BA!D170</f>
        <v>Other Direct Costs Category 2</v>
      </c>
      <c r="M670" s="40">
        <f>RES_BA!R170</f>
        <v>0</v>
      </c>
      <c r="O670" s="40">
        <f>RES_BA!S170</f>
        <v>0</v>
      </c>
      <c r="Q670" s="40">
        <f>RES_BA!T170</f>
        <v>0</v>
      </c>
      <c r="S670" s="40">
        <f>RES_BA!U170</f>
        <v>0</v>
      </c>
    </row>
    <row r="671" spans="3:19" hidden="1" outlineLevel="1" x14ac:dyDescent="0.3">
      <c r="C671" s="89" t="str">
        <f>RES_BA!D171</f>
        <v>Other Direct Costs Category 3</v>
      </c>
      <c r="M671" s="40">
        <f>RES_BA!R171</f>
        <v>0</v>
      </c>
      <c r="O671" s="40">
        <f>RES_BA!S171</f>
        <v>0</v>
      </c>
      <c r="Q671" s="40">
        <f>RES_BA!T171</f>
        <v>0</v>
      </c>
      <c r="S671" s="40">
        <f>RES_BA!U171</f>
        <v>0</v>
      </c>
    </row>
    <row r="672" spans="3:19" s="277" customFormat="1" hidden="1" outlineLevel="1" collapsed="1" x14ac:dyDescent="0.3">
      <c r="C672" s="283" t="str">
        <f>RES_BA!D172</f>
        <v>Other Direct Costs Category 4</v>
      </c>
      <c r="M672" s="279">
        <f>RES_BA!R172</f>
        <v>0</v>
      </c>
      <c r="O672" s="279">
        <f>RES_BA!S172</f>
        <v>0</v>
      </c>
      <c r="Q672" s="279">
        <f>RES_BA!T172</f>
        <v>0</v>
      </c>
      <c r="S672" s="279">
        <f>RES_BA!U172</f>
        <v>0</v>
      </c>
    </row>
    <row r="673" spans="3:19" s="277" customFormat="1" hidden="1" outlineLevel="1" x14ac:dyDescent="0.3">
      <c r="C673" s="283" t="str">
        <f>RES_BA!D173</f>
        <v>Other Direct Costs Category 5</v>
      </c>
      <c r="M673" s="279">
        <f>RES_BA!R173</f>
        <v>0</v>
      </c>
      <c r="O673" s="279">
        <f>RES_BA!S173</f>
        <v>0</v>
      </c>
      <c r="Q673" s="279">
        <f>RES_BA!T173</f>
        <v>0</v>
      </c>
      <c r="S673" s="279">
        <f>RES_BA!U173</f>
        <v>0</v>
      </c>
    </row>
    <row r="674" spans="3:19" s="277" customFormat="1" hidden="1" outlineLevel="1" x14ac:dyDescent="0.3">
      <c r="C674" s="283" t="str">
        <f>RES_BA!D174</f>
        <v>Other Direct Costs Category 6</v>
      </c>
      <c r="M674" s="279">
        <f>RES_BA!R174</f>
        <v>0</v>
      </c>
      <c r="O674" s="279">
        <f>RES_BA!S174</f>
        <v>0</v>
      </c>
      <c r="Q674" s="279">
        <f>RES_BA!T174</f>
        <v>0</v>
      </c>
      <c r="S674" s="279">
        <f>RES_BA!U174</f>
        <v>0</v>
      </c>
    </row>
    <row r="675" spans="3:19" s="277" customFormat="1" hidden="1" outlineLevel="1" x14ac:dyDescent="0.3">
      <c r="C675" s="283" t="str">
        <f>RES_BA!D175</f>
        <v>Other Direct Costs Category 7</v>
      </c>
      <c r="M675" s="279">
        <f>RES_BA!R175</f>
        <v>0</v>
      </c>
      <c r="O675" s="279">
        <f>RES_BA!S175</f>
        <v>0</v>
      </c>
      <c r="Q675" s="279">
        <f>RES_BA!T175</f>
        <v>0</v>
      </c>
      <c r="S675" s="279">
        <f>RES_BA!U175</f>
        <v>0</v>
      </c>
    </row>
    <row r="676" spans="3:19" s="277" customFormat="1" hidden="1" outlineLevel="1" x14ac:dyDescent="0.3">
      <c r="C676" s="283" t="str">
        <f>RES_BA!D176</f>
        <v>Other Direct Costs Category 8</v>
      </c>
      <c r="M676" s="279">
        <f>RES_BA!R176</f>
        <v>0</v>
      </c>
      <c r="O676" s="279">
        <f>RES_BA!S176</f>
        <v>0</v>
      </c>
      <c r="Q676" s="279">
        <f>RES_BA!T176</f>
        <v>0</v>
      </c>
      <c r="S676" s="279">
        <f>RES_BA!U176</f>
        <v>0</v>
      </c>
    </row>
    <row r="677" spans="3:19" s="277" customFormat="1" hidden="1" outlineLevel="1" x14ac:dyDescent="0.3">
      <c r="C677" s="283" t="str">
        <f>RES_BA!D177</f>
        <v>Other Direct Costs Category 9</v>
      </c>
      <c r="M677" s="279">
        <f>RES_BA!R177</f>
        <v>0</v>
      </c>
      <c r="O677" s="279">
        <f>RES_BA!S177</f>
        <v>0</v>
      </c>
      <c r="Q677" s="279">
        <f>RES_BA!T177</f>
        <v>0</v>
      </c>
      <c r="S677" s="279">
        <f>RES_BA!U177</f>
        <v>0</v>
      </c>
    </row>
    <row r="678" spans="3:19" s="277" customFormat="1" hidden="1" outlineLevel="1" x14ac:dyDescent="0.3">
      <c r="C678" s="283" t="str">
        <f>RES_BA!D178</f>
        <v>Other Direct Costs Category 10</v>
      </c>
      <c r="M678" s="279">
        <f>RES_BA!R178</f>
        <v>0</v>
      </c>
      <c r="O678" s="279">
        <f>RES_BA!S178</f>
        <v>0</v>
      </c>
      <c r="Q678" s="279">
        <f>RES_BA!T178</f>
        <v>0</v>
      </c>
      <c r="S678" s="279">
        <f>RES_BA!U178</f>
        <v>0</v>
      </c>
    </row>
    <row r="679" spans="3:19" s="277" customFormat="1" hidden="1" outlineLevel="1" x14ac:dyDescent="0.3">
      <c r="C679" s="283" t="str">
        <f>RES_BA!D179</f>
        <v>Other Direct Costs Category 11</v>
      </c>
      <c r="M679" s="279">
        <f>RES_BA!R179</f>
        <v>0</v>
      </c>
      <c r="O679" s="279">
        <f>RES_BA!S179</f>
        <v>0</v>
      </c>
      <c r="Q679" s="279">
        <f>RES_BA!T179</f>
        <v>0</v>
      </c>
      <c r="S679" s="279">
        <f>RES_BA!U179</f>
        <v>0</v>
      </c>
    </row>
    <row r="680" spans="3:19" s="277" customFormat="1" hidden="1" outlineLevel="1" collapsed="1" x14ac:dyDescent="0.3">
      <c r="C680" s="283" t="str">
        <f>RES_BA!D180</f>
        <v>Other Direct Costs Category 12</v>
      </c>
      <c r="M680" s="279">
        <f>RES_BA!R180</f>
        <v>0</v>
      </c>
      <c r="O680" s="279">
        <f>RES_BA!S180</f>
        <v>0</v>
      </c>
      <c r="Q680" s="279">
        <f>RES_BA!T180</f>
        <v>0</v>
      </c>
      <c r="S680" s="279">
        <f>RES_BA!U180</f>
        <v>0</v>
      </c>
    </row>
    <row r="681" spans="3:19" s="277" customFormat="1" hidden="1" outlineLevel="1" x14ac:dyDescent="0.3">
      <c r="C681" s="283" t="str">
        <f>RES_BA!D181</f>
        <v>Other Direct Costs Category 13</v>
      </c>
      <c r="M681" s="279">
        <f>RES_BA!R181</f>
        <v>0</v>
      </c>
      <c r="O681" s="279">
        <f>RES_BA!S181</f>
        <v>0</v>
      </c>
      <c r="Q681" s="279">
        <f>RES_BA!T181</f>
        <v>0</v>
      </c>
      <c r="S681" s="279">
        <f>RES_BA!U181</f>
        <v>0</v>
      </c>
    </row>
    <row r="682" spans="3:19" s="277" customFormat="1" hidden="1" outlineLevel="1" x14ac:dyDescent="0.3">
      <c r="C682" s="283" t="str">
        <f>RES_BA!D182</f>
        <v>Other Direct Costs Category 14</v>
      </c>
      <c r="M682" s="279">
        <f>RES_BA!R182</f>
        <v>0</v>
      </c>
      <c r="O682" s="279">
        <f>RES_BA!S182</f>
        <v>0</v>
      </c>
      <c r="Q682" s="279">
        <f>RES_BA!T182</f>
        <v>0</v>
      </c>
      <c r="S682" s="279">
        <f>RES_BA!U182</f>
        <v>0</v>
      </c>
    </row>
    <row r="683" spans="3:19" s="277" customFormat="1" hidden="1" outlineLevel="1" x14ac:dyDescent="0.3">
      <c r="C683" s="283" t="str">
        <f>RES_BA!D183</f>
        <v>Other Direct Costs Category 15</v>
      </c>
      <c r="M683" s="279">
        <f>RES_BA!R183</f>
        <v>0</v>
      </c>
      <c r="O683" s="279">
        <f>RES_BA!S183</f>
        <v>0</v>
      </c>
      <c r="Q683" s="279">
        <f>RES_BA!T183</f>
        <v>0</v>
      </c>
      <c r="S683" s="279">
        <f>RES_BA!U183</f>
        <v>0</v>
      </c>
    </row>
    <row r="684" spans="3:19" s="277" customFormat="1" hidden="1" outlineLevel="1" x14ac:dyDescent="0.3">
      <c r="C684" s="283" t="str">
        <f>RES_BA!D184</f>
        <v>Other Direct Costs Category 16</v>
      </c>
      <c r="M684" s="279">
        <f>RES_BA!R184</f>
        <v>0</v>
      </c>
      <c r="O684" s="279">
        <f>RES_BA!S184</f>
        <v>0</v>
      </c>
      <c r="Q684" s="279">
        <f>RES_BA!T184</f>
        <v>0</v>
      </c>
      <c r="S684" s="279">
        <f>RES_BA!U184</f>
        <v>0</v>
      </c>
    </row>
    <row r="685" spans="3:19" s="277" customFormat="1" hidden="1" outlineLevel="1" x14ac:dyDescent="0.3">
      <c r="C685" s="283" t="str">
        <f>RES_BA!D185</f>
        <v>Other Direct Costs Category 17</v>
      </c>
      <c r="M685" s="279">
        <f>RES_BA!R185</f>
        <v>0</v>
      </c>
      <c r="O685" s="279">
        <f>RES_BA!S185</f>
        <v>0</v>
      </c>
      <c r="Q685" s="279">
        <f>RES_BA!T185</f>
        <v>0</v>
      </c>
      <c r="S685" s="279">
        <f>RES_BA!U185</f>
        <v>0</v>
      </c>
    </row>
    <row r="686" spans="3:19" s="277" customFormat="1" hidden="1" outlineLevel="1" x14ac:dyDescent="0.3">
      <c r="C686" s="283" t="str">
        <f>RES_BA!D186</f>
        <v>Other Direct Costs Category 18</v>
      </c>
      <c r="M686" s="279">
        <f>RES_BA!R186</f>
        <v>0</v>
      </c>
      <c r="O686" s="279">
        <f>RES_BA!S186</f>
        <v>0</v>
      </c>
      <c r="Q686" s="279">
        <f>RES_BA!T186</f>
        <v>0</v>
      </c>
      <c r="S686" s="279">
        <f>RES_BA!U186</f>
        <v>0</v>
      </c>
    </row>
    <row r="687" spans="3:19" s="277" customFormat="1" hidden="1" outlineLevel="1" x14ac:dyDescent="0.3">
      <c r="C687" s="283" t="str">
        <f>RES_BA!D187</f>
        <v>Other Direct Costs Category 19</v>
      </c>
      <c r="M687" s="279">
        <f>RES_BA!R187</f>
        <v>0</v>
      </c>
      <c r="O687" s="279">
        <f>RES_BA!S187</f>
        <v>0</v>
      </c>
      <c r="Q687" s="279">
        <f>RES_BA!T187</f>
        <v>0</v>
      </c>
      <c r="S687" s="279">
        <f>RES_BA!U187</f>
        <v>0</v>
      </c>
    </row>
    <row r="688" spans="3:19" s="277" customFormat="1" hidden="1" outlineLevel="1" x14ac:dyDescent="0.3">
      <c r="C688" s="283" t="str">
        <f>RES_BA!D188</f>
        <v>Other Direct Costs Category 20</v>
      </c>
      <c r="M688" s="279">
        <f>RES_BA!R188</f>
        <v>0</v>
      </c>
      <c r="O688" s="279">
        <f>RES_BA!S188</f>
        <v>0</v>
      </c>
      <c r="Q688" s="279">
        <f>RES_BA!T188</f>
        <v>0</v>
      </c>
      <c r="S688" s="279">
        <f>RES_BA!U188</f>
        <v>0</v>
      </c>
    </row>
    <row r="689" spans="3:19" s="277" customFormat="1" hidden="1" outlineLevel="1" x14ac:dyDescent="0.3">
      <c r="C689" s="283" t="str">
        <f>RES_BA!D189</f>
        <v>Other Direct Costs Category 21</v>
      </c>
      <c r="M689" s="279">
        <f>RES_BA!R189</f>
        <v>0</v>
      </c>
      <c r="O689" s="279">
        <f>RES_BA!S189</f>
        <v>0</v>
      </c>
      <c r="Q689" s="279">
        <f>RES_BA!T189</f>
        <v>0</v>
      </c>
      <c r="S689" s="279">
        <f>RES_BA!U189</f>
        <v>0</v>
      </c>
    </row>
    <row r="690" spans="3:19" s="277" customFormat="1" hidden="1" outlineLevel="1" x14ac:dyDescent="0.3">
      <c r="C690" s="283" t="str">
        <f>RES_BA!D190</f>
        <v>Other Direct Costs Category 22</v>
      </c>
      <c r="M690" s="279">
        <f>RES_BA!R190</f>
        <v>0</v>
      </c>
      <c r="O690" s="279">
        <f>RES_BA!S190</f>
        <v>0</v>
      </c>
      <c r="Q690" s="279">
        <f>RES_BA!T190</f>
        <v>0</v>
      </c>
      <c r="S690" s="279">
        <f>RES_BA!U190</f>
        <v>0</v>
      </c>
    </row>
    <row r="691" spans="3:19" s="277" customFormat="1" hidden="1" outlineLevel="1" x14ac:dyDescent="0.3">
      <c r="C691" s="283" t="str">
        <f>RES_BA!D191</f>
        <v>Other Direct Costs Category 23</v>
      </c>
      <c r="M691" s="279">
        <f>RES_BA!R191</f>
        <v>0</v>
      </c>
      <c r="O691" s="279">
        <f>RES_BA!S191</f>
        <v>0</v>
      </c>
      <c r="Q691" s="279">
        <f>RES_BA!T191</f>
        <v>0</v>
      </c>
      <c r="S691" s="279">
        <f>RES_BA!U191</f>
        <v>0</v>
      </c>
    </row>
    <row r="692" spans="3:19" s="277" customFormat="1" hidden="1" outlineLevel="1" collapsed="1" x14ac:dyDescent="0.3">
      <c r="C692" s="283" t="str">
        <f>RES_BA!D192</f>
        <v>Other Direct Costs Category 24</v>
      </c>
      <c r="M692" s="279">
        <f>RES_BA!R192</f>
        <v>0</v>
      </c>
      <c r="O692" s="279">
        <f>RES_BA!S192</f>
        <v>0</v>
      </c>
      <c r="Q692" s="279">
        <f>RES_BA!T192</f>
        <v>0</v>
      </c>
      <c r="S692" s="279">
        <f>RES_BA!U192</f>
        <v>0</v>
      </c>
    </row>
    <row r="693" spans="3:19" s="277" customFormat="1" hidden="1" outlineLevel="1" x14ac:dyDescent="0.3">
      <c r="C693" s="283" t="str">
        <f>RES_BA!D193</f>
        <v>Other Direct Costs Category 25</v>
      </c>
      <c r="M693" s="279">
        <f>RES_BA!R193</f>
        <v>0</v>
      </c>
      <c r="O693" s="279">
        <f>RES_BA!S193</f>
        <v>0</v>
      </c>
      <c r="Q693" s="279">
        <f>RES_BA!T193</f>
        <v>0</v>
      </c>
      <c r="S693" s="279">
        <f>RES_BA!U193</f>
        <v>0</v>
      </c>
    </row>
    <row r="694" spans="3:19" s="277" customFormat="1" hidden="1" outlineLevel="1" x14ac:dyDescent="0.3">
      <c r="C694" s="283" t="str">
        <f>RES_BA!D194</f>
        <v>Other Direct Costs Category 26</v>
      </c>
      <c r="M694" s="279">
        <f>RES_BA!R194</f>
        <v>0</v>
      </c>
      <c r="O694" s="279">
        <f>RES_BA!S194</f>
        <v>0</v>
      </c>
      <c r="Q694" s="279">
        <f>RES_BA!T194</f>
        <v>0</v>
      </c>
      <c r="S694" s="279">
        <f>RES_BA!U194</f>
        <v>0</v>
      </c>
    </row>
    <row r="695" spans="3:19" s="277" customFormat="1" hidden="1" outlineLevel="1" x14ac:dyDescent="0.3">
      <c r="C695" s="283" t="str">
        <f>RES_BA!D195</f>
        <v>Other Direct Costs Category 27</v>
      </c>
      <c r="M695" s="279">
        <f>RES_BA!R195</f>
        <v>0</v>
      </c>
      <c r="O695" s="279">
        <f>RES_BA!S195</f>
        <v>0</v>
      </c>
      <c r="Q695" s="279">
        <f>RES_BA!T195</f>
        <v>0</v>
      </c>
      <c r="S695" s="279">
        <f>RES_BA!U195</f>
        <v>0</v>
      </c>
    </row>
    <row r="696" spans="3:19" s="277" customFormat="1" hidden="1" outlineLevel="1" x14ac:dyDescent="0.3">
      <c r="C696" s="283" t="str">
        <f>RES_BA!D196</f>
        <v>Other Direct Costs Category 28</v>
      </c>
      <c r="M696" s="279">
        <f>RES_BA!R196</f>
        <v>0</v>
      </c>
      <c r="O696" s="279">
        <f>RES_BA!S196</f>
        <v>0</v>
      </c>
      <c r="Q696" s="279">
        <f>RES_BA!T196</f>
        <v>0</v>
      </c>
      <c r="S696" s="279">
        <f>RES_BA!U196</f>
        <v>0</v>
      </c>
    </row>
    <row r="697" spans="3:19" s="277" customFormat="1" hidden="1" outlineLevel="1" x14ac:dyDescent="0.3">
      <c r="C697" s="283" t="str">
        <f>RES_BA!D197</f>
        <v>Other Direct Costs Category 29</v>
      </c>
      <c r="M697" s="279">
        <f>RES_BA!R197</f>
        <v>0</v>
      </c>
      <c r="O697" s="279">
        <f>RES_BA!S197</f>
        <v>0</v>
      </c>
      <c r="Q697" s="279">
        <f>RES_BA!T197</f>
        <v>0</v>
      </c>
      <c r="S697" s="279">
        <f>RES_BA!U197</f>
        <v>0</v>
      </c>
    </row>
    <row r="698" spans="3:19" s="277" customFormat="1" hidden="1" outlineLevel="1" x14ac:dyDescent="0.3">
      <c r="C698" s="283" t="str">
        <f>RES_BA!D198</f>
        <v>Other Direct Costs Category 30</v>
      </c>
      <c r="M698" s="279">
        <f>RES_BA!R198</f>
        <v>0</v>
      </c>
      <c r="O698" s="279">
        <f>RES_BA!S198</f>
        <v>0</v>
      </c>
      <c r="Q698" s="279">
        <f>RES_BA!T198</f>
        <v>0</v>
      </c>
      <c r="S698" s="279">
        <f>RES_BA!U198</f>
        <v>0</v>
      </c>
    </row>
    <row r="699" spans="3:19" s="277" customFormat="1" hidden="1" outlineLevel="1" x14ac:dyDescent="0.3">
      <c r="C699" s="283" t="str">
        <f>RES_BA!D199</f>
        <v>Other Direct Costs Category 31</v>
      </c>
      <c r="M699" s="279">
        <f>RES_BA!R199</f>
        <v>0</v>
      </c>
      <c r="O699" s="279">
        <f>RES_BA!S199</f>
        <v>0</v>
      </c>
      <c r="Q699" s="279">
        <f>RES_BA!T199</f>
        <v>0</v>
      </c>
      <c r="S699" s="279">
        <f>RES_BA!U199</f>
        <v>0</v>
      </c>
    </row>
    <row r="700" spans="3:19" s="277" customFormat="1" hidden="1" outlineLevel="1" x14ac:dyDescent="0.3">
      <c r="C700" s="283" t="str">
        <f>RES_BA!D200</f>
        <v>Other Direct Costs Category 32</v>
      </c>
      <c r="M700" s="279">
        <f>RES_BA!R200</f>
        <v>0</v>
      </c>
      <c r="O700" s="279">
        <f>RES_BA!S200</f>
        <v>0</v>
      </c>
      <c r="Q700" s="279">
        <f>RES_BA!T200</f>
        <v>0</v>
      </c>
      <c r="S700" s="279">
        <f>RES_BA!U200</f>
        <v>0</v>
      </c>
    </row>
    <row r="701" spans="3:19" s="277" customFormat="1" hidden="1" outlineLevel="1" x14ac:dyDescent="0.3">
      <c r="C701" s="283" t="str">
        <f>RES_BA!D201</f>
        <v>Other Direct Costs Category 33</v>
      </c>
      <c r="M701" s="279">
        <f>RES_BA!R201</f>
        <v>0</v>
      </c>
      <c r="O701" s="279">
        <f>RES_BA!S201</f>
        <v>0</v>
      </c>
      <c r="Q701" s="279">
        <f>RES_BA!T201</f>
        <v>0</v>
      </c>
      <c r="S701" s="279">
        <f>RES_BA!U201</f>
        <v>0</v>
      </c>
    </row>
    <row r="702" spans="3:19" s="277" customFormat="1" hidden="1" outlineLevel="1" x14ac:dyDescent="0.3">
      <c r="C702" s="283" t="str">
        <f>RES_BA!D202</f>
        <v>Other Direct Costs Category 34</v>
      </c>
      <c r="M702" s="279">
        <f>RES_BA!R202</f>
        <v>0</v>
      </c>
      <c r="O702" s="279">
        <f>RES_BA!S202</f>
        <v>0</v>
      </c>
      <c r="Q702" s="279">
        <f>RES_BA!T202</f>
        <v>0</v>
      </c>
      <c r="S702" s="279">
        <f>RES_BA!U202</f>
        <v>0</v>
      </c>
    </row>
    <row r="703" spans="3:19" s="277" customFormat="1" hidden="1" outlineLevel="1" x14ac:dyDescent="0.3">
      <c r="C703" s="283" t="str">
        <f>RES_BA!D203</f>
        <v>Other Direct Costs Category 35</v>
      </c>
      <c r="M703" s="279">
        <f>RES_BA!R203</f>
        <v>0</v>
      </c>
      <c r="O703" s="279">
        <f>RES_BA!S203</f>
        <v>0</v>
      </c>
      <c r="Q703" s="279">
        <f>RES_BA!T203</f>
        <v>0</v>
      </c>
      <c r="S703" s="279">
        <f>RES_BA!U203</f>
        <v>0</v>
      </c>
    </row>
    <row r="704" spans="3:19" collapsed="1" x14ac:dyDescent="0.3"/>
    <row r="706" spans="2:24" ht="18" x14ac:dyDescent="0.3">
      <c r="B706" s="31" t="str">
        <f>I707</f>
        <v>Training Activity #3 [not in use]</v>
      </c>
    </row>
    <row r="707" spans="2:24" x14ac:dyDescent="0.3">
      <c r="G707" s="41" t="s">
        <v>119</v>
      </c>
      <c r="I707" s="356" t="s">
        <v>995</v>
      </c>
      <c r="J707" s="356"/>
      <c r="K707" s="356"/>
      <c r="L707" s="356"/>
      <c r="M707" s="356"/>
      <c r="N707" s="356"/>
      <c r="O707" s="356"/>
      <c r="P707" s="356"/>
      <c r="Q707" s="356"/>
      <c r="R707" s="356"/>
      <c r="S707" s="356"/>
    </row>
    <row r="708" spans="2:24" ht="10.5" customHeight="1" x14ac:dyDescent="0.3">
      <c r="G708" s="41" t="s">
        <v>644</v>
      </c>
      <c r="I708" s="32">
        <v>2</v>
      </c>
    </row>
    <row r="709" spans="2:24" ht="15.6" hidden="1" x14ac:dyDescent="0.3">
      <c r="C709" s="92" t="s">
        <v>77</v>
      </c>
      <c r="M709" s="40" t="str">
        <f>IF(DD_ACT_19_Meet1_Curr=1,$D$862,$D$863)</f>
        <v>GOZ</v>
      </c>
      <c r="O709" s="40" t="str">
        <f>IF(DD_ACT_19_Meet1_Curr=1,$D$862,$D$863)</f>
        <v>GOZ</v>
      </c>
      <c r="Q709" s="40" t="str">
        <f>IF(DD_ACT_19_Meet1_Curr=1,$D$862,$D$863)</f>
        <v>GOZ</v>
      </c>
      <c r="S709" s="40" t="str">
        <f>IF(DD_ACT_19_Meet1_Curr=1,$D$862,$D$863)</f>
        <v>GOZ</v>
      </c>
    </row>
    <row r="710" spans="2:24" ht="27.6" x14ac:dyDescent="0.3">
      <c r="D710" s="90" t="s">
        <v>77</v>
      </c>
      <c r="I710" s="88" t="s">
        <v>80</v>
      </c>
      <c r="K710" s="91" t="s">
        <v>432</v>
      </c>
      <c r="M710" s="42" t="s">
        <v>103</v>
      </c>
      <c r="O710" s="42" t="s">
        <v>104</v>
      </c>
      <c r="Q710" s="42" t="s">
        <v>105</v>
      </c>
      <c r="S710" s="42" t="s">
        <v>106</v>
      </c>
      <c r="U710" s="350" t="s">
        <v>185</v>
      </c>
      <c r="V710" s="351"/>
      <c r="W710" s="351"/>
      <c r="X710" s="351"/>
    </row>
    <row r="711" spans="2:24" x14ac:dyDescent="0.3">
      <c r="D711" s="356" t="s">
        <v>188</v>
      </c>
      <c r="E711" s="356"/>
      <c r="F711" s="356"/>
      <c r="G711" s="356"/>
      <c r="I711" s="48">
        <v>0</v>
      </c>
      <c r="K711" s="48">
        <v>0</v>
      </c>
      <c r="M711" s="40">
        <f t="shared" ref="M711:M735" si="40">IFERROR(IF(DD_ACT_19_Meet1_Curr=1,INDEX($M$868:$M$902,MATCH(D711,LU_ACT_19_Pers_Res,0)),INDEX($Q$868:$Q$902,MATCH(D711,LU_ACT_19_Pers_Res,0))),0)</f>
        <v>0</v>
      </c>
      <c r="O711" s="40">
        <f t="shared" ref="O711:O735" si="41">IFERROR(IF(DD_ACT_19_Meet1_Curr=1,INDEX($O$868:$O$902,MATCH(D711,LU_ACT_19_Pers_Res,0)),INDEX($S$868:$S$902,MATCH(D711,LU_ACT_19_Pers_Res,0))),0)</f>
        <v>0</v>
      </c>
      <c r="Q711" s="293">
        <f t="shared" ref="Q711:Q735" si="42">I711*K711*M711</f>
        <v>0</v>
      </c>
      <c r="S711" s="293">
        <f t="shared" ref="S711:S735" si="43">I711*K711*O711</f>
        <v>0</v>
      </c>
      <c r="U711" s="356"/>
      <c r="V711" s="356"/>
      <c r="W711" s="356"/>
      <c r="X711" s="356"/>
    </row>
    <row r="712" spans="2:24" x14ac:dyDescent="0.3">
      <c r="D712" s="356" t="s">
        <v>189</v>
      </c>
      <c r="E712" s="356"/>
      <c r="F712" s="356"/>
      <c r="G712" s="356"/>
      <c r="I712" s="48">
        <v>0</v>
      </c>
      <c r="K712" s="48">
        <v>0</v>
      </c>
      <c r="M712" s="40">
        <f t="shared" si="40"/>
        <v>0</v>
      </c>
      <c r="O712" s="40">
        <f t="shared" si="41"/>
        <v>0</v>
      </c>
      <c r="Q712" s="293">
        <f t="shared" si="42"/>
        <v>0</v>
      </c>
      <c r="S712" s="293">
        <f t="shared" si="43"/>
        <v>0</v>
      </c>
      <c r="U712" s="356"/>
      <c r="V712" s="356"/>
      <c r="W712" s="356"/>
      <c r="X712" s="356"/>
    </row>
    <row r="713" spans="2:24" x14ac:dyDescent="0.3">
      <c r="D713" s="356" t="s">
        <v>190</v>
      </c>
      <c r="E713" s="356"/>
      <c r="F713" s="356"/>
      <c r="G713" s="356"/>
      <c r="I713" s="48">
        <v>0</v>
      </c>
      <c r="K713" s="48">
        <v>0</v>
      </c>
      <c r="M713" s="40">
        <f t="shared" si="40"/>
        <v>0</v>
      </c>
      <c r="O713" s="40">
        <f t="shared" si="41"/>
        <v>0</v>
      </c>
      <c r="Q713" s="293">
        <f t="shared" si="42"/>
        <v>0</v>
      </c>
      <c r="S713" s="293">
        <f t="shared" si="43"/>
        <v>0</v>
      </c>
      <c r="U713" s="356"/>
      <c r="V713" s="356"/>
      <c r="W713" s="356"/>
      <c r="X713" s="356"/>
    </row>
    <row r="714" spans="2:24" x14ac:dyDescent="0.3">
      <c r="D714" s="356" t="s">
        <v>191</v>
      </c>
      <c r="E714" s="356"/>
      <c r="F714" s="356"/>
      <c r="G714" s="356"/>
      <c r="I714" s="48">
        <v>0</v>
      </c>
      <c r="K714" s="48">
        <v>0</v>
      </c>
      <c r="M714" s="40">
        <f t="shared" si="40"/>
        <v>0</v>
      </c>
      <c r="O714" s="40">
        <f t="shared" si="41"/>
        <v>0</v>
      </c>
      <c r="Q714" s="293">
        <f t="shared" si="42"/>
        <v>0</v>
      </c>
      <c r="S714" s="293">
        <f t="shared" si="43"/>
        <v>0</v>
      </c>
      <c r="U714" s="356"/>
      <c r="V714" s="356"/>
      <c r="W714" s="356"/>
      <c r="X714" s="356"/>
    </row>
    <row r="715" spans="2:24" x14ac:dyDescent="0.3">
      <c r="D715" s="356" t="s">
        <v>192</v>
      </c>
      <c r="E715" s="356"/>
      <c r="F715" s="356"/>
      <c r="G715" s="356"/>
      <c r="I715" s="48">
        <v>0</v>
      </c>
      <c r="K715" s="48">
        <v>0</v>
      </c>
      <c r="M715" s="40">
        <f t="shared" si="40"/>
        <v>0</v>
      </c>
      <c r="O715" s="40">
        <f t="shared" si="41"/>
        <v>0</v>
      </c>
      <c r="Q715" s="293">
        <f t="shared" si="42"/>
        <v>0</v>
      </c>
      <c r="S715" s="293">
        <f t="shared" si="43"/>
        <v>0</v>
      </c>
      <c r="U715" s="356"/>
      <c r="V715" s="356"/>
      <c r="W715" s="356"/>
      <c r="X715" s="356"/>
    </row>
    <row r="716" spans="2:24" x14ac:dyDescent="0.3">
      <c r="D716" s="356" t="s">
        <v>193</v>
      </c>
      <c r="E716" s="356"/>
      <c r="F716" s="356"/>
      <c r="G716" s="356"/>
      <c r="I716" s="48">
        <v>0</v>
      </c>
      <c r="K716" s="48">
        <v>0</v>
      </c>
      <c r="M716" s="40">
        <f t="shared" si="40"/>
        <v>0</v>
      </c>
      <c r="O716" s="40">
        <f t="shared" si="41"/>
        <v>0</v>
      </c>
      <c r="Q716" s="293">
        <f t="shared" si="42"/>
        <v>0</v>
      </c>
      <c r="S716" s="293">
        <f t="shared" si="43"/>
        <v>0</v>
      </c>
      <c r="U716" s="356"/>
      <c r="V716" s="356"/>
      <c r="W716" s="356"/>
      <c r="X716" s="356"/>
    </row>
    <row r="717" spans="2:24" x14ac:dyDescent="0.3">
      <c r="D717" s="356" t="s">
        <v>120</v>
      </c>
      <c r="E717" s="356"/>
      <c r="F717" s="356"/>
      <c r="G717" s="356"/>
      <c r="I717" s="48">
        <v>0</v>
      </c>
      <c r="K717" s="48">
        <v>0</v>
      </c>
      <c r="M717" s="40">
        <f t="shared" si="40"/>
        <v>0</v>
      </c>
      <c r="O717" s="40">
        <f t="shared" si="41"/>
        <v>0</v>
      </c>
      <c r="Q717" s="293">
        <f t="shared" si="42"/>
        <v>0</v>
      </c>
      <c r="S717" s="293">
        <f t="shared" si="43"/>
        <v>0</v>
      </c>
      <c r="U717" s="356"/>
      <c r="V717" s="356"/>
      <c r="W717" s="356"/>
      <c r="X717" s="356"/>
    </row>
    <row r="718" spans="2:24" x14ac:dyDescent="0.3">
      <c r="D718" s="356" t="s">
        <v>121</v>
      </c>
      <c r="E718" s="356"/>
      <c r="F718" s="356"/>
      <c r="G718" s="356"/>
      <c r="I718" s="48">
        <v>0</v>
      </c>
      <c r="K718" s="48">
        <v>0</v>
      </c>
      <c r="M718" s="40">
        <f t="shared" si="40"/>
        <v>0</v>
      </c>
      <c r="O718" s="40">
        <f t="shared" si="41"/>
        <v>0</v>
      </c>
      <c r="Q718" s="293">
        <f t="shared" si="42"/>
        <v>0</v>
      </c>
      <c r="S718" s="293">
        <f t="shared" si="43"/>
        <v>0</v>
      </c>
      <c r="U718" s="356"/>
      <c r="V718" s="356"/>
      <c r="W718" s="356"/>
      <c r="X718" s="356"/>
    </row>
    <row r="719" spans="2:24" s="277" customFormat="1" x14ac:dyDescent="0.3">
      <c r="D719" s="356" t="s">
        <v>830</v>
      </c>
      <c r="E719" s="356"/>
      <c r="F719" s="356"/>
      <c r="G719" s="356"/>
      <c r="I719" s="48">
        <v>0</v>
      </c>
      <c r="K719" s="48">
        <v>0</v>
      </c>
      <c r="M719" s="279">
        <f t="shared" si="40"/>
        <v>0</v>
      </c>
      <c r="O719" s="279">
        <f t="shared" si="41"/>
        <v>0</v>
      </c>
      <c r="Q719" s="293">
        <f t="shared" si="42"/>
        <v>0</v>
      </c>
      <c r="S719" s="293">
        <f t="shared" si="43"/>
        <v>0</v>
      </c>
      <c r="U719" s="385"/>
      <c r="V719" s="385"/>
      <c r="W719" s="385"/>
      <c r="X719" s="385"/>
    </row>
    <row r="720" spans="2:24" s="277" customFormat="1" x14ac:dyDescent="0.3">
      <c r="D720" s="356" t="s">
        <v>831</v>
      </c>
      <c r="E720" s="356"/>
      <c r="F720" s="356"/>
      <c r="G720" s="356"/>
      <c r="I720" s="48">
        <v>0</v>
      </c>
      <c r="K720" s="48">
        <v>0</v>
      </c>
      <c r="M720" s="279">
        <f t="shared" si="40"/>
        <v>0</v>
      </c>
      <c r="O720" s="279">
        <f t="shared" si="41"/>
        <v>0</v>
      </c>
      <c r="Q720" s="293">
        <f t="shared" si="42"/>
        <v>0</v>
      </c>
      <c r="S720" s="293">
        <f t="shared" si="43"/>
        <v>0</v>
      </c>
      <c r="U720" s="385"/>
      <c r="V720" s="385"/>
      <c r="W720" s="385"/>
      <c r="X720" s="385"/>
    </row>
    <row r="721" spans="4:24" s="277" customFormat="1" x14ac:dyDescent="0.3">
      <c r="D721" s="356" t="s">
        <v>832</v>
      </c>
      <c r="E721" s="356"/>
      <c r="F721" s="356"/>
      <c r="G721" s="356"/>
      <c r="I721" s="48">
        <v>0</v>
      </c>
      <c r="K721" s="48">
        <v>0</v>
      </c>
      <c r="M721" s="279">
        <f t="shared" si="40"/>
        <v>0</v>
      </c>
      <c r="O721" s="279">
        <f t="shared" si="41"/>
        <v>0</v>
      </c>
      <c r="Q721" s="293">
        <f t="shared" si="42"/>
        <v>0</v>
      </c>
      <c r="S721" s="293">
        <f t="shared" si="43"/>
        <v>0</v>
      </c>
      <c r="U721" s="385"/>
      <c r="V721" s="385"/>
      <c r="W721" s="385"/>
      <c r="X721" s="385"/>
    </row>
    <row r="722" spans="4:24" s="277" customFormat="1" x14ac:dyDescent="0.3">
      <c r="D722" s="356" t="s">
        <v>833</v>
      </c>
      <c r="E722" s="356"/>
      <c r="F722" s="356"/>
      <c r="G722" s="356"/>
      <c r="I722" s="48">
        <v>0</v>
      </c>
      <c r="K722" s="48">
        <v>0</v>
      </c>
      <c r="M722" s="279">
        <f t="shared" si="40"/>
        <v>0</v>
      </c>
      <c r="O722" s="279">
        <f t="shared" si="41"/>
        <v>0</v>
      </c>
      <c r="Q722" s="293">
        <f t="shared" si="42"/>
        <v>0</v>
      </c>
      <c r="S722" s="293">
        <f t="shared" si="43"/>
        <v>0</v>
      </c>
      <c r="U722" s="385"/>
      <c r="V722" s="385"/>
      <c r="W722" s="385"/>
      <c r="X722" s="385"/>
    </row>
    <row r="723" spans="4:24" s="277" customFormat="1" x14ac:dyDescent="0.3">
      <c r="D723" s="356" t="s">
        <v>834</v>
      </c>
      <c r="E723" s="356"/>
      <c r="F723" s="356"/>
      <c r="G723" s="356"/>
      <c r="I723" s="48">
        <v>0</v>
      </c>
      <c r="K723" s="48">
        <v>0</v>
      </c>
      <c r="M723" s="279">
        <f t="shared" si="40"/>
        <v>0</v>
      </c>
      <c r="O723" s="279">
        <f t="shared" si="41"/>
        <v>0</v>
      </c>
      <c r="Q723" s="293">
        <f t="shared" si="42"/>
        <v>0</v>
      </c>
      <c r="S723" s="293">
        <f t="shared" si="43"/>
        <v>0</v>
      </c>
      <c r="U723" s="385"/>
      <c r="V723" s="385"/>
      <c r="W723" s="385"/>
      <c r="X723" s="385"/>
    </row>
    <row r="724" spans="4:24" s="277" customFormat="1" x14ac:dyDescent="0.3">
      <c r="D724" s="356" t="s">
        <v>835</v>
      </c>
      <c r="E724" s="356"/>
      <c r="F724" s="356"/>
      <c r="G724" s="356"/>
      <c r="I724" s="48">
        <v>0</v>
      </c>
      <c r="K724" s="48">
        <v>0</v>
      </c>
      <c r="M724" s="279">
        <f t="shared" si="40"/>
        <v>0</v>
      </c>
      <c r="O724" s="279">
        <f t="shared" si="41"/>
        <v>0</v>
      </c>
      <c r="Q724" s="293">
        <f t="shared" si="42"/>
        <v>0</v>
      </c>
      <c r="S724" s="293">
        <f t="shared" si="43"/>
        <v>0</v>
      </c>
      <c r="U724" s="385"/>
      <c r="V724" s="385"/>
      <c r="W724" s="385"/>
      <c r="X724" s="385"/>
    </row>
    <row r="725" spans="4:24" s="277" customFormat="1" x14ac:dyDescent="0.3">
      <c r="D725" s="356" t="s">
        <v>836</v>
      </c>
      <c r="E725" s="356"/>
      <c r="F725" s="356"/>
      <c r="G725" s="356"/>
      <c r="I725" s="48">
        <v>0</v>
      </c>
      <c r="K725" s="48">
        <v>0</v>
      </c>
      <c r="M725" s="279">
        <f t="shared" si="40"/>
        <v>0</v>
      </c>
      <c r="O725" s="279">
        <f t="shared" si="41"/>
        <v>0</v>
      </c>
      <c r="Q725" s="293">
        <f t="shared" si="42"/>
        <v>0</v>
      </c>
      <c r="S725" s="293">
        <f t="shared" si="43"/>
        <v>0</v>
      </c>
      <c r="U725" s="385"/>
      <c r="V725" s="385"/>
      <c r="W725" s="385"/>
      <c r="X725" s="385"/>
    </row>
    <row r="726" spans="4:24" s="277" customFormat="1" x14ac:dyDescent="0.3">
      <c r="D726" s="356" t="s">
        <v>837</v>
      </c>
      <c r="E726" s="356"/>
      <c r="F726" s="356"/>
      <c r="G726" s="356"/>
      <c r="I726" s="48">
        <v>0</v>
      </c>
      <c r="K726" s="48">
        <v>0</v>
      </c>
      <c r="M726" s="279">
        <f t="shared" si="40"/>
        <v>0</v>
      </c>
      <c r="O726" s="279">
        <f t="shared" si="41"/>
        <v>0</v>
      </c>
      <c r="Q726" s="293">
        <f t="shared" si="42"/>
        <v>0</v>
      </c>
      <c r="S726" s="293">
        <f t="shared" si="43"/>
        <v>0</v>
      </c>
      <c r="U726" s="385"/>
      <c r="V726" s="385"/>
      <c r="W726" s="385"/>
      <c r="X726" s="385"/>
    </row>
    <row r="727" spans="4:24" s="277" customFormat="1" x14ac:dyDescent="0.3">
      <c r="D727" s="356" t="s">
        <v>846</v>
      </c>
      <c r="E727" s="356"/>
      <c r="F727" s="356"/>
      <c r="G727" s="356"/>
      <c r="I727" s="48">
        <v>0</v>
      </c>
      <c r="K727" s="48">
        <v>0</v>
      </c>
      <c r="M727" s="279">
        <f t="shared" si="40"/>
        <v>0</v>
      </c>
      <c r="O727" s="279">
        <f t="shared" si="41"/>
        <v>0</v>
      </c>
      <c r="Q727" s="293">
        <f t="shared" si="42"/>
        <v>0</v>
      </c>
      <c r="S727" s="293">
        <f t="shared" si="43"/>
        <v>0</v>
      </c>
      <c r="U727" s="385"/>
      <c r="V727" s="385"/>
      <c r="W727" s="385"/>
      <c r="X727" s="385"/>
    </row>
    <row r="728" spans="4:24" s="277" customFormat="1" x14ac:dyDescent="0.3">
      <c r="D728" s="356" t="s">
        <v>847</v>
      </c>
      <c r="E728" s="356"/>
      <c r="F728" s="356"/>
      <c r="G728" s="356"/>
      <c r="I728" s="48">
        <v>0</v>
      </c>
      <c r="K728" s="48">
        <v>0</v>
      </c>
      <c r="M728" s="279">
        <f t="shared" si="40"/>
        <v>0</v>
      </c>
      <c r="O728" s="279">
        <f t="shared" si="41"/>
        <v>0</v>
      </c>
      <c r="Q728" s="293">
        <f t="shared" si="42"/>
        <v>0</v>
      </c>
      <c r="S728" s="293">
        <f t="shared" si="43"/>
        <v>0</v>
      </c>
      <c r="U728" s="385"/>
      <c r="V728" s="385"/>
      <c r="W728" s="385"/>
      <c r="X728" s="385"/>
    </row>
    <row r="729" spans="4:24" s="277" customFormat="1" x14ac:dyDescent="0.3">
      <c r="D729" s="356" t="s">
        <v>848</v>
      </c>
      <c r="E729" s="356"/>
      <c r="F729" s="356"/>
      <c r="G729" s="356"/>
      <c r="I729" s="48">
        <v>0</v>
      </c>
      <c r="K729" s="48">
        <v>0</v>
      </c>
      <c r="M729" s="279">
        <f t="shared" si="40"/>
        <v>0</v>
      </c>
      <c r="O729" s="279">
        <f t="shared" si="41"/>
        <v>0</v>
      </c>
      <c r="Q729" s="293">
        <f t="shared" si="42"/>
        <v>0</v>
      </c>
      <c r="S729" s="293">
        <f t="shared" si="43"/>
        <v>0</v>
      </c>
      <c r="U729" s="385"/>
      <c r="V729" s="385"/>
      <c r="W729" s="385"/>
      <c r="X729" s="385"/>
    </row>
    <row r="730" spans="4:24" s="277" customFormat="1" x14ac:dyDescent="0.3">
      <c r="D730" s="356" t="s">
        <v>849</v>
      </c>
      <c r="E730" s="356"/>
      <c r="F730" s="356"/>
      <c r="G730" s="356"/>
      <c r="I730" s="48">
        <v>0</v>
      </c>
      <c r="K730" s="48">
        <v>0</v>
      </c>
      <c r="M730" s="279">
        <f t="shared" si="40"/>
        <v>0</v>
      </c>
      <c r="O730" s="279">
        <f t="shared" si="41"/>
        <v>0</v>
      </c>
      <c r="Q730" s="293">
        <f t="shared" si="42"/>
        <v>0</v>
      </c>
      <c r="S730" s="293">
        <f t="shared" si="43"/>
        <v>0</v>
      </c>
      <c r="U730" s="385"/>
      <c r="V730" s="385"/>
      <c r="W730" s="385"/>
      <c r="X730" s="385"/>
    </row>
    <row r="731" spans="4:24" s="277" customFormat="1" x14ac:dyDescent="0.3">
      <c r="D731" s="356" t="s">
        <v>971</v>
      </c>
      <c r="E731" s="356"/>
      <c r="F731" s="356"/>
      <c r="G731" s="356"/>
      <c r="I731" s="48">
        <v>0</v>
      </c>
      <c r="K731" s="48">
        <v>0</v>
      </c>
      <c r="M731" s="279">
        <f t="shared" si="40"/>
        <v>0</v>
      </c>
      <c r="O731" s="279">
        <f t="shared" si="41"/>
        <v>0</v>
      </c>
      <c r="Q731" s="293">
        <f t="shared" si="42"/>
        <v>0</v>
      </c>
      <c r="S731" s="293">
        <f t="shared" si="43"/>
        <v>0</v>
      </c>
      <c r="U731" s="385"/>
      <c r="V731" s="385"/>
      <c r="W731" s="385"/>
      <c r="X731" s="385"/>
    </row>
    <row r="732" spans="4:24" s="277" customFormat="1" x14ac:dyDescent="0.3">
      <c r="D732" s="356" t="s">
        <v>973</v>
      </c>
      <c r="E732" s="356"/>
      <c r="F732" s="356"/>
      <c r="G732" s="356"/>
      <c r="I732" s="48">
        <v>0</v>
      </c>
      <c r="K732" s="48">
        <v>0</v>
      </c>
      <c r="M732" s="279">
        <f t="shared" si="40"/>
        <v>0</v>
      </c>
      <c r="O732" s="279">
        <f t="shared" si="41"/>
        <v>0</v>
      </c>
      <c r="Q732" s="293">
        <f t="shared" si="42"/>
        <v>0</v>
      </c>
      <c r="S732" s="293">
        <f t="shared" si="43"/>
        <v>0</v>
      </c>
      <c r="U732" s="385"/>
      <c r="V732" s="385"/>
      <c r="W732" s="385"/>
      <c r="X732" s="385"/>
    </row>
    <row r="733" spans="4:24" s="277" customFormat="1" x14ac:dyDescent="0.3">
      <c r="D733" s="356" t="s">
        <v>974</v>
      </c>
      <c r="E733" s="356"/>
      <c r="F733" s="356"/>
      <c r="G733" s="356"/>
      <c r="I733" s="48">
        <v>0</v>
      </c>
      <c r="K733" s="48">
        <v>0</v>
      </c>
      <c r="M733" s="279">
        <f t="shared" si="40"/>
        <v>0</v>
      </c>
      <c r="O733" s="279">
        <f t="shared" si="41"/>
        <v>0</v>
      </c>
      <c r="Q733" s="293">
        <f t="shared" si="42"/>
        <v>0</v>
      </c>
      <c r="S733" s="293">
        <f t="shared" si="43"/>
        <v>0</v>
      </c>
      <c r="U733" s="385"/>
      <c r="V733" s="385"/>
      <c r="W733" s="385"/>
      <c r="X733" s="385"/>
    </row>
    <row r="734" spans="4:24" s="277" customFormat="1" x14ac:dyDescent="0.3">
      <c r="D734" s="356" t="s">
        <v>975</v>
      </c>
      <c r="E734" s="356"/>
      <c r="F734" s="356"/>
      <c r="G734" s="356"/>
      <c r="I734" s="48">
        <v>0</v>
      </c>
      <c r="K734" s="48">
        <v>0</v>
      </c>
      <c r="M734" s="279">
        <f t="shared" si="40"/>
        <v>0</v>
      </c>
      <c r="O734" s="279">
        <f t="shared" si="41"/>
        <v>0</v>
      </c>
      <c r="Q734" s="293">
        <f t="shared" si="42"/>
        <v>0</v>
      </c>
      <c r="S734" s="293">
        <f t="shared" si="43"/>
        <v>0</v>
      </c>
      <c r="U734" s="385"/>
      <c r="V734" s="385"/>
      <c r="W734" s="385"/>
      <c r="X734" s="385"/>
    </row>
    <row r="735" spans="4:24" s="277" customFormat="1" x14ac:dyDescent="0.3">
      <c r="D735" s="356" t="s">
        <v>976</v>
      </c>
      <c r="E735" s="356"/>
      <c r="F735" s="356"/>
      <c r="G735" s="356"/>
      <c r="I735" s="48">
        <v>0</v>
      </c>
      <c r="K735" s="48">
        <v>0</v>
      </c>
      <c r="M735" s="279">
        <f t="shared" si="40"/>
        <v>0</v>
      </c>
      <c r="O735" s="279">
        <f t="shared" si="41"/>
        <v>0</v>
      </c>
      <c r="Q735" s="293">
        <f t="shared" si="42"/>
        <v>0</v>
      </c>
      <c r="S735" s="293">
        <f t="shared" si="43"/>
        <v>0</v>
      </c>
      <c r="U735" s="385"/>
      <c r="V735" s="385"/>
      <c r="W735" s="385"/>
      <c r="X735" s="385"/>
    </row>
    <row r="736" spans="4:24" ht="14.4" x14ac:dyDescent="0.3">
      <c r="D736" s="420" t="s">
        <v>79</v>
      </c>
      <c r="E736" s="421"/>
      <c r="F736" s="421"/>
      <c r="G736" s="421"/>
      <c r="I736" s="43"/>
      <c r="K736" s="43"/>
      <c r="M736" s="43"/>
      <c r="O736" s="43"/>
      <c r="Q736" s="294">
        <f>SUM(Q711:Q735)</f>
        <v>0</v>
      </c>
      <c r="S736" s="294">
        <f>SUM(S711:S735)</f>
        <v>0</v>
      </c>
    </row>
    <row r="738" spans="3:24" ht="15.6" x14ac:dyDescent="0.3">
      <c r="C738" s="92" t="s">
        <v>164</v>
      </c>
    </row>
    <row r="739" spans="3:24" ht="27.6" x14ac:dyDescent="0.3">
      <c r="D739" s="90" t="s">
        <v>102</v>
      </c>
      <c r="I739" s="91" t="s">
        <v>80</v>
      </c>
      <c r="K739" s="91" t="s">
        <v>432</v>
      </c>
      <c r="M739" s="42" t="s">
        <v>103</v>
      </c>
      <c r="O739" s="42" t="s">
        <v>104</v>
      </c>
      <c r="Q739" s="42" t="s">
        <v>105</v>
      </c>
      <c r="S739" s="42" t="s">
        <v>106</v>
      </c>
      <c r="U739" s="350" t="s">
        <v>185</v>
      </c>
      <c r="V739" s="351"/>
      <c r="W739" s="351"/>
      <c r="X739" s="351"/>
    </row>
    <row r="740" spans="3:24" x14ac:dyDescent="0.3">
      <c r="D740" s="356" t="s">
        <v>109</v>
      </c>
      <c r="E740" s="356"/>
      <c r="F740" s="356"/>
      <c r="G740" s="356"/>
      <c r="I740" s="48">
        <v>0</v>
      </c>
      <c r="K740" s="48">
        <v>0</v>
      </c>
      <c r="M740" s="40">
        <f t="shared" ref="M740:M764" si="44">IFERROR(IF(DD_ACT_19_Meet1_Curr=1,INDEX($M$905:$M$939,MATCH(D740,LU_ACT_19_Allowances,0)),INDEX($Q$905:$Q$939,MATCH(D740,LU_ACT_19_Allowances,0))),0)</f>
        <v>0</v>
      </c>
      <c r="O740" s="40">
        <f t="shared" ref="O740:O764" si="45">IFERROR(IF(DD_ACT_19_Meet1_Curr=1,INDEX($O$905:$O$939,MATCH(D740,LU_ACT_19_Allowances,0)),INDEX($S$905:$S$939,MATCH(D740,LU_ACT_19_Allowances,0))),0)</f>
        <v>0</v>
      </c>
      <c r="Q740" s="293">
        <f t="shared" ref="Q740:Q764" si="46">I740*K740*M740</f>
        <v>0</v>
      </c>
      <c r="S740" s="293">
        <f t="shared" ref="S740:S764" si="47">I740*K740*O740</f>
        <v>0</v>
      </c>
      <c r="U740" s="356"/>
      <c r="V740" s="356"/>
      <c r="W740" s="356"/>
      <c r="X740" s="356"/>
    </row>
    <row r="741" spans="3:24" x14ac:dyDescent="0.3">
      <c r="D741" s="356" t="s">
        <v>110</v>
      </c>
      <c r="E741" s="356"/>
      <c r="F741" s="356"/>
      <c r="G741" s="356"/>
      <c r="I741" s="48">
        <v>0</v>
      </c>
      <c r="K741" s="48">
        <v>0</v>
      </c>
      <c r="M741" s="40">
        <f t="shared" si="44"/>
        <v>0</v>
      </c>
      <c r="O741" s="40">
        <f t="shared" si="45"/>
        <v>0</v>
      </c>
      <c r="Q741" s="293">
        <f t="shared" si="46"/>
        <v>0</v>
      </c>
      <c r="S741" s="293">
        <f t="shared" si="47"/>
        <v>0</v>
      </c>
      <c r="U741" s="356"/>
      <c r="V741" s="356"/>
      <c r="W741" s="356"/>
      <c r="X741" s="356"/>
    </row>
    <row r="742" spans="3:24" x14ac:dyDescent="0.3">
      <c r="D742" s="356" t="s">
        <v>111</v>
      </c>
      <c r="E742" s="356"/>
      <c r="F742" s="356"/>
      <c r="G742" s="356"/>
      <c r="I742" s="48">
        <v>0</v>
      </c>
      <c r="K742" s="48">
        <v>0</v>
      </c>
      <c r="M742" s="40">
        <f t="shared" si="44"/>
        <v>0</v>
      </c>
      <c r="O742" s="40">
        <f t="shared" si="45"/>
        <v>0</v>
      </c>
      <c r="Q742" s="293">
        <f t="shared" si="46"/>
        <v>0</v>
      </c>
      <c r="S742" s="293">
        <f t="shared" si="47"/>
        <v>0</v>
      </c>
      <c r="U742" s="356"/>
      <c r="V742" s="356"/>
      <c r="W742" s="356"/>
      <c r="X742" s="356"/>
    </row>
    <row r="743" spans="3:24" x14ac:dyDescent="0.3">
      <c r="D743" s="356" t="s">
        <v>112</v>
      </c>
      <c r="E743" s="356"/>
      <c r="F743" s="356"/>
      <c r="G743" s="356"/>
      <c r="I743" s="48">
        <v>0</v>
      </c>
      <c r="K743" s="48">
        <v>0</v>
      </c>
      <c r="M743" s="40">
        <f t="shared" si="44"/>
        <v>0</v>
      </c>
      <c r="O743" s="40">
        <f t="shared" si="45"/>
        <v>0</v>
      </c>
      <c r="Q743" s="293">
        <f t="shared" si="46"/>
        <v>0</v>
      </c>
      <c r="S743" s="293">
        <f t="shared" si="47"/>
        <v>0</v>
      </c>
      <c r="U743" s="356"/>
      <c r="V743" s="356"/>
      <c r="W743" s="356"/>
      <c r="X743" s="356"/>
    </row>
    <row r="744" spans="3:24" x14ac:dyDescent="0.3">
      <c r="D744" s="356" t="s">
        <v>113</v>
      </c>
      <c r="E744" s="356"/>
      <c r="F744" s="356"/>
      <c r="G744" s="356"/>
      <c r="I744" s="48">
        <v>0</v>
      </c>
      <c r="K744" s="48">
        <v>0</v>
      </c>
      <c r="M744" s="40">
        <f t="shared" si="44"/>
        <v>0</v>
      </c>
      <c r="O744" s="40">
        <f t="shared" si="45"/>
        <v>0</v>
      </c>
      <c r="Q744" s="293">
        <f t="shared" si="46"/>
        <v>0</v>
      </c>
      <c r="S744" s="293">
        <f t="shared" si="47"/>
        <v>0</v>
      </c>
      <c r="U744" s="356"/>
      <c r="V744" s="356"/>
      <c r="W744" s="356"/>
      <c r="X744" s="356"/>
    </row>
    <row r="745" spans="3:24" x14ac:dyDescent="0.3">
      <c r="D745" s="356" t="s">
        <v>114</v>
      </c>
      <c r="E745" s="356"/>
      <c r="F745" s="356"/>
      <c r="G745" s="356"/>
      <c r="I745" s="48">
        <v>0</v>
      </c>
      <c r="K745" s="48">
        <v>0</v>
      </c>
      <c r="M745" s="40">
        <f t="shared" si="44"/>
        <v>0</v>
      </c>
      <c r="O745" s="40">
        <f t="shared" si="45"/>
        <v>0</v>
      </c>
      <c r="Q745" s="293">
        <f t="shared" si="46"/>
        <v>0</v>
      </c>
      <c r="S745" s="293">
        <f t="shared" si="47"/>
        <v>0</v>
      </c>
      <c r="U745" s="356"/>
      <c r="V745" s="356"/>
      <c r="W745" s="356"/>
      <c r="X745" s="356"/>
    </row>
    <row r="746" spans="3:24" x14ac:dyDescent="0.3">
      <c r="D746" s="356" t="s">
        <v>115</v>
      </c>
      <c r="E746" s="356"/>
      <c r="F746" s="356"/>
      <c r="G746" s="356"/>
      <c r="I746" s="48">
        <v>0</v>
      </c>
      <c r="K746" s="48">
        <v>0</v>
      </c>
      <c r="M746" s="40">
        <f t="shared" si="44"/>
        <v>0</v>
      </c>
      <c r="O746" s="40">
        <f t="shared" si="45"/>
        <v>0</v>
      </c>
      <c r="Q746" s="293">
        <f t="shared" si="46"/>
        <v>0</v>
      </c>
      <c r="S746" s="293">
        <f t="shared" si="47"/>
        <v>0</v>
      </c>
      <c r="U746" s="356"/>
      <c r="V746" s="356"/>
      <c r="W746" s="356"/>
      <c r="X746" s="356"/>
    </row>
    <row r="747" spans="3:24" x14ac:dyDescent="0.3">
      <c r="D747" s="356" t="s">
        <v>116</v>
      </c>
      <c r="E747" s="356"/>
      <c r="F747" s="356"/>
      <c r="G747" s="356"/>
      <c r="I747" s="48">
        <v>0</v>
      </c>
      <c r="K747" s="48">
        <v>0</v>
      </c>
      <c r="M747" s="40">
        <f t="shared" si="44"/>
        <v>0</v>
      </c>
      <c r="O747" s="40">
        <f t="shared" si="45"/>
        <v>0</v>
      </c>
      <c r="Q747" s="293">
        <f t="shared" si="46"/>
        <v>0</v>
      </c>
      <c r="S747" s="293">
        <f t="shared" si="47"/>
        <v>0</v>
      </c>
      <c r="U747" s="356"/>
      <c r="V747" s="356"/>
      <c r="W747" s="356"/>
      <c r="X747" s="356"/>
    </row>
    <row r="748" spans="3:24" s="277" customFormat="1" x14ac:dyDescent="0.3">
      <c r="D748" s="356" t="s">
        <v>838</v>
      </c>
      <c r="E748" s="356"/>
      <c r="F748" s="356"/>
      <c r="G748" s="356"/>
      <c r="I748" s="48">
        <v>0</v>
      </c>
      <c r="K748" s="48">
        <v>0</v>
      </c>
      <c r="M748" s="279">
        <f t="shared" si="44"/>
        <v>0</v>
      </c>
      <c r="O748" s="279">
        <f t="shared" si="45"/>
        <v>0</v>
      </c>
      <c r="Q748" s="293">
        <f t="shared" si="46"/>
        <v>0</v>
      </c>
      <c r="S748" s="293">
        <f t="shared" si="47"/>
        <v>0</v>
      </c>
      <c r="U748" s="385"/>
      <c r="V748" s="385"/>
      <c r="W748" s="385"/>
      <c r="X748" s="385"/>
    </row>
    <row r="749" spans="3:24" s="277" customFormat="1" x14ac:dyDescent="0.3">
      <c r="D749" s="356" t="s">
        <v>839</v>
      </c>
      <c r="E749" s="356"/>
      <c r="F749" s="356"/>
      <c r="G749" s="356"/>
      <c r="I749" s="48">
        <v>0</v>
      </c>
      <c r="K749" s="48">
        <v>0</v>
      </c>
      <c r="M749" s="279">
        <f t="shared" si="44"/>
        <v>0</v>
      </c>
      <c r="O749" s="279">
        <f t="shared" si="45"/>
        <v>0</v>
      </c>
      <c r="Q749" s="293">
        <f t="shared" si="46"/>
        <v>0</v>
      </c>
      <c r="S749" s="293">
        <f t="shared" si="47"/>
        <v>0</v>
      </c>
      <c r="U749" s="385"/>
      <c r="V749" s="385"/>
      <c r="W749" s="385"/>
      <c r="X749" s="385"/>
    </row>
    <row r="750" spans="3:24" s="277" customFormat="1" x14ac:dyDescent="0.3">
      <c r="D750" s="356" t="s">
        <v>840</v>
      </c>
      <c r="E750" s="356"/>
      <c r="F750" s="356"/>
      <c r="G750" s="356"/>
      <c r="I750" s="48">
        <v>0</v>
      </c>
      <c r="K750" s="48">
        <v>0</v>
      </c>
      <c r="M750" s="279">
        <f t="shared" si="44"/>
        <v>0</v>
      </c>
      <c r="O750" s="279">
        <f t="shared" si="45"/>
        <v>0</v>
      </c>
      <c r="Q750" s="293">
        <f t="shared" si="46"/>
        <v>0</v>
      </c>
      <c r="S750" s="293">
        <f t="shared" si="47"/>
        <v>0</v>
      </c>
      <c r="U750" s="385"/>
      <c r="V750" s="385"/>
      <c r="W750" s="385"/>
      <c r="X750" s="385"/>
    </row>
    <row r="751" spans="3:24" s="277" customFormat="1" x14ac:dyDescent="0.3">
      <c r="D751" s="356" t="s">
        <v>841</v>
      </c>
      <c r="E751" s="356"/>
      <c r="F751" s="356"/>
      <c r="G751" s="356"/>
      <c r="I751" s="48">
        <v>0</v>
      </c>
      <c r="K751" s="48">
        <v>0</v>
      </c>
      <c r="M751" s="279">
        <f t="shared" si="44"/>
        <v>0</v>
      </c>
      <c r="O751" s="279">
        <f t="shared" si="45"/>
        <v>0</v>
      </c>
      <c r="Q751" s="293">
        <f t="shared" si="46"/>
        <v>0</v>
      </c>
      <c r="S751" s="293">
        <f t="shared" si="47"/>
        <v>0</v>
      </c>
      <c r="U751" s="385"/>
      <c r="V751" s="385"/>
      <c r="W751" s="385"/>
      <c r="X751" s="385"/>
    </row>
    <row r="752" spans="3:24" s="277" customFormat="1" x14ac:dyDescent="0.3">
      <c r="D752" s="356" t="s">
        <v>842</v>
      </c>
      <c r="E752" s="356"/>
      <c r="F752" s="356"/>
      <c r="G752" s="356"/>
      <c r="I752" s="48">
        <v>0</v>
      </c>
      <c r="K752" s="48">
        <v>0</v>
      </c>
      <c r="M752" s="279">
        <f t="shared" si="44"/>
        <v>0</v>
      </c>
      <c r="O752" s="279">
        <f t="shared" si="45"/>
        <v>0</v>
      </c>
      <c r="Q752" s="293">
        <f t="shared" si="46"/>
        <v>0</v>
      </c>
      <c r="S752" s="293">
        <f t="shared" si="47"/>
        <v>0</v>
      </c>
      <c r="U752" s="385"/>
      <c r="V752" s="385"/>
      <c r="W752" s="385"/>
      <c r="X752" s="385"/>
    </row>
    <row r="753" spans="4:24" s="277" customFormat="1" x14ac:dyDescent="0.3">
      <c r="D753" s="356" t="s">
        <v>843</v>
      </c>
      <c r="E753" s="356"/>
      <c r="F753" s="356"/>
      <c r="G753" s="356"/>
      <c r="I753" s="48">
        <v>0</v>
      </c>
      <c r="K753" s="48">
        <v>0</v>
      </c>
      <c r="M753" s="279">
        <f t="shared" si="44"/>
        <v>0</v>
      </c>
      <c r="O753" s="279">
        <f t="shared" si="45"/>
        <v>0</v>
      </c>
      <c r="Q753" s="293">
        <f t="shared" si="46"/>
        <v>0</v>
      </c>
      <c r="S753" s="293">
        <f t="shared" si="47"/>
        <v>0</v>
      </c>
      <c r="U753" s="385"/>
      <c r="V753" s="385"/>
      <c r="W753" s="385"/>
      <c r="X753" s="385"/>
    </row>
    <row r="754" spans="4:24" s="277" customFormat="1" x14ac:dyDescent="0.3">
      <c r="D754" s="356" t="s">
        <v>844</v>
      </c>
      <c r="E754" s="356"/>
      <c r="F754" s="356"/>
      <c r="G754" s="356"/>
      <c r="I754" s="48">
        <v>0</v>
      </c>
      <c r="K754" s="48">
        <v>0</v>
      </c>
      <c r="M754" s="279">
        <f t="shared" si="44"/>
        <v>0</v>
      </c>
      <c r="O754" s="279">
        <f t="shared" si="45"/>
        <v>0</v>
      </c>
      <c r="Q754" s="293">
        <f t="shared" si="46"/>
        <v>0</v>
      </c>
      <c r="S754" s="293">
        <f t="shared" si="47"/>
        <v>0</v>
      </c>
      <c r="U754" s="385"/>
      <c r="V754" s="385"/>
      <c r="W754" s="385"/>
      <c r="X754" s="385"/>
    </row>
    <row r="755" spans="4:24" s="277" customFormat="1" x14ac:dyDescent="0.3">
      <c r="D755" s="356" t="s">
        <v>845</v>
      </c>
      <c r="E755" s="356"/>
      <c r="F755" s="356"/>
      <c r="G755" s="356"/>
      <c r="I755" s="48">
        <v>0</v>
      </c>
      <c r="K755" s="48">
        <v>0</v>
      </c>
      <c r="M755" s="279">
        <f t="shared" si="44"/>
        <v>0</v>
      </c>
      <c r="O755" s="279">
        <f t="shared" si="45"/>
        <v>0</v>
      </c>
      <c r="Q755" s="293">
        <f t="shared" si="46"/>
        <v>0</v>
      </c>
      <c r="S755" s="293">
        <f t="shared" si="47"/>
        <v>0</v>
      </c>
      <c r="U755" s="385"/>
      <c r="V755" s="385"/>
      <c r="W755" s="385"/>
      <c r="X755" s="385"/>
    </row>
    <row r="756" spans="4:24" s="277" customFormat="1" x14ac:dyDescent="0.3">
      <c r="D756" s="356" t="s">
        <v>850</v>
      </c>
      <c r="E756" s="356"/>
      <c r="F756" s="356"/>
      <c r="G756" s="356"/>
      <c r="I756" s="48">
        <v>0</v>
      </c>
      <c r="K756" s="48">
        <v>0</v>
      </c>
      <c r="M756" s="279">
        <f t="shared" si="44"/>
        <v>0</v>
      </c>
      <c r="O756" s="279">
        <f t="shared" si="45"/>
        <v>0</v>
      </c>
      <c r="Q756" s="293">
        <f t="shared" si="46"/>
        <v>0</v>
      </c>
      <c r="S756" s="293">
        <f t="shared" si="47"/>
        <v>0</v>
      </c>
      <c r="U756" s="385"/>
      <c r="V756" s="385"/>
      <c r="W756" s="385"/>
      <c r="X756" s="385"/>
    </row>
    <row r="757" spans="4:24" s="277" customFormat="1" x14ac:dyDescent="0.3">
      <c r="D757" s="356" t="s">
        <v>851</v>
      </c>
      <c r="E757" s="356"/>
      <c r="F757" s="356"/>
      <c r="G757" s="356"/>
      <c r="I757" s="48">
        <v>0</v>
      </c>
      <c r="K757" s="48">
        <v>0</v>
      </c>
      <c r="M757" s="279">
        <f t="shared" si="44"/>
        <v>0</v>
      </c>
      <c r="O757" s="279">
        <f t="shared" si="45"/>
        <v>0</v>
      </c>
      <c r="Q757" s="293">
        <f t="shared" si="46"/>
        <v>0</v>
      </c>
      <c r="S757" s="293">
        <f t="shared" si="47"/>
        <v>0</v>
      </c>
      <c r="U757" s="385"/>
      <c r="V757" s="385"/>
      <c r="W757" s="385"/>
      <c r="X757" s="385"/>
    </row>
    <row r="758" spans="4:24" s="277" customFormat="1" x14ac:dyDescent="0.3">
      <c r="D758" s="356" t="s">
        <v>852</v>
      </c>
      <c r="E758" s="356"/>
      <c r="F758" s="356"/>
      <c r="G758" s="356"/>
      <c r="I758" s="48">
        <v>0</v>
      </c>
      <c r="K758" s="48">
        <v>0</v>
      </c>
      <c r="M758" s="279">
        <f t="shared" si="44"/>
        <v>0</v>
      </c>
      <c r="O758" s="279">
        <f t="shared" si="45"/>
        <v>0</v>
      </c>
      <c r="Q758" s="293">
        <f t="shared" si="46"/>
        <v>0</v>
      </c>
      <c r="S758" s="293">
        <f t="shared" si="47"/>
        <v>0</v>
      </c>
      <c r="U758" s="385"/>
      <c r="V758" s="385"/>
      <c r="W758" s="385"/>
      <c r="X758" s="385"/>
    </row>
    <row r="759" spans="4:24" s="277" customFormat="1" x14ac:dyDescent="0.3">
      <c r="D759" s="356" t="s">
        <v>853</v>
      </c>
      <c r="E759" s="356"/>
      <c r="F759" s="356"/>
      <c r="G759" s="356"/>
      <c r="I759" s="48">
        <v>0</v>
      </c>
      <c r="K759" s="48">
        <v>0</v>
      </c>
      <c r="M759" s="279">
        <f t="shared" si="44"/>
        <v>0</v>
      </c>
      <c r="O759" s="279">
        <f t="shared" si="45"/>
        <v>0</v>
      </c>
      <c r="Q759" s="293">
        <f t="shared" si="46"/>
        <v>0</v>
      </c>
      <c r="S759" s="293">
        <f t="shared" si="47"/>
        <v>0</v>
      </c>
      <c r="U759" s="385"/>
      <c r="V759" s="385"/>
      <c r="W759" s="385"/>
      <c r="X759" s="385"/>
    </row>
    <row r="760" spans="4:24" s="277" customFormat="1" x14ac:dyDescent="0.3">
      <c r="D760" s="356" t="s">
        <v>972</v>
      </c>
      <c r="E760" s="356"/>
      <c r="F760" s="356"/>
      <c r="G760" s="356"/>
      <c r="I760" s="48">
        <v>0</v>
      </c>
      <c r="K760" s="48">
        <v>0</v>
      </c>
      <c r="M760" s="279">
        <f t="shared" si="44"/>
        <v>0</v>
      </c>
      <c r="O760" s="279">
        <f t="shared" si="45"/>
        <v>0</v>
      </c>
      <c r="Q760" s="293">
        <f t="shared" si="46"/>
        <v>0</v>
      </c>
      <c r="S760" s="293">
        <f t="shared" si="47"/>
        <v>0</v>
      </c>
      <c r="U760" s="385"/>
      <c r="V760" s="385"/>
      <c r="W760" s="385"/>
      <c r="X760" s="385"/>
    </row>
    <row r="761" spans="4:24" s="277" customFormat="1" x14ac:dyDescent="0.3">
      <c r="D761" s="356" t="s">
        <v>977</v>
      </c>
      <c r="E761" s="356"/>
      <c r="F761" s="356"/>
      <c r="G761" s="356"/>
      <c r="I761" s="48">
        <v>0</v>
      </c>
      <c r="K761" s="48">
        <v>0</v>
      </c>
      <c r="M761" s="279">
        <f t="shared" si="44"/>
        <v>0</v>
      </c>
      <c r="O761" s="279">
        <f t="shared" si="45"/>
        <v>0</v>
      </c>
      <c r="Q761" s="293">
        <f t="shared" si="46"/>
        <v>0</v>
      </c>
      <c r="S761" s="293">
        <f t="shared" si="47"/>
        <v>0</v>
      </c>
      <c r="U761" s="385"/>
      <c r="V761" s="385"/>
      <c r="W761" s="385"/>
      <c r="X761" s="385"/>
    </row>
    <row r="762" spans="4:24" s="277" customFormat="1" x14ac:dyDescent="0.3">
      <c r="D762" s="356" t="s">
        <v>978</v>
      </c>
      <c r="E762" s="356"/>
      <c r="F762" s="356"/>
      <c r="G762" s="356"/>
      <c r="I762" s="48">
        <v>0</v>
      </c>
      <c r="K762" s="48">
        <v>0</v>
      </c>
      <c r="M762" s="279">
        <f t="shared" si="44"/>
        <v>0</v>
      </c>
      <c r="O762" s="279">
        <f t="shared" si="45"/>
        <v>0</v>
      </c>
      <c r="Q762" s="293">
        <f t="shared" si="46"/>
        <v>0</v>
      </c>
      <c r="S762" s="293">
        <f t="shared" si="47"/>
        <v>0</v>
      </c>
      <c r="U762" s="385"/>
      <c r="V762" s="385"/>
      <c r="W762" s="385"/>
      <c r="X762" s="385"/>
    </row>
    <row r="763" spans="4:24" s="277" customFormat="1" x14ac:dyDescent="0.3">
      <c r="D763" s="356" t="s">
        <v>979</v>
      </c>
      <c r="E763" s="356"/>
      <c r="F763" s="356"/>
      <c r="G763" s="356"/>
      <c r="I763" s="48">
        <v>0</v>
      </c>
      <c r="K763" s="48">
        <v>0</v>
      </c>
      <c r="M763" s="279">
        <f t="shared" si="44"/>
        <v>0</v>
      </c>
      <c r="O763" s="279">
        <f t="shared" si="45"/>
        <v>0</v>
      </c>
      <c r="Q763" s="293">
        <f t="shared" si="46"/>
        <v>0</v>
      </c>
      <c r="S763" s="293">
        <f t="shared" si="47"/>
        <v>0</v>
      </c>
      <c r="U763" s="385"/>
      <c r="V763" s="385"/>
      <c r="W763" s="385"/>
      <c r="X763" s="385"/>
    </row>
    <row r="764" spans="4:24" s="277" customFormat="1" x14ac:dyDescent="0.3">
      <c r="D764" s="356" t="s">
        <v>980</v>
      </c>
      <c r="E764" s="356"/>
      <c r="F764" s="356"/>
      <c r="G764" s="356"/>
      <c r="I764" s="48">
        <v>0</v>
      </c>
      <c r="K764" s="48">
        <v>0</v>
      </c>
      <c r="M764" s="279">
        <f t="shared" si="44"/>
        <v>0</v>
      </c>
      <c r="O764" s="279">
        <f t="shared" si="45"/>
        <v>0</v>
      </c>
      <c r="Q764" s="293">
        <f t="shared" si="46"/>
        <v>0</v>
      </c>
      <c r="S764" s="293">
        <f t="shared" si="47"/>
        <v>0</v>
      </c>
      <c r="U764" s="385"/>
      <c r="V764" s="385"/>
      <c r="W764" s="385"/>
      <c r="X764" s="385"/>
    </row>
    <row r="765" spans="4:24" ht="14.4" x14ac:dyDescent="0.3">
      <c r="D765" s="420" t="s">
        <v>82</v>
      </c>
      <c r="E765" s="421"/>
      <c r="F765" s="421"/>
      <c r="G765" s="421"/>
      <c r="I765" s="43"/>
      <c r="K765" s="43"/>
      <c r="M765" s="43"/>
      <c r="O765" s="43"/>
      <c r="Q765" s="294">
        <f>SUM(Q740:Q764)</f>
        <v>0</v>
      </c>
      <c r="S765" s="294">
        <f>SUM(S740:S764)</f>
        <v>0</v>
      </c>
    </row>
    <row r="769" spans="3:24" ht="15.6" x14ac:dyDescent="0.3">
      <c r="C769" s="92" t="s">
        <v>84</v>
      </c>
    </row>
    <row r="770" spans="3:24" ht="27.6" x14ac:dyDescent="0.3">
      <c r="D770" s="90" t="s">
        <v>102</v>
      </c>
      <c r="I770" s="91" t="s">
        <v>87</v>
      </c>
      <c r="K770" s="91" t="s">
        <v>432</v>
      </c>
      <c r="M770" s="42" t="s">
        <v>107</v>
      </c>
      <c r="O770" s="42" t="s">
        <v>108</v>
      </c>
      <c r="Q770" s="42" t="s">
        <v>105</v>
      </c>
      <c r="S770" s="42" t="s">
        <v>106</v>
      </c>
      <c r="U770" s="350" t="s">
        <v>185</v>
      </c>
      <c r="V770" s="351"/>
      <c r="W770" s="351"/>
      <c r="X770" s="351"/>
    </row>
    <row r="771" spans="3:24" x14ac:dyDescent="0.3">
      <c r="D771" s="356" t="s">
        <v>892</v>
      </c>
      <c r="E771" s="356"/>
      <c r="F771" s="356"/>
      <c r="G771" s="356"/>
      <c r="I771" s="48">
        <v>0</v>
      </c>
      <c r="K771" s="48">
        <v>0</v>
      </c>
      <c r="M771" s="40">
        <f t="shared" ref="M771:M795" si="48">IFERROR(IF(DD_ACT_19_Meet1_Curr=1,INDEX($M$943:$M$977,MATCH(D771,LU_ACT_19_Supplies,0)),INDEX($Q$943:$Q$977,MATCH(D771,LU_ACT_19_Supplies,0))),0)</f>
        <v>0</v>
      </c>
      <c r="O771" s="40">
        <f t="shared" ref="O771:O795" si="49">IFERROR(IF(DD_ACT_19_Meet1_Curr=1,INDEX($O$943:$O$977,MATCH(D771,LU_ACT_19_Supplies,0)),INDEX($S$943:$S$977,MATCH(D771,LU_ACT_19_Supplies,0))),0)</f>
        <v>0</v>
      </c>
      <c r="Q771" s="295">
        <f t="shared" ref="Q771:Q795" si="50">I771*K771*M771</f>
        <v>0</v>
      </c>
      <c r="S771" s="293">
        <f t="shared" ref="S771:S795" si="51">I771*K771*O771</f>
        <v>0</v>
      </c>
      <c r="U771" s="356"/>
      <c r="V771" s="356"/>
      <c r="W771" s="356"/>
      <c r="X771" s="356"/>
    </row>
    <row r="772" spans="3:24" x14ac:dyDescent="0.3">
      <c r="D772" s="356" t="s">
        <v>893</v>
      </c>
      <c r="E772" s="356"/>
      <c r="F772" s="356"/>
      <c r="G772" s="356"/>
      <c r="I772" s="48">
        <v>0</v>
      </c>
      <c r="K772" s="48">
        <v>0</v>
      </c>
      <c r="M772" s="40">
        <f t="shared" si="48"/>
        <v>0</v>
      </c>
      <c r="O772" s="40">
        <f t="shared" si="49"/>
        <v>0</v>
      </c>
      <c r="Q772" s="295">
        <f t="shared" si="50"/>
        <v>0</v>
      </c>
      <c r="S772" s="293">
        <f t="shared" si="51"/>
        <v>0</v>
      </c>
      <c r="U772" s="356"/>
      <c r="V772" s="356"/>
      <c r="W772" s="356"/>
      <c r="X772" s="356"/>
    </row>
    <row r="773" spans="3:24" s="277" customFormat="1" x14ac:dyDescent="0.3">
      <c r="D773" s="356" t="s">
        <v>854</v>
      </c>
      <c r="E773" s="356"/>
      <c r="F773" s="356"/>
      <c r="G773" s="356"/>
      <c r="I773" s="48">
        <v>0</v>
      </c>
      <c r="K773" s="48">
        <v>0</v>
      </c>
      <c r="M773" s="279">
        <f t="shared" si="48"/>
        <v>0</v>
      </c>
      <c r="O773" s="279">
        <f t="shared" si="49"/>
        <v>0</v>
      </c>
      <c r="Q773" s="295">
        <f t="shared" si="50"/>
        <v>0</v>
      </c>
      <c r="S773" s="293">
        <f t="shared" si="51"/>
        <v>0</v>
      </c>
      <c r="U773" s="385"/>
      <c r="V773" s="385"/>
      <c r="W773" s="385"/>
      <c r="X773" s="385"/>
    </row>
    <row r="774" spans="3:24" s="277" customFormat="1" x14ac:dyDescent="0.3">
      <c r="D774" s="356" t="s">
        <v>855</v>
      </c>
      <c r="E774" s="356"/>
      <c r="F774" s="356"/>
      <c r="G774" s="356"/>
      <c r="I774" s="48">
        <v>0</v>
      </c>
      <c r="K774" s="48">
        <v>0</v>
      </c>
      <c r="M774" s="279">
        <f t="shared" si="48"/>
        <v>0</v>
      </c>
      <c r="O774" s="279">
        <f t="shared" si="49"/>
        <v>0</v>
      </c>
      <c r="Q774" s="295">
        <f t="shared" si="50"/>
        <v>0</v>
      </c>
      <c r="S774" s="293">
        <f t="shared" si="51"/>
        <v>0</v>
      </c>
      <c r="U774" s="385"/>
      <c r="V774" s="385"/>
      <c r="W774" s="385"/>
      <c r="X774" s="385"/>
    </row>
    <row r="775" spans="3:24" s="277" customFormat="1" x14ac:dyDescent="0.3">
      <c r="D775" s="356" t="s">
        <v>856</v>
      </c>
      <c r="E775" s="356"/>
      <c r="F775" s="356"/>
      <c r="G775" s="356"/>
      <c r="I775" s="48">
        <v>0</v>
      </c>
      <c r="K775" s="48">
        <v>0</v>
      </c>
      <c r="M775" s="279">
        <f t="shared" si="48"/>
        <v>0</v>
      </c>
      <c r="O775" s="279">
        <f t="shared" si="49"/>
        <v>0</v>
      </c>
      <c r="Q775" s="295">
        <f t="shared" si="50"/>
        <v>0</v>
      </c>
      <c r="S775" s="293">
        <f t="shared" si="51"/>
        <v>0</v>
      </c>
      <c r="U775" s="385"/>
      <c r="V775" s="385"/>
      <c r="W775" s="385"/>
      <c r="X775" s="385"/>
    </row>
    <row r="776" spans="3:24" s="277" customFormat="1" x14ac:dyDescent="0.3">
      <c r="D776" s="356" t="s">
        <v>857</v>
      </c>
      <c r="E776" s="356"/>
      <c r="F776" s="356"/>
      <c r="G776" s="356"/>
      <c r="I776" s="48">
        <v>0</v>
      </c>
      <c r="K776" s="48">
        <v>0</v>
      </c>
      <c r="M776" s="279">
        <f t="shared" si="48"/>
        <v>0</v>
      </c>
      <c r="O776" s="279">
        <f t="shared" si="49"/>
        <v>0</v>
      </c>
      <c r="Q776" s="295">
        <f t="shared" si="50"/>
        <v>0</v>
      </c>
      <c r="S776" s="293">
        <f t="shared" si="51"/>
        <v>0</v>
      </c>
      <c r="U776" s="385"/>
      <c r="V776" s="385"/>
      <c r="W776" s="385"/>
      <c r="X776" s="385"/>
    </row>
    <row r="777" spans="3:24" s="277" customFormat="1" x14ac:dyDescent="0.3">
      <c r="D777" s="356" t="s">
        <v>858</v>
      </c>
      <c r="E777" s="356"/>
      <c r="F777" s="356"/>
      <c r="G777" s="356"/>
      <c r="I777" s="48">
        <v>0</v>
      </c>
      <c r="K777" s="48">
        <v>0</v>
      </c>
      <c r="M777" s="279">
        <f t="shared" si="48"/>
        <v>0</v>
      </c>
      <c r="O777" s="279">
        <f t="shared" si="49"/>
        <v>0</v>
      </c>
      <c r="Q777" s="295">
        <f t="shared" si="50"/>
        <v>0</v>
      </c>
      <c r="S777" s="293">
        <f t="shared" si="51"/>
        <v>0</v>
      </c>
      <c r="U777" s="385"/>
      <c r="V777" s="385"/>
      <c r="W777" s="385"/>
      <c r="X777" s="385"/>
    </row>
    <row r="778" spans="3:24" s="277" customFormat="1" x14ac:dyDescent="0.3">
      <c r="D778" s="356" t="s">
        <v>859</v>
      </c>
      <c r="E778" s="356"/>
      <c r="F778" s="356"/>
      <c r="G778" s="356"/>
      <c r="I778" s="48">
        <v>0</v>
      </c>
      <c r="K778" s="48">
        <v>0</v>
      </c>
      <c r="M778" s="279">
        <f t="shared" si="48"/>
        <v>0</v>
      </c>
      <c r="O778" s="279">
        <f t="shared" si="49"/>
        <v>0</v>
      </c>
      <c r="Q778" s="295">
        <f t="shared" si="50"/>
        <v>0</v>
      </c>
      <c r="S778" s="293">
        <f t="shared" si="51"/>
        <v>0</v>
      </c>
      <c r="U778" s="385"/>
      <c r="V778" s="385"/>
      <c r="W778" s="385"/>
      <c r="X778" s="385"/>
    </row>
    <row r="779" spans="3:24" s="277" customFormat="1" x14ac:dyDescent="0.3">
      <c r="D779" s="356" t="s">
        <v>860</v>
      </c>
      <c r="E779" s="356"/>
      <c r="F779" s="356"/>
      <c r="G779" s="356"/>
      <c r="I779" s="48">
        <v>0</v>
      </c>
      <c r="K779" s="48">
        <v>0</v>
      </c>
      <c r="M779" s="279">
        <f t="shared" si="48"/>
        <v>0</v>
      </c>
      <c r="O779" s="279">
        <f t="shared" si="49"/>
        <v>0</v>
      </c>
      <c r="Q779" s="295">
        <f t="shared" si="50"/>
        <v>0</v>
      </c>
      <c r="S779" s="293">
        <f t="shared" si="51"/>
        <v>0</v>
      </c>
      <c r="U779" s="385"/>
      <c r="V779" s="385"/>
      <c r="W779" s="385"/>
      <c r="X779" s="385"/>
    </row>
    <row r="780" spans="3:24" s="277" customFormat="1" x14ac:dyDescent="0.3">
      <c r="D780" s="356" t="s">
        <v>861</v>
      </c>
      <c r="E780" s="356"/>
      <c r="F780" s="356"/>
      <c r="G780" s="356"/>
      <c r="I780" s="48">
        <v>0</v>
      </c>
      <c r="K780" s="48">
        <v>0</v>
      </c>
      <c r="M780" s="279">
        <f t="shared" si="48"/>
        <v>0</v>
      </c>
      <c r="O780" s="279">
        <f t="shared" si="49"/>
        <v>0</v>
      </c>
      <c r="Q780" s="295">
        <f t="shared" si="50"/>
        <v>0</v>
      </c>
      <c r="S780" s="293">
        <f t="shared" si="51"/>
        <v>0</v>
      </c>
      <c r="U780" s="385"/>
      <c r="V780" s="385"/>
      <c r="W780" s="385"/>
      <c r="X780" s="385"/>
    </row>
    <row r="781" spans="3:24" s="277" customFormat="1" x14ac:dyDescent="0.3">
      <c r="D781" s="356" t="s">
        <v>862</v>
      </c>
      <c r="E781" s="356"/>
      <c r="F781" s="356"/>
      <c r="G781" s="356"/>
      <c r="I781" s="48">
        <v>0</v>
      </c>
      <c r="K781" s="48">
        <v>0</v>
      </c>
      <c r="M781" s="279">
        <f t="shared" si="48"/>
        <v>0</v>
      </c>
      <c r="O781" s="279">
        <f t="shared" si="49"/>
        <v>0</v>
      </c>
      <c r="Q781" s="295">
        <f t="shared" si="50"/>
        <v>0</v>
      </c>
      <c r="S781" s="293">
        <f t="shared" si="51"/>
        <v>0</v>
      </c>
      <c r="U781" s="385"/>
      <c r="V781" s="385"/>
      <c r="W781" s="385"/>
      <c r="X781" s="385"/>
    </row>
    <row r="782" spans="3:24" s="277" customFormat="1" x14ac:dyDescent="0.3">
      <c r="D782" s="356" t="s">
        <v>863</v>
      </c>
      <c r="E782" s="356"/>
      <c r="F782" s="356"/>
      <c r="G782" s="356"/>
      <c r="I782" s="48">
        <v>0</v>
      </c>
      <c r="K782" s="48">
        <v>0</v>
      </c>
      <c r="M782" s="279">
        <f t="shared" si="48"/>
        <v>0</v>
      </c>
      <c r="O782" s="279">
        <f t="shared" si="49"/>
        <v>0</v>
      </c>
      <c r="Q782" s="295">
        <f t="shared" si="50"/>
        <v>0</v>
      </c>
      <c r="S782" s="293">
        <f t="shared" si="51"/>
        <v>0</v>
      </c>
      <c r="U782" s="385"/>
      <c r="V782" s="385"/>
      <c r="W782" s="385"/>
      <c r="X782" s="385"/>
    </row>
    <row r="783" spans="3:24" s="277" customFormat="1" x14ac:dyDescent="0.3">
      <c r="D783" s="356" t="s">
        <v>864</v>
      </c>
      <c r="E783" s="356"/>
      <c r="F783" s="356"/>
      <c r="G783" s="356"/>
      <c r="I783" s="48">
        <v>0</v>
      </c>
      <c r="K783" s="48">
        <v>0</v>
      </c>
      <c r="M783" s="279">
        <f t="shared" si="48"/>
        <v>0</v>
      </c>
      <c r="O783" s="279">
        <f t="shared" si="49"/>
        <v>0</v>
      </c>
      <c r="Q783" s="295">
        <f t="shared" si="50"/>
        <v>0</v>
      </c>
      <c r="S783" s="293">
        <f t="shared" si="51"/>
        <v>0</v>
      </c>
      <c r="U783" s="385"/>
      <c r="V783" s="385"/>
      <c r="W783" s="385"/>
      <c r="X783" s="385"/>
    </row>
    <row r="784" spans="3:24" s="277" customFormat="1" x14ac:dyDescent="0.3">
      <c r="D784" s="356" t="s">
        <v>865</v>
      </c>
      <c r="E784" s="356"/>
      <c r="F784" s="356"/>
      <c r="G784" s="356"/>
      <c r="I784" s="48">
        <v>0</v>
      </c>
      <c r="K784" s="48">
        <v>0</v>
      </c>
      <c r="M784" s="279">
        <f t="shared" si="48"/>
        <v>0</v>
      </c>
      <c r="O784" s="279">
        <f t="shared" si="49"/>
        <v>0</v>
      </c>
      <c r="Q784" s="295">
        <f t="shared" si="50"/>
        <v>0</v>
      </c>
      <c r="S784" s="293">
        <f t="shared" si="51"/>
        <v>0</v>
      </c>
      <c r="U784" s="385"/>
      <c r="V784" s="385"/>
      <c r="W784" s="385"/>
      <c r="X784" s="385"/>
    </row>
    <row r="785" spans="3:24" s="277" customFormat="1" x14ac:dyDescent="0.3">
      <c r="D785" s="356" t="s">
        <v>866</v>
      </c>
      <c r="E785" s="356"/>
      <c r="F785" s="356"/>
      <c r="G785" s="356"/>
      <c r="I785" s="48">
        <v>0</v>
      </c>
      <c r="K785" s="48">
        <v>0</v>
      </c>
      <c r="M785" s="279">
        <f t="shared" si="48"/>
        <v>0</v>
      </c>
      <c r="O785" s="279">
        <f t="shared" si="49"/>
        <v>0</v>
      </c>
      <c r="Q785" s="295">
        <f t="shared" si="50"/>
        <v>0</v>
      </c>
      <c r="S785" s="293">
        <f t="shared" si="51"/>
        <v>0</v>
      </c>
      <c r="U785" s="385"/>
      <c r="V785" s="385"/>
      <c r="W785" s="385"/>
      <c r="X785" s="385"/>
    </row>
    <row r="786" spans="3:24" s="277" customFormat="1" x14ac:dyDescent="0.3">
      <c r="D786" s="356" t="s">
        <v>867</v>
      </c>
      <c r="E786" s="356"/>
      <c r="F786" s="356"/>
      <c r="G786" s="356"/>
      <c r="I786" s="48">
        <v>0</v>
      </c>
      <c r="K786" s="48">
        <v>0</v>
      </c>
      <c r="M786" s="279">
        <f t="shared" si="48"/>
        <v>0</v>
      </c>
      <c r="O786" s="279">
        <f t="shared" si="49"/>
        <v>0</v>
      </c>
      <c r="Q786" s="295">
        <f t="shared" si="50"/>
        <v>0</v>
      </c>
      <c r="S786" s="293">
        <f t="shared" si="51"/>
        <v>0</v>
      </c>
      <c r="U786" s="385"/>
      <c r="V786" s="385"/>
      <c r="W786" s="385"/>
      <c r="X786" s="385"/>
    </row>
    <row r="787" spans="3:24" s="277" customFormat="1" x14ac:dyDescent="0.3">
      <c r="D787" s="356" t="s">
        <v>868</v>
      </c>
      <c r="E787" s="356"/>
      <c r="F787" s="356"/>
      <c r="G787" s="356"/>
      <c r="I787" s="48">
        <v>0</v>
      </c>
      <c r="K787" s="48">
        <v>0</v>
      </c>
      <c r="M787" s="279">
        <f t="shared" si="48"/>
        <v>0</v>
      </c>
      <c r="O787" s="279">
        <f t="shared" si="49"/>
        <v>0</v>
      </c>
      <c r="Q787" s="295">
        <f t="shared" si="50"/>
        <v>0</v>
      </c>
      <c r="S787" s="293">
        <f t="shared" si="51"/>
        <v>0</v>
      </c>
      <c r="U787" s="385"/>
      <c r="V787" s="385"/>
      <c r="W787" s="385"/>
      <c r="X787" s="385"/>
    </row>
    <row r="788" spans="3:24" s="277" customFormat="1" x14ac:dyDescent="0.3">
      <c r="D788" s="356" t="s">
        <v>869</v>
      </c>
      <c r="E788" s="356"/>
      <c r="F788" s="356"/>
      <c r="G788" s="356"/>
      <c r="I788" s="48">
        <v>0</v>
      </c>
      <c r="K788" s="48">
        <v>0</v>
      </c>
      <c r="M788" s="279">
        <f t="shared" si="48"/>
        <v>0</v>
      </c>
      <c r="O788" s="279">
        <f t="shared" si="49"/>
        <v>0</v>
      </c>
      <c r="Q788" s="295">
        <f t="shared" si="50"/>
        <v>0</v>
      </c>
      <c r="S788" s="293">
        <f t="shared" si="51"/>
        <v>0</v>
      </c>
      <c r="U788" s="385"/>
      <c r="V788" s="385"/>
      <c r="W788" s="385"/>
      <c r="X788" s="385"/>
    </row>
    <row r="789" spans="3:24" s="277" customFormat="1" x14ac:dyDescent="0.3">
      <c r="D789" s="356" t="s">
        <v>870</v>
      </c>
      <c r="E789" s="356"/>
      <c r="F789" s="356"/>
      <c r="G789" s="356"/>
      <c r="I789" s="48">
        <v>0</v>
      </c>
      <c r="K789" s="48">
        <v>0</v>
      </c>
      <c r="M789" s="279">
        <f t="shared" si="48"/>
        <v>0</v>
      </c>
      <c r="O789" s="279">
        <f t="shared" si="49"/>
        <v>0</v>
      </c>
      <c r="Q789" s="295">
        <f t="shared" si="50"/>
        <v>0</v>
      </c>
      <c r="S789" s="293">
        <f t="shared" si="51"/>
        <v>0</v>
      </c>
      <c r="U789" s="385"/>
      <c r="V789" s="385"/>
      <c r="W789" s="385"/>
      <c r="X789" s="385"/>
    </row>
    <row r="790" spans="3:24" s="277" customFormat="1" x14ac:dyDescent="0.3">
      <c r="D790" s="356" t="s">
        <v>871</v>
      </c>
      <c r="E790" s="356"/>
      <c r="F790" s="356"/>
      <c r="G790" s="356"/>
      <c r="I790" s="48">
        <v>0</v>
      </c>
      <c r="K790" s="48">
        <v>0</v>
      </c>
      <c r="M790" s="279">
        <f t="shared" si="48"/>
        <v>0</v>
      </c>
      <c r="O790" s="279">
        <f t="shared" si="49"/>
        <v>0</v>
      </c>
      <c r="Q790" s="295">
        <f t="shared" si="50"/>
        <v>0</v>
      </c>
      <c r="S790" s="293">
        <f t="shared" si="51"/>
        <v>0</v>
      </c>
      <c r="U790" s="385"/>
      <c r="V790" s="385"/>
      <c r="W790" s="385"/>
      <c r="X790" s="385"/>
    </row>
    <row r="791" spans="3:24" s="277" customFormat="1" x14ac:dyDescent="0.3">
      <c r="D791" s="356" t="s">
        <v>981</v>
      </c>
      <c r="E791" s="356"/>
      <c r="F791" s="356"/>
      <c r="G791" s="356"/>
      <c r="I791" s="48">
        <v>0</v>
      </c>
      <c r="K791" s="48">
        <v>0</v>
      </c>
      <c r="M791" s="279">
        <f t="shared" si="48"/>
        <v>0</v>
      </c>
      <c r="O791" s="279">
        <f t="shared" si="49"/>
        <v>0</v>
      </c>
      <c r="Q791" s="295">
        <f t="shared" si="50"/>
        <v>0</v>
      </c>
      <c r="S791" s="293">
        <f t="shared" si="51"/>
        <v>0</v>
      </c>
      <c r="U791" s="385"/>
      <c r="V791" s="385"/>
      <c r="W791" s="385"/>
      <c r="X791" s="385"/>
    </row>
    <row r="792" spans="3:24" s="277" customFormat="1" x14ac:dyDescent="0.3">
      <c r="D792" s="356" t="s">
        <v>982</v>
      </c>
      <c r="E792" s="356"/>
      <c r="F792" s="356"/>
      <c r="G792" s="356"/>
      <c r="I792" s="48">
        <v>0</v>
      </c>
      <c r="K792" s="48">
        <v>0</v>
      </c>
      <c r="M792" s="279">
        <f t="shared" si="48"/>
        <v>0</v>
      </c>
      <c r="O792" s="279">
        <f t="shared" si="49"/>
        <v>0</v>
      </c>
      <c r="Q792" s="295">
        <f t="shared" si="50"/>
        <v>0</v>
      </c>
      <c r="S792" s="293">
        <f t="shared" si="51"/>
        <v>0</v>
      </c>
      <c r="U792" s="385"/>
      <c r="V792" s="385"/>
      <c r="W792" s="385"/>
      <c r="X792" s="385"/>
    </row>
    <row r="793" spans="3:24" s="277" customFormat="1" x14ac:dyDescent="0.3">
      <c r="D793" s="356" t="s">
        <v>983</v>
      </c>
      <c r="E793" s="356"/>
      <c r="F793" s="356"/>
      <c r="G793" s="356"/>
      <c r="I793" s="48">
        <v>0</v>
      </c>
      <c r="K793" s="48">
        <v>0</v>
      </c>
      <c r="M793" s="279">
        <f t="shared" si="48"/>
        <v>0</v>
      </c>
      <c r="O793" s="279">
        <f t="shared" si="49"/>
        <v>0</v>
      </c>
      <c r="Q793" s="295">
        <f t="shared" si="50"/>
        <v>0</v>
      </c>
      <c r="S793" s="293">
        <f t="shared" si="51"/>
        <v>0</v>
      </c>
      <c r="U793" s="385"/>
      <c r="V793" s="385"/>
      <c r="W793" s="385"/>
      <c r="X793" s="385"/>
    </row>
    <row r="794" spans="3:24" s="277" customFormat="1" x14ac:dyDescent="0.3">
      <c r="D794" s="356" t="s">
        <v>984</v>
      </c>
      <c r="E794" s="356"/>
      <c r="F794" s="356"/>
      <c r="G794" s="356"/>
      <c r="I794" s="48">
        <v>0</v>
      </c>
      <c r="K794" s="48">
        <v>0</v>
      </c>
      <c r="M794" s="279">
        <f t="shared" si="48"/>
        <v>0</v>
      </c>
      <c r="O794" s="279">
        <f t="shared" si="49"/>
        <v>0</v>
      </c>
      <c r="Q794" s="295">
        <f t="shared" si="50"/>
        <v>0</v>
      </c>
      <c r="S794" s="293">
        <f t="shared" si="51"/>
        <v>0</v>
      </c>
      <c r="U794" s="385"/>
      <c r="V794" s="385"/>
      <c r="W794" s="385"/>
      <c r="X794" s="385"/>
    </row>
    <row r="795" spans="3:24" s="277" customFormat="1" x14ac:dyDescent="0.3">
      <c r="D795" s="356" t="s">
        <v>985</v>
      </c>
      <c r="E795" s="356"/>
      <c r="F795" s="356"/>
      <c r="G795" s="356"/>
      <c r="I795" s="48">
        <v>0</v>
      </c>
      <c r="K795" s="48">
        <v>0</v>
      </c>
      <c r="M795" s="279">
        <f t="shared" si="48"/>
        <v>0</v>
      </c>
      <c r="O795" s="279">
        <f t="shared" si="49"/>
        <v>0</v>
      </c>
      <c r="Q795" s="295">
        <f t="shared" si="50"/>
        <v>0</v>
      </c>
      <c r="S795" s="293">
        <f t="shared" si="51"/>
        <v>0</v>
      </c>
      <c r="U795" s="385"/>
      <c r="V795" s="385"/>
      <c r="W795" s="385"/>
      <c r="X795" s="385"/>
    </row>
    <row r="796" spans="3:24" ht="14.4" x14ac:dyDescent="0.3">
      <c r="D796" s="420" t="s">
        <v>85</v>
      </c>
      <c r="E796" s="421"/>
      <c r="F796" s="421"/>
      <c r="G796" s="421"/>
      <c r="I796" s="43"/>
      <c r="K796" s="43"/>
      <c r="M796" s="43"/>
      <c r="O796" s="43"/>
      <c r="Q796" s="296">
        <f>SUM(Q771:Q795)</f>
        <v>0</v>
      </c>
      <c r="S796" s="294">
        <f>SUM(S771:S795)</f>
        <v>0</v>
      </c>
      <c r="U796" s="43"/>
      <c r="V796" s="43"/>
      <c r="W796" s="43"/>
      <c r="X796" s="43"/>
    </row>
    <row r="798" spans="3:24" ht="27.6" x14ac:dyDescent="0.3">
      <c r="C798" s="92" t="s">
        <v>130</v>
      </c>
      <c r="Q798" s="44" t="str">
        <f>"FINANCIAL COST ("&amp;INDEX(LU_ACT_19_Meet_Curr,DD_ACT_19_Meet1_Curr)&amp;")"</f>
        <v>FINANCIAL COST (GOZ)</v>
      </c>
      <c r="S798" s="44" t="str">
        <f>"ECONOMIC COST ("&amp;INDEX(LU_ACT_19_Meet_Curr,DD_ACT_19_Meet1_Curr)&amp;")"</f>
        <v>ECONOMIC COST (GOZ)</v>
      </c>
    </row>
    <row r="799" spans="3:24" ht="14.4" x14ac:dyDescent="0.3">
      <c r="D799" s="90" t="s">
        <v>86</v>
      </c>
      <c r="I799" s="91" t="s">
        <v>186</v>
      </c>
      <c r="M799" s="91" t="s">
        <v>81</v>
      </c>
      <c r="O799" s="91" t="s">
        <v>83</v>
      </c>
      <c r="U799" s="350" t="s">
        <v>185</v>
      </c>
      <c r="V799" s="351"/>
      <c r="W799" s="351"/>
      <c r="X799" s="351"/>
    </row>
    <row r="800" spans="3:24" x14ac:dyDescent="0.3">
      <c r="D800" s="356" t="s">
        <v>70</v>
      </c>
      <c r="E800" s="356"/>
      <c r="F800" s="356"/>
      <c r="G800" s="356"/>
      <c r="I800" s="48">
        <v>0</v>
      </c>
      <c r="M800" s="40">
        <f t="shared" ref="M800:M824" si="52">IFERROR(IF(DD_ACT_19_Meet1_Curr=1,INDEX($M$980:$M$1014,MATCH(D800,LU_ACT_19_Equipment,0)),INDEX($Q$980:$Q$1014,MATCH(D800,LU_ACT_19_Equipment,0))),0)</f>
        <v>0</v>
      </c>
      <c r="O800" s="40">
        <f t="shared" ref="O800:O824" si="53">IFERROR(IF(DD_ACT_19_Meet1_Curr=1,INDEX($O$980:$O$1014,MATCH(D800,LU_ACT_19_Equipment,0)),INDEX($S$980:$S$1014,MATCH(D800,LU_ACT_19_Equipment,0))),0)</f>
        <v>0</v>
      </c>
      <c r="Q800" s="279">
        <f t="shared" ref="Q800:Q824" si="54">I800*M800</f>
        <v>0</v>
      </c>
      <c r="S800" s="279">
        <f t="shared" ref="S800:S824" si="55">I800*O800</f>
        <v>0</v>
      </c>
      <c r="U800" s="356"/>
      <c r="V800" s="356"/>
      <c r="W800" s="356"/>
      <c r="X800" s="356"/>
    </row>
    <row r="801" spans="4:24" x14ac:dyDescent="0.3">
      <c r="D801" s="356" t="s">
        <v>122</v>
      </c>
      <c r="E801" s="356"/>
      <c r="F801" s="356"/>
      <c r="G801" s="356"/>
      <c r="I801" s="48">
        <v>0</v>
      </c>
      <c r="M801" s="40">
        <f t="shared" si="52"/>
        <v>0</v>
      </c>
      <c r="O801" s="40">
        <f t="shared" si="53"/>
        <v>0</v>
      </c>
      <c r="Q801" s="279">
        <f t="shared" si="54"/>
        <v>0</v>
      </c>
      <c r="S801" s="279">
        <f t="shared" si="55"/>
        <v>0</v>
      </c>
      <c r="U801" s="356"/>
      <c r="V801" s="356"/>
      <c r="W801" s="356"/>
      <c r="X801" s="356"/>
    </row>
    <row r="802" spans="4:24" s="277" customFormat="1" x14ac:dyDescent="0.3">
      <c r="D802" s="356" t="s">
        <v>872</v>
      </c>
      <c r="E802" s="356"/>
      <c r="F802" s="356"/>
      <c r="G802" s="356"/>
      <c r="I802" s="48">
        <v>0</v>
      </c>
      <c r="M802" s="279">
        <f t="shared" si="52"/>
        <v>0</v>
      </c>
      <c r="O802" s="279">
        <f t="shared" si="53"/>
        <v>0</v>
      </c>
      <c r="Q802" s="279">
        <f t="shared" si="54"/>
        <v>0</v>
      </c>
      <c r="S802" s="279">
        <f t="shared" si="55"/>
        <v>0</v>
      </c>
      <c r="U802" s="385"/>
      <c r="V802" s="385"/>
      <c r="W802" s="385"/>
      <c r="X802" s="385"/>
    </row>
    <row r="803" spans="4:24" s="277" customFormat="1" x14ac:dyDescent="0.3">
      <c r="D803" s="356" t="s">
        <v>873</v>
      </c>
      <c r="E803" s="356"/>
      <c r="F803" s="356"/>
      <c r="G803" s="356"/>
      <c r="I803" s="48">
        <v>0</v>
      </c>
      <c r="M803" s="279">
        <f t="shared" si="52"/>
        <v>0</v>
      </c>
      <c r="O803" s="279">
        <f t="shared" si="53"/>
        <v>0</v>
      </c>
      <c r="Q803" s="279">
        <f t="shared" si="54"/>
        <v>0</v>
      </c>
      <c r="S803" s="279">
        <f t="shared" si="55"/>
        <v>0</v>
      </c>
      <c r="U803" s="385"/>
      <c r="V803" s="385"/>
      <c r="W803" s="385"/>
      <c r="X803" s="385"/>
    </row>
    <row r="804" spans="4:24" s="277" customFormat="1" x14ac:dyDescent="0.3">
      <c r="D804" s="356" t="s">
        <v>874</v>
      </c>
      <c r="E804" s="356"/>
      <c r="F804" s="356"/>
      <c r="G804" s="356"/>
      <c r="I804" s="48">
        <v>0</v>
      </c>
      <c r="M804" s="279">
        <f t="shared" si="52"/>
        <v>0</v>
      </c>
      <c r="O804" s="279">
        <f t="shared" si="53"/>
        <v>0</v>
      </c>
      <c r="Q804" s="279">
        <f t="shared" si="54"/>
        <v>0</v>
      </c>
      <c r="S804" s="279">
        <f t="shared" si="55"/>
        <v>0</v>
      </c>
      <c r="U804" s="385"/>
      <c r="V804" s="385"/>
      <c r="W804" s="385"/>
      <c r="X804" s="385"/>
    </row>
    <row r="805" spans="4:24" s="277" customFormat="1" x14ac:dyDescent="0.3">
      <c r="D805" s="356" t="s">
        <v>875</v>
      </c>
      <c r="E805" s="356"/>
      <c r="F805" s="356"/>
      <c r="G805" s="356"/>
      <c r="I805" s="48">
        <v>0</v>
      </c>
      <c r="M805" s="279">
        <f t="shared" si="52"/>
        <v>0</v>
      </c>
      <c r="O805" s="279">
        <f t="shared" si="53"/>
        <v>0</v>
      </c>
      <c r="Q805" s="279">
        <f t="shared" si="54"/>
        <v>0</v>
      </c>
      <c r="S805" s="279">
        <f t="shared" si="55"/>
        <v>0</v>
      </c>
      <c r="U805" s="385"/>
      <c r="V805" s="385"/>
      <c r="W805" s="385"/>
      <c r="X805" s="385"/>
    </row>
    <row r="806" spans="4:24" s="277" customFormat="1" x14ac:dyDescent="0.3">
      <c r="D806" s="356" t="s">
        <v>778</v>
      </c>
      <c r="E806" s="356"/>
      <c r="F806" s="356"/>
      <c r="G806" s="356"/>
      <c r="I806" s="48">
        <v>0</v>
      </c>
      <c r="M806" s="279">
        <f t="shared" si="52"/>
        <v>0</v>
      </c>
      <c r="O806" s="279">
        <f t="shared" si="53"/>
        <v>0</v>
      </c>
      <c r="Q806" s="279">
        <f t="shared" si="54"/>
        <v>0</v>
      </c>
      <c r="S806" s="279">
        <f t="shared" si="55"/>
        <v>0</v>
      </c>
      <c r="U806" s="385"/>
      <c r="V806" s="385"/>
      <c r="W806" s="385"/>
      <c r="X806" s="385"/>
    </row>
    <row r="807" spans="4:24" s="277" customFormat="1" x14ac:dyDescent="0.3">
      <c r="D807" s="356" t="s">
        <v>779</v>
      </c>
      <c r="E807" s="356"/>
      <c r="F807" s="356"/>
      <c r="G807" s="356"/>
      <c r="I807" s="48">
        <v>0</v>
      </c>
      <c r="M807" s="279">
        <f t="shared" si="52"/>
        <v>0</v>
      </c>
      <c r="O807" s="279">
        <f t="shared" si="53"/>
        <v>0</v>
      </c>
      <c r="Q807" s="279">
        <f t="shared" si="54"/>
        <v>0</v>
      </c>
      <c r="S807" s="279">
        <f t="shared" si="55"/>
        <v>0</v>
      </c>
      <c r="U807" s="385"/>
      <c r="V807" s="385"/>
      <c r="W807" s="385"/>
      <c r="X807" s="385"/>
    </row>
    <row r="808" spans="4:24" s="277" customFormat="1" x14ac:dyDescent="0.3">
      <c r="D808" s="356" t="s">
        <v>780</v>
      </c>
      <c r="E808" s="356"/>
      <c r="F808" s="356"/>
      <c r="G808" s="356"/>
      <c r="I808" s="48">
        <v>0</v>
      </c>
      <c r="M808" s="279">
        <f t="shared" si="52"/>
        <v>0</v>
      </c>
      <c r="O808" s="279">
        <f t="shared" si="53"/>
        <v>0</v>
      </c>
      <c r="Q808" s="279">
        <f t="shared" si="54"/>
        <v>0</v>
      </c>
      <c r="S808" s="279">
        <f t="shared" si="55"/>
        <v>0</v>
      </c>
      <c r="U808" s="385"/>
      <c r="V808" s="385"/>
      <c r="W808" s="385"/>
      <c r="X808" s="385"/>
    </row>
    <row r="809" spans="4:24" s="277" customFormat="1" x14ac:dyDescent="0.3">
      <c r="D809" s="356" t="s">
        <v>781</v>
      </c>
      <c r="E809" s="356"/>
      <c r="F809" s="356"/>
      <c r="G809" s="356"/>
      <c r="I809" s="48">
        <v>0</v>
      </c>
      <c r="M809" s="279">
        <f t="shared" si="52"/>
        <v>0</v>
      </c>
      <c r="O809" s="279">
        <f t="shared" si="53"/>
        <v>0</v>
      </c>
      <c r="Q809" s="279">
        <f t="shared" si="54"/>
        <v>0</v>
      </c>
      <c r="S809" s="279">
        <f t="shared" si="55"/>
        <v>0</v>
      </c>
      <c r="U809" s="385"/>
      <c r="V809" s="385"/>
      <c r="W809" s="385"/>
      <c r="X809" s="385"/>
    </row>
    <row r="810" spans="4:24" s="277" customFormat="1" x14ac:dyDescent="0.3">
      <c r="D810" s="356" t="s">
        <v>782</v>
      </c>
      <c r="E810" s="356"/>
      <c r="F810" s="356"/>
      <c r="G810" s="356"/>
      <c r="I810" s="48">
        <v>0</v>
      </c>
      <c r="M810" s="279">
        <f t="shared" si="52"/>
        <v>0</v>
      </c>
      <c r="O810" s="279">
        <f t="shared" si="53"/>
        <v>0</v>
      </c>
      <c r="Q810" s="279">
        <f t="shared" si="54"/>
        <v>0</v>
      </c>
      <c r="S810" s="279">
        <f t="shared" si="55"/>
        <v>0</v>
      </c>
      <c r="U810" s="385"/>
      <c r="V810" s="385"/>
      <c r="W810" s="385"/>
      <c r="X810" s="385"/>
    </row>
    <row r="811" spans="4:24" s="277" customFormat="1" x14ac:dyDescent="0.3">
      <c r="D811" s="356" t="s">
        <v>783</v>
      </c>
      <c r="E811" s="356"/>
      <c r="F811" s="356"/>
      <c r="G811" s="356"/>
      <c r="I811" s="48">
        <v>0</v>
      </c>
      <c r="M811" s="279">
        <f t="shared" si="52"/>
        <v>0</v>
      </c>
      <c r="O811" s="279">
        <f t="shared" si="53"/>
        <v>0</v>
      </c>
      <c r="Q811" s="279">
        <f t="shared" si="54"/>
        <v>0</v>
      </c>
      <c r="S811" s="279">
        <f t="shared" si="55"/>
        <v>0</v>
      </c>
      <c r="U811" s="385"/>
      <c r="V811" s="385"/>
      <c r="W811" s="385"/>
      <c r="X811" s="385"/>
    </row>
    <row r="812" spans="4:24" s="277" customFormat="1" x14ac:dyDescent="0.3">
      <c r="D812" s="356" t="s">
        <v>784</v>
      </c>
      <c r="E812" s="356"/>
      <c r="F812" s="356"/>
      <c r="G812" s="356"/>
      <c r="I812" s="48">
        <v>0</v>
      </c>
      <c r="M812" s="279">
        <f t="shared" si="52"/>
        <v>0</v>
      </c>
      <c r="O812" s="279">
        <f t="shared" si="53"/>
        <v>0</v>
      </c>
      <c r="Q812" s="279">
        <f t="shared" si="54"/>
        <v>0</v>
      </c>
      <c r="S812" s="279">
        <f t="shared" si="55"/>
        <v>0</v>
      </c>
      <c r="U812" s="385"/>
      <c r="V812" s="385"/>
      <c r="W812" s="385"/>
      <c r="X812" s="385"/>
    </row>
    <row r="813" spans="4:24" s="277" customFormat="1" x14ac:dyDescent="0.3">
      <c r="D813" s="356" t="s">
        <v>785</v>
      </c>
      <c r="E813" s="356"/>
      <c r="F813" s="356"/>
      <c r="G813" s="356"/>
      <c r="I813" s="48">
        <v>0</v>
      </c>
      <c r="M813" s="279">
        <f t="shared" si="52"/>
        <v>0</v>
      </c>
      <c r="O813" s="279">
        <f t="shared" si="53"/>
        <v>0</v>
      </c>
      <c r="Q813" s="279">
        <f t="shared" si="54"/>
        <v>0</v>
      </c>
      <c r="S813" s="279">
        <f t="shared" si="55"/>
        <v>0</v>
      </c>
      <c r="U813" s="385"/>
      <c r="V813" s="385"/>
      <c r="W813" s="385"/>
      <c r="X813" s="385"/>
    </row>
    <row r="814" spans="4:24" s="277" customFormat="1" x14ac:dyDescent="0.3">
      <c r="D814" s="356" t="s">
        <v>786</v>
      </c>
      <c r="E814" s="356"/>
      <c r="F814" s="356"/>
      <c r="G814" s="356"/>
      <c r="I814" s="48">
        <v>0</v>
      </c>
      <c r="M814" s="279">
        <f t="shared" si="52"/>
        <v>0</v>
      </c>
      <c r="O814" s="279">
        <f t="shared" si="53"/>
        <v>0</v>
      </c>
      <c r="Q814" s="279">
        <f t="shared" si="54"/>
        <v>0</v>
      </c>
      <c r="S814" s="279">
        <f t="shared" si="55"/>
        <v>0</v>
      </c>
      <c r="U814" s="385"/>
      <c r="V814" s="385"/>
      <c r="W814" s="385"/>
      <c r="X814" s="385"/>
    </row>
    <row r="815" spans="4:24" s="277" customFormat="1" x14ac:dyDescent="0.3">
      <c r="D815" s="356" t="s">
        <v>787</v>
      </c>
      <c r="E815" s="356"/>
      <c r="F815" s="356"/>
      <c r="G815" s="356"/>
      <c r="I815" s="48">
        <v>0</v>
      </c>
      <c r="M815" s="279">
        <f t="shared" si="52"/>
        <v>0</v>
      </c>
      <c r="O815" s="279">
        <f t="shared" si="53"/>
        <v>0</v>
      </c>
      <c r="Q815" s="279">
        <f t="shared" si="54"/>
        <v>0</v>
      </c>
      <c r="S815" s="279">
        <f t="shared" si="55"/>
        <v>0</v>
      </c>
      <c r="U815" s="385"/>
      <c r="V815" s="385"/>
      <c r="W815" s="385"/>
      <c r="X815" s="385"/>
    </row>
    <row r="816" spans="4:24" s="277" customFormat="1" x14ac:dyDescent="0.3">
      <c r="D816" s="356" t="s">
        <v>788</v>
      </c>
      <c r="E816" s="356"/>
      <c r="F816" s="356"/>
      <c r="G816" s="356"/>
      <c r="I816" s="48">
        <v>0</v>
      </c>
      <c r="M816" s="279">
        <f t="shared" si="52"/>
        <v>0</v>
      </c>
      <c r="O816" s="279">
        <f t="shared" si="53"/>
        <v>0</v>
      </c>
      <c r="Q816" s="279">
        <f t="shared" si="54"/>
        <v>0</v>
      </c>
      <c r="S816" s="279">
        <f t="shared" si="55"/>
        <v>0</v>
      </c>
      <c r="U816" s="385"/>
      <c r="V816" s="385"/>
      <c r="W816" s="385"/>
      <c r="X816" s="385"/>
    </row>
    <row r="817" spans="3:24" s="277" customFormat="1" x14ac:dyDescent="0.3">
      <c r="D817" s="356" t="s">
        <v>789</v>
      </c>
      <c r="E817" s="356"/>
      <c r="F817" s="356"/>
      <c r="G817" s="356"/>
      <c r="I817" s="48">
        <v>0</v>
      </c>
      <c r="M817" s="279">
        <f t="shared" si="52"/>
        <v>0</v>
      </c>
      <c r="O817" s="279">
        <f t="shared" si="53"/>
        <v>0</v>
      </c>
      <c r="Q817" s="279">
        <f t="shared" si="54"/>
        <v>0</v>
      </c>
      <c r="S817" s="279">
        <f t="shared" si="55"/>
        <v>0</v>
      </c>
      <c r="U817" s="385"/>
      <c r="V817" s="385"/>
      <c r="W817" s="385"/>
      <c r="X817" s="385"/>
    </row>
    <row r="818" spans="3:24" s="277" customFormat="1" x14ac:dyDescent="0.3">
      <c r="D818" s="356" t="s">
        <v>790</v>
      </c>
      <c r="E818" s="356"/>
      <c r="F818" s="356"/>
      <c r="G818" s="356"/>
      <c r="I818" s="48">
        <v>0</v>
      </c>
      <c r="M818" s="279">
        <f t="shared" si="52"/>
        <v>0</v>
      </c>
      <c r="O818" s="279">
        <f t="shared" si="53"/>
        <v>0</v>
      </c>
      <c r="Q818" s="279">
        <f t="shared" si="54"/>
        <v>0</v>
      </c>
      <c r="S818" s="279">
        <f t="shared" si="55"/>
        <v>0</v>
      </c>
      <c r="U818" s="385"/>
      <c r="V818" s="385"/>
      <c r="W818" s="385"/>
      <c r="X818" s="385"/>
    </row>
    <row r="819" spans="3:24" s="277" customFormat="1" x14ac:dyDescent="0.3">
      <c r="D819" s="356" t="s">
        <v>791</v>
      </c>
      <c r="E819" s="356"/>
      <c r="F819" s="356"/>
      <c r="G819" s="356"/>
      <c r="I819" s="48">
        <v>0</v>
      </c>
      <c r="M819" s="279">
        <f t="shared" si="52"/>
        <v>0</v>
      </c>
      <c r="O819" s="279">
        <f t="shared" si="53"/>
        <v>0</v>
      </c>
      <c r="Q819" s="279">
        <f t="shared" si="54"/>
        <v>0</v>
      </c>
      <c r="S819" s="279">
        <f t="shared" si="55"/>
        <v>0</v>
      </c>
      <c r="U819" s="385"/>
      <c r="V819" s="385"/>
      <c r="W819" s="385"/>
      <c r="X819" s="385"/>
    </row>
    <row r="820" spans="3:24" s="277" customFormat="1" x14ac:dyDescent="0.3">
      <c r="D820" s="356" t="s">
        <v>792</v>
      </c>
      <c r="E820" s="356"/>
      <c r="F820" s="356"/>
      <c r="G820" s="356"/>
      <c r="I820" s="48">
        <v>0</v>
      </c>
      <c r="M820" s="279">
        <f t="shared" si="52"/>
        <v>0</v>
      </c>
      <c r="O820" s="279">
        <f t="shared" si="53"/>
        <v>0</v>
      </c>
      <c r="Q820" s="279">
        <f t="shared" si="54"/>
        <v>0</v>
      </c>
      <c r="S820" s="279">
        <f t="shared" si="55"/>
        <v>0</v>
      </c>
      <c r="U820" s="385"/>
      <c r="V820" s="385"/>
      <c r="W820" s="385"/>
      <c r="X820" s="385"/>
    </row>
    <row r="821" spans="3:24" s="277" customFormat="1" x14ac:dyDescent="0.3">
      <c r="D821" s="356" t="s">
        <v>793</v>
      </c>
      <c r="E821" s="356"/>
      <c r="F821" s="356"/>
      <c r="G821" s="356"/>
      <c r="I821" s="48">
        <v>0</v>
      </c>
      <c r="M821" s="279">
        <f t="shared" si="52"/>
        <v>0</v>
      </c>
      <c r="O821" s="279">
        <f t="shared" si="53"/>
        <v>0</v>
      </c>
      <c r="Q821" s="279">
        <f t="shared" si="54"/>
        <v>0</v>
      </c>
      <c r="S821" s="279">
        <f t="shared" si="55"/>
        <v>0</v>
      </c>
      <c r="U821" s="385"/>
      <c r="V821" s="385"/>
      <c r="W821" s="385"/>
      <c r="X821" s="385"/>
    </row>
    <row r="822" spans="3:24" s="277" customFormat="1" x14ac:dyDescent="0.3">
      <c r="D822" s="356" t="s">
        <v>794</v>
      </c>
      <c r="E822" s="356"/>
      <c r="F822" s="356"/>
      <c r="G822" s="356"/>
      <c r="I822" s="48">
        <v>0</v>
      </c>
      <c r="M822" s="279">
        <f t="shared" si="52"/>
        <v>0</v>
      </c>
      <c r="O822" s="279">
        <f t="shared" si="53"/>
        <v>0</v>
      </c>
      <c r="Q822" s="279">
        <f t="shared" si="54"/>
        <v>0</v>
      </c>
      <c r="S822" s="279">
        <f t="shared" si="55"/>
        <v>0</v>
      </c>
      <c r="U822" s="385"/>
      <c r="V822" s="385"/>
      <c r="W822" s="385"/>
      <c r="X822" s="385"/>
    </row>
    <row r="823" spans="3:24" s="277" customFormat="1" x14ac:dyDescent="0.3">
      <c r="D823" s="356" t="s">
        <v>795</v>
      </c>
      <c r="E823" s="356"/>
      <c r="F823" s="356"/>
      <c r="G823" s="356"/>
      <c r="I823" s="48">
        <v>0</v>
      </c>
      <c r="M823" s="279">
        <f t="shared" si="52"/>
        <v>0</v>
      </c>
      <c r="O823" s="279">
        <f t="shared" si="53"/>
        <v>0</v>
      </c>
      <c r="Q823" s="279">
        <f t="shared" si="54"/>
        <v>0</v>
      </c>
      <c r="S823" s="279">
        <f t="shared" si="55"/>
        <v>0</v>
      </c>
      <c r="U823" s="385"/>
      <c r="V823" s="385"/>
      <c r="W823" s="385"/>
      <c r="X823" s="385"/>
    </row>
    <row r="824" spans="3:24" s="277" customFormat="1" x14ac:dyDescent="0.3">
      <c r="D824" s="356" t="s">
        <v>796</v>
      </c>
      <c r="E824" s="356"/>
      <c r="F824" s="356"/>
      <c r="G824" s="356"/>
      <c r="I824" s="48">
        <v>0</v>
      </c>
      <c r="M824" s="279">
        <f t="shared" si="52"/>
        <v>0</v>
      </c>
      <c r="O824" s="279">
        <f t="shared" si="53"/>
        <v>0</v>
      </c>
      <c r="Q824" s="279">
        <f t="shared" si="54"/>
        <v>0</v>
      </c>
      <c r="S824" s="279">
        <f t="shared" si="55"/>
        <v>0</v>
      </c>
      <c r="U824" s="385"/>
      <c r="V824" s="385"/>
      <c r="W824" s="385"/>
      <c r="X824" s="385"/>
    </row>
    <row r="825" spans="3:24" ht="14.4" x14ac:dyDescent="0.3">
      <c r="D825" s="420" t="s">
        <v>88</v>
      </c>
      <c r="E825" s="421"/>
      <c r="F825" s="421"/>
      <c r="G825" s="421"/>
      <c r="I825" s="40"/>
      <c r="M825" s="40"/>
      <c r="O825" s="40"/>
      <c r="Q825" s="294">
        <f>SUM(Q800:Q824)</f>
        <v>0</v>
      </c>
      <c r="S825" s="294">
        <f>SUM(S800:S824)</f>
        <v>0</v>
      </c>
    </row>
    <row r="827" spans="3:24" ht="15.6" x14ac:dyDescent="0.3">
      <c r="C827" s="92" t="s">
        <v>89</v>
      </c>
    </row>
    <row r="828" spans="3:24" ht="27.6" x14ac:dyDescent="0.3">
      <c r="Q828" s="44" t="str">
        <f>"FINANCIAL COST ("&amp;INDEX(LU_ACT_19_Meet_Curr,DD_ACT_19_Meet1_Curr)&amp;")"</f>
        <v>FINANCIAL COST (GOZ)</v>
      </c>
      <c r="S828" s="44" t="str">
        <f>"ECONOMIC COST ("&amp;INDEX(LU_ACT_19_Meet_Curr,DD_ACT_19_Meet1_Curr)&amp;")"</f>
        <v>ECONOMIC COST (GOZ)</v>
      </c>
    </row>
    <row r="829" spans="3:24" ht="27.6" x14ac:dyDescent="0.3">
      <c r="D829" s="90" t="s">
        <v>86</v>
      </c>
      <c r="I829" s="91" t="s">
        <v>186</v>
      </c>
      <c r="K829" s="91" t="s">
        <v>187</v>
      </c>
      <c r="M829" s="42" t="s">
        <v>81</v>
      </c>
      <c r="O829" s="42" t="s">
        <v>83</v>
      </c>
      <c r="U829" s="350" t="s">
        <v>185</v>
      </c>
      <c r="V829" s="351"/>
      <c r="W829" s="351"/>
      <c r="X829" s="351"/>
    </row>
    <row r="830" spans="3:24" x14ac:dyDescent="0.3">
      <c r="D830" s="356" t="s">
        <v>71</v>
      </c>
      <c r="E830" s="356"/>
      <c r="F830" s="356"/>
      <c r="G830" s="356"/>
      <c r="I830" s="48">
        <v>0</v>
      </c>
      <c r="K830" s="48">
        <v>0</v>
      </c>
      <c r="M830" s="40">
        <f t="shared" ref="M830:M854" si="56">IFERROR(IF(DD_ACT_19_Meet1_Curr=1,INDEX($M$1018:$M$1052,MATCH(D830,LU_ACT_19_ODCS,0)),INDEX($Q$1018:$Q$1052,MATCH(D830,LU_ACT_19_ODCS,0))),0)</f>
        <v>0</v>
      </c>
      <c r="O830" s="40">
        <f t="shared" ref="O830:O854" si="57">IFERROR(IF(DD_ACT_19_Meet1_Curr=1,INDEX($O$1018:$O$1052,MATCH(D830,LU_ACT_19_ODCS,0)),INDEX($S$1018:$S$1052,MATCH(D830,LU_ACT_19_ODCS,0))),0)</f>
        <v>0</v>
      </c>
      <c r="Q830" s="279">
        <f t="shared" ref="Q830:Q854" si="58">I830*K830*M830</f>
        <v>0</v>
      </c>
      <c r="S830" s="279">
        <f t="shared" ref="S830:S854" si="59">I830*K830*O830</f>
        <v>0</v>
      </c>
      <c r="U830" s="356"/>
      <c r="V830" s="356"/>
      <c r="W830" s="356"/>
      <c r="X830" s="356"/>
    </row>
    <row r="831" spans="3:24" x14ac:dyDescent="0.3">
      <c r="D831" s="356" t="s">
        <v>72</v>
      </c>
      <c r="E831" s="356"/>
      <c r="F831" s="356"/>
      <c r="G831" s="356"/>
      <c r="I831" s="48">
        <v>0</v>
      </c>
      <c r="K831" s="48">
        <v>0</v>
      </c>
      <c r="M831" s="40">
        <f t="shared" si="56"/>
        <v>0</v>
      </c>
      <c r="O831" s="40">
        <f t="shared" si="57"/>
        <v>0</v>
      </c>
      <c r="Q831" s="279">
        <f t="shared" si="58"/>
        <v>0</v>
      </c>
      <c r="S831" s="279">
        <f t="shared" si="59"/>
        <v>0</v>
      </c>
      <c r="U831" s="356"/>
      <c r="V831" s="356"/>
      <c r="W831" s="356"/>
      <c r="X831" s="356"/>
    </row>
    <row r="832" spans="3:24" x14ac:dyDescent="0.3">
      <c r="D832" s="356" t="s">
        <v>73</v>
      </c>
      <c r="E832" s="356"/>
      <c r="F832" s="356"/>
      <c r="G832" s="356"/>
      <c r="I832" s="48">
        <v>0</v>
      </c>
      <c r="K832" s="48">
        <v>0</v>
      </c>
      <c r="M832" s="40">
        <f t="shared" si="56"/>
        <v>0</v>
      </c>
      <c r="O832" s="40">
        <f t="shared" si="57"/>
        <v>0</v>
      </c>
      <c r="Q832" s="279">
        <f t="shared" si="58"/>
        <v>0</v>
      </c>
      <c r="S832" s="279">
        <f t="shared" si="59"/>
        <v>0</v>
      </c>
      <c r="U832" s="356"/>
      <c r="V832" s="356"/>
      <c r="W832" s="356"/>
      <c r="X832" s="356"/>
    </row>
    <row r="833" spans="4:24" x14ac:dyDescent="0.3">
      <c r="D833" s="356" t="s">
        <v>74</v>
      </c>
      <c r="E833" s="356"/>
      <c r="F833" s="356"/>
      <c r="G833" s="356"/>
      <c r="I833" s="48">
        <v>0</v>
      </c>
      <c r="K833" s="48">
        <v>0</v>
      </c>
      <c r="M833" s="40">
        <f t="shared" si="56"/>
        <v>0</v>
      </c>
      <c r="O833" s="40">
        <f t="shared" si="57"/>
        <v>0</v>
      </c>
      <c r="Q833" s="279">
        <f t="shared" si="58"/>
        <v>0</v>
      </c>
      <c r="S833" s="279">
        <f t="shared" si="59"/>
        <v>0</v>
      </c>
      <c r="U833" s="356"/>
      <c r="V833" s="356"/>
      <c r="W833" s="356"/>
      <c r="X833" s="356"/>
    </row>
    <row r="834" spans="4:24" x14ac:dyDescent="0.3">
      <c r="D834" s="356" t="s">
        <v>75</v>
      </c>
      <c r="E834" s="356"/>
      <c r="F834" s="356"/>
      <c r="G834" s="356"/>
      <c r="I834" s="48">
        <v>0</v>
      </c>
      <c r="K834" s="48">
        <v>0</v>
      </c>
      <c r="M834" s="40">
        <f t="shared" si="56"/>
        <v>0</v>
      </c>
      <c r="O834" s="40">
        <f t="shared" si="57"/>
        <v>0</v>
      </c>
      <c r="Q834" s="279">
        <f t="shared" si="58"/>
        <v>0</v>
      </c>
      <c r="S834" s="279">
        <f t="shared" si="59"/>
        <v>0</v>
      </c>
      <c r="U834" s="356"/>
      <c r="V834" s="356"/>
      <c r="W834" s="356"/>
      <c r="X834" s="356"/>
    </row>
    <row r="835" spans="4:24" s="277" customFormat="1" x14ac:dyDescent="0.3">
      <c r="D835" s="356" t="s">
        <v>876</v>
      </c>
      <c r="E835" s="356"/>
      <c r="F835" s="356"/>
      <c r="G835" s="356"/>
      <c r="I835" s="48">
        <v>0</v>
      </c>
      <c r="K835" s="48">
        <v>0</v>
      </c>
      <c r="M835" s="279">
        <f t="shared" si="56"/>
        <v>0</v>
      </c>
      <c r="O835" s="279">
        <f t="shared" si="57"/>
        <v>0</v>
      </c>
      <c r="Q835" s="279">
        <f t="shared" si="58"/>
        <v>0</v>
      </c>
      <c r="S835" s="279">
        <f t="shared" si="59"/>
        <v>0</v>
      </c>
      <c r="U835" s="385"/>
      <c r="V835" s="385"/>
      <c r="W835" s="385"/>
      <c r="X835" s="385"/>
    </row>
    <row r="836" spans="4:24" s="277" customFormat="1" x14ac:dyDescent="0.3">
      <c r="D836" s="356" t="s">
        <v>877</v>
      </c>
      <c r="E836" s="356"/>
      <c r="F836" s="356"/>
      <c r="G836" s="356"/>
      <c r="I836" s="48">
        <v>0</v>
      </c>
      <c r="K836" s="48">
        <v>0</v>
      </c>
      <c r="M836" s="279">
        <f t="shared" si="56"/>
        <v>0</v>
      </c>
      <c r="O836" s="279">
        <f t="shared" si="57"/>
        <v>0</v>
      </c>
      <c r="Q836" s="279">
        <f t="shared" si="58"/>
        <v>0</v>
      </c>
      <c r="S836" s="279">
        <f t="shared" si="59"/>
        <v>0</v>
      </c>
      <c r="U836" s="385"/>
      <c r="V836" s="385"/>
      <c r="W836" s="385"/>
      <c r="X836" s="385"/>
    </row>
    <row r="837" spans="4:24" s="277" customFormat="1" x14ac:dyDescent="0.3">
      <c r="D837" s="356" t="s">
        <v>878</v>
      </c>
      <c r="E837" s="356"/>
      <c r="F837" s="356"/>
      <c r="G837" s="356"/>
      <c r="I837" s="48">
        <v>0</v>
      </c>
      <c r="K837" s="48">
        <v>0</v>
      </c>
      <c r="M837" s="279">
        <f t="shared" si="56"/>
        <v>0</v>
      </c>
      <c r="O837" s="279">
        <f t="shared" si="57"/>
        <v>0</v>
      </c>
      <c r="Q837" s="279">
        <f t="shared" si="58"/>
        <v>0</v>
      </c>
      <c r="S837" s="279">
        <f t="shared" si="59"/>
        <v>0</v>
      </c>
      <c r="U837" s="385"/>
      <c r="V837" s="385"/>
      <c r="W837" s="385"/>
      <c r="X837" s="385"/>
    </row>
    <row r="838" spans="4:24" s="277" customFormat="1" x14ac:dyDescent="0.3">
      <c r="D838" s="356" t="s">
        <v>879</v>
      </c>
      <c r="E838" s="356"/>
      <c r="F838" s="356"/>
      <c r="G838" s="356"/>
      <c r="I838" s="48">
        <v>0</v>
      </c>
      <c r="K838" s="48">
        <v>0</v>
      </c>
      <c r="M838" s="279">
        <f t="shared" si="56"/>
        <v>0</v>
      </c>
      <c r="O838" s="279">
        <f t="shared" si="57"/>
        <v>0</v>
      </c>
      <c r="Q838" s="279">
        <f t="shared" si="58"/>
        <v>0</v>
      </c>
      <c r="S838" s="279">
        <f t="shared" si="59"/>
        <v>0</v>
      </c>
      <c r="U838" s="385"/>
      <c r="V838" s="385"/>
      <c r="W838" s="385"/>
      <c r="X838" s="385"/>
    </row>
    <row r="839" spans="4:24" s="277" customFormat="1" x14ac:dyDescent="0.3">
      <c r="D839" s="356" t="s">
        <v>880</v>
      </c>
      <c r="E839" s="356"/>
      <c r="F839" s="356"/>
      <c r="G839" s="356"/>
      <c r="I839" s="48">
        <v>0</v>
      </c>
      <c r="K839" s="48">
        <v>0</v>
      </c>
      <c r="M839" s="279">
        <f t="shared" si="56"/>
        <v>0</v>
      </c>
      <c r="O839" s="279">
        <f t="shared" si="57"/>
        <v>0</v>
      </c>
      <c r="Q839" s="279">
        <f t="shared" si="58"/>
        <v>0</v>
      </c>
      <c r="S839" s="279">
        <f t="shared" si="59"/>
        <v>0</v>
      </c>
      <c r="U839" s="385"/>
      <c r="V839" s="385"/>
      <c r="W839" s="385"/>
      <c r="X839" s="385"/>
    </row>
    <row r="840" spans="4:24" s="277" customFormat="1" x14ac:dyDescent="0.3">
      <c r="D840" s="356" t="s">
        <v>881</v>
      </c>
      <c r="E840" s="356"/>
      <c r="F840" s="356"/>
      <c r="G840" s="356"/>
      <c r="I840" s="48">
        <v>0</v>
      </c>
      <c r="K840" s="48">
        <v>0</v>
      </c>
      <c r="M840" s="279">
        <f t="shared" si="56"/>
        <v>0</v>
      </c>
      <c r="O840" s="279">
        <f t="shared" si="57"/>
        <v>0</v>
      </c>
      <c r="Q840" s="279">
        <f t="shared" si="58"/>
        <v>0</v>
      </c>
      <c r="S840" s="279">
        <f t="shared" si="59"/>
        <v>0</v>
      </c>
      <c r="U840" s="385"/>
      <c r="V840" s="385"/>
      <c r="W840" s="385"/>
      <c r="X840" s="385"/>
    </row>
    <row r="841" spans="4:24" s="277" customFormat="1" x14ac:dyDescent="0.3">
      <c r="D841" s="356" t="s">
        <v>882</v>
      </c>
      <c r="E841" s="356"/>
      <c r="F841" s="356"/>
      <c r="G841" s="356"/>
      <c r="I841" s="48">
        <v>0</v>
      </c>
      <c r="K841" s="48">
        <v>0</v>
      </c>
      <c r="M841" s="279">
        <f t="shared" si="56"/>
        <v>0</v>
      </c>
      <c r="O841" s="279">
        <f t="shared" si="57"/>
        <v>0</v>
      </c>
      <c r="Q841" s="279">
        <f t="shared" si="58"/>
        <v>0</v>
      </c>
      <c r="S841" s="279">
        <f t="shared" si="59"/>
        <v>0</v>
      </c>
      <c r="U841" s="385"/>
      <c r="V841" s="385"/>
      <c r="W841" s="385"/>
      <c r="X841" s="385"/>
    </row>
    <row r="842" spans="4:24" s="277" customFormat="1" x14ac:dyDescent="0.3">
      <c r="D842" s="356" t="s">
        <v>883</v>
      </c>
      <c r="E842" s="356"/>
      <c r="F842" s="356"/>
      <c r="G842" s="356"/>
      <c r="I842" s="48">
        <v>0</v>
      </c>
      <c r="K842" s="48">
        <v>0</v>
      </c>
      <c r="M842" s="279">
        <f t="shared" si="56"/>
        <v>0</v>
      </c>
      <c r="O842" s="279">
        <f t="shared" si="57"/>
        <v>0</v>
      </c>
      <c r="Q842" s="279">
        <f t="shared" si="58"/>
        <v>0</v>
      </c>
      <c r="S842" s="279">
        <f t="shared" si="59"/>
        <v>0</v>
      </c>
      <c r="U842" s="385"/>
      <c r="V842" s="385"/>
      <c r="W842" s="385"/>
      <c r="X842" s="385"/>
    </row>
    <row r="843" spans="4:24" s="277" customFormat="1" x14ac:dyDescent="0.3">
      <c r="D843" s="356" t="s">
        <v>884</v>
      </c>
      <c r="E843" s="356"/>
      <c r="F843" s="356"/>
      <c r="G843" s="356"/>
      <c r="I843" s="48">
        <v>0</v>
      </c>
      <c r="K843" s="48">
        <v>0</v>
      </c>
      <c r="M843" s="279">
        <f t="shared" si="56"/>
        <v>0</v>
      </c>
      <c r="O843" s="279">
        <f t="shared" si="57"/>
        <v>0</v>
      </c>
      <c r="Q843" s="279">
        <f t="shared" si="58"/>
        <v>0</v>
      </c>
      <c r="S843" s="279">
        <f t="shared" si="59"/>
        <v>0</v>
      </c>
      <c r="U843" s="385"/>
      <c r="V843" s="385"/>
      <c r="W843" s="385"/>
      <c r="X843" s="385"/>
    </row>
    <row r="844" spans="4:24" s="277" customFormat="1" x14ac:dyDescent="0.3">
      <c r="D844" s="356" t="s">
        <v>885</v>
      </c>
      <c r="E844" s="356"/>
      <c r="F844" s="356"/>
      <c r="G844" s="356"/>
      <c r="I844" s="48">
        <v>0</v>
      </c>
      <c r="K844" s="48">
        <v>0</v>
      </c>
      <c r="M844" s="279">
        <f t="shared" si="56"/>
        <v>0</v>
      </c>
      <c r="O844" s="279">
        <f t="shared" si="57"/>
        <v>0</v>
      </c>
      <c r="Q844" s="279">
        <f t="shared" si="58"/>
        <v>0</v>
      </c>
      <c r="S844" s="279">
        <f t="shared" si="59"/>
        <v>0</v>
      </c>
      <c r="U844" s="385"/>
      <c r="V844" s="385"/>
      <c r="W844" s="385"/>
      <c r="X844" s="385"/>
    </row>
    <row r="845" spans="4:24" s="277" customFormat="1" x14ac:dyDescent="0.3">
      <c r="D845" s="356" t="s">
        <v>886</v>
      </c>
      <c r="E845" s="356"/>
      <c r="F845" s="356"/>
      <c r="G845" s="356"/>
      <c r="I845" s="48">
        <v>0</v>
      </c>
      <c r="K845" s="48">
        <v>0</v>
      </c>
      <c r="M845" s="279">
        <f t="shared" si="56"/>
        <v>0</v>
      </c>
      <c r="O845" s="279">
        <f t="shared" si="57"/>
        <v>0</v>
      </c>
      <c r="Q845" s="279">
        <f t="shared" si="58"/>
        <v>0</v>
      </c>
      <c r="S845" s="279">
        <f t="shared" si="59"/>
        <v>0</v>
      </c>
      <c r="U845" s="385"/>
      <c r="V845" s="385"/>
      <c r="W845" s="385"/>
      <c r="X845" s="385"/>
    </row>
    <row r="846" spans="4:24" s="277" customFormat="1" x14ac:dyDescent="0.3">
      <c r="D846" s="356" t="s">
        <v>887</v>
      </c>
      <c r="E846" s="356"/>
      <c r="F846" s="356"/>
      <c r="G846" s="356"/>
      <c r="I846" s="48">
        <v>0</v>
      </c>
      <c r="K846" s="48">
        <v>0</v>
      </c>
      <c r="M846" s="279">
        <f t="shared" si="56"/>
        <v>0</v>
      </c>
      <c r="O846" s="279">
        <f t="shared" si="57"/>
        <v>0</v>
      </c>
      <c r="Q846" s="279">
        <f t="shared" si="58"/>
        <v>0</v>
      </c>
      <c r="S846" s="279">
        <f t="shared" si="59"/>
        <v>0</v>
      </c>
      <c r="U846" s="385"/>
      <c r="V846" s="385"/>
      <c r="W846" s="385"/>
      <c r="X846" s="385"/>
    </row>
    <row r="847" spans="4:24" s="277" customFormat="1" x14ac:dyDescent="0.3">
      <c r="D847" s="356" t="s">
        <v>888</v>
      </c>
      <c r="E847" s="356"/>
      <c r="F847" s="356"/>
      <c r="G847" s="356"/>
      <c r="I847" s="48">
        <v>0</v>
      </c>
      <c r="K847" s="48">
        <v>0</v>
      </c>
      <c r="M847" s="279">
        <f t="shared" si="56"/>
        <v>0</v>
      </c>
      <c r="O847" s="279">
        <f t="shared" si="57"/>
        <v>0</v>
      </c>
      <c r="Q847" s="279">
        <f t="shared" si="58"/>
        <v>0</v>
      </c>
      <c r="S847" s="279">
        <f t="shared" si="59"/>
        <v>0</v>
      </c>
      <c r="U847" s="385"/>
      <c r="V847" s="385"/>
      <c r="W847" s="385"/>
      <c r="X847" s="385"/>
    </row>
    <row r="848" spans="4:24" s="277" customFormat="1" x14ac:dyDescent="0.3">
      <c r="D848" s="356" t="s">
        <v>889</v>
      </c>
      <c r="E848" s="356"/>
      <c r="F848" s="356"/>
      <c r="G848" s="356"/>
      <c r="I848" s="48">
        <v>0</v>
      </c>
      <c r="K848" s="48">
        <v>0</v>
      </c>
      <c r="M848" s="279">
        <f t="shared" si="56"/>
        <v>0</v>
      </c>
      <c r="O848" s="279">
        <f t="shared" si="57"/>
        <v>0</v>
      </c>
      <c r="Q848" s="279">
        <f t="shared" si="58"/>
        <v>0</v>
      </c>
      <c r="S848" s="279">
        <f t="shared" si="59"/>
        <v>0</v>
      </c>
      <c r="U848" s="385"/>
      <c r="V848" s="385"/>
      <c r="W848" s="385"/>
      <c r="X848" s="385"/>
    </row>
    <row r="849" spans="2:24" s="277" customFormat="1" x14ac:dyDescent="0.3">
      <c r="D849" s="356" t="s">
        <v>890</v>
      </c>
      <c r="E849" s="356"/>
      <c r="F849" s="356"/>
      <c r="G849" s="356"/>
      <c r="I849" s="48">
        <v>0</v>
      </c>
      <c r="K849" s="48">
        <v>0</v>
      </c>
      <c r="M849" s="279">
        <f t="shared" si="56"/>
        <v>0</v>
      </c>
      <c r="O849" s="279">
        <f t="shared" si="57"/>
        <v>0</v>
      </c>
      <c r="Q849" s="279">
        <f t="shared" si="58"/>
        <v>0</v>
      </c>
      <c r="S849" s="279">
        <f t="shared" si="59"/>
        <v>0</v>
      </c>
      <c r="U849" s="385"/>
      <c r="V849" s="385"/>
      <c r="W849" s="385"/>
      <c r="X849" s="385"/>
    </row>
    <row r="850" spans="2:24" s="277" customFormat="1" x14ac:dyDescent="0.3">
      <c r="D850" s="356" t="s">
        <v>986</v>
      </c>
      <c r="E850" s="356"/>
      <c r="F850" s="356"/>
      <c r="G850" s="356"/>
      <c r="I850" s="48">
        <v>0</v>
      </c>
      <c r="K850" s="48">
        <v>0</v>
      </c>
      <c r="M850" s="279">
        <f t="shared" si="56"/>
        <v>0</v>
      </c>
      <c r="O850" s="279">
        <f t="shared" si="57"/>
        <v>0</v>
      </c>
      <c r="Q850" s="279">
        <f t="shared" si="58"/>
        <v>0</v>
      </c>
      <c r="S850" s="279">
        <f t="shared" si="59"/>
        <v>0</v>
      </c>
      <c r="U850" s="385"/>
      <c r="V850" s="385"/>
      <c r="W850" s="385"/>
      <c r="X850" s="385"/>
    </row>
    <row r="851" spans="2:24" s="277" customFormat="1" x14ac:dyDescent="0.3">
      <c r="D851" s="356" t="s">
        <v>987</v>
      </c>
      <c r="E851" s="356"/>
      <c r="F851" s="356"/>
      <c r="G851" s="356"/>
      <c r="I851" s="48">
        <v>0</v>
      </c>
      <c r="K851" s="48">
        <v>0</v>
      </c>
      <c r="M851" s="279">
        <f t="shared" si="56"/>
        <v>0</v>
      </c>
      <c r="O851" s="279">
        <f t="shared" si="57"/>
        <v>0</v>
      </c>
      <c r="Q851" s="279">
        <f t="shared" si="58"/>
        <v>0</v>
      </c>
      <c r="S851" s="279">
        <f t="shared" si="59"/>
        <v>0</v>
      </c>
      <c r="U851" s="385"/>
      <c r="V851" s="385"/>
      <c r="W851" s="385"/>
      <c r="X851" s="385"/>
    </row>
    <row r="852" spans="2:24" s="277" customFormat="1" x14ac:dyDescent="0.3">
      <c r="D852" s="356" t="s">
        <v>988</v>
      </c>
      <c r="E852" s="356"/>
      <c r="F852" s="356"/>
      <c r="G852" s="356"/>
      <c r="I852" s="48">
        <v>0</v>
      </c>
      <c r="K852" s="48">
        <v>0</v>
      </c>
      <c r="M852" s="279">
        <f t="shared" si="56"/>
        <v>0</v>
      </c>
      <c r="O852" s="279">
        <f t="shared" si="57"/>
        <v>0</v>
      </c>
      <c r="Q852" s="279">
        <f t="shared" si="58"/>
        <v>0</v>
      </c>
      <c r="S852" s="279">
        <f t="shared" si="59"/>
        <v>0</v>
      </c>
      <c r="U852" s="385"/>
      <c r="V852" s="385"/>
      <c r="W852" s="385"/>
      <c r="X852" s="385"/>
    </row>
    <row r="853" spans="2:24" s="277" customFormat="1" x14ac:dyDescent="0.3">
      <c r="D853" s="356" t="s">
        <v>989</v>
      </c>
      <c r="E853" s="356"/>
      <c r="F853" s="356"/>
      <c r="G853" s="356"/>
      <c r="I853" s="48">
        <v>0</v>
      </c>
      <c r="K853" s="48">
        <v>0</v>
      </c>
      <c r="M853" s="279">
        <f t="shared" si="56"/>
        <v>0</v>
      </c>
      <c r="O853" s="279">
        <f t="shared" si="57"/>
        <v>0</v>
      </c>
      <c r="Q853" s="279">
        <f t="shared" si="58"/>
        <v>0</v>
      </c>
      <c r="S853" s="279">
        <f t="shared" si="59"/>
        <v>0</v>
      </c>
      <c r="U853" s="385"/>
      <c r="V853" s="385"/>
      <c r="W853" s="385"/>
      <c r="X853" s="385"/>
    </row>
    <row r="854" spans="2:24" s="277" customFormat="1" x14ac:dyDescent="0.3">
      <c r="D854" s="356" t="s">
        <v>990</v>
      </c>
      <c r="E854" s="356"/>
      <c r="F854" s="356"/>
      <c r="G854" s="356"/>
      <c r="I854" s="48">
        <v>0</v>
      </c>
      <c r="K854" s="48">
        <v>0</v>
      </c>
      <c r="M854" s="279">
        <f t="shared" si="56"/>
        <v>0</v>
      </c>
      <c r="O854" s="279">
        <f t="shared" si="57"/>
        <v>0</v>
      </c>
      <c r="Q854" s="279">
        <f t="shared" si="58"/>
        <v>0</v>
      </c>
      <c r="S854" s="279">
        <f t="shared" si="59"/>
        <v>0</v>
      </c>
      <c r="U854" s="385"/>
      <c r="V854" s="385"/>
      <c r="W854" s="385"/>
      <c r="X854" s="385"/>
    </row>
    <row r="855" spans="2:24" ht="14.4" x14ac:dyDescent="0.3">
      <c r="D855" s="420" t="s">
        <v>90</v>
      </c>
      <c r="E855" s="421"/>
      <c r="F855" s="421"/>
      <c r="G855" s="421"/>
      <c r="I855" s="40"/>
      <c r="K855" s="40">
        <f>SUM(K830:K854)</f>
        <v>0</v>
      </c>
      <c r="M855" s="40"/>
      <c r="O855" s="40"/>
      <c r="Q855" s="294">
        <f>SUM(Q830:Q854)</f>
        <v>0</v>
      </c>
      <c r="S855" s="294">
        <f>SUM(S830:S854)</f>
        <v>0</v>
      </c>
    </row>
    <row r="856" spans="2:24" collapsed="1" x14ac:dyDescent="0.3"/>
    <row r="857" spans="2:24" ht="27.6" x14ac:dyDescent="0.3">
      <c r="Q857" s="44" t="str">
        <f>"FINANCIAL COST ("&amp;INDEX(LU_ACT_19_Meet_Curr,DD_ACT_19_Meet1_Curr)&amp;")"</f>
        <v>FINANCIAL COST (GOZ)</v>
      </c>
      <c r="S857" s="44" t="str">
        <f>"ECONOMIC COST ("&amp;INDEX(LU_ACT_19_Meet_Curr,DD_ACT_19_Meet1_Curr)&amp;")"</f>
        <v>ECONOMIC COST (GOZ)</v>
      </c>
      <c r="U857" s="44" t="str">
        <f>"FINANCIAL COST ("&amp;IF(DD_ACT_19_Meet1_Curr=2,$D$862,$D$863)&amp;")"</f>
        <v>FINANCIAL COST (USD)</v>
      </c>
      <c r="V857" s="44" t="str">
        <f>"ECONOMIC COST ("&amp;IF(DD_ACT_19_Meet1_Curr=2,$D$862,$D$863)&amp;")"</f>
        <v>ECONOMIC COST (USD)</v>
      </c>
    </row>
    <row r="858" spans="2:24" ht="16.2" thickBot="1" x14ac:dyDescent="0.35">
      <c r="B858" s="141" t="str">
        <f>"Total Estimated Costs - "&amp;B706</f>
        <v>Total Estimated Costs - Training Activity #3 [not in use]</v>
      </c>
      <c r="Q858" s="46">
        <f>SUM(Q736,Q765,Q796,Q825,Q855)</f>
        <v>0</v>
      </c>
      <c r="S858" s="46">
        <f>SUM(S736,S765,S796,S825,S855)</f>
        <v>0</v>
      </c>
      <c r="U858" s="47">
        <f>IFERROR(IF(DD_ACT_19_Meet1_Curr=2,$Q858/$I$863,$Q858*$I$863), 0)</f>
        <v>0</v>
      </c>
      <c r="V858" s="47">
        <f>IFERROR(IF(DD_ACT_19_Meet1_Curr=2,$S858/$I$863,$S858*$I$863), 0)</f>
        <v>0</v>
      </c>
    </row>
    <row r="859" spans="2:24" ht="14.4" thickTop="1" x14ac:dyDescent="0.3"/>
    <row r="860" spans="2:24" x14ac:dyDescent="0.3">
      <c r="C860" s="91" t="s">
        <v>587</v>
      </c>
    </row>
    <row r="861" spans="2:24" hidden="1" x14ac:dyDescent="0.3"/>
    <row r="862" spans="2:24" ht="12.9" hidden="1" customHeight="1" x14ac:dyDescent="0.3">
      <c r="D862" s="422" t="str">
        <f>CURR_TA!D13</f>
        <v>USD</v>
      </c>
      <c r="E862" s="423"/>
      <c r="F862" s="423"/>
      <c r="G862" s="423"/>
      <c r="I862" s="279">
        <f>CURR_TA!J13</f>
        <v>1</v>
      </c>
      <c r="J862" s="279">
        <f>CURR_TA!K13</f>
        <v>0</v>
      </c>
      <c r="K862" s="279">
        <f>CURR_TA!L13</f>
        <v>0</v>
      </c>
      <c r="L862" s="279">
        <f>CURR_TA!M13</f>
        <v>0</v>
      </c>
    </row>
    <row r="863" spans="2:24" ht="12.9" hidden="1" customHeight="1" x14ac:dyDescent="0.3">
      <c r="D863" s="422" t="str">
        <f>CURR_TA!D14</f>
        <v>GOZ</v>
      </c>
      <c r="E863" s="423"/>
      <c r="F863" s="423"/>
      <c r="G863" s="423"/>
      <c r="I863" s="279">
        <f>CURR_TA!J14</f>
        <v>0</v>
      </c>
      <c r="J863" s="279">
        <f>CURR_TA!K14</f>
        <v>0</v>
      </c>
      <c r="K863" s="279">
        <f>CURR_TA!L14</f>
        <v>0</v>
      </c>
      <c r="L863" s="279">
        <f>CURR_TA!M14</f>
        <v>0</v>
      </c>
    </row>
    <row r="864" spans="2:24" collapsed="1" x14ac:dyDescent="0.3"/>
    <row r="866" spans="3:19" x14ac:dyDescent="0.3">
      <c r="C866" s="91" t="s">
        <v>588</v>
      </c>
    </row>
    <row r="867" spans="3:19" hidden="1" x14ac:dyDescent="0.3">
      <c r="M867" s="40" t="str">
        <f>$D$862</f>
        <v>USD</v>
      </c>
      <c r="O867" s="40" t="str">
        <f>$D$862</f>
        <v>USD</v>
      </c>
      <c r="Q867" s="40" t="str">
        <f>$D$863</f>
        <v>GOZ</v>
      </c>
      <c r="S867" s="40" t="str">
        <f>$D$863</f>
        <v>GOZ</v>
      </c>
    </row>
    <row r="868" spans="3:19" hidden="1" x14ac:dyDescent="0.3">
      <c r="C868" s="89" t="str">
        <f>RES_BA!D14</f>
        <v>Personnel Cadre - Other 1</v>
      </c>
      <c r="M868" s="40">
        <f>RES_BA!R14</f>
        <v>0</v>
      </c>
      <c r="O868" s="40">
        <f>RES_BA!S14</f>
        <v>0</v>
      </c>
      <c r="Q868" s="40">
        <f>RES_BA!T14</f>
        <v>0</v>
      </c>
      <c r="S868" s="40">
        <f>RES_BA!U14</f>
        <v>0</v>
      </c>
    </row>
    <row r="869" spans="3:19" hidden="1" x14ac:dyDescent="0.3">
      <c r="C869" s="89" t="str">
        <f>RES_BA!D15</f>
        <v>Personnel Cadre - Other 2</v>
      </c>
      <c r="M869" s="40">
        <f>RES_BA!R15</f>
        <v>0</v>
      </c>
      <c r="O869" s="40">
        <f>RES_BA!S15</f>
        <v>0</v>
      </c>
      <c r="Q869" s="40">
        <f>RES_BA!T15</f>
        <v>0</v>
      </c>
      <c r="S869" s="40">
        <f>RES_BA!U15</f>
        <v>0</v>
      </c>
    </row>
    <row r="870" spans="3:19" hidden="1" x14ac:dyDescent="0.3">
      <c r="C870" s="89" t="str">
        <f>RES_BA!D16</f>
        <v>Personnel Cadre - Other 3</v>
      </c>
      <c r="M870" s="40">
        <f>RES_BA!R16</f>
        <v>0</v>
      </c>
      <c r="O870" s="40">
        <f>RES_BA!S16</f>
        <v>0</v>
      </c>
      <c r="Q870" s="40">
        <f>RES_BA!T16</f>
        <v>0</v>
      </c>
      <c r="S870" s="40">
        <f>RES_BA!U16</f>
        <v>0</v>
      </c>
    </row>
    <row r="871" spans="3:19" hidden="1" x14ac:dyDescent="0.3">
      <c r="C871" s="89" t="str">
        <f>RES_BA!D17</f>
        <v>Personnel Cadre - Other 4</v>
      </c>
      <c r="M871" s="40">
        <f>RES_BA!R17</f>
        <v>0</v>
      </c>
      <c r="O871" s="40">
        <f>RES_BA!S17</f>
        <v>0</v>
      </c>
      <c r="Q871" s="40">
        <f>RES_BA!T17</f>
        <v>0</v>
      </c>
      <c r="S871" s="40">
        <f>RES_BA!U17</f>
        <v>0</v>
      </c>
    </row>
    <row r="872" spans="3:19" hidden="1" x14ac:dyDescent="0.3">
      <c r="C872" s="89" t="str">
        <f>RES_BA!D18</f>
        <v>Personnel Cadre - Other 5</v>
      </c>
      <c r="M872" s="40">
        <f>RES_BA!R18</f>
        <v>0</v>
      </c>
      <c r="O872" s="40">
        <f>RES_BA!S18</f>
        <v>0</v>
      </c>
      <c r="Q872" s="40">
        <f>RES_BA!T18</f>
        <v>0</v>
      </c>
      <c r="S872" s="40">
        <f>RES_BA!U18</f>
        <v>0</v>
      </c>
    </row>
    <row r="873" spans="3:19" hidden="1" x14ac:dyDescent="0.3">
      <c r="C873" s="89" t="str">
        <f>RES_BA!D19</f>
        <v>Personnel Cadre - Other 6</v>
      </c>
      <c r="M873" s="40">
        <f>RES_BA!R19</f>
        <v>0</v>
      </c>
      <c r="O873" s="40">
        <f>RES_BA!S19</f>
        <v>0</v>
      </c>
      <c r="Q873" s="40">
        <f>RES_BA!T19</f>
        <v>0</v>
      </c>
      <c r="S873" s="40">
        <f>RES_BA!U19</f>
        <v>0</v>
      </c>
    </row>
    <row r="874" spans="3:19" hidden="1" x14ac:dyDescent="0.3">
      <c r="C874" s="89" t="str">
        <f>RES_BA!D20</f>
        <v>Personnel Cadre - Other 7</v>
      </c>
      <c r="M874" s="40">
        <f>RES_BA!R20</f>
        <v>0</v>
      </c>
      <c r="O874" s="40">
        <f>RES_BA!S20</f>
        <v>0</v>
      </c>
      <c r="Q874" s="40">
        <f>RES_BA!T20</f>
        <v>0</v>
      </c>
      <c r="S874" s="40">
        <f>RES_BA!U20</f>
        <v>0</v>
      </c>
    </row>
    <row r="875" spans="3:19" hidden="1" x14ac:dyDescent="0.3">
      <c r="C875" s="89" t="str">
        <f>RES_BA!D21</f>
        <v>Personnel Cadre - Other 8</v>
      </c>
      <c r="M875" s="40">
        <f>RES_BA!R21</f>
        <v>0</v>
      </c>
      <c r="O875" s="40">
        <f>RES_BA!S21</f>
        <v>0</v>
      </c>
      <c r="Q875" s="40">
        <f>RES_BA!T21</f>
        <v>0</v>
      </c>
      <c r="S875" s="40">
        <f>RES_BA!U21</f>
        <v>0</v>
      </c>
    </row>
    <row r="876" spans="3:19" hidden="1" x14ac:dyDescent="0.3">
      <c r="C876" s="89" t="str">
        <f>RES_BA!D22</f>
        <v>Personnel Cadre - Other 9</v>
      </c>
      <c r="M876" s="40">
        <f>RES_BA!R22</f>
        <v>0</v>
      </c>
      <c r="O876" s="40">
        <f>RES_BA!S22</f>
        <v>0</v>
      </c>
      <c r="Q876" s="40">
        <f>RES_BA!T22</f>
        <v>0</v>
      </c>
      <c r="S876" s="40">
        <f>RES_BA!U22</f>
        <v>0</v>
      </c>
    </row>
    <row r="877" spans="3:19" hidden="1" x14ac:dyDescent="0.3">
      <c r="C877" s="89" t="str">
        <f>RES_BA!D23</f>
        <v>Personnel Cadre - Other 10</v>
      </c>
      <c r="M877" s="40">
        <f>RES_BA!R23</f>
        <v>0</v>
      </c>
      <c r="O877" s="40">
        <f>RES_BA!S23</f>
        <v>0</v>
      </c>
      <c r="Q877" s="40">
        <f>RES_BA!T23</f>
        <v>0</v>
      </c>
      <c r="S877" s="40">
        <f>RES_BA!U23</f>
        <v>0</v>
      </c>
    </row>
    <row r="878" spans="3:19" hidden="1" x14ac:dyDescent="0.3">
      <c r="C878" s="89" t="str">
        <f>RES_BA!D24</f>
        <v>Personnel Cadre - Other 11</v>
      </c>
      <c r="M878" s="40">
        <f>RES_BA!R24</f>
        <v>0</v>
      </c>
      <c r="O878" s="40">
        <f>RES_BA!S24</f>
        <v>0</v>
      </c>
      <c r="Q878" s="40">
        <f>RES_BA!T24</f>
        <v>0</v>
      </c>
      <c r="S878" s="40">
        <f>RES_BA!U24</f>
        <v>0</v>
      </c>
    </row>
    <row r="879" spans="3:19" hidden="1" x14ac:dyDescent="0.3">
      <c r="C879" s="89" t="str">
        <f>RES_BA!D25</f>
        <v>Personnel Cadre - Other 12</v>
      </c>
      <c r="M879" s="40">
        <f>RES_BA!R25</f>
        <v>0</v>
      </c>
      <c r="O879" s="40">
        <f>RES_BA!S25</f>
        <v>0</v>
      </c>
      <c r="Q879" s="40">
        <f>RES_BA!T25</f>
        <v>0</v>
      </c>
      <c r="S879" s="40">
        <f>RES_BA!U25</f>
        <v>0</v>
      </c>
    </row>
    <row r="880" spans="3:19" hidden="1" x14ac:dyDescent="0.3">
      <c r="C880" s="89" t="str">
        <f>RES_BA!D26</f>
        <v>Personnel Cadre - Other 13</v>
      </c>
      <c r="M880" s="40">
        <f>RES_BA!R26</f>
        <v>0</v>
      </c>
      <c r="O880" s="40">
        <f>RES_BA!S26</f>
        <v>0</v>
      </c>
      <c r="Q880" s="40">
        <f>RES_BA!T26</f>
        <v>0</v>
      </c>
      <c r="S880" s="40">
        <f>RES_BA!U26</f>
        <v>0</v>
      </c>
    </row>
    <row r="881" spans="3:19" hidden="1" x14ac:dyDescent="0.3">
      <c r="C881" s="89" t="str">
        <f>RES_BA!D27</f>
        <v>Personnel Cadre - Other 14</v>
      </c>
      <c r="M881" s="40">
        <f>RES_BA!R27</f>
        <v>0</v>
      </c>
      <c r="O881" s="40">
        <f>RES_BA!S27</f>
        <v>0</v>
      </c>
      <c r="Q881" s="40">
        <f>RES_BA!T27</f>
        <v>0</v>
      </c>
      <c r="S881" s="40">
        <f>RES_BA!U27</f>
        <v>0</v>
      </c>
    </row>
    <row r="882" spans="3:19" hidden="1" x14ac:dyDescent="0.3">
      <c r="C882" s="89" t="str">
        <f>RES_BA!D28</f>
        <v>Personnel Cadre - Other 15</v>
      </c>
      <c r="M882" s="40">
        <f>RES_BA!R28</f>
        <v>0</v>
      </c>
      <c r="O882" s="40">
        <f>RES_BA!S28</f>
        <v>0</v>
      </c>
      <c r="Q882" s="40">
        <f>RES_BA!T28</f>
        <v>0</v>
      </c>
      <c r="S882" s="40">
        <f>RES_BA!U28</f>
        <v>0</v>
      </c>
    </row>
    <row r="883" spans="3:19" s="277" customFormat="1" hidden="1" x14ac:dyDescent="0.3">
      <c r="C883" s="283" t="str">
        <f>RES_BA!D29</f>
        <v>Personnel Cadre - Other 16</v>
      </c>
      <c r="M883" s="279">
        <f>RES_BA!R29</f>
        <v>0</v>
      </c>
      <c r="O883" s="279">
        <f>RES_BA!S29</f>
        <v>0</v>
      </c>
      <c r="Q883" s="279">
        <f>RES_BA!T29</f>
        <v>0</v>
      </c>
      <c r="S883" s="279">
        <f>RES_BA!U29</f>
        <v>0</v>
      </c>
    </row>
    <row r="884" spans="3:19" s="277" customFormat="1" hidden="1" x14ac:dyDescent="0.3">
      <c r="C884" s="283" t="str">
        <f>RES_BA!D30</f>
        <v>Personnel Cadre - Other 17</v>
      </c>
      <c r="M884" s="279">
        <f>RES_BA!R30</f>
        <v>0</v>
      </c>
      <c r="O884" s="279">
        <f>RES_BA!S30</f>
        <v>0</v>
      </c>
      <c r="Q884" s="279">
        <f>RES_BA!T30</f>
        <v>0</v>
      </c>
      <c r="S884" s="279">
        <f>RES_BA!U30</f>
        <v>0</v>
      </c>
    </row>
    <row r="885" spans="3:19" s="277" customFormat="1" hidden="1" x14ac:dyDescent="0.3">
      <c r="C885" s="283" t="str">
        <f>RES_BA!D31</f>
        <v>Personnel Cadre - Other 18</v>
      </c>
      <c r="M885" s="279">
        <f>RES_BA!R31</f>
        <v>0</v>
      </c>
      <c r="O885" s="279">
        <f>RES_BA!S31</f>
        <v>0</v>
      </c>
      <c r="Q885" s="279">
        <f>RES_BA!T31</f>
        <v>0</v>
      </c>
      <c r="S885" s="279">
        <f>RES_BA!U31</f>
        <v>0</v>
      </c>
    </row>
    <row r="886" spans="3:19" s="277" customFormat="1" hidden="1" x14ac:dyDescent="0.3">
      <c r="C886" s="283" t="str">
        <f>RES_BA!D32</f>
        <v>Personnel Cadre - Other 19</v>
      </c>
      <c r="M886" s="279">
        <f>RES_BA!R32</f>
        <v>0</v>
      </c>
      <c r="O886" s="279">
        <f>RES_BA!S32</f>
        <v>0</v>
      </c>
      <c r="Q886" s="279">
        <f>RES_BA!T32</f>
        <v>0</v>
      </c>
      <c r="S886" s="279">
        <f>RES_BA!U32</f>
        <v>0</v>
      </c>
    </row>
    <row r="887" spans="3:19" s="277" customFormat="1" hidden="1" x14ac:dyDescent="0.3">
      <c r="C887" s="283" t="str">
        <f>RES_BA!D33</f>
        <v>Personnel Cadre - Other 20</v>
      </c>
      <c r="M887" s="279">
        <f>RES_BA!R33</f>
        <v>0</v>
      </c>
      <c r="O887" s="279">
        <f>RES_BA!S33</f>
        <v>0</v>
      </c>
      <c r="Q887" s="279">
        <f>RES_BA!T33</f>
        <v>0</v>
      </c>
      <c r="S887" s="279">
        <f>RES_BA!U33</f>
        <v>0</v>
      </c>
    </row>
    <row r="888" spans="3:19" s="277" customFormat="1" hidden="1" x14ac:dyDescent="0.3">
      <c r="C888" s="283" t="str">
        <f>RES_BA!D34</f>
        <v>Personnel Cadre - Other 21</v>
      </c>
      <c r="M888" s="279">
        <f>RES_BA!R34</f>
        <v>0</v>
      </c>
      <c r="O888" s="279">
        <f>RES_BA!S34</f>
        <v>0</v>
      </c>
      <c r="Q888" s="279">
        <f>RES_BA!T34</f>
        <v>0</v>
      </c>
      <c r="S888" s="279">
        <f>RES_BA!U34</f>
        <v>0</v>
      </c>
    </row>
    <row r="889" spans="3:19" s="277" customFormat="1" hidden="1" x14ac:dyDescent="0.3">
      <c r="C889" s="283" t="str">
        <f>RES_BA!D35</f>
        <v>Personnel Cadre - Other 22</v>
      </c>
      <c r="M889" s="279">
        <f>RES_BA!R35</f>
        <v>0</v>
      </c>
      <c r="O889" s="279">
        <f>RES_BA!S35</f>
        <v>0</v>
      </c>
      <c r="Q889" s="279">
        <f>RES_BA!T35</f>
        <v>0</v>
      </c>
      <c r="S889" s="279">
        <f>RES_BA!U35</f>
        <v>0</v>
      </c>
    </row>
    <row r="890" spans="3:19" s="277" customFormat="1" hidden="1" x14ac:dyDescent="0.3">
      <c r="C890" s="283" t="str">
        <f>RES_BA!D36</f>
        <v>Personnel Cadre - Other 23</v>
      </c>
      <c r="M890" s="279">
        <f>RES_BA!R36</f>
        <v>0</v>
      </c>
      <c r="O890" s="279">
        <f>RES_BA!S36</f>
        <v>0</v>
      </c>
      <c r="Q890" s="279">
        <f>RES_BA!T36</f>
        <v>0</v>
      </c>
      <c r="S890" s="279">
        <f>RES_BA!U36</f>
        <v>0</v>
      </c>
    </row>
    <row r="891" spans="3:19" s="277" customFormat="1" hidden="1" x14ac:dyDescent="0.3">
      <c r="C891" s="283" t="str">
        <f>RES_BA!D37</f>
        <v>Personnel Cadre - Other 24</v>
      </c>
      <c r="M891" s="279">
        <f>RES_BA!R37</f>
        <v>0</v>
      </c>
      <c r="O891" s="279">
        <f>RES_BA!S37</f>
        <v>0</v>
      </c>
      <c r="Q891" s="279">
        <f>RES_BA!T37</f>
        <v>0</v>
      </c>
      <c r="S891" s="279">
        <f>RES_BA!U37</f>
        <v>0</v>
      </c>
    </row>
    <row r="892" spans="3:19" s="277" customFormat="1" hidden="1" x14ac:dyDescent="0.3">
      <c r="C892" s="283" t="str">
        <f>RES_BA!D38</f>
        <v>Personnel Cadre - Other 25</v>
      </c>
      <c r="M892" s="279">
        <f>RES_BA!R38</f>
        <v>0</v>
      </c>
      <c r="O892" s="279">
        <f>RES_BA!S38</f>
        <v>0</v>
      </c>
      <c r="Q892" s="279">
        <f>RES_BA!T38</f>
        <v>0</v>
      </c>
      <c r="S892" s="279">
        <f>RES_BA!U38</f>
        <v>0</v>
      </c>
    </row>
    <row r="893" spans="3:19" s="277" customFormat="1" hidden="1" x14ac:dyDescent="0.3">
      <c r="C893" s="283" t="str">
        <f>RES_BA!D39</f>
        <v>Personnel Cadre - Other 26</v>
      </c>
      <c r="M893" s="279">
        <f>RES_BA!R39</f>
        <v>0</v>
      </c>
      <c r="O893" s="279">
        <f>RES_BA!S39</f>
        <v>0</v>
      </c>
      <c r="Q893" s="279">
        <f>RES_BA!T39</f>
        <v>0</v>
      </c>
      <c r="S893" s="279">
        <f>RES_BA!U39</f>
        <v>0</v>
      </c>
    </row>
    <row r="894" spans="3:19" s="277" customFormat="1" hidden="1" x14ac:dyDescent="0.3">
      <c r="C894" s="283" t="str">
        <f>RES_BA!D40</f>
        <v>Personnel Cadre - Other 27</v>
      </c>
      <c r="M894" s="279">
        <f>RES_BA!R40</f>
        <v>0</v>
      </c>
      <c r="O894" s="279">
        <f>RES_BA!S40</f>
        <v>0</v>
      </c>
      <c r="Q894" s="279">
        <f>RES_BA!T40</f>
        <v>0</v>
      </c>
      <c r="S894" s="279">
        <f>RES_BA!U40</f>
        <v>0</v>
      </c>
    </row>
    <row r="895" spans="3:19" s="277" customFormat="1" hidden="1" x14ac:dyDescent="0.3">
      <c r="C895" s="283" t="str">
        <f>RES_BA!D41</f>
        <v>Personnel Cadre - Other 28</v>
      </c>
      <c r="M895" s="279">
        <f>RES_BA!R41</f>
        <v>0</v>
      </c>
      <c r="O895" s="279">
        <f>RES_BA!S41</f>
        <v>0</v>
      </c>
      <c r="Q895" s="279">
        <f>RES_BA!T41</f>
        <v>0</v>
      </c>
      <c r="S895" s="279">
        <f>RES_BA!U41</f>
        <v>0</v>
      </c>
    </row>
    <row r="896" spans="3:19" s="277" customFormat="1" hidden="1" x14ac:dyDescent="0.3">
      <c r="C896" s="283" t="str">
        <f>RES_BA!D42</f>
        <v>Personnel Cadre - Other 29</v>
      </c>
      <c r="M896" s="279">
        <f>RES_BA!R42</f>
        <v>0</v>
      </c>
      <c r="O896" s="279">
        <f>RES_BA!S42</f>
        <v>0</v>
      </c>
      <c r="Q896" s="279">
        <f>RES_BA!T42</f>
        <v>0</v>
      </c>
      <c r="S896" s="279">
        <f>RES_BA!U42</f>
        <v>0</v>
      </c>
    </row>
    <row r="897" spans="3:19" s="277" customFormat="1" hidden="1" x14ac:dyDescent="0.3">
      <c r="C897" s="283" t="str">
        <f>RES_BA!D43</f>
        <v>Personnel Cadre - Other 30</v>
      </c>
      <c r="M897" s="279">
        <f>RES_BA!R43</f>
        <v>0</v>
      </c>
      <c r="O897" s="279">
        <f>RES_BA!S43</f>
        <v>0</v>
      </c>
      <c r="Q897" s="279">
        <f>RES_BA!T43</f>
        <v>0</v>
      </c>
      <c r="S897" s="279">
        <f>RES_BA!U43</f>
        <v>0</v>
      </c>
    </row>
    <row r="898" spans="3:19" s="277" customFormat="1" hidden="1" x14ac:dyDescent="0.3">
      <c r="C898" s="283" t="str">
        <f>RES_BA!D44</f>
        <v>Personnel Cadre - Other 31</v>
      </c>
      <c r="M898" s="279">
        <f>RES_BA!R44</f>
        <v>0</v>
      </c>
      <c r="O898" s="279">
        <f>RES_BA!S44</f>
        <v>0</v>
      </c>
      <c r="Q898" s="279">
        <f>RES_BA!T44</f>
        <v>0</v>
      </c>
      <c r="S898" s="279">
        <f>RES_BA!U44</f>
        <v>0</v>
      </c>
    </row>
    <row r="899" spans="3:19" s="277" customFormat="1" hidden="1" x14ac:dyDescent="0.3">
      <c r="C899" s="283" t="str">
        <f>RES_BA!D45</f>
        <v>Personnel Cadre - Other 32</v>
      </c>
      <c r="M899" s="279">
        <f>RES_BA!R45</f>
        <v>0</v>
      </c>
      <c r="O899" s="279">
        <f>RES_BA!S45</f>
        <v>0</v>
      </c>
      <c r="Q899" s="279">
        <f>RES_BA!T45</f>
        <v>0</v>
      </c>
      <c r="S899" s="279">
        <f>RES_BA!U45</f>
        <v>0</v>
      </c>
    </row>
    <row r="900" spans="3:19" s="277" customFormat="1" hidden="1" x14ac:dyDescent="0.3">
      <c r="C900" s="283" t="str">
        <f>RES_BA!D46</f>
        <v>Personnel Cadre - Other 33</v>
      </c>
      <c r="M900" s="279">
        <f>RES_BA!R46</f>
        <v>0</v>
      </c>
      <c r="O900" s="279">
        <f>RES_BA!S46</f>
        <v>0</v>
      </c>
      <c r="Q900" s="279">
        <f>RES_BA!T46</f>
        <v>0</v>
      </c>
      <c r="S900" s="279">
        <f>RES_BA!U46</f>
        <v>0</v>
      </c>
    </row>
    <row r="901" spans="3:19" s="277" customFormat="1" hidden="1" x14ac:dyDescent="0.3">
      <c r="C901" s="283" t="str">
        <f>RES_BA!D47</f>
        <v>Personnel Cadre - Other 34</v>
      </c>
      <c r="M901" s="279">
        <f>RES_BA!R47</f>
        <v>0</v>
      </c>
      <c r="O901" s="279">
        <f>RES_BA!S47</f>
        <v>0</v>
      </c>
      <c r="Q901" s="279">
        <f>RES_BA!T47</f>
        <v>0</v>
      </c>
      <c r="S901" s="279">
        <f>RES_BA!U47</f>
        <v>0</v>
      </c>
    </row>
    <row r="902" spans="3:19" s="277" customFormat="1" hidden="1" x14ac:dyDescent="0.3">
      <c r="C902" s="283" t="str">
        <f>RES_BA!D48</f>
        <v>Personnel Cadre - Other 35</v>
      </c>
      <c r="M902" s="279">
        <f>RES_BA!R48</f>
        <v>0</v>
      </c>
      <c r="O902" s="279">
        <f>RES_BA!S48</f>
        <v>0</v>
      </c>
      <c r="Q902" s="279">
        <f>RES_BA!T48</f>
        <v>0</v>
      </c>
      <c r="S902" s="279">
        <f>RES_BA!U48</f>
        <v>0</v>
      </c>
    </row>
    <row r="903" spans="3:19" hidden="1" x14ac:dyDescent="0.3"/>
    <row r="904" spans="3:19" hidden="1" x14ac:dyDescent="0.3">
      <c r="M904" s="40" t="str">
        <f>$D$862</f>
        <v>USD</v>
      </c>
      <c r="O904" s="40" t="str">
        <f>$D$862</f>
        <v>USD</v>
      </c>
      <c r="Q904" s="40" t="str">
        <f>$D$863</f>
        <v>GOZ</v>
      </c>
      <c r="S904" s="40" t="str">
        <f>$D$863</f>
        <v>GOZ</v>
      </c>
    </row>
    <row r="905" spans="3:19" hidden="1" x14ac:dyDescent="0.3">
      <c r="C905" s="89" t="str">
        <f>RES_BA!D53</f>
        <v>Allowances Category 1</v>
      </c>
      <c r="M905" s="40">
        <f>RES_BA!R53</f>
        <v>0</v>
      </c>
      <c r="O905" s="40">
        <f>RES_BA!S53</f>
        <v>0</v>
      </c>
      <c r="Q905" s="40">
        <f>RES_BA!T53</f>
        <v>0</v>
      </c>
      <c r="S905" s="40">
        <f>RES_BA!U53</f>
        <v>0</v>
      </c>
    </row>
    <row r="906" spans="3:19" hidden="1" x14ac:dyDescent="0.3">
      <c r="C906" s="89" t="str">
        <f>RES_BA!D54</f>
        <v>Allowances Category 2</v>
      </c>
      <c r="M906" s="40">
        <f>RES_BA!R54</f>
        <v>0</v>
      </c>
      <c r="O906" s="40">
        <f>RES_BA!S54</f>
        <v>0</v>
      </c>
      <c r="Q906" s="40">
        <f>RES_BA!T54</f>
        <v>0</v>
      </c>
      <c r="S906" s="40">
        <f>RES_BA!U54</f>
        <v>0</v>
      </c>
    </row>
    <row r="907" spans="3:19" hidden="1" x14ac:dyDescent="0.3">
      <c r="C907" s="89" t="str">
        <f>RES_BA!D55</f>
        <v>Allowances Category 3</v>
      </c>
      <c r="M907" s="40">
        <f>RES_BA!R55</f>
        <v>0</v>
      </c>
      <c r="O907" s="40">
        <f>RES_BA!S55</f>
        <v>0</v>
      </c>
      <c r="Q907" s="40">
        <f>RES_BA!T55</f>
        <v>0</v>
      </c>
      <c r="S907" s="40">
        <f>RES_BA!U55</f>
        <v>0</v>
      </c>
    </row>
    <row r="908" spans="3:19" hidden="1" x14ac:dyDescent="0.3">
      <c r="C908" s="89" t="str">
        <f>RES_BA!D56</f>
        <v>Allowances Category 4</v>
      </c>
      <c r="M908" s="40">
        <f>RES_BA!R56</f>
        <v>0</v>
      </c>
      <c r="O908" s="40">
        <f>RES_BA!S56</f>
        <v>0</v>
      </c>
      <c r="Q908" s="40">
        <f>RES_BA!T56</f>
        <v>0</v>
      </c>
      <c r="S908" s="40">
        <f>RES_BA!U56</f>
        <v>0</v>
      </c>
    </row>
    <row r="909" spans="3:19" hidden="1" x14ac:dyDescent="0.3">
      <c r="C909" s="89" t="str">
        <f>RES_BA!D57</f>
        <v>Allowances Category 5</v>
      </c>
      <c r="M909" s="40">
        <f>RES_BA!R57</f>
        <v>0</v>
      </c>
      <c r="O909" s="40">
        <f>RES_BA!S57</f>
        <v>0</v>
      </c>
      <c r="Q909" s="40">
        <f>RES_BA!T57</f>
        <v>0</v>
      </c>
      <c r="S909" s="40">
        <f>RES_BA!U57</f>
        <v>0</v>
      </c>
    </row>
    <row r="910" spans="3:19" s="277" customFormat="1" hidden="1" x14ac:dyDescent="0.3">
      <c r="C910" s="283" t="str">
        <f>RES_BA!D58</f>
        <v>Allowances Category 6</v>
      </c>
      <c r="M910" s="279">
        <f>RES_BA!R58</f>
        <v>0</v>
      </c>
      <c r="O910" s="279">
        <f>RES_BA!S58</f>
        <v>0</v>
      </c>
      <c r="Q910" s="279">
        <f>RES_BA!T58</f>
        <v>0</v>
      </c>
      <c r="S910" s="279">
        <f>RES_BA!U58</f>
        <v>0</v>
      </c>
    </row>
    <row r="911" spans="3:19" s="277" customFormat="1" hidden="1" x14ac:dyDescent="0.3">
      <c r="C911" s="283" t="str">
        <f>RES_BA!D59</f>
        <v>Allowances Category 7</v>
      </c>
      <c r="M911" s="279">
        <f>RES_BA!R59</f>
        <v>0</v>
      </c>
      <c r="O911" s="279">
        <f>RES_BA!S59</f>
        <v>0</v>
      </c>
      <c r="Q911" s="279">
        <f>RES_BA!T59</f>
        <v>0</v>
      </c>
      <c r="S911" s="279">
        <f>RES_BA!U59</f>
        <v>0</v>
      </c>
    </row>
    <row r="912" spans="3:19" s="277" customFormat="1" hidden="1" x14ac:dyDescent="0.3">
      <c r="C912" s="283" t="str">
        <f>RES_BA!D60</f>
        <v>Allowances Category 8</v>
      </c>
      <c r="M912" s="279">
        <f>RES_BA!R60</f>
        <v>0</v>
      </c>
      <c r="O912" s="279">
        <f>RES_BA!S60</f>
        <v>0</v>
      </c>
      <c r="Q912" s="279">
        <f>RES_BA!T60</f>
        <v>0</v>
      </c>
      <c r="S912" s="279">
        <f>RES_BA!U60</f>
        <v>0</v>
      </c>
    </row>
    <row r="913" spans="3:19" s="277" customFormat="1" hidden="1" x14ac:dyDescent="0.3">
      <c r="C913" s="283" t="str">
        <f>RES_BA!D61</f>
        <v>Allowances Category 9</v>
      </c>
      <c r="M913" s="279">
        <f>RES_BA!R61</f>
        <v>0</v>
      </c>
      <c r="O913" s="279">
        <f>RES_BA!S61</f>
        <v>0</v>
      </c>
      <c r="Q913" s="279">
        <f>RES_BA!T61</f>
        <v>0</v>
      </c>
      <c r="S913" s="279">
        <f>RES_BA!U61</f>
        <v>0</v>
      </c>
    </row>
    <row r="914" spans="3:19" s="277" customFormat="1" hidden="1" x14ac:dyDescent="0.3">
      <c r="C914" s="283" t="str">
        <f>RES_BA!D62</f>
        <v>Allowances Category 10</v>
      </c>
      <c r="M914" s="279">
        <f>RES_BA!R62</f>
        <v>0</v>
      </c>
      <c r="O914" s="279">
        <f>RES_BA!S62</f>
        <v>0</v>
      </c>
      <c r="Q914" s="279">
        <f>RES_BA!T62</f>
        <v>0</v>
      </c>
      <c r="S914" s="279">
        <f>RES_BA!U62</f>
        <v>0</v>
      </c>
    </row>
    <row r="915" spans="3:19" s="277" customFormat="1" hidden="1" x14ac:dyDescent="0.3">
      <c r="C915" s="283" t="str">
        <f>RES_BA!D63</f>
        <v>Allowances Category 11</v>
      </c>
      <c r="M915" s="279">
        <f>RES_BA!R63</f>
        <v>0</v>
      </c>
      <c r="O915" s="279">
        <f>RES_BA!S63</f>
        <v>0</v>
      </c>
      <c r="Q915" s="279">
        <f>RES_BA!T63</f>
        <v>0</v>
      </c>
      <c r="S915" s="279">
        <f>RES_BA!U63</f>
        <v>0</v>
      </c>
    </row>
    <row r="916" spans="3:19" s="277" customFormat="1" hidden="1" x14ac:dyDescent="0.3">
      <c r="C916" s="283" t="str">
        <f>RES_BA!D64</f>
        <v>Allowances Category 12</v>
      </c>
      <c r="M916" s="279">
        <f>RES_BA!R64</f>
        <v>0</v>
      </c>
      <c r="O916" s="279">
        <f>RES_BA!S64</f>
        <v>0</v>
      </c>
      <c r="Q916" s="279">
        <f>RES_BA!T64</f>
        <v>0</v>
      </c>
      <c r="S916" s="279">
        <f>RES_BA!U64</f>
        <v>0</v>
      </c>
    </row>
    <row r="917" spans="3:19" s="277" customFormat="1" hidden="1" x14ac:dyDescent="0.3">
      <c r="C917" s="283" t="str">
        <f>RES_BA!D65</f>
        <v>Allowances Category 13</v>
      </c>
      <c r="M917" s="279">
        <f>RES_BA!R65</f>
        <v>0</v>
      </c>
      <c r="O917" s="279">
        <f>RES_BA!S65</f>
        <v>0</v>
      </c>
      <c r="Q917" s="279">
        <f>RES_BA!T65</f>
        <v>0</v>
      </c>
      <c r="S917" s="279">
        <f>RES_BA!U65</f>
        <v>0</v>
      </c>
    </row>
    <row r="918" spans="3:19" s="277" customFormat="1" hidden="1" x14ac:dyDescent="0.3">
      <c r="C918" s="283" t="str">
        <f>RES_BA!D66</f>
        <v>Allowances Category 14</v>
      </c>
      <c r="M918" s="279">
        <f>RES_BA!R66</f>
        <v>0</v>
      </c>
      <c r="O918" s="279">
        <f>RES_BA!S66</f>
        <v>0</v>
      </c>
      <c r="Q918" s="279">
        <f>RES_BA!T66</f>
        <v>0</v>
      </c>
      <c r="S918" s="279">
        <f>RES_BA!U66</f>
        <v>0</v>
      </c>
    </row>
    <row r="919" spans="3:19" s="277" customFormat="1" hidden="1" x14ac:dyDescent="0.3">
      <c r="C919" s="283" t="str">
        <f>RES_BA!D67</f>
        <v>Allowances Category 15</v>
      </c>
      <c r="M919" s="279">
        <f>RES_BA!R67</f>
        <v>0</v>
      </c>
      <c r="O919" s="279">
        <f>RES_BA!S67</f>
        <v>0</v>
      </c>
      <c r="Q919" s="279">
        <f>RES_BA!T67</f>
        <v>0</v>
      </c>
      <c r="S919" s="279">
        <f>RES_BA!U67</f>
        <v>0</v>
      </c>
    </row>
    <row r="920" spans="3:19" s="277" customFormat="1" hidden="1" x14ac:dyDescent="0.3">
      <c r="C920" s="283" t="str">
        <f>RES_BA!D68</f>
        <v>Allowances Category 16</v>
      </c>
      <c r="M920" s="279">
        <f>RES_BA!R68</f>
        <v>0</v>
      </c>
      <c r="O920" s="279">
        <f>RES_BA!S68</f>
        <v>0</v>
      </c>
      <c r="Q920" s="279">
        <f>RES_BA!T68</f>
        <v>0</v>
      </c>
      <c r="S920" s="279">
        <f>RES_BA!U68</f>
        <v>0</v>
      </c>
    </row>
    <row r="921" spans="3:19" hidden="1" x14ac:dyDescent="0.3">
      <c r="C921" s="89" t="str">
        <f>RES_BA!D69</f>
        <v>Allowances Category 17</v>
      </c>
      <c r="M921" s="40">
        <f>RES_BA!R69</f>
        <v>0</v>
      </c>
      <c r="O921" s="40">
        <f>RES_BA!S69</f>
        <v>0</v>
      </c>
      <c r="Q921" s="40">
        <f>RES_BA!T69</f>
        <v>0</v>
      </c>
      <c r="S921" s="40">
        <f>RES_BA!U69</f>
        <v>0</v>
      </c>
    </row>
    <row r="922" spans="3:19" hidden="1" x14ac:dyDescent="0.3">
      <c r="C922" s="89" t="str">
        <f>RES_BA!D70</f>
        <v>Allowances Category 18</v>
      </c>
      <c r="M922" s="40">
        <f>RES_BA!R70</f>
        <v>0</v>
      </c>
      <c r="O922" s="40">
        <f>RES_BA!S70</f>
        <v>0</v>
      </c>
      <c r="Q922" s="40">
        <f>RES_BA!T70</f>
        <v>0</v>
      </c>
      <c r="S922" s="40">
        <f>RES_BA!U70</f>
        <v>0</v>
      </c>
    </row>
    <row r="923" spans="3:19" hidden="1" x14ac:dyDescent="0.3">
      <c r="C923" s="89" t="str">
        <f>RES_BA!D71</f>
        <v>Allowances Category 19</v>
      </c>
      <c r="M923" s="40">
        <f>RES_BA!R71</f>
        <v>0</v>
      </c>
      <c r="O923" s="40">
        <f>RES_BA!S71</f>
        <v>0</v>
      </c>
      <c r="Q923" s="40">
        <f>RES_BA!T71</f>
        <v>0</v>
      </c>
      <c r="S923" s="40">
        <f>RES_BA!U71</f>
        <v>0</v>
      </c>
    </row>
    <row r="924" spans="3:19" hidden="1" x14ac:dyDescent="0.3">
      <c r="C924" s="89" t="str">
        <f>RES_BA!D72</f>
        <v>Allowances Category 20</v>
      </c>
      <c r="M924" s="40">
        <f>RES_BA!R72</f>
        <v>0</v>
      </c>
      <c r="O924" s="40">
        <f>RES_BA!S72</f>
        <v>0</v>
      </c>
      <c r="Q924" s="40">
        <f>RES_BA!T72</f>
        <v>0</v>
      </c>
      <c r="S924" s="40">
        <f>RES_BA!U72</f>
        <v>0</v>
      </c>
    </row>
    <row r="925" spans="3:19" hidden="1" x14ac:dyDescent="0.3">
      <c r="C925" s="89" t="str">
        <f>RES_BA!D73</f>
        <v>Allowances Category 21</v>
      </c>
      <c r="M925" s="40">
        <f>RES_BA!R73</f>
        <v>0</v>
      </c>
      <c r="O925" s="40">
        <f>RES_BA!S73</f>
        <v>0</v>
      </c>
      <c r="Q925" s="40">
        <f>RES_BA!T73</f>
        <v>0</v>
      </c>
      <c r="S925" s="40">
        <f>RES_BA!U73</f>
        <v>0</v>
      </c>
    </row>
    <row r="926" spans="3:19" hidden="1" x14ac:dyDescent="0.3">
      <c r="C926" s="89" t="str">
        <f>RES_BA!D74</f>
        <v>Allowances Category 22</v>
      </c>
      <c r="M926" s="40">
        <f>RES_BA!R74</f>
        <v>0</v>
      </c>
      <c r="O926" s="40">
        <f>RES_BA!S74</f>
        <v>0</v>
      </c>
      <c r="Q926" s="40">
        <f>RES_BA!T74</f>
        <v>0</v>
      </c>
      <c r="S926" s="40">
        <f>RES_BA!U74</f>
        <v>0</v>
      </c>
    </row>
    <row r="927" spans="3:19" hidden="1" x14ac:dyDescent="0.3">
      <c r="C927" s="89" t="str">
        <f>RES_BA!D75</f>
        <v>Allowances Category 23</v>
      </c>
      <c r="M927" s="40">
        <f>RES_BA!R75</f>
        <v>0</v>
      </c>
      <c r="O927" s="40">
        <f>RES_BA!S75</f>
        <v>0</v>
      </c>
      <c r="Q927" s="40">
        <f>RES_BA!T75</f>
        <v>0</v>
      </c>
      <c r="S927" s="40">
        <f>RES_BA!U75</f>
        <v>0</v>
      </c>
    </row>
    <row r="928" spans="3:19" s="277" customFormat="1" hidden="1" x14ac:dyDescent="0.3">
      <c r="C928" s="283" t="str">
        <f>RES_BA!D76</f>
        <v>Allowances Category 24</v>
      </c>
      <c r="M928" s="279">
        <f>RES_BA!R76</f>
        <v>0</v>
      </c>
      <c r="O928" s="279">
        <f>RES_BA!S76</f>
        <v>0</v>
      </c>
      <c r="Q928" s="279">
        <f>RES_BA!T76</f>
        <v>0</v>
      </c>
      <c r="S928" s="279">
        <f>RES_BA!U76</f>
        <v>0</v>
      </c>
    </row>
    <row r="929" spans="3:19" s="277" customFormat="1" hidden="1" x14ac:dyDescent="0.3">
      <c r="C929" s="283" t="str">
        <f>RES_BA!D77</f>
        <v>Allowances Category 25</v>
      </c>
      <c r="M929" s="279">
        <f>RES_BA!R77</f>
        <v>0</v>
      </c>
      <c r="O929" s="279">
        <f>RES_BA!S77</f>
        <v>0</v>
      </c>
      <c r="Q929" s="279">
        <f>RES_BA!T77</f>
        <v>0</v>
      </c>
      <c r="S929" s="279">
        <f>RES_BA!U77</f>
        <v>0</v>
      </c>
    </row>
    <row r="930" spans="3:19" s="277" customFormat="1" hidden="1" x14ac:dyDescent="0.3">
      <c r="C930" s="283" t="str">
        <f>RES_BA!D78</f>
        <v>Allowances Category 26</v>
      </c>
      <c r="M930" s="279">
        <f>RES_BA!R78</f>
        <v>0</v>
      </c>
      <c r="O930" s="279">
        <f>RES_BA!S78</f>
        <v>0</v>
      </c>
      <c r="Q930" s="279">
        <f>RES_BA!T78</f>
        <v>0</v>
      </c>
      <c r="S930" s="279">
        <f>RES_BA!U78</f>
        <v>0</v>
      </c>
    </row>
    <row r="931" spans="3:19" s="277" customFormat="1" hidden="1" x14ac:dyDescent="0.3">
      <c r="C931" s="283" t="str">
        <f>RES_BA!D79</f>
        <v>Allowances Category 27</v>
      </c>
      <c r="M931" s="279">
        <f>RES_BA!R79</f>
        <v>0</v>
      </c>
      <c r="O931" s="279">
        <f>RES_BA!S79</f>
        <v>0</v>
      </c>
      <c r="Q931" s="279">
        <f>RES_BA!T79</f>
        <v>0</v>
      </c>
      <c r="S931" s="279">
        <f>RES_BA!U79</f>
        <v>0</v>
      </c>
    </row>
    <row r="932" spans="3:19" s="277" customFormat="1" hidden="1" x14ac:dyDescent="0.3">
      <c r="C932" s="283" t="str">
        <f>RES_BA!D80</f>
        <v>Allowances Category 28</v>
      </c>
      <c r="M932" s="279">
        <f>RES_BA!R80</f>
        <v>0</v>
      </c>
      <c r="O932" s="279">
        <f>RES_BA!S80</f>
        <v>0</v>
      </c>
      <c r="Q932" s="279">
        <f>RES_BA!T80</f>
        <v>0</v>
      </c>
      <c r="S932" s="279">
        <f>RES_BA!U80</f>
        <v>0</v>
      </c>
    </row>
    <row r="933" spans="3:19" s="277" customFormat="1" hidden="1" x14ac:dyDescent="0.3">
      <c r="C933" s="283" t="str">
        <f>RES_BA!D81</f>
        <v>Allowances Category 29</v>
      </c>
      <c r="M933" s="279">
        <f>RES_BA!R81</f>
        <v>0</v>
      </c>
      <c r="O933" s="279">
        <f>RES_BA!S81</f>
        <v>0</v>
      </c>
      <c r="Q933" s="279">
        <f>RES_BA!T81</f>
        <v>0</v>
      </c>
      <c r="S933" s="279">
        <f>RES_BA!U81</f>
        <v>0</v>
      </c>
    </row>
    <row r="934" spans="3:19" s="277" customFormat="1" hidden="1" x14ac:dyDescent="0.3">
      <c r="C934" s="283" t="str">
        <f>RES_BA!D82</f>
        <v>Allowances Category 30</v>
      </c>
      <c r="M934" s="279">
        <f>RES_BA!R82</f>
        <v>0</v>
      </c>
      <c r="O934" s="279">
        <f>RES_BA!S82</f>
        <v>0</v>
      </c>
      <c r="Q934" s="279">
        <f>RES_BA!T82</f>
        <v>0</v>
      </c>
      <c r="S934" s="279">
        <f>RES_BA!U82</f>
        <v>0</v>
      </c>
    </row>
    <row r="935" spans="3:19" hidden="1" x14ac:dyDescent="0.3">
      <c r="C935" s="89" t="str">
        <f>RES_BA!D83</f>
        <v>Allowances Category 31</v>
      </c>
      <c r="M935" s="40">
        <f>RES_BA!R83</f>
        <v>0</v>
      </c>
      <c r="O935" s="40">
        <f>RES_BA!S83</f>
        <v>0</v>
      </c>
      <c r="Q935" s="40">
        <f>RES_BA!T83</f>
        <v>0</v>
      </c>
      <c r="S935" s="40">
        <f>RES_BA!U83</f>
        <v>0</v>
      </c>
    </row>
    <row r="936" spans="3:19" hidden="1" x14ac:dyDescent="0.3">
      <c r="C936" s="89" t="str">
        <f>RES_BA!D84</f>
        <v>Allowances Category 32</v>
      </c>
      <c r="M936" s="40">
        <f>RES_BA!R84</f>
        <v>0</v>
      </c>
      <c r="O936" s="40">
        <f>RES_BA!S84</f>
        <v>0</v>
      </c>
      <c r="Q936" s="40">
        <f>RES_BA!T84</f>
        <v>0</v>
      </c>
      <c r="S936" s="40">
        <f>RES_BA!U84</f>
        <v>0</v>
      </c>
    </row>
    <row r="937" spans="3:19" hidden="1" x14ac:dyDescent="0.3">
      <c r="C937" s="89" t="str">
        <f>RES_BA!D85</f>
        <v>Allowances Category 33</v>
      </c>
      <c r="M937" s="40">
        <f>RES_BA!R85</f>
        <v>0</v>
      </c>
      <c r="O937" s="40">
        <f>RES_BA!S85</f>
        <v>0</v>
      </c>
      <c r="Q937" s="40">
        <f>RES_BA!T85</f>
        <v>0</v>
      </c>
      <c r="S937" s="40">
        <f>RES_BA!U85</f>
        <v>0</v>
      </c>
    </row>
    <row r="938" spans="3:19" hidden="1" x14ac:dyDescent="0.3">
      <c r="C938" s="89" t="str">
        <f>RES_BA!D86</f>
        <v>Allowances Category 34</v>
      </c>
      <c r="M938" s="40">
        <f>RES_BA!R86</f>
        <v>0</v>
      </c>
      <c r="O938" s="40">
        <f>RES_BA!S86</f>
        <v>0</v>
      </c>
      <c r="Q938" s="40">
        <f>RES_BA!T86</f>
        <v>0</v>
      </c>
      <c r="S938" s="40">
        <f>RES_BA!U86</f>
        <v>0</v>
      </c>
    </row>
    <row r="939" spans="3:19" hidden="1" x14ac:dyDescent="0.3">
      <c r="C939" s="89" t="str">
        <f>RES_BA!D87</f>
        <v>Allowances Category 35</v>
      </c>
      <c r="M939" s="40">
        <f>RES_BA!R87</f>
        <v>0</v>
      </c>
      <c r="O939" s="40">
        <f>RES_BA!S87</f>
        <v>0</v>
      </c>
      <c r="Q939" s="40">
        <f>RES_BA!T87</f>
        <v>0</v>
      </c>
      <c r="S939" s="40">
        <f>RES_BA!U87</f>
        <v>0</v>
      </c>
    </row>
    <row r="940" spans="3:19" hidden="1" x14ac:dyDescent="0.3"/>
    <row r="941" spans="3:19" hidden="1" x14ac:dyDescent="0.3"/>
    <row r="942" spans="3:19" hidden="1" x14ac:dyDescent="0.3">
      <c r="M942" s="40" t="str">
        <f>$D$862</f>
        <v>USD</v>
      </c>
      <c r="O942" s="40" t="str">
        <f>$D$862</f>
        <v>USD</v>
      </c>
      <c r="Q942" s="40" t="str">
        <f>$D$863</f>
        <v>GOZ</v>
      </c>
      <c r="S942" s="40" t="str">
        <f>$D$863</f>
        <v>GOZ</v>
      </c>
    </row>
    <row r="943" spans="3:19" hidden="1" x14ac:dyDescent="0.3">
      <c r="C943" s="89" t="str">
        <f>RES_BA!D91</f>
        <v>Supplies Category 1</v>
      </c>
      <c r="M943" s="40">
        <f>RES_BA!R91</f>
        <v>0</v>
      </c>
      <c r="O943" s="40">
        <f>RES_BA!S91</f>
        <v>0</v>
      </c>
      <c r="Q943" s="40">
        <f>RES_BA!T91</f>
        <v>0</v>
      </c>
      <c r="S943" s="40">
        <f>RES_BA!U91</f>
        <v>0</v>
      </c>
    </row>
    <row r="944" spans="3:19" hidden="1" x14ac:dyDescent="0.3">
      <c r="C944" s="89" t="str">
        <f>RES_BA!D92</f>
        <v>Supplies Category 2</v>
      </c>
      <c r="M944" s="40">
        <f>RES_BA!R92</f>
        <v>0</v>
      </c>
      <c r="O944" s="40">
        <f>RES_BA!S92</f>
        <v>0</v>
      </c>
      <c r="Q944" s="40">
        <f>RES_BA!T92</f>
        <v>0</v>
      </c>
      <c r="S944" s="40">
        <f>RES_BA!U92</f>
        <v>0</v>
      </c>
    </row>
    <row r="945" spans="3:19" hidden="1" x14ac:dyDescent="0.3">
      <c r="C945" s="89" t="str">
        <f>RES_BA!D93</f>
        <v>Supplies Category 3</v>
      </c>
      <c r="M945" s="40">
        <f>RES_BA!R93</f>
        <v>0</v>
      </c>
      <c r="O945" s="40">
        <f>RES_BA!S93</f>
        <v>0</v>
      </c>
      <c r="Q945" s="40">
        <f>RES_BA!T93</f>
        <v>0</v>
      </c>
      <c r="S945" s="40">
        <f>RES_BA!U93</f>
        <v>0</v>
      </c>
    </row>
    <row r="946" spans="3:19" hidden="1" x14ac:dyDescent="0.3">
      <c r="C946" s="89" t="str">
        <f>RES_BA!D94</f>
        <v>Supplies Category 4</v>
      </c>
      <c r="M946" s="40">
        <f>RES_BA!R94</f>
        <v>0</v>
      </c>
      <c r="O946" s="40">
        <f>RES_BA!S94</f>
        <v>0</v>
      </c>
      <c r="Q946" s="40">
        <f>RES_BA!T94</f>
        <v>0</v>
      </c>
      <c r="S946" s="40">
        <f>RES_BA!U94</f>
        <v>0</v>
      </c>
    </row>
    <row r="947" spans="3:19" hidden="1" x14ac:dyDescent="0.3">
      <c r="C947" s="89" t="str">
        <f>RES_BA!D95</f>
        <v>Supplies Category 5</v>
      </c>
      <c r="M947" s="40">
        <f>RES_BA!R95</f>
        <v>0</v>
      </c>
      <c r="O947" s="40">
        <f>RES_BA!S95</f>
        <v>0</v>
      </c>
      <c r="Q947" s="40">
        <f>RES_BA!T95</f>
        <v>0</v>
      </c>
      <c r="S947" s="40">
        <f>RES_BA!U95</f>
        <v>0</v>
      </c>
    </row>
    <row r="948" spans="3:19" hidden="1" x14ac:dyDescent="0.3">
      <c r="C948" s="89" t="str">
        <f>RES_BA!D96</f>
        <v>Supplies Category 6</v>
      </c>
      <c r="M948" s="40">
        <f>RES_BA!R96</f>
        <v>0</v>
      </c>
      <c r="O948" s="40">
        <f>RES_BA!S96</f>
        <v>0</v>
      </c>
      <c r="Q948" s="40">
        <f>RES_BA!T96</f>
        <v>0</v>
      </c>
      <c r="S948" s="40">
        <f>RES_BA!U96</f>
        <v>0</v>
      </c>
    </row>
    <row r="949" spans="3:19" hidden="1" x14ac:dyDescent="0.3">
      <c r="C949" s="89" t="str">
        <f>RES_BA!D97</f>
        <v>Supplies Category 7</v>
      </c>
      <c r="M949" s="40">
        <f>RES_BA!R97</f>
        <v>0</v>
      </c>
      <c r="O949" s="40">
        <f>RES_BA!S97</f>
        <v>0</v>
      </c>
      <c r="Q949" s="40">
        <f>RES_BA!T97</f>
        <v>0</v>
      </c>
      <c r="S949" s="40">
        <f>RES_BA!U97</f>
        <v>0</v>
      </c>
    </row>
    <row r="950" spans="3:19" hidden="1" x14ac:dyDescent="0.3">
      <c r="C950" s="89" t="str">
        <f>RES_BA!D98</f>
        <v>Supplies Category 8</v>
      </c>
      <c r="M950" s="40">
        <f>RES_BA!R98</f>
        <v>0</v>
      </c>
      <c r="O950" s="40">
        <f>RES_BA!S98</f>
        <v>0</v>
      </c>
      <c r="Q950" s="40">
        <f>RES_BA!T98</f>
        <v>0</v>
      </c>
      <c r="S950" s="40">
        <f>RES_BA!U98</f>
        <v>0</v>
      </c>
    </row>
    <row r="951" spans="3:19" hidden="1" x14ac:dyDescent="0.3">
      <c r="C951" s="89" t="str">
        <f>RES_BA!D99</f>
        <v>Supplies Category 9</v>
      </c>
      <c r="M951" s="40">
        <f>RES_BA!R99</f>
        <v>0</v>
      </c>
      <c r="O951" s="40">
        <f>RES_BA!S99</f>
        <v>0</v>
      </c>
      <c r="Q951" s="40">
        <f>RES_BA!T99</f>
        <v>0</v>
      </c>
      <c r="S951" s="40">
        <f>RES_BA!U99</f>
        <v>0</v>
      </c>
    </row>
    <row r="952" spans="3:19" hidden="1" x14ac:dyDescent="0.3">
      <c r="C952" s="89" t="str">
        <f>RES_BA!D100</f>
        <v>Supplies Category 10</v>
      </c>
      <c r="M952" s="40">
        <f>RES_BA!R100</f>
        <v>0</v>
      </c>
      <c r="O952" s="40">
        <f>RES_BA!S100</f>
        <v>0</v>
      </c>
      <c r="Q952" s="40">
        <f>RES_BA!T100</f>
        <v>0</v>
      </c>
      <c r="S952" s="40">
        <f>RES_BA!U100</f>
        <v>0</v>
      </c>
    </row>
    <row r="953" spans="3:19" hidden="1" x14ac:dyDescent="0.3">
      <c r="C953" s="89" t="str">
        <f>RES_BA!D101</f>
        <v>Supplies Category 11</v>
      </c>
      <c r="M953" s="40">
        <f>RES_BA!R101</f>
        <v>0</v>
      </c>
      <c r="O953" s="40">
        <f>RES_BA!S101</f>
        <v>0</v>
      </c>
      <c r="Q953" s="40">
        <f>RES_BA!T101</f>
        <v>0</v>
      </c>
      <c r="S953" s="40">
        <f>RES_BA!U101</f>
        <v>0</v>
      </c>
    </row>
    <row r="954" spans="3:19" hidden="1" x14ac:dyDescent="0.3">
      <c r="C954" s="89" t="str">
        <f>RES_BA!D102</f>
        <v>Supplies Category 12</v>
      </c>
      <c r="M954" s="40">
        <f>RES_BA!R102</f>
        <v>0</v>
      </c>
      <c r="O954" s="40">
        <f>RES_BA!S102</f>
        <v>0</v>
      </c>
      <c r="Q954" s="40">
        <f>RES_BA!T102</f>
        <v>0</v>
      </c>
      <c r="S954" s="40">
        <f>RES_BA!U102</f>
        <v>0</v>
      </c>
    </row>
    <row r="955" spans="3:19" hidden="1" x14ac:dyDescent="0.3">
      <c r="C955" s="89" t="str">
        <f>RES_BA!D103</f>
        <v>Supplies Category 13</v>
      </c>
      <c r="M955" s="40">
        <f>RES_BA!R103</f>
        <v>0</v>
      </c>
      <c r="O955" s="40">
        <f>RES_BA!S103</f>
        <v>0</v>
      </c>
      <c r="Q955" s="40">
        <f>RES_BA!T103</f>
        <v>0</v>
      </c>
      <c r="S955" s="40">
        <f>RES_BA!U103</f>
        <v>0</v>
      </c>
    </row>
    <row r="956" spans="3:19" hidden="1" x14ac:dyDescent="0.3">
      <c r="C956" s="89" t="str">
        <f>RES_BA!D104</f>
        <v>Supplies Category 14</v>
      </c>
      <c r="M956" s="40">
        <f>RES_BA!R104</f>
        <v>0</v>
      </c>
      <c r="O956" s="40">
        <f>RES_BA!S104</f>
        <v>0</v>
      </c>
      <c r="Q956" s="40">
        <f>RES_BA!T104</f>
        <v>0</v>
      </c>
      <c r="S956" s="40">
        <f>RES_BA!U104</f>
        <v>0</v>
      </c>
    </row>
    <row r="957" spans="3:19" hidden="1" x14ac:dyDescent="0.3">
      <c r="C957" s="89" t="str">
        <f>RES_BA!D105</f>
        <v>Supplies Category 15</v>
      </c>
      <c r="M957" s="40">
        <f>RES_BA!R105</f>
        <v>0</v>
      </c>
      <c r="O957" s="40">
        <f>RES_BA!S105</f>
        <v>0</v>
      </c>
      <c r="Q957" s="40">
        <f>RES_BA!T105</f>
        <v>0</v>
      </c>
      <c r="S957" s="40">
        <f>RES_BA!U105</f>
        <v>0</v>
      </c>
    </row>
    <row r="958" spans="3:19" hidden="1" x14ac:dyDescent="0.3">
      <c r="C958" s="89" t="str">
        <f>RES_BA!D106</f>
        <v>Supplies Category 16</v>
      </c>
      <c r="M958" s="40">
        <f>RES_BA!R106</f>
        <v>0</v>
      </c>
      <c r="O958" s="40">
        <f>RES_BA!S106</f>
        <v>0</v>
      </c>
      <c r="Q958" s="40">
        <f>RES_BA!T106</f>
        <v>0</v>
      </c>
      <c r="S958" s="40">
        <f>RES_BA!U106</f>
        <v>0</v>
      </c>
    </row>
    <row r="959" spans="3:19" s="277" customFormat="1" hidden="1" x14ac:dyDescent="0.3">
      <c r="C959" s="283" t="str">
        <f>RES_BA!D107</f>
        <v>Supplies Category 17</v>
      </c>
      <c r="M959" s="279">
        <f>RES_BA!R107</f>
        <v>0</v>
      </c>
      <c r="O959" s="279">
        <f>RES_BA!S107</f>
        <v>0</v>
      </c>
      <c r="Q959" s="279">
        <f>RES_BA!T107</f>
        <v>0</v>
      </c>
      <c r="S959" s="279">
        <f>RES_BA!U107</f>
        <v>0</v>
      </c>
    </row>
    <row r="960" spans="3:19" s="277" customFormat="1" hidden="1" x14ac:dyDescent="0.3">
      <c r="C960" s="283" t="str">
        <f>RES_BA!D108</f>
        <v>Supplies Category 18</v>
      </c>
      <c r="M960" s="279">
        <f>RES_BA!R108</f>
        <v>0</v>
      </c>
      <c r="O960" s="279">
        <f>RES_BA!S108</f>
        <v>0</v>
      </c>
      <c r="Q960" s="279">
        <f>RES_BA!T108</f>
        <v>0</v>
      </c>
      <c r="S960" s="279">
        <f>RES_BA!U108</f>
        <v>0</v>
      </c>
    </row>
    <row r="961" spans="3:19" s="277" customFormat="1" hidden="1" x14ac:dyDescent="0.3">
      <c r="C961" s="283" t="str">
        <f>RES_BA!D109</f>
        <v>Supplies Category 19</v>
      </c>
      <c r="M961" s="279">
        <f>RES_BA!R109</f>
        <v>0</v>
      </c>
      <c r="O961" s="279">
        <f>RES_BA!S109</f>
        <v>0</v>
      </c>
      <c r="Q961" s="279">
        <f>RES_BA!T109</f>
        <v>0</v>
      </c>
      <c r="S961" s="279">
        <f>RES_BA!U109</f>
        <v>0</v>
      </c>
    </row>
    <row r="962" spans="3:19" s="277" customFormat="1" hidden="1" x14ac:dyDescent="0.3">
      <c r="C962" s="283" t="str">
        <f>RES_BA!D110</f>
        <v>Supplies Category 20</v>
      </c>
      <c r="M962" s="279">
        <f>RES_BA!R110</f>
        <v>0</v>
      </c>
      <c r="O962" s="279">
        <f>RES_BA!S110</f>
        <v>0</v>
      </c>
      <c r="Q962" s="279">
        <f>RES_BA!T110</f>
        <v>0</v>
      </c>
      <c r="S962" s="279">
        <f>RES_BA!U110</f>
        <v>0</v>
      </c>
    </row>
    <row r="963" spans="3:19" s="277" customFormat="1" hidden="1" x14ac:dyDescent="0.3">
      <c r="C963" s="283" t="str">
        <f>RES_BA!D111</f>
        <v>Supplies Category 21</v>
      </c>
      <c r="M963" s="279">
        <f>RES_BA!R111</f>
        <v>0</v>
      </c>
      <c r="O963" s="279">
        <f>RES_BA!S111</f>
        <v>0</v>
      </c>
      <c r="Q963" s="279">
        <f>RES_BA!T111</f>
        <v>0</v>
      </c>
      <c r="S963" s="279">
        <f>RES_BA!U111</f>
        <v>0</v>
      </c>
    </row>
    <row r="964" spans="3:19" s="277" customFormat="1" hidden="1" x14ac:dyDescent="0.3">
      <c r="C964" s="283" t="str">
        <f>RES_BA!D112</f>
        <v>Supplies Category 22</v>
      </c>
      <c r="M964" s="279">
        <f>RES_BA!R112</f>
        <v>0</v>
      </c>
      <c r="O964" s="279">
        <f>RES_BA!S112</f>
        <v>0</v>
      </c>
      <c r="Q964" s="279">
        <f>RES_BA!T112</f>
        <v>0</v>
      </c>
      <c r="S964" s="279">
        <f>RES_BA!U112</f>
        <v>0</v>
      </c>
    </row>
    <row r="965" spans="3:19" s="277" customFormat="1" hidden="1" x14ac:dyDescent="0.3">
      <c r="C965" s="283" t="str">
        <f>RES_BA!D113</f>
        <v>Supplies Category 23</v>
      </c>
      <c r="M965" s="279">
        <f>RES_BA!R113</f>
        <v>0</v>
      </c>
      <c r="O965" s="279">
        <f>RES_BA!S113</f>
        <v>0</v>
      </c>
      <c r="Q965" s="279">
        <f>RES_BA!T113</f>
        <v>0</v>
      </c>
      <c r="S965" s="279">
        <f>RES_BA!U113</f>
        <v>0</v>
      </c>
    </row>
    <row r="966" spans="3:19" s="277" customFormat="1" hidden="1" x14ac:dyDescent="0.3">
      <c r="C966" s="283" t="str">
        <f>RES_BA!D114</f>
        <v>Supplies Category 24</v>
      </c>
      <c r="M966" s="279">
        <f>RES_BA!R114</f>
        <v>0</v>
      </c>
      <c r="O966" s="279">
        <f>RES_BA!S114</f>
        <v>0</v>
      </c>
      <c r="Q966" s="279">
        <f>RES_BA!T114</f>
        <v>0</v>
      </c>
      <c r="S966" s="279">
        <f>RES_BA!U114</f>
        <v>0</v>
      </c>
    </row>
    <row r="967" spans="3:19" s="277" customFormat="1" hidden="1" x14ac:dyDescent="0.3">
      <c r="C967" s="283" t="str">
        <f>RES_BA!D115</f>
        <v>Supplies Category 25</v>
      </c>
      <c r="M967" s="279">
        <f>RES_BA!R115</f>
        <v>0</v>
      </c>
      <c r="O967" s="279">
        <f>RES_BA!S115</f>
        <v>0</v>
      </c>
      <c r="Q967" s="279">
        <f>RES_BA!T115</f>
        <v>0</v>
      </c>
      <c r="S967" s="279">
        <f>RES_BA!U115</f>
        <v>0</v>
      </c>
    </row>
    <row r="968" spans="3:19" s="277" customFormat="1" hidden="1" x14ac:dyDescent="0.3">
      <c r="C968" s="283" t="str">
        <f>RES_BA!D116</f>
        <v>Supplies Category 26</v>
      </c>
      <c r="M968" s="279">
        <f>RES_BA!R116</f>
        <v>0</v>
      </c>
      <c r="O968" s="279">
        <f>RES_BA!S116</f>
        <v>0</v>
      </c>
      <c r="Q968" s="279">
        <f>RES_BA!T116</f>
        <v>0</v>
      </c>
      <c r="S968" s="279">
        <f>RES_BA!U116</f>
        <v>0</v>
      </c>
    </row>
    <row r="969" spans="3:19" s="277" customFormat="1" hidden="1" x14ac:dyDescent="0.3">
      <c r="C969" s="283" t="str">
        <f>RES_BA!D117</f>
        <v>Supplies Category 27</v>
      </c>
      <c r="M969" s="279">
        <f>RES_BA!R117</f>
        <v>0</v>
      </c>
      <c r="O969" s="279">
        <f>RES_BA!S117</f>
        <v>0</v>
      </c>
      <c r="Q969" s="279">
        <f>RES_BA!T117</f>
        <v>0</v>
      </c>
      <c r="S969" s="279">
        <f>RES_BA!U117</f>
        <v>0</v>
      </c>
    </row>
    <row r="970" spans="3:19" s="277" customFormat="1" hidden="1" x14ac:dyDescent="0.3">
      <c r="C970" s="283" t="str">
        <f>RES_BA!D118</f>
        <v>Supplies Category 28</v>
      </c>
      <c r="M970" s="279">
        <f>RES_BA!R118</f>
        <v>0</v>
      </c>
      <c r="O970" s="279">
        <f>RES_BA!S118</f>
        <v>0</v>
      </c>
      <c r="Q970" s="279">
        <f>RES_BA!T118</f>
        <v>0</v>
      </c>
      <c r="S970" s="279">
        <f>RES_BA!U118</f>
        <v>0</v>
      </c>
    </row>
    <row r="971" spans="3:19" s="277" customFormat="1" hidden="1" x14ac:dyDescent="0.3">
      <c r="C971" s="283" t="str">
        <f>RES_BA!D119</f>
        <v>Supplies Category 29</v>
      </c>
      <c r="M971" s="279">
        <f>RES_BA!R119</f>
        <v>0</v>
      </c>
      <c r="O971" s="279">
        <f>RES_BA!S119</f>
        <v>0</v>
      </c>
      <c r="Q971" s="279">
        <f>RES_BA!T119</f>
        <v>0</v>
      </c>
      <c r="S971" s="279">
        <f>RES_BA!U119</f>
        <v>0</v>
      </c>
    </row>
    <row r="972" spans="3:19" s="277" customFormat="1" hidden="1" x14ac:dyDescent="0.3">
      <c r="C972" s="283" t="str">
        <f>RES_BA!D120</f>
        <v>Supplies Category 30</v>
      </c>
      <c r="M972" s="279">
        <f>RES_BA!R120</f>
        <v>0</v>
      </c>
      <c r="O972" s="279">
        <f>RES_BA!S120</f>
        <v>0</v>
      </c>
      <c r="Q972" s="279">
        <f>RES_BA!T120</f>
        <v>0</v>
      </c>
      <c r="S972" s="279">
        <f>RES_BA!U120</f>
        <v>0</v>
      </c>
    </row>
    <row r="973" spans="3:19" s="277" customFormat="1" hidden="1" x14ac:dyDescent="0.3">
      <c r="C973" s="283" t="str">
        <f>RES_BA!D121</f>
        <v>Supplies Category 31</v>
      </c>
      <c r="M973" s="279">
        <f>RES_BA!R121</f>
        <v>0</v>
      </c>
      <c r="O973" s="279">
        <f>RES_BA!S121</f>
        <v>0</v>
      </c>
      <c r="Q973" s="279">
        <f>RES_BA!T121</f>
        <v>0</v>
      </c>
      <c r="S973" s="279">
        <f>RES_BA!U121</f>
        <v>0</v>
      </c>
    </row>
    <row r="974" spans="3:19" s="277" customFormat="1" hidden="1" x14ac:dyDescent="0.3">
      <c r="C974" s="283" t="str">
        <f>RES_BA!D122</f>
        <v>Supplies Category 32</v>
      </c>
      <c r="M974" s="279">
        <f>RES_BA!R122</f>
        <v>0</v>
      </c>
      <c r="O974" s="279">
        <f>RES_BA!S122</f>
        <v>0</v>
      </c>
      <c r="Q974" s="279">
        <f>RES_BA!T122</f>
        <v>0</v>
      </c>
      <c r="S974" s="279">
        <f>RES_BA!U122</f>
        <v>0</v>
      </c>
    </row>
    <row r="975" spans="3:19" s="277" customFormat="1" hidden="1" x14ac:dyDescent="0.3">
      <c r="C975" s="283" t="str">
        <f>RES_BA!D123</f>
        <v>Supplies Category 33</v>
      </c>
      <c r="M975" s="279">
        <f>RES_BA!R123</f>
        <v>0</v>
      </c>
      <c r="O975" s="279">
        <f>RES_BA!S123</f>
        <v>0</v>
      </c>
      <c r="Q975" s="279">
        <f>RES_BA!T123</f>
        <v>0</v>
      </c>
      <c r="S975" s="279">
        <f>RES_BA!U123</f>
        <v>0</v>
      </c>
    </row>
    <row r="976" spans="3:19" s="277" customFormat="1" hidden="1" x14ac:dyDescent="0.3">
      <c r="C976" s="283" t="str">
        <f>RES_BA!D124</f>
        <v>Supplies Category 34</v>
      </c>
      <c r="M976" s="279">
        <f>RES_BA!R124</f>
        <v>0</v>
      </c>
      <c r="O976" s="279">
        <f>RES_BA!S124</f>
        <v>0</v>
      </c>
      <c r="Q976" s="279">
        <f>RES_BA!T124</f>
        <v>0</v>
      </c>
      <c r="S976" s="279">
        <f>RES_BA!U124</f>
        <v>0</v>
      </c>
    </row>
    <row r="977" spans="3:19" s="277" customFormat="1" hidden="1" x14ac:dyDescent="0.3">
      <c r="C977" s="283" t="str">
        <f>RES_BA!D125</f>
        <v>Supplies Category 35</v>
      </c>
      <c r="M977" s="279">
        <f>RES_BA!R125</f>
        <v>0</v>
      </c>
      <c r="O977" s="279">
        <f>RES_BA!S125</f>
        <v>0</v>
      </c>
      <c r="Q977" s="279">
        <f>RES_BA!T125</f>
        <v>0</v>
      </c>
      <c r="S977" s="279">
        <f>RES_BA!U125</f>
        <v>0</v>
      </c>
    </row>
    <row r="978" spans="3:19" hidden="1" x14ac:dyDescent="0.3"/>
    <row r="979" spans="3:19" hidden="1" x14ac:dyDescent="0.3">
      <c r="M979" s="40" t="str">
        <f>$D$862</f>
        <v>USD</v>
      </c>
      <c r="O979" s="40" t="str">
        <f>$D$862</f>
        <v>USD</v>
      </c>
      <c r="Q979" s="40" t="str">
        <f>$D$863</f>
        <v>GOZ</v>
      </c>
      <c r="S979" s="40" t="str">
        <f>$D$863</f>
        <v>GOZ</v>
      </c>
    </row>
    <row r="980" spans="3:19" hidden="1" x14ac:dyDescent="0.3">
      <c r="C980" s="89" t="str">
        <f>RES_BA!D130</f>
        <v>Equipment Category 1</v>
      </c>
      <c r="M980" s="40">
        <f>RES_BA!R130</f>
        <v>0</v>
      </c>
      <c r="O980" s="40">
        <f>RES_BA!S130</f>
        <v>0</v>
      </c>
      <c r="Q980" s="40">
        <f>RES_BA!T130</f>
        <v>0</v>
      </c>
      <c r="S980" s="40">
        <f>RES_BA!U130</f>
        <v>0</v>
      </c>
    </row>
    <row r="981" spans="3:19" hidden="1" x14ac:dyDescent="0.3">
      <c r="C981" s="89" t="str">
        <f>RES_BA!D131</f>
        <v>Equipment Category 2</v>
      </c>
      <c r="M981" s="40">
        <f>RES_BA!R131</f>
        <v>0</v>
      </c>
      <c r="O981" s="40">
        <f>RES_BA!S131</f>
        <v>0</v>
      </c>
      <c r="Q981" s="40">
        <f>RES_BA!T131</f>
        <v>0</v>
      </c>
      <c r="S981" s="40">
        <f>RES_BA!U131</f>
        <v>0</v>
      </c>
    </row>
    <row r="982" spans="3:19" hidden="1" x14ac:dyDescent="0.3">
      <c r="C982" s="89" t="str">
        <f>RES_BA!D132</f>
        <v>Equipment Category 3</v>
      </c>
      <c r="M982" s="40">
        <f>RES_BA!R132</f>
        <v>0</v>
      </c>
      <c r="O982" s="40">
        <f>RES_BA!S132</f>
        <v>0</v>
      </c>
      <c r="Q982" s="40">
        <f>RES_BA!T132</f>
        <v>0</v>
      </c>
      <c r="S982" s="40">
        <f>RES_BA!U132</f>
        <v>0</v>
      </c>
    </row>
    <row r="983" spans="3:19" hidden="1" x14ac:dyDescent="0.3">
      <c r="C983" s="89" t="str">
        <f>RES_BA!D133</f>
        <v>Equipment Category 4</v>
      </c>
      <c r="M983" s="40">
        <f>RES_BA!R133</f>
        <v>0</v>
      </c>
      <c r="O983" s="40">
        <f>RES_BA!S133</f>
        <v>0</v>
      </c>
      <c r="Q983" s="40">
        <f>RES_BA!T133</f>
        <v>0</v>
      </c>
      <c r="S983" s="40">
        <f>RES_BA!U133</f>
        <v>0</v>
      </c>
    </row>
    <row r="984" spans="3:19" hidden="1" x14ac:dyDescent="0.3">
      <c r="C984" s="89" t="str">
        <f>RES_BA!D134</f>
        <v>Equipment Category 5</v>
      </c>
      <c r="M984" s="40">
        <f>RES_BA!R134</f>
        <v>0</v>
      </c>
      <c r="O984" s="40">
        <f>RES_BA!S134</f>
        <v>0</v>
      </c>
      <c r="Q984" s="40">
        <f>RES_BA!T134</f>
        <v>0</v>
      </c>
      <c r="S984" s="40">
        <f>RES_BA!U134</f>
        <v>0</v>
      </c>
    </row>
    <row r="985" spans="3:19" hidden="1" x14ac:dyDescent="0.3">
      <c r="C985" s="89" t="str">
        <f>RES_BA!D135</f>
        <v>Equipment Category 6</v>
      </c>
      <c r="M985" s="40">
        <f>RES_BA!R135</f>
        <v>0</v>
      </c>
      <c r="O985" s="40">
        <f>RES_BA!S135</f>
        <v>0</v>
      </c>
      <c r="Q985" s="40">
        <f>RES_BA!T135</f>
        <v>0</v>
      </c>
      <c r="S985" s="40">
        <f>RES_BA!U135</f>
        <v>0</v>
      </c>
    </row>
    <row r="986" spans="3:19" s="277" customFormat="1" hidden="1" x14ac:dyDescent="0.3">
      <c r="C986" s="283" t="str">
        <f>RES_BA!D136</f>
        <v>Equipment Category 7</v>
      </c>
      <c r="M986" s="279">
        <f>RES_BA!R136</f>
        <v>0</v>
      </c>
      <c r="O986" s="279">
        <f>RES_BA!S136</f>
        <v>0</v>
      </c>
      <c r="Q986" s="279">
        <f>RES_BA!T136</f>
        <v>0</v>
      </c>
      <c r="S986" s="279">
        <f>RES_BA!U136</f>
        <v>0</v>
      </c>
    </row>
    <row r="987" spans="3:19" s="277" customFormat="1" hidden="1" x14ac:dyDescent="0.3">
      <c r="C987" s="283" t="str">
        <f>RES_BA!D137</f>
        <v>Equipment Category 8</v>
      </c>
      <c r="M987" s="279">
        <f>RES_BA!R137</f>
        <v>0</v>
      </c>
      <c r="O987" s="279">
        <f>RES_BA!S137</f>
        <v>0</v>
      </c>
      <c r="Q987" s="279">
        <f>RES_BA!T137</f>
        <v>0</v>
      </c>
      <c r="S987" s="279">
        <f>RES_BA!U137</f>
        <v>0</v>
      </c>
    </row>
    <row r="988" spans="3:19" s="277" customFormat="1" hidden="1" x14ac:dyDescent="0.3">
      <c r="C988" s="283" t="str">
        <f>RES_BA!D138</f>
        <v>Equipment Category 9</v>
      </c>
      <c r="M988" s="279">
        <f>RES_BA!R138</f>
        <v>0</v>
      </c>
      <c r="O988" s="279">
        <f>RES_BA!S138</f>
        <v>0</v>
      </c>
      <c r="Q988" s="279">
        <f>RES_BA!T138</f>
        <v>0</v>
      </c>
      <c r="S988" s="279">
        <f>RES_BA!U138</f>
        <v>0</v>
      </c>
    </row>
    <row r="989" spans="3:19" s="277" customFormat="1" hidden="1" x14ac:dyDescent="0.3">
      <c r="C989" s="283" t="str">
        <f>RES_BA!D139</f>
        <v>Equipment Category 10</v>
      </c>
      <c r="M989" s="279">
        <f>RES_BA!R139</f>
        <v>0</v>
      </c>
      <c r="O989" s="279">
        <f>RES_BA!S139</f>
        <v>0</v>
      </c>
      <c r="Q989" s="279">
        <f>RES_BA!T139</f>
        <v>0</v>
      </c>
      <c r="S989" s="279">
        <f>RES_BA!U139</f>
        <v>0</v>
      </c>
    </row>
    <row r="990" spans="3:19" s="277" customFormat="1" hidden="1" x14ac:dyDescent="0.3">
      <c r="C990" s="283" t="str">
        <f>RES_BA!D140</f>
        <v>Equipment Category 11</v>
      </c>
      <c r="M990" s="279">
        <f>RES_BA!R140</f>
        <v>0</v>
      </c>
      <c r="O990" s="279">
        <f>RES_BA!S140</f>
        <v>0</v>
      </c>
      <c r="Q990" s="279">
        <f>RES_BA!T140</f>
        <v>0</v>
      </c>
      <c r="S990" s="279">
        <f>RES_BA!U140</f>
        <v>0</v>
      </c>
    </row>
    <row r="991" spans="3:19" s="277" customFormat="1" hidden="1" x14ac:dyDescent="0.3">
      <c r="C991" s="283" t="str">
        <f>RES_BA!D141</f>
        <v>Equipment Category 12</v>
      </c>
      <c r="M991" s="279">
        <f>RES_BA!R141</f>
        <v>0</v>
      </c>
      <c r="O991" s="279">
        <f>RES_BA!S141</f>
        <v>0</v>
      </c>
      <c r="Q991" s="279">
        <f>RES_BA!T141</f>
        <v>0</v>
      </c>
      <c r="S991" s="279">
        <f>RES_BA!U141</f>
        <v>0</v>
      </c>
    </row>
    <row r="992" spans="3:19" s="277" customFormat="1" hidden="1" x14ac:dyDescent="0.3">
      <c r="C992" s="283" t="str">
        <f>RES_BA!D142</f>
        <v>Equipment Category 13</v>
      </c>
      <c r="M992" s="279">
        <f>RES_BA!R142</f>
        <v>0</v>
      </c>
      <c r="O992" s="279">
        <f>RES_BA!S142</f>
        <v>0</v>
      </c>
      <c r="Q992" s="279">
        <f>RES_BA!T142</f>
        <v>0</v>
      </c>
      <c r="S992" s="279">
        <f>RES_BA!U142</f>
        <v>0</v>
      </c>
    </row>
    <row r="993" spans="3:19" s="277" customFormat="1" hidden="1" x14ac:dyDescent="0.3">
      <c r="C993" s="283" t="str">
        <f>RES_BA!D143</f>
        <v>Equipment Category 14</v>
      </c>
      <c r="M993" s="279">
        <f>RES_BA!R143</f>
        <v>0</v>
      </c>
      <c r="O993" s="279">
        <f>RES_BA!S143</f>
        <v>0</v>
      </c>
      <c r="Q993" s="279">
        <f>RES_BA!T143</f>
        <v>0</v>
      </c>
      <c r="S993" s="279">
        <f>RES_BA!U143</f>
        <v>0</v>
      </c>
    </row>
    <row r="994" spans="3:19" s="277" customFormat="1" hidden="1" x14ac:dyDescent="0.3">
      <c r="C994" s="283" t="str">
        <f>RES_BA!D144</f>
        <v>Equipment Category 15</v>
      </c>
      <c r="M994" s="279">
        <f>RES_BA!R144</f>
        <v>0</v>
      </c>
      <c r="O994" s="279">
        <f>RES_BA!S144</f>
        <v>0</v>
      </c>
      <c r="Q994" s="279">
        <f>RES_BA!T144</f>
        <v>0</v>
      </c>
      <c r="S994" s="279">
        <f>RES_BA!U144</f>
        <v>0</v>
      </c>
    </row>
    <row r="995" spans="3:19" s="277" customFormat="1" hidden="1" x14ac:dyDescent="0.3">
      <c r="C995" s="283" t="str">
        <f>RES_BA!D145</f>
        <v>Equipment Category 16</v>
      </c>
      <c r="M995" s="279">
        <f>RES_BA!R145</f>
        <v>0</v>
      </c>
      <c r="O995" s="279">
        <f>RES_BA!S145</f>
        <v>0</v>
      </c>
      <c r="Q995" s="279">
        <f>RES_BA!T145</f>
        <v>0</v>
      </c>
      <c r="S995" s="279">
        <f>RES_BA!U145</f>
        <v>0</v>
      </c>
    </row>
    <row r="996" spans="3:19" s="277" customFormat="1" hidden="1" x14ac:dyDescent="0.3">
      <c r="C996" s="283" t="str">
        <f>RES_BA!D146</f>
        <v>Equipment Category 17</v>
      </c>
      <c r="M996" s="279">
        <f>RES_BA!R146</f>
        <v>0</v>
      </c>
      <c r="O996" s="279">
        <f>RES_BA!S146</f>
        <v>0</v>
      </c>
      <c r="Q996" s="279">
        <f>RES_BA!T146</f>
        <v>0</v>
      </c>
      <c r="S996" s="279">
        <f>RES_BA!U146</f>
        <v>0</v>
      </c>
    </row>
    <row r="997" spans="3:19" s="277" customFormat="1" hidden="1" x14ac:dyDescent="0.3">
      <c r="C997" s="283" t="str">
        <f>RES_BA!D147</f>
        <v>Equipment Category 18</v>
      </c>
      <c r="M997" s="279">
        <f>RES_BA!R147</f>
        <v>0</v>
      </c>
      <c r="O997" s="279">
        <f>RES_BA!S147</f>
        <v>0</v>
      </c>
      <c r="Q997" s="279">
        <f>RES_BA!T147</f>
        <v>0</v>
      </c>
      <c r="S997" s="279">
        <f>RES_BA!U147</f>
        <v>0</v>
      </c>
    </row>
    <row r="998" spans="3:19" s="277" customFormat="1" hidden="1" x14ac:dyDescent="0.3">
      <c r="C998" s="283" t="str">
        <f>RES_BA!D148</f>
        <v>Equipment Category 19</v>
      </c>
      <c r="M998" s="279">
        <f>RES_BA!R148</f>
        <v>0</v>
      </c>
      <c r="O998" s="279">
        <f>RES_BA!S148</f>
        <v>0</v>
      </c>
      <c r="Q998" s="279">
        <f>RES_BA!T148</f>
        <v>0</v>
      </c>
      <c r="S998" s="279">
        <f>RES_BA!U148</f>
        <v>0</v>
      </c>
    </row>
    <row r="999" spans="3:19" s="277" customFormat="1" hidden="1" x14ac:dyDescent="0.3">
      <c r="C999" s="283" t="str">
        <f>RES_BA!D149</f>
        <v>Equipment Category 20</v>
      </c>
      <c r="M999" s="279">
        <f>RES_BA!R149</f>
        <v>0</v>
      </c>
      <c r="O999" s="279">
        <f>RES_BA!S149</f>
        <v>0</v>
      </c>
      <c r="Q999" s="279">
        <f>RES_BA!T149</f>
        <v>0</v>
      </c>
      <c r="S999" s="279">
        <f>RES_BA!U149</f>
        <v>0</v>
      </c>
    </row>
    <row r="1000" spans="3:19" s="277" customFormat="1" hidden="1" x14ac:dyDescent="0.3">
      <c r="C1000" s="283" t="str">
        <f>RES_BA!D150</f>
        <v>Equipment Category 21</v>
      </c>
      <c r="M1000" s="279">
        <f>RES_BA!R150</f>
        <v>0</v>
      </c>
      <c r="O1000" s="279">
        <f>RES_BA!S150</f>
        <v>0</v>
      </c>
      <c r="Q1000" s="279">
        <f>RES_BA!T150</f>
        <v>0</v>
      </c>
      <c r="S1000" s="279">
        <f>RES_BA!U150</f>
        <v>0</v>
      </c>
    </row>
    <row r="1001" spans="3:19" s="277" customFormat="1" hidden="1" x14ac:dyDescent="0.3">
      <c r="C1001" s="283" t="str">
        <f>RES_BA!D151</f>
        <v>Equipment Category 22</v>
      </c>
      <c r="M1001" s="279">
        <f>RES_BA!R151</f>
        <v>0</v>
      </c>
      <c r="O1001" s="279">
        <f>RES_BA!S151</f>
        <v>0</v>
      </c>
      <c r="Q1001" s="279">
        <f>RES_BA!T151</f>
        <v>0</v>
      </c>
      <c r="S1001" s="279">
        <f>RES_BA!U151</f>
        <v>0</v>
      </c>
    </row>
    <row r="1002" spans="3:19" s="277" customFormat="1" hidden="1" x14ac:dyDescent="0.3">
      <c r="C1002" s="283" t="str">
        <f>RES_BA!D152</f>
        <v>Equipment Category 23</v>
      </c>
      <c r="M1002" s="279">
        <f>RES_BA!R152</f>
        <v>0</v>
      </c>
      <c r="O1002" s="279">
        <f>RES_BA!S152</f>
        <v>0</v>
      </c>
      <c r="Q1002" s="279">
        <f>RES_BA!T152</f>
        <v>0</v>
      </c>
      <c r="S1002" s="279">
        <f>RES_BA!U152</f>
        <v>0</v>
      </c>
    </row>
    <row r="1003" spans="3:19" s="277" customFormat="1" hidden="1" x14ac:dyDescent="0.3">
      <c r="C1003" s="283" t="str">
        <f>RES_BA!D153</f>
        <v>Equipment Category 24</v>
      </c>
      <c r="M1003" s="279">
        <f>RES_BA!R153</f>
        <v>0</v>
      </c>
      <c r="O1003" s="279">
        <f>RES_BA!S153</f>
        <v>0</v>
      </c>
      <c r="Q1003" s="279">
        <f>RES_BA!T153</f>
        <v>0</v>
      </c>
      <c r="S1003" s="279">
        <f>RES_BA!U153</f>
        <v>0</v>
      </c>
    </row>
    <row r="1004" spans="3:19" s="277" customFormat="1" hidden="1" x14ac:dyDescent="0.3">
      <c r="C1004" s="283" t="str">
        <f>RES_BA!D154</f>
        <v>Equipment Category 25</v>
      </c>
      <c r="M1004" s="279">
        <f>RES_BA!R154</f>
        <v>0</v>
      </c>
      <c r="O1004" s="279">
        <f>RES_BA!S154</f>
        <v>0</v>
      </c>
      <c r="Q1004" s="279">
        <f>RES_BA!T154</f>
        <v>0</v>
      </c>
      <c r="S1004" s="279">
        <f>RES_BA!U154</f>
        <v>0</v>
      </c>
    </row>
    <row r="1005" spans="3:19" s="277" customFormat="1" hidden="1" x14ac:dyDescent="0.3">
      <c r="C1005" s="283" t="str">
        <f>RES_BA!D155</f>
        <v>Equipment Category 26</v>
      </c>
      <c r="M1005" s="279">
        <f>RES_BA!R155</f>
        <v>0</v>
      </c>
      <c r="O1005" s="279">
        <f>RES_BA!S155</f>
        <v>0</v>
      </c>
      <c r="Q1005" s="279">
        <f>RES_BA!T155</f>
        <v>0</v>
      </c>
      <c r="S1005" s="279">
        <f>RES_BA!U155</f>
        <v>0</v>
      </c>
    </row>
    <row r="1006" spans="3:19" s="277" customFormat="1" hidden="1" x14ac:dyDescent="0.3">
      <c r="C1006" s="283" t="str">
        <f>RES_BA!D156</f>
        <v>Equipment Category 27</v>
      </c>
      <c r="M1006" s="279">
        <f>RES_BA!R156</f>
        <v>0</v>
      </c>
      <c r="O1006" s="279">
        <f>RES_BA!S156</f>
        <v>0</v>
      </c>
      <c r="Q1006" s="279">
        <f>RES_BA!T156</f>
        <v>0</v>
      </c>
      <c r="S1006" s="279">
        <f>RES_BA!U156</f>
        <v>0</v>
      </c>
    </row>
    <row r="1007" spans="3:19" s="277" customFormat="1" hidden="1" x14ac:dyDescent="0.3">
      <c r="C1007" s="283" t="str">
        <f>RES_BA!D157</f>
        <v>Equipment Category 28</v>
      </c>
      <c r="M1007" s="279">
        <f>RES_BA!R157</f>
        <v>0</v>
      </c>
      <c r="O1007" s="279">
        <f>RES_BA!S157</f>
        <v>0</v>
      </c>
      <c r="Q1007" s="279">
        <f>RES_BA!T157</f>
        <v>0</v>
      </c>
      <c r="S1007" s="279">
        <f>RES_BA!U157</f>
        <v>0</v>
      </c>
    </row>
    <row r="1008" spans="3:19" s="277" customFormat="1" hidden="1" x14ac:dyDescent="0.3">
      <c r="C1008" s="283" t="str">
        <f>RES_BA!D158</f>
        <v>Equipment Category 29</v>
      </c>
      <c r="M1008" s="279">
        <f>RES_BA!R158</f>
        <v>0</v>
      </c>
      <c r="O1008" s="279">
        <f>RES_BA!S158</f>
        <v>0</v>
      </c>
      <c r="Q1008" s="279">
        <f>RES_BA!T158</f>
        <v>0</v>
      </c>
      <c r="S1008" s="279">
        <f>RES_BA!U158</f>
        <v>0</v>
      </c>
    </row>
    <row r="1009" spans="3:19" s="277" customFormat="1" hidden="1" x14ac:dyDescent="0.3">
      <c r="C1009" s="283" t="str">
        <f>RES_BA!D159</f>
        <v>Equipment Category 30</v>
      </c>
      <c r="M1009" s="279">
        <f>RES_BA!R159</f>
        <v>0</v>
      </c>
      <c r="O1009" s="279">
        <f>RES_BA!S159</f>
        <v>0</v>
      </c>
      <c r="Q1009" s="279">
        <f>RES_BA!T159</f>
        <v>0</v>
      </c>
      <c r="S1009" s="279">
        <f>RES_BA!U159</f>
        <v>0</v>
      </c>
    </row>
    <row r="1010" spans="3:19" s="277" customFormat="1" hidden="1" x14ac:dyDescent="0.3">
      <c r="C1010" s="283" t="str">
        <f>RES_BA!D160</f>
        <v>Equipment Category 31</v>
      </c>
      <c r="M1010" s="279">
        <f>RES_BA!R160</f>
        <v>0</v>
      </c>
      <c r="O1010" s="279">
        <f>RES_BA!S160</f>
        <v>0</v>
      </c>
      <c r="Q1010" s="279">
        <f>RES_BA!T160</f>
        <v>0</v>
      </c>
      <c r="S1010" s="279">
        <f>RES_BA!U160</f>
        <v>0</v>
      </c>
    </row>
    <row r="1011" spans="3:19" s="277" customFormat="1" hidden="1" x14ac:dyDescent="0.3">
      <c r="C1011" s="283" t="str">
        <f>RES_BA!D161</f>
        <v>Equipment Category 32</v>
      </c>
      <c r="M1011" s="279">
        <f>RES_BA!R161</f>
        <v>0</v>
      </c>
      <c r="O1011" s="279">
        <f>RES_BA!S161</f>
        <v>0</v>
      </c>
      <c r="Q1011" s="279">
        <f>RES_BA!T161</f>
        <v>0</v>
      </c>
      <c r="S1011" s="279">
        <f>RES_BA!U161</f>
        <v>0</v>
      </c>
    </row>
    <row r="1012" spans="3:19" s="277" customFormat="1" hidden="1" x14ac:dyDescent="0.3">
      <c r="C1012" s="283" t="str">
        <f>RES_BA!D162</f>
        <v>Equipment Category 33</v>
      </c>
      <c r="M1012" s="279">
        <f>RES_BA!R162</f>
        <v>0</v>
      </c>
      <c r="O1012" s="279">
        <f>RES_BA!S162</f>
        <v>0</v>
      </c>
      <c r="Q1012" s="279">
        <f>RES_BA!T162</f>
        <v>0</v>
      </c>
      <c r="S1012" s="279">
        <f>RES_BA!U162</f>
        <v>0</v>
      </c>
    </row>
    <row r="1013" spans="3:19" s="277" customFormat="1" hidden="1" x14ac:dyDescent="0.3">
      <c r="C1013" s="283" t="str">
        <f>RES_BA!D163</f>
        <v>Equipment Category 34</v>
      </c>
      <c r="M1013" s="279">
        <f>RES_BA!R163</f>
        <v>0</v>
      </c>
      <c r="O1013" s="279">
        <f>RES_BA!S163</f>
        <v>0</v>
      </c>
      <c r="Q1013" s="279">
        <f>RES_BA!T163</f>
        <v>0</v>
      </c>
      <c r="S1013" s="279">
        <f>RES_BA!U163</f>
        <v>0</v>
      </c>
    </row>
    <row r="1014" spans="3:19" s="277" customFormat="1" hidden="1" x14ac:dyDescent="0.3">
      <c r="C1014" s="283" t="str">
        <f>RES_BA!D164</f>
        <v>Equipment Category 35</v>
      </c>
      <c r="M1014" s="279">
        <f>RES_BA!R164</f>
        <v>0</v>
      </c>
      <c r="O1014" s="279">
        <f>RES_BA!S164</f>
        <v>0</v>
      </c>
      <c r="Q1014" s="279">
        <f>RES_BA!T164</f>
        <v>0</v>
      </c>
      <c r="S1014" s="279">
        <f>RES_BA!U164</f>
        <v>0</v>
      </c>
    </row>
    <row r="1015" spans="3:19" hidden="1" x14ac:dyDescent="0.3"/>
    <row r="1016" spans="3:19" hidden="1" x14ac:dyDescent="0.3"/>
    <row r="1017" spans="3:19" hidden="1" x14ac:dyDescent="0.3">
      <c r="M1017" s="40" t="str">
        <f>$D$862</f>
        <v>USD</v>
      </c>
      <c r="O1017" s="40" t="str">
        <f>$D$862</f>
        <v>USD</v>
      </c>
      <c r="Q1017" s="40" t="str">
        <f>$D$863</f>
        <v>GOZ</v>
      </c>
      <c r="S1017" s="40" t="str">
        <f>$D$863</f>
        <v>GOZ</v>
      </c>
    </row>
    <row r="1018" spans="3:19" hidden="1" x14ac:dyDescent="0.3">
      <c r="C1018" s="89" t="str">
        <f>RES_BA!D169</f>
        <v>Other Direct Costs Category 1</v>
      </c>
      <c r="M1018" s="40">
        <f>RES_BA!R169</f>
        <v>0</v>
      </c>
      <c r="O1018" s="40">
        <f>RES_BA!S169</f>
        <v>0</v>
      </c>
      <c r="Q1018" s="40">
        <f>RES_BA!T169</f>
        <v>0</v>
      </c>
      <c r="S1018" s="40">
        <f>RES_BA!U169</f>
        <v>0</v>
      </c>
    </row>
    <row r="1019" spans="3:19" hidden="1" x14ac:dyDescent="0.3">
      <c r="C1019" s="89" t="str">
        <f>RES_BA!D170</f>
        <v>Other Direct Costs Category 2</v>
      </c>
      <c r="M1019" s="40">
        <f>RES_BA!R170</f>
        <v>0</v>
      </c>
      <c r="O1019" s="40">
        <f>RES_BA!S170</f>
        <v>0</v>
      </c>
      <c r="Q1019" s="40">
        <f>RES_BA!T170</f>
        <v>0</v>
      </c>
      <c r="S1019" s="40">
        <f>RES_BA!U170</f>
        <v>0</v>
      </c>
    </row>
    <row r="1020" spans="3:19" hidden="1" x14ac:dyDescent="0.3">
      <c r="C1020" s="89" t="str">
        <f>RES_BA!D171</f>
        <v>Other Direct Costs Category 3</v>
      </c>
      <c r="M1020" s="40">
        <f>RES_BA!R171</f>
        <v>0</v>
      </c>
      <c r="O1020" s="40">
        <f>RES_BA!S171</f>
        <v>0</v>
      </c>
      <c r="Q1020" s="40">
        <f>RES_BA!T171</f>
        <v>0</v>
      </c>
      <c r="S1020" s="40">
        <f>RES_BA!U171</f>
        <v>0</v>
      </c>
    </row>
    <row r="1021" spans="3:19" s="277" customFormat="1" hidden="1" x14ac:dyDescent="0.3">
      <c r="C1021" s="283" t="str">
        <f>RES_BA!D172</f>
        <v>Other Direct Costs Category 4</v>
      </c>
      <c r="M1021" s="279">
        <f>RES_BA!R172</f>
        <v>0</v>
      </c>
      <c r="O1021" s="279">
        <f>RES_BA!S172</f>
        <v>0</v>
      </c>
      <c r="Q1021" s="279">
        <f>RES_BA!T172</f>
        <v>0</v>
      </c>
      <c r="S1021" s="279">
        <f>RES_BA!U172</f>
        <v>0</v>
      </c>
    </row>
    <row r="1022" spans="3:19" s="277" customFormat="1" hidden="1" x14ac:dyDescent="0.3">
      <c r="C1022" s="283" t="str">
        <f>RES_BA!D173</f>
        <v>Other Direct Costs Category 5</v>
      </c>
      <c r="M1022" s="279">
        <f>RES_BA!R173</f>
        <v>0</v>
      </c>
      <c r="O1022" s="279">
        <f>RES_BA!S173</f>
        <v>0</v>
      </c>
      <c r="Q1022" s="279">
        <f>RES_BA!T173</f>
        <v>0</v>
      </c>
      <c r="S1022" s="279">
        <f>RES_BA!U173</f>
        <v>0</v>
      </c>
    </row>
    <row r="1023" spans="3:19" s="277" customFormat="1" hidden="1" x14ac:dyDescent="0.3">
      <c r="C1023" s="283" t="str">
        <f>RES_BA!D174</f>
        <v>Other Direct Costs Category 6</v>
      </c>
      <c r="M1023" s="279">
        <f>RES_BA!R174</f>
        <v>0</v>
      </c>
      <c r="O1023" s="279">
        <f>RES_BA!S174</f>
        <v>0</v>
      </c>
      <c r="Q1023" s="279">
        <f>RES_BA!T174</f>
        <v>0</v>
      </c>
      <c r="S1023" s="279">
        <f>RES_BA!U174</f>
        <v>0</v>
      </c>
    </row>
    <row r="1024" spans="3:19" s="277" customFormat="1" hidden="1" x14ac:dyDescent="0.3">
      <c r="C1024" s="283" t="str">
        <f>RES_BA!D175</f>
        <v>Other Direct Costs Category 7</v>
      </c>
      <c r="M1024" s="279">
        <f>RES_BA!R175</f>
        <v>0</v>
      </c>
      <c r="O1024" s="279">
        <f>RES_BA!S175</f>
        <v>0</v>
      </c>
      <c r="Q1024" s="279">
        <f>RES_BA!T175</f>
        <v>0</v>
      </c>
      <c r="S1024" s="279">
        <f>RES_BA!U175</f>
        <v>0</v>
      </c>
    </row>
    <row r="1025" spans="3:19" s="277" customFormat="1" hidden="1" x14ac:dyDescent="0.3">
      <c r="C1025" s="283" t="str">
        <f>RES_BA!D176</f>
        <v>Other Direct Costs Category 8</v>
      </c>
      <c r="M1025" s="279">
        <f>RES_BA!R176</f>
        <v>0</v>
      </c>
      <c r="O1025" s="279">
        <f>RES_BA!S176</f>
        <v>0</v>
      </c>
      <c r="Q1025" s="279">
        <f>RES_BA!T176</f>
        <v>0</v>
      </c>
      <c r="S1025" s="279">
        <f>RES_BA!U176</f>
        <v>0</v>
      </c>
    </row>
    <row r="1026" spans="3:19" s="277" customFormat="1" hidden="1" x14ac:dyDescent="0.3">
      <c r="C1026" s="283" t="str">
        <f>RES_BA!D177</f>
        <v>Other Direct Costs Category 9</v>
      </c>
      <c r="M1026" s="279">
        <f>RES_BA!R177</f>
        <v>0</v>
      </c>
      <c r="O1026" s="279">
        <f>RES_BA!S177</f>
        <v>0</v>
      </c>
      <c r="Q1026" s="279">
        <f>RES_BA!T177</f>
        <v>0</v>
      </c>
      <c r="S1026" s="279">
        <f>RES_BA!U177</f>
        <v>0</v>
      </c>
    </row>
    <row r="1027" spans="3:19" s="277" customFormat="1" hidden="1" x14ac:dyDescent="0.3">
      <c r="C1027" s="283" t="str">
        <f>RES_BA!D178</f>
        <v>Other Direct Costs Category 10</v>
      </c>
      <c r="M1027" s="279">
        <f>RES_BA!R178</f>
        <v>0</v>
      </c>
      <c r="O1027" s="279">
        <f>RES_BA!S178</f>
        <v>0</v>
      </c>
      <c r="Q1027" s="279">
        <f>RES_BA!T178</f>
        <v>0</v>
      </c>
      <c r="S1027" s="279">
        <f>RES_BA!U178</f>
        <v>0</v>
      </c>
    </row>
    <row r="1028" spans="3:19" s="277" customFormat="1" hidden="1" x14ac:dyDescent="0.3">
      <c r="C1028" s="283" t="str">
        <f>RES_BA!D179</f>
        <v>Other Direct Costs Category 11</v>
      </c>
      <c r="M1028" s="279">
        <f>RES_BA!R179</f>
        <v>0</v>
      </c>
      <c r="O1028" s="279">
        <f>RES_BA!S179</f>
        <v>0</v>
      </c>
      <c r="Q1028" s="279">
        <f>RES_BA!T179</f>
        <v>0</v>
      </c>
      <c r="S1028" s="279">
        <f>RES_BA!U179</f>
        <v>0</v>
      </c>
    </row>
    <row r="1029" spans="3:19" s="277" customFormat="1" hidden="1" x14ac:dyDescent="0.3">
      <c r="C1029" s="283" t="str">
        <f>RES_BA!D180</f>
        <v>Other Direct Costs Category 12</v>
      </c>
      <c r="M1029" s="279">
        <f>RES_BA!R180</f>
        <v>0</v>
      </c>
      <c r="O1029" s="279">
        <f>RES_BA!S180</f>
        <v>0</v>
      </c>
      <c r="Q1029" s="279">
        <f>RES_BA!T180</f>
        <v>0</v>
      </c>
      <c r="S1029" s="279">
        <f>RES_BA!U180</f>
        <v>0</v>
      </c>
    </row>
    <row r="1030" spans="3:19" s="277" customFormat="1" hidden="1" x14ac:dyDescent="0.3">
      <c r="C1030" s="283" t="str">
        <f>RES_BA!D181</f>
        <v>Other Direct Costs Category 13</v>
      </c>
      <c r="M1030" s="279">
        <f>RES_BA!R181</f>
        <v>0</v>
      </c>
      <c r="O1030" s="279">
        <f>RES_BA!S181</f>
        <v>0</v>
      </c>
      <c r="Q1030" s="279">
        <f>RES_BA!T181</f>
        <v>0</v>
      </c>
      <c r="S1030" s="279">
        <f>RES_BA!U181</f>
        <v>0</v>
      </c>
    </row>
    <row r="1031" spans="3:19" s="277" customFormat="1" hidden="1" x14ac:dyDescent="0.3">
      <c r="C1031" s="283" t="str">
        <f>RES_BA!D182</f>
        <v>Other Direct Costs Category 14</v>
      </c>
      <c r="M1031" s="279">
        <f>RES_BA!R182</f>
        <v>0</v>
      </c>
      <c r="O1031" s="279">
        <f>RES_BA!S182</f>
        <v>0</v>
      </c>
      <c r="Q1031" s="279">
        <f>RES_BA!T182</f>
        <v>0</v>
      </c>
      <c r="S1031" s="279">
        <f>RES_BA!U182</f>
        <v>0</v>
      </c>
    </row>
    <row r="1032" spans="3:19" s="277" customFormat="1" hidden="1" x14ac:dyDescent="0.3">
      <c r="C1032" s="283" t="str">
        <f>RES_BA!D183</f>
        <v>Other Direct Costs Category 15</v>
      </c>
      <c r="M1032" s="279">
        <f>RES_BA!R183</f>
        <v>0</v>
      </c>
      <c r="O1032" s="279">
        <f>RES_BA!S183</f>
        <v>0</v>
      </c>
      <c r="Q1032" s="279">
        <f>RES_BA!T183</f>
        <v>0</v>
      </c>
      <c r="S1032" s="279">
        <f>RES_BA!U183</f>
        <v>0</v>
      </c>
    </row>
    <row r="1033" spans="3:19" s="277" customFormat="1" hidden="1" x14ac:dyDescent="0.3">
      <c r="C1033" s="283" t="str">
        <f>RES_BA!D184</f>
        <v>Other Direct Costs Category 16</v>
      </c>
      <c r="M1033" s="279">
        <f>RES_BA!R184</f>
        <v>0</v>
      </c>
      <c r="O1033" s="279">
        <f>RES_BA!S184</f>
        <v>0</v>
      </c>
      <c r="Q1033" s="279">
        <f>RES_BA!T184</f>
        <v>0</v>
      </c>
      <c r="S1033" s="279">
        <f>RES_BA!U184</f>
        <v>0</v>
      </c>
    </row>
    <row r="1034" spans="3:19" s="277" customFormat="1" hidden="1" x14ac:dyDescent="0.3">
      <c r="C1034" s="283" t="str">
        <f>RES_BA!D185</f>
        <v>Other Direct Costs Category 17</v>
      </c>
      <c r="M1034" s="279">
        <f>RES_BA!R185</f>
        <v>0</v>
      </c>
      <c r="O1034" s="279">
        <f>RES_BA!S185</f>
        <v>0</v>
      </c>
      <c r="Q1034" s="279">
        <f>RES_BA!T185</f>
        <v>0</v>
      </c>
      <c r="S1034" s="279">
        <f>RES_BA!U185</f>
        <v>0</v>
      </c>
    </row>
    <row r="1035" spans="3:19" s="277" customFormat="1" hidden="1" x14ac:dyDescent="0.3">
      <c r="C1035" s="283" t="str">
        <f>RES_BA!D186</f>
        <v>Other Direct Costs Category 18</v>
      </c>
      <c r="M1035" s="279">
        <f>RES_BA!R186</f>
        <v>0</v>
      </c>
      <c r="O1035" s="279">
        <f>RES_BA!S186</f>
        <v>0</v>
      </c>
      <c r="Q1035" s="279">
        <f>RES_BA!T186</f>
        <v>0</v>
      </c>
      <c r="S1035" s="279">
        <f>RES_BA!U186</f>
        <v>0</v>
      </c>
    </row>
    <row r="1036" spans="3:19" s="277" customFormat="1" hidden="1" x14ac:dyDescent="0.3">
      <c r="C1036" s="283" t="str">
        <f>RES_BA!D187</f>
        <v>Other Direct Costs Category 19</v>
      </c>
      <c r="M1036" s="279">
        <f>RES_BA!R187</f>
        <v>0</v>
      </c>
      <c r="O1036" s="279">
        <f>RES_BA!S187</f>
        <v>0</v>
      </c>
      <c r="Q1036" s="279">
        <f>RES_BA!T187</f>
        <v>0</v>
      </c>
      <c r="S1036" s="279">
        <f>RES_BA!U187</f>
        <v>0</v>
      </c>
    </row>
    <row r="1037" spans="3:19" s="277" customFormat="1" hidden="1" x14ac:dyDescent="0.3">
      <c r="C1037" s="283" t="str">
        <f>RES_BA!D188</f>
        <v>Other Direct Costs Category 20</v>
      </c>
      <c r="M1037" s="279">
        <f>RES_BA!R188</f>
        <v>0</v>
      </c>
      <c r="O1037" s="279">
        <f>RES_BA!S188</f>
        <v>0</v>
      </c>
      <c r="Q1037" s="279">
        <f>RES_BA!T188</f>
        <v>0</v>
      </c>
      <c r="S1037" s="279">
        <f>RES_BA!U188</f>
        <v>0</v>
      </c>
    </row>
    <row r="1038" spans="3:19" s="277" customFormat="1" hidden="1" x14ac:dyDescent="0.3">
      <c r="C1038" s="283" t="str">
        <f>RES_BA!D189</f>
        <v>Other Direct Costs Category 21</v>
      </c>
      <c r="M1038" s="279">
        <f>RES_BA!R189</f>
        <v>0</v>
      </c>
      <c r="O1038" s="279">
        <f>RES_BA!S189</f>
        <v>0</v>
      </c>
      <c r="Q1038" s="279">
        <f>RES_BA!T189</f>
        <v>0</v>
      </c>
      <c r="S1038" s="279">
        <f>RES_BA!U189</f>
        <v>0</v>
      </c>
    </row>
    <row r="1039" spans="3:19" s="277" customFormat="1" hidden="1" x14ac:dyDescent="0.3">
      <c r="C1039" s="283" t="str">
        <f>RES_BA!D190</f>
        <v>Other Direct Costs Category 22</v>
      </c>
      <c r="M1039" s="279">
        <f>RES_BA!R190</f>
        <v>0</v>
      </c>
      <c r="O1039" s="279">
        <f>RES_BA!S190</f>
        <v>0</v>
      </c>
      <c r="Q1039" s="279">
        <f>RES_BA!T190</f>
        <v>0</v>
      </c>
      <c r="S1039" s="279">
        <f>RES_BA!U190</f>
        <v>0</v>
      </c>
    </row>
    <row r="1040" spans="3:19" s="277" customFormat="1" hidden="1" x14ac:dyDescent="0.3">
      <c r="C1040" s="283" t="str">
        <f>RES_BA!D191</f>
        <v>Other Direct Costs Category 23</v>
      </c>
      <c r="M1040" s="279">
        <f>RES_BA!R191</f>
        <v>0</v>
      </c>
      <c r="O1040" s="279">
        <f>RES_BA!S191</f>
        <v>0</v>
      </c>
      <c r="Q1040" s="279">
        <f>RES_BA!T191</f>
        <v>0</v>
      </c>
      <c r="S1040" s="279">
        <f>RES_BA!U191</f>
        <v>0</v>
      </c>
    </row>
    <row r="1041" spans="2:19" s="277" customFormat="1" hidden="1" x14ac:dyDescent="0.3">
      <c r="C1041" s="283" t="str">
        <f>RES_BA!D192</f>
        <v>Other Direct Costs Category 24</v>
      </c>
      <c r="M1041" s="279">
        <f>RES_BA!R192</f>
        <v>0</v>
      </c>
      <c r="O1041" s="279">
        <f>RES_BA!S192</f>
        <v>0</v>
      </c>
      <c r="Q1041" s="279">
        <f>RES_BA!T192</f>
        <v>0</v>
      </c>
      <c r="S1041" s="279">
        <f>RES_BA!U192</f>
        <v>0</v>
      </c>
    </row>
    <row r="1042" spans="2:19" s="277" customFormat="1" hidden="1" x14ac:dyDescent="0.3">
      <c r="C1042" s="283" t="str">
        <f>RES_BA!D193</f>
        <v>Other Direct Costs Category 25</v>
      </c>
      <c r="M1042" s="279">
        <f>RES_BA!R193</f>
        <v>0</v>
      </c>
      <c r="O1042" s="279">
        <f>RES_BA!S193</f>
        <v>0</v>
      </c>
      <c r="Q1042" s="279">
        <f>RES_BA!T193</f>
        <v>0</v>
      </c>
      <c r="S1042" s="279">
        <f>RES_BA!U193</f>
        <v>0</v>
      </c>
    </row>
    <row r="1043" spans="2:19" s="277" customFormat="1" hidden="1" x14ac:dyDescent="0.3">
      <c r="C1043" s="283" t="str">
        <f>RES_BA!D194</f>
        <v>Other Direct Costs Category 26</v>
      </c>
      <c r="M1043" s="279">
        <f>RES_BA!R194</f>
        <v>0</v>
      </c>
      <c r="O1043" s="279">
        <f>RES_BA!S194</f>
        <v>0</v>
      </c>
      <c r="Q1043" s="279">
        <f>RES_BA!T194</f>
        <v>0</v>
      </c>
      <c r="S1043" s="279">
        <f>RES_BA!U194</f>
        <v>0</v>
      </c>
    </row>
    <row r="1044" spans="2:19" s="277" customFormat="1" hidden="1" x14ac:dyDescent="0.3">
      <c r="C1044" s="283" t="str">
        <f>RES_BA!D195</f>
        <v>Other Direct Costs Category 27</v>
      </c>
      <c r="M1044" s="279">
        <f>RES_BA!R195</f>
        <v>0</v>
      </c>
      <c r="O1044" s="279">
        <f>RES_BA!S195</f>
        <v>0</v>
      </c>
      <c r="Q1044" s="279">
        <f>RES_BA!T195</f>
        <v>0</v>
      </c>
      <c r="S1044" s="279">
        <f>RES_BA!U195</f>
        <v>0</v>
      </c>
    </row>
    <row r="1045" spans="2:19" s="277" customFormat="1" hidden="1" x14ac:dyDescent="0.3">
      <c r="C1045" s="283" t="str">
        <f>RES_BA!D196</f>
        <v>Other Direct Costs Category 28</v>
      </c>
      <c r="M1045" s="279">
        <f>RES_BA!R196</f>
        <v>0</v>
      </c>
      <c r="O1045" s="279">
        <f>RES_BA!S196</f>
        <v>0</v>
      </c>
      <c r="Q1045" s="279">
        <f>RES_BA!T196</f>
        <v>0</v>
      </c>
      <c r="S1045" s="279">
        <f>RES_BA!U196</f>
        <v>0</v>
      </c>
    </row>
    <row r="1046" spans="2:19" s="277" customFormat="1" hidden="1" x14ac:dyDescent="0.3">
      <c r="C1046" s="283" t="str">
        <f>RES_BA!D197</f>
        <v>Other Direct Costs Category 29</v>
      </c>
      <c r="M1046" s="279">
        <f>RES_BA!R197</f>
        <v>0</v>
      </c>
      <c r="O1046" s="279">
        <f>RES_BA!S197</f>
        <v>0</v>
      </c>
      <c r="Q1046" s="279">
        <f>RES_BA!T197</f>
        <v>0</v>
      </c>
      <c r="S1046" s="279">
        <f>RES_BA!U197</f>
        <v>0</v>
      </c>
    </row>
    <row r="1047" spans="2:19" s="277" customFormat="1" hidden="1" x14ac:dyDescent="0.3">
      <c r="C1047" s="283" t="str">
        <f>RES_BA!D198</f>
        <v>Other Direct Costs Category 30</v>
      </c>
      <c r="M1047" s="279">
        <f>RES_BA!R198</f>
        <v>0</v>
      </c>
      <c r="O1047" s="279">
        <f>RES_BA!S198</f>
        <v>0</v>
      </c>
      <c r="Q1047" s="279">
        <f>RES_BA!T198</f>
        <v>0</v>
      </c>
      <c r="S1047" s="279">
        <f>RES_BA!U198</f>
        <v>0</v>
      </c>
    </row>
    <row r="1048" spans="2:19" s="277" customFormat="1" hidden="1" x14ac:dyDescent="0.3">
      <c r="C1048" s="283" t="str">
        <f>RES_BA!D199</f>
        <v>Other Direct Costs Category 31</v>
      </c>
      <c r="M1048" s="279">
        <f>RES_BA!R199</f>
        <v>0</v>
      </c>
      <c r="O1048" s="279">
        <f>RES_BA!S199</f>
        <v>0</v>
      </c>
      <c r="Q1048" s="279">
        <f>RES_BA!T199</f>
        <v>0</v>
      </c>
      <c r="S1048" s="279">
        <f>RES_BA!U199</f>
        <v>0</v>
      </c>
    </row>
    <row r="1049" spans="2:19" s="277" customFormat="1" hidden="1" x14ac:dyDescent="0.3">
      <c r="C1049" s="283" t="str">
        <f>RES_BA!D200</f>
        <v>Other Direct Costs Category 32</v>
      </c>
      <c r="M1049" s="279">
        <f>RES_BA!R200</f>
        <v>0</v>
      </c>
      <c r="O1049" s="279">
        <f>RES_BA!S200</f>
        <v>0</v>
      </c>
      <c r="Q1049" s="279">
        <f>RES_BA!T200</f>
        <v>0</v>
      </c>
      <c r="S1049" s="279">
        <f>RES_BA!U200</f>
        <v>0</v>
      </c>
    </row>
    <row r="1050" spans="2:19" s="277" customFormat="1" hidden="1" x14ac:dyDescent="0.3">
      <c r="C1050" s="283" t="str">
        <f>RES_BA!D201</f>
        <v>Other Direct Costs Category 33</v>
      </c>
      <c r="M1050" s="279">
        <f>RES_BA!R201</f>
        <v>0</v>
      </c>
      <c r="O1050" s="279">
        <f>RES_BA!S201</f>
        <v>0</v>
      </c>
      <c r="Q1050" s="279">
        <f>RES_BA!T201</f>
        <v>0</v>
      </c>
      <c r="S1050" s="279">
        <f>RES_BA!U201</f>
        <v>0</v>
      </c>
    </row>
    <row r="1051" spans="2:19" s="277" customFormat="1" hidden="1" x14ac:dyDescent="0.3">
      <c r="C1051" s="283" t="str">
        <f>RES_BA!D202</f>
        <v>Other Direct Costs Category 34</v>
      </c>
      <c r="M1051" s="279">
        <f>RES_BA!R202</f>
        <v>0</v>
      </c>
      <c r="O1051" s="279">
        <f>RES_BA!S202</f>
        <v>0</v>
      </c>
      <c r="Q1051" s="279">
        <f>RES_BA!T202</f>
        <v>0</v>
      </c>
      <c r="S1051" s="279">
        <f>RES_BA!U202</f>
        <v>0</v>
      </c>
    </row>
    <row r="1052" spans="2:19" s="277" customFormat="1" hidden="1" x14ac:dyDescent="0.3">
      <c r="C1052" s="283" t="str">
        <f>RES_BA!D203</f>
        <v>Other Direct Costs Category 35</v>
      </c>
      <c r="M1052" s="279">
        <f>RES_BA!R203</f>
        <v>0</v>
      </c>
      <c r="O1052" s="279">
        <f>RES_BA!S203</f>
        <v>0</v>
      </c>
      <c r="Q1052" s="279">
        <f>RES_BA!T203</f>
        <v>0</v>
      </c>
      <c r="S1052" s="279">
        <f>RES_BA!U203</f>
        <v>0</v>
      </c>
    </row>
    <row r="1053" spans="2:19" collapsed="1" x14ac:dyDescent="0.3"/>
    <row r="1055" spans="2:19" ht="18" x14ac:dyDescent="0.3">
      <c r="B1055" s="31" t="str">
        <f>I1056</f>
        <v>Training Activity #4 [not in use]</v>
      </c>
    </row>
    <row r="1056" spans="2:19" x14ac:dyDescent="0.3">
      <c r="G1056" s="41" t="s">
        <v>119</v>
      </c>
      <c r="I1056" s="356" t="s">
        <v>996</v>
      </c>
      <c r="J1056" s="356"/>
      <c r="K1056" s="356"/>
      <c r="L1056" s="356"/>
      <c r="M1056" s="356"/>
    </row>
    <row r="1057" spans="3:24" ht="10.5" customHeight="1" x14ac:dyDescent="0.3">
      <c r="G1057" s="41" t="s">
        <v>644</v>
      </c>
      <c r="I1057" s="32">
        <v>2</v>
      </c>
    </row>
    <row r="1058" spans="3:24" ht="15.6" hidden="1" x14ac:dyDescent="0.3">
      <c r="C1058" s="92" t="s">
        <v>77</v>
      </c>
      <c r="M1058" s="40" t="str">
        <f>IF(DD_ACT_20_Meet1_Curr=1,$D$1211,$D$1212)</f>
        <v>GOZ</v>
      </c>
      <c r="O1058" s="40" t="str">
        <f>IF(DD_ACT_20_Meet1_Curr=1,$D$1211,$D$1212)</f>
        <v>GOZ</v>
      </c>
      <c r="Q1058" s="40" t="str">
        <f>IF(DD_ACT_20_Meet1_Curr=1,$D$1211,$D$1212)</f>
        <v>GOZ</v>
      </c>
      <c r="S1058" s="40" t="str">
        <f>IF(DD_ACT_20_Meet1_Curr=1,$D$1211,$D$1212)</f>
        <v>GOZ</v>
      </c>
    </row>
    <row r="1059" spans="3:24" ht="27.6" x14ac:dyDescent="0.3">
      <c r="D1059" s="90" t="s">
        <v>77</v>
      </c>
      <c r="I1059" s="88" t="s">
        <v>80</v>
      </c>
      <c r="K1059" s="91" t="s">
        <v>432</v>
      </c>
      <c r="M1059" s="42" t="s">
        <v>103</v>
      </c>
      <c r="O1059" s="42" t="s">
        <v>104</v>
      </c>
      <c r="Q1059" s="42" t="s">
        <v>105</v>
      </c>
      <c r="S1059" s="42" t="s">
        <v>106</v>
      </c>
      <c r="U1059" s="350" t="s">
        <v>185</v>
      </c>
      <c r="V1059" s="351"/>
      <c r="W1059" s="351"/>
      <c r="X1059" s="351"/>
    </row>
    <row r="1060" spans="3:24" x14ac:dyDescent="0.3">
      <c r="D1060" s="356" t="s">
        <v>188</v>
      </c>
      <c r="E1060" s="356"/>
      <c r="F1060" s="356"/>
      <c r="G1060" s="356"/>
      <c r="I1060" s="48">
        <v>0</v>
      </c>
      <c r="K1060" s="48">
        <v>0</v>
      </c>
      <c r="M1060" s="40">
        <f t="shared" ref="M1060:M1084" si="60">IFERROR(IF(DD_ACT_20_Meet1_Curr=1,INDEX($M$1217:$M$1251,MATCH(D1060,LU_ACT_20_Pers_Res,0)),INDEX($Q$1217:$Q$1251,MATCH(D1060,LU_ACT_20_Pers_Res,0))),0)</f>
        <v>0</v>
      </c>
      <c r="O1060" s="40">
        <f t="shared" ref="O1060:O1084" si="61">IFERROR(IF(DD_ACT_20_Meet1_Curr=1,INDEX($O$1217:$O$1251,MATCH(D1060,LU_ACT_20_Pers_Res,0)),INDEX($S$1217:$S$1251,MATCH(D1060,LU_ACT_20_Pers_Res,0))),0)</f>
        <v>0</v>
      </c>
      <c r="Q1060" s="293">
        <f t="shared" ref="Q1060:Q1084" si="62">I1060*K1060*M1060</f>
        <v>0</v>
      </c>
      <c r="S1060" s="293">
        <f t="shared" ref="S1060:S1084" si="63">I1060*K1060*O1060</f>
        <v>0</v>
      </c>
      <c r="U1060" s="356"/>
      <c r="V1060" s="356"/>
      <c r="W1060" s="356"/>
      <c r="X1060" s="356"/>
    </row>
    <row r="1061" spans="3:24" x14ac:dyDescent="0.3">
      <c r="D1061" s="356" t="s">
        <v>189</v>
      </c>
      <c r="E1061" s="356"/>
      <c r="F1061" s="356"/>
      <c r="G1061" s="356"/>
      <c r="I1061" s="48">
        <v>0</v>
      </c>
      <c r="K1061" s="48">
        <v>0</v>
      </c>
      <c r="M1061" s="40">
        <f t="shared" si="60"/>
        <v>0</v>
      </c>
      <c r="O1061" s="40">
        <f t="shared" si="61"/>
        <v>0</v>
      </c>
      <c r="Q1061" s="293">
        <f t="shared" si="62"/>
        <v>0</v>
      </c>
      <c r="S1061" s="293">
        <f t="shared" si="63"/>
        <v>0</v>
      </c>
      <c r="U1061" s="356"/>
      <c r="V1061" s="356"/>
      <c r="W1061" s="356"/>
      <c r="X1061" s="356"/>
    </row>
    <row r="1062" spans="3:24" x14ac:dyDescent="0.3">
      <c r="D1062" s="356" t="s">
        <v>190</v>
      </c>
      <c r="E1062" s="356"/>
      <c r="F1062" s="356"/>
      <c r="G1062" s="356"/>
      <c r="I1062" s="48">
        <v>0</v>
      </c>
      <c r="K1062" s="48">
        <v>0</v>
      </c>
      <c r="M1062" s="40">
        <f t="shared" si="60"/>
        <v>0</v>
      </c>
      <c r="O1062" s="40">
        <f t="shared" si="61"/>
        <v>0</v>
      </c>
      <c r="Q1062" s="293">
        <f t="shared" si="62"/>
        <v>0</v>
      </c>
      <c r="S1062" s="293">
        <f t="shared" si="63"/>
        <v>0</v>
      </c>
      <c r="U1062" s="356"/>
      <c r="V1062" s="356"/>
      <c r="W1062" s="356"/>
      <c r="X1062" s="356"/>
    </row>
    <row r="1063" spans="3:24" x14ac:dyDescent="0.3">
      <c r="D1063" s="356" t="s">
        <v>191</v>
      </c>
      <c r="E1063" s="356"/>
      <c r="F1063" s="356"/>
      <c r="G1063" s="356"/>
      <c r="I1063" s="48">
        <v>0</v>
      </c>
      <c r="K1063" s="48">
        <v>0</v>
      </c>
      <c r="M1063" s="40">
        <f t="shared" si="60"/>
        <v>0</v>
      </c>
      <c r="O1063" s="40">
        <f t="shared" si="61"/>
        <v>0</v>
      </c>
      <c r="Q1063" s="293">
        <f t="shared" si="62"/>
        <v>0</v>
      </c>
      <c r="S1063" s="293">
        <f t="shared" si="63"/>
        <v>0</v>
      </c>
      <c r="U1063" s="356"/>
      <c r="V1063" s="356"/>
      <c r="W1063" s="356"/>
      <c r="X1063" s="356"/>
    </row>
    <row r="1064" spans="3:24" x14ac:dyDescent="0.3">
      <c r="D1064" s="356" t="s">
        <v>192</v>
      </c>
      <c r="E1064" s="356"/>
      <c r="F1064" s="356"/>
      <c r="G1064" s="356"/>
      <c r="I1064" s="48">
        <v>0</v>
      </c>
      <c r="K1064" s="48">
        <v>0</v>
      </c>
      <c r="M1064" s="40">
        <f t="shared" si="60"/>
        <v>0</v>
      </c>
      <c r="O1064" s="40">
        <f t="shared" si="61"/>
        <v>0</v>
      </c>
      <c r="Q1064" s="293">
        <f t="shared" si="62"/>
        <v>0</v>
      </c>
      <c r="S1064" s="293">
        <f t="shared" si="63"/>
        <v>0</v>
      </c>
      <c r="U1064" s="356"/>
      <c r="V1064" s="356"/>
      <c r="W1064" s="356"/>
      <c r="X1064" s="356"/>
    </row>
    <row r="1065" spans="3:24" x14ac:dyDescent="0.3">
      <c r="D1065" s="356" t="s">
        <v>193</v>
      </c>
      <c r="E1065" s="356"/>
      <c r="F1065" s="356"/>
      <c r="G1065" s="356"/>
      <c r="I1065" s="48">
        <v>0</v>
      </c>
      <c r="K1065" s="48">
        <v>0</v>
      </c>
      <c r="M1065" s="40">
        <f t="shared" si="60"/>
        <v>0</v>
      </c>
      <c r="O1065" s="40">
        <f t="shared" si="61"/>
        <v>0</v>
      </c>
      <c r="Q1065" s="293">
        <f t="shared" si="62"/>
        <v>0</v>
      </c>
      <c r="S1065" s="293">
        <f t="shared" si="63"/>
        <v>0</v>
      </c>
      <c r="U1065" s="356"/>
      <c r="V1065" s="356"/>
      <c r="W1065" s="356"/>
      <c r="X1065" s="356"/>
    </row>
    <row r="1066" spans="3:24" x14ac:dyDescent="0.3">
      <c r="D1066" s="356" t="s">
        <v>120</v>
      </c>
      <c r="E1066" s="356"/>
      <c r="F1066" s="356"/>
      <c r="G1066" s="356"/>
      <c r="I1066" s="48">
        <v>0</v>
      </c>
      <c r="K1066" s="48">
        <v>0</v>
      </c>
      <c r="M1066" s="40">
        <f t="shared" si="60"/>
        <v>0</v>
      </c>
      <c r="O1066" s="40">
        <f t="shared" si="61"/>
        <v>0</v>
      </c>
      <c r="Q1066" s="293">
        <f t="shared" si="62"/>
        <v>0</v>
      </c>
      <c r="S1066" s="293">
        <f t="shared" si="63"/>
        <v>0</v>
      </c>
      <c r="U1066" s="356"/>
      <c r="V1066" s="356"/>
      <c r="W1066" s="356"/>
      <c r="X1066" s="356"/>
    </row>
    <row r="1067" spans="3:24" x14ac:dyDescent="0.3">
      <c r="D1067" s="356" t="s">
        <v>121</v>
      </c>
      <c r="E1067" s="356"/>
      <c r="F1067" s="356"/>
      <c r="G1067" s="356"/>
      <c r="I1067" s="48">
        <v>0</v>
      </c>
      <c r="K1067" s="48">
        <v>0</v>
      </c>
      <c r="M1067" s="40">
        <f t="shared" si="60"/>
        <v>0</v>
      </c>
      <c r="O1067" s="40">
        <f t="shared" si="61"/>
        <v>0</v>
      </c>
      <c r="Q1067" s="293">
        <f t="shared" si="62"/>
        <v>0</v>
      </c>
      <c r="S1067" s="293">
        <f t="shared" si="63"/>
        <v>0</v>
      </c>
      <c r="U1067" s="356"/>
      <c r="V1067" s="356"/>
      <c r="W1067" s="356"/>
      <c r="X1067" s="356"/>
    </row>
    <row r="1068" spans="3:24" s="277" customFormat="1" x14ac:dyDescent="0.3">
      <c r="D1068" s="356" t="s">
        <v>830</v>
      </c>
      <c r="E1068" s="356"/>
      <c r="F1068" s="356"/>
      <c r="G1068" s="356"/>
      <c r="I1068" s="48">
        <v>0</v>
      </c>
      <c r="K1068" s="48">
        <v>0</v>
      </c>
      <c r="M1068" s="279">
        <f t="shared" si="60"/>
        <v>0</v>
      </c>
      <c r="O1068" s="279">
        <f t="shared" si="61"/>
        <v>0</v>
      </c>
      <c r="Q1068" s="293">
        <f t="shared" si="62"/>
        <v>0</v>
      </c>
      <c r="S1068" s="293">
        <f t="shared" si="63"/>
        <v>0</v>
      </c>
      <c r="U1068" s="385"/>
      <c r="V1068" s="385"/>
      <c r="W1068" s="385"/>
      <c r="X1068" s="385"/>
    </row>
    <row r="1069" spans="3:24" s="277" customFormat="1" x14ac:dyDescent="0.3">
      <c r="D1069" s="356" t="s">
        <v>831</v>
      </c>
      <c r="E1069" s="356"/>
      <c r="F1069" s="356"/>
      <c r="G1069" s="356"/>
      <c r="I1069" s="48">
        <v>0</v>
      </c>
      <c r="K1069" s="48">
        <v>0</v>
      </c>
      <c r="M1069" s="279">
        <f t="shared" si="60"/>
        <v>0</v>
      </c>
      <c r="O1069" s="279">
        <f t="shared" si="61"/>
        <v>0</v>
      </c>
      <c r="Q1069" s="293">
        <f t="shared" si="62"/>
        <v>0</v>
      </c>
      <c r="S1069" s="293">
        <f t="shared" si="63"/>
        <v>0</v>
      </c>
      <c r="U1069" s="385"/>
      <c r="V1069" s="385"/>
      <c r="W1069" s="385"/>
      <c r="X1069" s="385"/>
    </row>
    <row r="1070" spans="3:24" s="277" customFormat="1" x14ac:dyDescent="0.3">
      <c r="D1070" s="356" t="s">
        <v>832</v>
      </c>
      <c r="E1070" s="356"/>
      <c r="F1070" s="356"/>
      <c r="G1070" s="356"/>
      <c r="I1070" s="48">
        <v>0</v>
      </c>
      <c r="K1070" s="48">
        <v>0</v>
      </c>
      <c r="M1070" s="279">
        <f t="shared" si="60"/>
        <v>0</v>
      </c>
      <c r="O1070" s="279">
        <f t="shared" si="61"/>
        <v>0</v>
      </c>
      <c r="Q1070" s="293">
        <f t="shared" si="62"/>
        <v>0</v>
      </c>
      <c r="S1070" s="293">
        <f t="shared" si="63"/>
        <v>0</v>
      </c>
      <c r="U1070" s="385"/>
      <c r="V1070" s="385"/>
      <c r="W1070" s="385"/>
      <c r="X1070" s="385"/>
    </row>
    <row r="1071" spans="3:24" s="277" customFormat="1" x14ac:dyDescent="0.3">
      <c r="D1071" s="356" t="s">
        <v>833</v>
      </c>
      <c r="E1071" s="356"/>
      <c r="F1071" s="356"/>
      <c r="G1071" s="356"/>
      <c r="I1071" s="48">
        <v>0</v>
      </c>
      <c r="K1071" s="48">
        <v>0</v>
      </c>
      <c r="M1071" s="279">
        <f t="shared" si="60"/>
        <v>0</v>
      </c>
      <c r="O1071" s="279">
        <f t="shared" si="61"/>
        <v>0</v>
      </c>
      <c r="Q1071" s="293">
        <f t="shared" si="62"/>
        <v>0</v>
      </c>
      <c r="S1071" s="293">
        <f t="shared" si="63"/>
        <v>0</v>
      </c>
      <c r="U1071" s="385"/>
      <c r="V1071" s="385"/>
      <c r="W1071" s="385"/>
      <c r="X1071" s="385"/>
    </row>
    <row r="1072" spans="3:24" s="277" customFormat="1" x14ac:dyDescent="0.3">
      <c r="D1072" s="356" t="s">
        <v>834</v>
      </c>
      <c r="E1072" s="356"/>
      <c r="F1072" s="356"/>
      <c r="G1072" s="356"/>
      <c r="I1072" s="48">
        <v>0</v>
      </c>
      <c r="K1072" s="48">
        <v>0</v>
      </c>
      <c r="M1072" s="279">
        <f t="shared" si="60"/>
        <v>0</v>
      </c>
      <c r="O1072" s="279">
        <f t="shared" si="61"/>
        <v>0</v>
      </c>
      <c r="Q1072" s="293">
        <f t="shared" si="62"/>
        <v>0</v>
      </c>
      <c r="S1072" s="293">
        <f t="shared" si="63"/>
        <v>0</v>
      </c>
      <c r="U1072" s="385"/>
      <c r="V1072" s="385"/>
      <c r="W1072" s="385"/>
      <c r="X1072" s="385"/>
    </row>
    <row r="1073" spans="3:24" s="277" customFormat="1" x14ac:dyDescent="0.3">
      <c r="D1073" s="356" t="s">
        <v>835</v>
      </c>
      <c r="E1073" s="356"/>
      <c r="F1073" s="356"/>
      <c r="G1073" s="356"/>
      <c r="I1073" s="48">
        <v>0</v>
      </c>
      <c r="K1073" s="48">
        <v>0</v>
      </c>
      <c r="M1073" s="279">
        <f t="shared" si="60"/>
        <v>0</v>
      </c>
      <c r="O1073" s="279">
        <f t="shared" si="61"/>
        <v>0</v>
      </c>
      <c r="Q1073" s="293">
        <f t="shared" si="62"/>
        <v>0</v>
      </c>
      <c r="S1073" s="293">
        <f t="shared" si="63"/>
        <v>0</v>
      </c>
      <c r="U1073" s="385"/>
      <c r="V1073" s="385"/>
      <c r="W1073" s="385"/>
      <c r="X1073" s="385"/>
    </row>
    <row r="1074" spans="3:24" s="277" customFormat="1" x14ac:dyDescent="0.3">
      <c r="D1074" s="356" t="s">
        <v>836</v>
      </c>
      <c r="E1074" s="356"/>
      <c r="F1074" s="356"/>
      <c r="G1074" s="356"/>
      <c r="I1074" s="48">
        <v>0</v>
      </c>
      <c r="K1074" s="48">
        <v>0</v>
      </c>
      <c r="M1074" s="279">
        <f t="shared" si="60"/>
        <v>0</v>
      </c>
      <c r="O1074" s="279">
        <f t="shared" si="61"/>
        <v>0</v>
      </c>
      <c r="Q1074" s="293">
        <f t="shared" si="62"/>
        <v>0</v>
      </c>
      <c r="S1074" s="293">
        <f t="shared" si="63"/>
        <v>0</v>
      </c>
      <c r="U1074" s="385"/>
      <c r="V1074" s="385"/>
      <c r="W1074" s="385"/>
      <c r="X1074" s="385"/>
    </row>
    <row r="1075" spans="3:24" s="277" customFormat="1" x14ac:dyDescent="0.3">
      <c r="D1075" s="356" t="s">
        <v>837</v>
      </c>
      <c r="E1075" s="356"/>
      <c r="F1075" s="356"/>
      <c r="G1075" s="356"/>
      <c r="I1075" s="48">
        <v>0</v>
      </c>
      <c r="K1075" s="48">
        <v>0</v>
      </c>
      <c r="M1075" s="279">
        <f t="shared" si="60"/>
        <v>0</v>
      </c>
      <c r="O1075" s="279">
        <f t="shared" si="61"/>
        <v>0</v>
      </c>
      <c r="Q1075" s="293">
        <f t="shared" si="62"/>
        <v>0</v>
      </c>
      <c r="S1075" s="293">
        <f t="shared" si="63"/>
        <v>0</v>
      </c>
      <c r="U1075" s="385"/>
      <c r="V1075" s="385"/>
      <c r="W1075" s="385"/>
      <c r="X1075" s="385"/>
    </row>
    <row r="1076" spans="3:24" s="277" customFormat="1" x14ac:dyDescent="0.3">
      <c r="D1076" s="356" t="s">
        <v>846</v>
      </c>
      <c r="E1076" s="356"/>
      <c r="F1076" s="356"/>
      <c r="G1076" s="356"/>
      <c r="I1076" s="48">
        <v>0</v>
      </c>
      <c r="K1076" s="48">
        <v>0</v>
      </c>
      <c r="M1076" s="279">
        <f t="shared" si="60"/>
        <v>0</v>
      </c>
      <c r="O1076" s="279">
        <f t="shared" si="61"/>
        <v>0</v>
      </c>
      <c r="Q1076" s="293">
        <f t="shared" si="62"/>
        <v>0</v>
      </c>
      <c r="S1076" s="293">
        <f t="shared" si="63"/>
        <v>0</v>
      </c>
      <c r="U1076" s="385"/>
      <c r="V1076" s="385"/>
      <c r="W1076" s="385"/>
      <c r="X1076" s="385"/>
    </row>
    <row r="1077" spans="3:24" s="277" customFormat="1" x14ac:dyDescent="0.3">
      <c r="D1077" s="356" t="s">
        <v>847</v>
      </c>
      <c r="E1077" s="356"/>
      <c r="F1077" s="356"/>
      <c r="G1077" s="356"/>
      <c r="I1077" s="48">
        <v>0</v>
      </c>
      <c r="K1077" s="48">
        <v>0</v>
      </c>
      <c r="M1077" s="279">
        <f t="shared" si="60"/>
        <v>0</v>
      </c>
      <c r="O1077" s="279">
        <f t="shared" si="61"/>
        <v>0</v>
      </c>
      <c r="Q1077" s="293">
        <f t="shared" si="62"/>
        <v>0</v>
      </c>
      <c r="S1077" s="293">
        <f t="shared" si="63"/>
        <v>0</v>
      </c>
      <c r="U1077" s="385"/>
      <c r="V1077" s="385"/>
      <c r="W1077" s="385"/>
      <c r="X1077" s="385"/>
    </row>
    <row r="1078" spans="3:24" s="277" customFormat="1" x14ac:dyDescent="0.3">
      <c r="D1078" s="356" t="s">
        <v>848</v>
      </c>
      <c r="E1078" s="356"/>
      <c r="F1078" s="356"/>
      <c r="G1078" s="356"/>
      <c r="I1078" s="48">
        <v>0</v>
      </c>
      <c r="K1078" s="48">
        <v>0</v>
      </c>
      <c r="M1078" s="279">
        <f t="shared" si="60"/>
        <v>0</v>
      </c>
      <c r="O1078" s="279">
        <f t="shared" si="61"/>
        <v>0</v>
      </c>
      <c r="Q1078" s="293">
        <f t="shared" si="62"/>
        <v>0</v>
      </c>
      <c r="S1078" s="293">
        <f t="shared" si="63"/>
        <v>0</v>
      </c>
      <c r="U1078" s="385"/>
      <c r="V1078" s="385"/>
      <c r="W1078" s="385"/>
      <c r="X1078" s="385"/>
    </row>
    <row r="1079" spans="3:24" s="277" customFormat="1" x14ac:dyDescent="0.3">
      <c r="D1079" s="356" t="s">
        <v>849</v>
      </c>
      <c r="E1079" s="356"/>
      <c r="F1079" s="356"/>
      <c r="G1079" s="356"/>
      <c r="I1079" s="48">
        <v>0</v>
      </c>
      <c r="K1079" s="48">
        <v>0</v>
      </c>
      <c r="M1079" s="279">
        <f t="shared" si="60"/>
        <v>0</v>
      </c>
      <c r="O1079" s="279">
        <f t="shared" si="61"/>
        <v>0</v>
      </c>
      <c r="Q1079" s="293">
        <f t="shared" si="62"/>
        <v>0</v>
      </c>
      <c r="S1079" s="293">
        <f t="shared" si="63"/>
        <v>0</v>
      </c>
      <c r="U1079" s="385"/>
      <c r="V1079" s="385"/>
      <c r="W1079" s="385"/>
      <c r="X1079" s="385"/>
    </row>
    <row r="1080" spans="3:24" s="277" customFormat="1" x14ac:dyDescent="0.3">
      <c r="D1080" s="356" t="s">
        <v>971</v>
      </c>
      <c r="E1080" s="356"/>
      <c r="F1080" s="356"/>
      <c r="G1080" s="356"/>
      <c r="I1080" s="48">
        <v>0</v>
      </c>
      <c r="K1080" s="48">
        <v>0</v>
      </c>
      <c r="M1080" s="279">
        <f t="shared" si="60"/>
        <v>0</v>
      </c>
      <c r="O1080" s="279">
        <f t="shared" si="61"/>
        <v>0</v>
      </c>
      <c r="Q1080" s="293">
        <f t="shared" si="62"/>
        <v>0</v>
      </c>
      <c r="S1080" s="293">
        <f t="shared" si="63"/>
        <v>0</v>
      </c>
      <c r="U1080" s="385"/>
      <c r="V1080" s="385"/>
      <c r="W1080" s="385"/>
      <c r="X1080" s="385"/>
    </row>
    <row r="1081" spans="3:24" s="277" customFormat="1" x14ac:dyDescent="0.3">
      <c r="D1081" s="356" t="s">
        <v>973</v>
      </c>
      <c r="E1081" s="356"/>
      <c r="F1081" s="356"/>
      <c r="G1081" s="356"/>
      <c r="I1081" s="48">
        <v>0</v>
      </c>
      <c r="K1081" s="48">
        <v>0</v>
      </c>
      <c r="M1081" s="279">
        <f t="shared" si="60"/>
        <v>0</v>
      </c>
      <c r="O1081" s="279">
        <f t="shared" si="61"/>
        <v>0</v>
      </c>
      <c r="Q1081" s="293">
        <f t="shared" si="62"/>
        <v>0</v>
      </c>
      <c r="S1081" s="293">
        <f t="shared" si="63"/>
        <v>0</v>
      </c>
      <c r="U1081" s="385"/>
      <c r="V1081" s="385"/>
      <c r="W1081" s="385"/>
      <c r="X1081" s="385"/>
    </row>
    <row r="1082" spans="3:24" s="277" customFormat="1" x14ac:dyDescent="0.3">
      <c r="D1082" s="356" t="s">
        <v>974</v>
      </c>
      <c r="E1082" s="356"/>
      <c r="F1082" s="356"/>
      <c r="G1082" s="356"/>
      <c r="I1082" s="48">
        <v>0</v>
      </c>
      <c r="K1082" s="48">
        <v>0</v>
      </c>
      <c r="M1082" s="279">
        <f t="shared" si="60"/>
        <v>0</v>
      </c>
      <c r="O1082" s="279">
        <f t="shared" si="61"/>
        <v>0</v>
      </c>
      <c r="Q1082" s="293">
        <f t="shared" si="62"/>
        <v>0</v>
      </c>
      <c r="S1082" s="293">
        <f t="shared" si="63"/>
        <v>0</v>
      </c>
      <c r="U1082" s="385"/>
      <c r="V1082" s="385"/>
      <c r="W1082" s="385"/>
      <c r="X1082" s="385"/>
    </row>
    <row r="1083" spans="3:24" s="277" customFormat="1" x14ac:dyDescent="0.3">
      <c r="D1083" s="356" t="s">
        <v>975</v>
      </c>
      <c r="E1083" s="356"/>
      <c r="F1083" s="356"/>
      <c r="G1083" s="356"/>
      <c r="I1083" s="48">
        <v>0</v>
      </c>
      <c r="K1083" s="48">
        <v>0</v>
      </c>
      <c r="M1083" s="279">
        <f t="shared" si="60"/>
        <v>0</v>
      </c>
      <c r="O1083" s="279">
        <f t="shared" si="61"/>
        <v>0</v>
      </c>
      <c r="Q1083" s="293">
        <f t="shared" si="62"/>
        <v>0</v>
      </c>
      <c r="S1083" s="293">
        <f t="shared" si="63"/>
        <v>0</v>
      </c>
      <c r="U1083" s="385"/>
      <c r="V1083" s="385"/>
      <c r="W1083" s="385"/>
      <c r="X1083" s="385"/>
    </row>
    <row r="1084" spans="3:24" s="277" customFormat="1" x14ac:dyDescent="0.3">
      <c r="D1084" s="356" t="s">
        <v>976</v>
      </c>
      <c r="E1084" s="356"/>
      <c r="F1084" s="356"/>
      <c r="G1084" s="356"/>
      <c r="I1084" s="48">
        <v>0</v>
      </c>
      <c r="K1084" s="48">
        <v>0</v>
      </c>
      <c r="M1084" s="279">
        <f t="shared" si="60"/>
        <v>0</v>
      </c>
      <c r="O1084" s="279">
        <f t="shared" si="61"/>
        <v>0</v>
      </c>
      <c r="Q1084" s="293">
        <f t="shared" si="62"/>
        <v>0</v>
      </c>
      <c r="S1084" s="293">
        <f t="shared" si="63"/>
        <v>0</v>
      </c>
      <c r="U1084" s="385"/>
      <c r="V1084" s="385"/>
      <c r="W1084" s="385"/>
      <c r="X1084" s="385"/>
    </row>
    <row r="1085" spans="3:24" ht="14.4" x14ac:dyDescent="0.3">
      <c r="D1085" s="420" t="s">
        <v>79</v>
      </c>
      <c r="E1085" s="421"/>
      <c r="F1085" s="421"/>
      <c r="G1085" s="421"/>
      <c r="I1085" s="43"/>
      <c r="K1085" s="43"/>
      <c r="M1085" s="43"/>
      <c r="O1085" s="43"/>
      <c r="Q1085" s="294">
        <f>SUM(Q1060:Q1084)</f>
        <v>0</v>
      </c>
      <c r="S1085" s="294">
        <f>SUM(S1060:S1084)</f>
        <v>0</v>
      </c>
    </row>
    <row r="1087" spans="3:24" ht="15.6" x14ac:dyDescent="0.3">
      <c r="C1087" s="92" t="s">
        <v>164</v>
      </c>
    </row>
    <row r="1088" spans="3:24" ht="27.6" x14ac:dyDescent="0.3">
      <c r="D1088" s="90" t="s">
        <v>102</v>
      </c>
      <c r="I1088" s="91" t="s">
        <v>80</v>
      </c>
      <c r="K1088" s="91" t="s">
        <v>432</v>
      </c>
      <c r="M1088" s="42" t="s">
        <v>103</v>
      </c>
      <c r="O1088" s="42" t="s">
        <v>104</v>
      </c>
      <c r="Q1088" s="42" t="s">
        <v>105</v>
      </c>
      <c r="S1088" s="42" t="s">
        <v>106</v>
      </c>
      <c r="U1088" s="350" t="s">
        <v>185</v>
      </c>
      <c r="V1088" s="351"/>
      <c r="W1088" s="351"/>
      <c r="X1088" s="351"/>
    </row>
    <row r="1089" spans="4:24" x14ac:dyDescent="0.3">
      <c r="D1089" s="356" t="s">
        <v>109</v>
      </c>
      <c r="E1089" s="356"/>
      <c r="F1089" s="356"/>
      <c r="G1089" s="356"/>
      <c r="I1089" s="48">
        <v>0</v>
      </c>
      <c r="K1089" s="48">
        <v>0</v>
      </c>
      <c r="M1089" s="40">
        <f t="shared" ref="M1089:M1113" si="64">IFERROR(IF(DD_ACT_20_Meet1_Curr=1,INDEX($M$1254:$M$1288,MATCH(D1089,LU_ACT_20_Allowances,0)),INDEX($Q$1254:$Q$1288,MATCH(D1089,LU_ACT_20_Allowances,0))),0)</f>
        <v>0</v>
      </c>
      <c r="O1089" s="40">
        <f t="shared" ref="O1089:O1113" si="65">IFERROR(IF(DD_ACT_20_Meet1_Curr=1,INDEX($O$1254:$O$1288,MATCH(D1089,LU_ACT_20_Allowances,0)),INDEX($S$1254:$S$1288,MATCH(D1089,LU_ACT_20_Allowances,0))),0)</f>
        <v>0</v>
      </c>
      <c r="Q1089" s="293">
        <f t="shared" ref="Q1089:Q1113" si="66">I1089*K1089*M1089</f>
        <v>0</v>
      </c>
      <c r="S1089" s="293">
        <f t="shared" ref="S1089:S1113" si="67">I1089*K1089*O1089</f>
        <v>0</v>
      </c>
      <c r="U1089" s="356"/>
      <c r="V1089" s="356"/>
      <c r="W1089" s="356"/>
      <c r="X1089" s="356"/>
    </row>
    <row r="1090" spans="4:24" x14ac:dyDescent="0.3">
      <c r="D1090" s="356" t="s">
        <v>110</v>
      </c>
      <c r="E1090" s="356"/>
      <c r="F1090" s="356"/>
      <c r="G1090" s="356"/>
      <c r="I1090" s="48">
        <v>0</v>
      </c>
      <c r="K1090" s="48">
        <v>0</v>
      </c>
      <c r="M1090" s="40">
        <f t="shared" si="64"/>
        <v>0</v>
      </c>
      <c r="O1090" s="40">
        <f t="shared" si="65"/>
        <v>0</v>
      </c>
      <c r="Q1090" s="293">
        <f t="shared" si="66"/>
        <v>0</v>
      </c>
      <c r="S1090" s="293">
        <f t="shared" si="67"/>
        <v>0</v>
      </c>
      <c r="U1090" s="356"/>
      <c r="V1090" s="356"/>
      <c r="W1090" s="356"/>
      <c r="X1090" s="356"/>
    </row>
    <row r="1091" spans="4:24" x14ac:dyDescent="0.3">
      <c r="D1091" s="356" t="s">
        <v>111</v>
      </c>
      <c r="E1091" s="356"/>
      <c r="F1091" s="356"/>
      <c r="G1091" s="356"/>
      <c r="I1091" s="48">
        <v>0</v>
      </c>
      <c r="K1091" s="48">
        <v>0</v>
      </c>
      <c r="M1091" s="40">
        <f t="shared" si="64"/>
        <v>0</v>
      </c>
      <c r="O1091" s="40">
        <f t="shared" si="65"/>
        <v>0</v>
      </c>
      <c r="Q1091" s="293">
        <f t="shared" si="66"/>
        <v>0</v>
      </c>
      <c r="S1091" s="293">
        <f t="shared" si="67"/>
        <v>0</v>
      </c>
      <c r="U1091" s="356"/>
      <c r="V1091" s="356"/>
      <c r="W1091" s="356"/>
      <c r="X1091" s="356"/>
    </row>
    <row r="1092" spans="4:24" x14ac:dyDescent="0.3">
      <c r="D1092" s="356" t="s">
        <v>112</v>
      </c>
      <c r="E1092" s="356"/>
      <c r="F1092" s="356"/>
      <c r="G1092" s="356"/>
      <c r="I1092" s="48">
        <v>0</v>
      </c>
      <c r="K1092" s="48">
        <v>0</v>
      </c>
      <c r="M1092" s="40">
        <f t="shared" si="64"/>
        <v>0</v>
      </c>
      <c r="O1092" s="40">
        <f t="shared" si="65"/>
        <v>0</v>
      </c>
      <c r="Q1092" s="293">
        <f t="shared" si="66"/>
        <v>0</v>
      </c>
      <c r="S1092" s="293">
        <f t="shared" si="67"/>
        <v>0</v>
      </c>
      <c r="U1092" s="356"/>
      <c r="V1092" s="356"/>
      <c r="W1092" s="356"/>
      <c r="X1092" s="356"/>
    </row>
    <row r="1093" spans="4:24" x14ac:dyDescent="0.3">
      <c r="D1093" s="356" t="s">
        <v>113</v>
      </c>
      <c r="E1093" s="356"/>
      <c r="F1093" s="356"/>
      <c r="G1093" s="356"/>
      <c r="I1093" s="48">
        <v>0</v>
      </c>
      <c r="K1093" s="48">
        <v>0</v>
      </c>
      <c r="M1093" s="40">
        <f t="shared" si="64"/>
        <v>0</v>
      </c>
      <c r="O1093" s="40">
        <f t="shared" si="65"/>
        <v>0</v>
      </c>
      <c r="Q1093" s="293">
        <f t="shared" si="66"/>
        <v>0</v>
      </c>
      <c r="S1093" s="293">
        <f t="shared" si="67"/>
        <v>0</v>
      </c>
      <c r="U1093" s="356"/>
      <c r="V1093" s="356"/>
      <c r="W1093" s="356"/>
      <c r="X1093" s="356"/>
    </row>
    <row r="1094" spans="4:24" x14ac:dyDescent="0.3">
      <c r="D1094" s="356" t="s">
        <v>114</v>
      </c>
      <c r="E1094" s="356"/>
      <c r="F1094" s="356"/>
      <c r="G1094" s="356"/>
      <c r="I1094" s="48">
        <v>0</v>
      </c>
      <c r="K1094" s="48">
        <v>0</v>
      </c>
      <c r="M1094" s="40">
        <f t="shared" si="64"/>
        <v>0</v>
      </c>
      <c r="O1094" s="40">
        <f t="shared" si="65"/>
        <v>0</v>
      </c>
      <c r="Q1094" s="293">
        <f t="shared" si="66"/>
        <v>0</v>
      </c>
      <c r="S1094" s="293">
        <f t="shared" si="67"/>
        <v>0</v>
      </c>
      <c r="U1094" s="356"/>
      <c r="V1094" s="356"/>
      <c r="W1094" s="356"/>
      <c r="X1094" s="356"/>
    </row>
    <row r="1095" spans="4:24" x14ac:dyDescent="0.3">
      <c r="D1095" s="356" t="s">
        <v>115</v>
      </c>
      <c r="E1095" s="356"/>
      <c r="F1095" s="356"/>
      <c r="G1095" s="356"/>
      <c r="I1095" s="48">
        <v>0</v>
      </c>
      <c r="K1095" s="48">
        <v>0</v>
      </c>
      <c r="M1095" s="40">
        <f t="shared" si="64"/>
        <v>0</v>
      </c>
      <c r="O1095" s="40">
        <f t="shared" si="65"/>
        <v>0</v>
      </c>
      <c r="Q1095" s="293">
        <f t="shared" si="66"/>
        <v>0</v>
      </c>
      <c r="S1095" s="293">
        <f t="shared" si="67"/>
        <v>0</v>
      </c>
      <c r="U1095" s="356"/>
      <c r="V1095" s="356"/>
      <c r="W1095" s="356"/>
      <c r="X1095" s="356"/>
    </row>
    <row r="1096" spans="4:24" x14ac:dyDescent="0.3">
      <c r="D1096" s="356" t="s">
        <v>116</v>
      </c>
      <c r="E1096" s="356"/>
      <c r="F1096" s="356"/>
      <c r="G1096" s="356"/>
      <c r="I1096" s="48">
        <v>0</v>
      </c>
      <c r="K1096" s="48">
        <v>0</v>
      </c>
      <c r="M1096" s="40">
        <f t="shared" si="64"/>
        <v>0</v>
      </c>
      <c r="O1096" s="40">
        <f t="shared" si="65"/>
        <v>0</v>
      </c>
      <c r="Q1096" s="293">
        <f t="shared" si="66"/>
        <v>0</v>
      </c>
      <c r="S1096" s="293">
        <f t="shared" si="67"/>
        <v>0</v>
      </c>
      <c r="U1096" s="356"/>
      <c r="V1096" s="356"/>
      <c r="W1096" s="356"/>
      <c r="X1096" s="356"/>
    </row>
    <row r="1097" spans="4:24" s="277" customFormat="1" x14ac:dyDescent="0.3">
      <c r="D1097" s="356" t="s">
        <v>838</v>
      </c>
      <c r="E1097" s="356"/>
      <c r="F1097" s="356"/>
      <c r="G1097" s="356"/>
      <c r="I1097" s="48">
        <v>0</v>
      </c>
      <c r="K1097" s="48">
        <v>0</v>
      </c>
      <c r="M1097" s="279">
        <f t="shared" si="64"/>
        <v>0</v>
      </c>
      <c r="O1097" s="279">
        <f t="shared" si="65"/>
        <v>0</v>
      </c>
      <c r="Q1097" s="293">
        <f t="shared" si="66"/>
        <v>0</v>
      </c>
      <c r="S1097" s="293">
        <f t="shared" si="67"/>
        <v>0</v>
      </c>
      <c r="U1097" s="385"/>
      <c r="V1097" s="385"/>
      <c r="W1097" s="385"/>
      <c r="X1097" s="385"/>
    </row>
    <row r="1098" spans="4:24" s="277" customFormat="1" x14ac:dyDescent="0.3">
      <c r="D1098" s="356" t="s">
        <v>839</v>
      </c>
      <c r="E1098" s="356"/>
      <c r="F1098" s="356"/>
      <c r="G1098" s="356"/>
      <c r="I1098" s="48">
        <v>0</v>
      </c>
      <c r="K1098" s="48">
        <v>0</v>
      </c>
      <c r="M1098" s="279">
        <f t="shared" si="64"/>
        <v>0</v>
      </c>
      <c r="O1098" s="279">
        <f t="shared" si="65"/>
        <v>0</v>
      </c>
      <c r="Q1098" s="293">
        <f t="shared" si="66"/>
        <v>0</v>
      </c>
      <c r="S1098" s="293">
        <f t="shared" si="67"/>
        <v>0</v>
      </c>
      <c r="U1098" s="385"/>
      <c r="V1098" s="385"/>
      <c r="W1098" s="385"/>
      <c r="X1098" s="385"/>
    </row>
    <row r="1099" spans="4:24" s="277" customFormat="1" x14ac:dyDescent="0.3">
      <c r="D1099" s="356" t="s">
        <v>840</v>
      </c>
      <c r="E1099" s="356"/>
      <c r="F1099" s="356"/>
      <c r="G1099" s="356"/>
      <c r="I1099" s="48">
        <v>0</v>
      </c>
      <c r="K1099" s="48">
        <v>0</v>
      </c>
      <c r="M1099" s="279">
        <f t="shared" si="64"/>
        <v>0</v>
      </c>
      <c r="O1099" s="279">
        <f t="shared" si="65"/>
        <v>0</v>
      </c>
      <c r="Q1099" s="293">
        <f t="shared" si="66"/>
        <v>0</v>
      </c>
      <c r="S1099" s="293">
        <f t="shared" si="67"/>
        <v>0</v>
      </c>
      <c r="U1099" s="385"/>
      <c r="V1099" s="385"/>
      <c r="W1099" s="385"/>
      <c r="X1099" s="385"/>
    </row>
    <row r="1100" spans="4:24" s="277" customFormat="1" x14ac:dyDescent="0.3">
      <c r="D1100" s="356" t="s">
        <v>841</v>
      </c>
      <c r="E1100" s="356"/>
      <c r="F1100" s="356"/>
      <c r="G1100" s="356"/>
      <c r="I1100" s="48">
        <v>0</v>
      </c>
      <c r="K1100" s="48">
        <v>0</v>
      </c>
      <c r="M1100" s="279">
        <f t="shared" si="64"/>
        <v>0</v>
      </c>
      <c r="O1100" s="279">
        <f t="shared" si="65"/>
        <v>0</v>
      </c>
      <c r="Q1100" s="293">
        <f t="shared" si="66"/>
        <v>0</v>
      </c>
      <c r="S1100" s="293">
        <f t="shared" si="67"/>
        <v>0</v>
      </c>
      <c r="U1100" s="385"/>
      <c r="V1100" s="385"/>
      <c r="W1100" s="385"/>
      <c r="X1100" s="385"/>
    </row>
    <row r="1101" spans="4:24" s="277" customFormat="1" x14ac:dyDescent="0.3">
      <c r="D1101" s="356" t="s">
        <v>842</v>
      </c>
      <c r="E1101" s="356"/>
      <c r="F1101" s="356"/>
      <c r="G1101" s="356"/>
      <c r="I1101" s="48">
        <v>0</v>
      </c>
      <c r="K1101" s="48">
        <v>0</v>
      </c>
      <c r="M1101" s="279">
        <f t="shared" si="64"/>
        <v>0</v>
      </c>
      <c r="O1101" s="279">
        <f t="shared" si="65"/>
        <v>0</v>
      </c>
      <c r="Q1101" s="293">
        <f t="shared" si="66"/>
        <v>0</v>
      </c>
      <c r="S1101" s="293">
        <f t="shared" si="67"/>
        <v>0</v>
      </c>
      <c r="U1101" s="385"/>
      <c r="V1101" s="385"/>
      <c r="W1101" s="385"/>
      <c r="X1101" s="385"/>
    </row>
    <row r="1102" spans="4:24" s="277" customFormat="1" x14ac:dyDescent="0.3">
      <c r="D1102" s="356" t="s">
        <v>843</v>
      </c>
      <c r="E1102" s="356"/>
      <c r="F1102" s="356"/>
      <c r="G1102" s="356"/>
      <c r="I1102" s="48">
        <v>0</v>
      </c>
      <c r="K1102" s="48">
        <v>0</v>
      </c>
      <c r="M1102" s="279">
        <f t="shared" si="64"/>
        <v>0</v>
      </c>
      <c r="O1102" s="279">
        <f t="shared" si="65"/>
        <v>0</v>
      </c>
      <c r="Q1102" s="293">
        <f t="shared" si="66"/>
        <v>0</v>
      </c>
      <c r="S1102" s="293">
        <f t="shared" si="67"/>
        <v>0</v>
      </c>
      <c r="U1102" s="385"/>
      <c r="V1102" s="385"/>
      <c r="W1102" s="385"/>
      <c r="X1102" s="385"/>
    </row>
    <row r="1103" spans="4:24" s="277" customFormat="1" x14ac:dyDescent="0.3">
      <c r="D1103" s="356" t="s">
        <v>844</v>
      </c>
      <c r="E1103" s="356"/>
      <c r="F1103" s="356"/>
      <c r="G1103" s="356"/>
      <c r="I1103" s="48">
        <v>0</v>
      </c>
      <c r="K1103" s="48">
        <v>0</v>
      </c>
      <c r="M1103" s="279">
        <f t="shared" si="64"/>
        <v>0</v>
      </c>
      <c r="O1103" s="279">
        <f t="shared" si="65"/>
        <v>0</v>
      </c>
      <c r="Q1103" s="293">
        <f t="shared" si="66"/>
        <v>0</v>
      </c>
      <c r="S1103" s="293">
        <f t="shared" si="67"/>
        <v>0</v>
      </c>
      <c r="U1103" s="385"/>
      <c r="V1103" s="385"/>
      <c r="W1103" s="385"/>
      <c r="X1103" s="385"/>
    </row>
    <row r="1104" spans="4:24" s="277" customFormat="1" x14ac:dyDescent="0.3">
      <c r="D1104" s="356" t="s">
        <v>845</v>
      </c>
      <c r="E1104" s="356"/>
      <c r="F1104" s="356"/>
      <c r="G1104" s="356"/>
      <c r="I1104" s="48">
        <v>0</v>
      </c>
      <c r="K1104" s="48">
        <v>0</v>
      </c>
      <c r="M1104" s="279">
        <f t="shared" si="64"/>
        <v>0</v>
      </c>
      <c r="O1104" s="279">
        <f t="shared" si="65"/>
        <v>0</v>
      </c>
      <c r="Q1104" s="293">
        <f t="shared" si="66"/>
        <v>0</v>
      </c>
      <c r="S1104" s="293">
        <f t="shared" si="67"/>
        <v>0</v>
      </c>
      <c r="U1104" s="385"/>
      <c r="V1104" s="385"/>
      <c r="W1104" s="385"/>
      <c r="X1104" s="385"/>
    </row>
    <row r="1105" spans="3:24" s="277" customFormat="1" x14ac:dyDescent="0.3">
      <c r="D1105" s="356" t="s">
        <v>850</v>
      </c>
      <c r="E1105" s="356"/>
      <c r="F1105" s="356"/>
      <c r="G1105" s="356"/>
      <c r="I1105" s="48">
        <v>0</v>
      </c>
      <c r="K1105" s="48">
        <v>0</v>
      </c>
      <c r="M1105" s="279">
        <f t="shared" si="64"/>
        <v>0</v>
      </c>
      <c r="O1105" s="279">
        <f t="shared" si="65"/>
        <v>0</v>
      </c>
      <c r="Q1105" s="293">
        <f t="shared" si="66"/>
        <v>0</v>
      </c>
      <c r="S1105" s="293">
        <f t="shared" si="67"/>
        <v>0</v>
      </c>
      <c r="U1105" s="385"/>
      <c r="V1105" s="385"/>
      <c r="W1105" s="385"/>
      <c r="X1105" s="385"/>
    </row>
    <row r="1106" spans="3:24" s="277" customFormat="1" x14ac:dyDescent="0.3">
      <c r="D1106" s="356" t="s">
        <v>851</v>
      </c>
      <c r="E1106" s="356"/>
      <c r="F1106" s="356"/>
      <c r="G1106" s="356"/>
      <c r="I1106" s="48">
        <v>0</v>
      </c>
      <c r="K1106" s="48">
        <v>0</v>
      </c>
      <c r="M1106" s="279">
        <f t="shared" si="64"/>
        <v>0</v>
      </c>
      <c r="O1106" s="279">
        <f t="shared" si="65"/>
        <v>0</v>
      </c>
      <c r="Q1106" s="293">
        <f t="shared" si="66"/>
        <v>0</v>
      </c>
      <c r="S1106" s="293">
        <f t="shared" si="67"/>
        <v>0</v>
      </c>
      <c r="U1106" s="385"/>
      <c r="V1106" s="385"/>
      <c r="W1106" s="385"/>
      <c r="X1106" s="385"/>
    </row>
    <row r="1107" spans="3:24" s="277" customFormat="1" x14ac:dyDescent="0.3">
      <c r="D1107" s="356" t="s">
        <v>852</v>
      </c>
      <c r="E1107" s="356"/>
      <c r="F1107" s="356"/>
      <c r="G1107" s="356"/>
      <c r="I1107" s="48">
        <v>0</v>
      </c>
      <c r="K1107" s="48">
        <v>0</v>
      </c>
      <c r="M1107" s="279">
        <f t="shared" si="64"/>
        <v>0</v>
      </c>
      <c r="O1107" s="279">
        <f t="shared" si="65"/>
        <v>0</v>
      </c>
      <c r="Q1107" s="293">
        <f t="shared" si="66"/>
        <v>0</v>
      </c>
      <c r="S1107" s="293">
        <f t="shared" si="67"/>
        <v>0</v>
      </c>
      <c r="U1107" s="385"/>
      <c r="V1107" s="385"/>
      <c r="W1107" s="385"/>
      <c r="X1107" s="385"/>
    </row>
    <row r="1108" spans="3:24" s="277" customFormat="1" x14ac:dyDescent="0.3">
      <c r="D1108" s="356" t="s">
        <v>853</v>
      </c>
      <c r="E1108" s="356"/>
      <c r="F1108" s="356"/>
      <c r="G1108" s="356"/>
      <c r="I1108" s="48">
        <v>0</v>
      </c>
      <c r="K1108" s="48">
        <v>0</v>
      </c>
      <c r="M1108" s="279">
        <f t="shared" si="64"/>
        <v>0</v>
      </c>
      <c r="O1108" s="279">
        <f t="shared" si="65"/>
        <v>0</v>
      </c>
      <c r="Q1108" s="293">
        <f t="shared" si="66"/>
        <v>0</v>
      </c>
      <c r="S1108" s="293">
        <f t="shared" si="67"/>
        <v>0</v>
      </c>
      <c r="U1108" s="385"/>
      <c r="V1108" s="385"/>
      <c r="W1108" s="385"/>
      <c r="X1108" s="385"/>
    </row>
    <row r="1109" spans="3:24" s="277" customFormat="1" x14ac:dyDescent="0.3">
      <c r="D1109" s="356" t="s">
        <v>972</v>
      </c>
      <c r="E1109" s="356"/>
      <c r="F1109" s="356"/>
      <c r="G1109" s="356"/>
      <c r="I1109" s="48">
        <v>0</v>
      </c>
      <c r="K1109" s="48">
        <v>0</v>
      </c>
      <c r="M1109" s="279">
        <f t="shared" si="64"/>
        <v>0</v>
      </c>
      <c r="O1109" s="279">
        <f t="shared" si="65"/>
        <v>0</v>
      </c>
      <c r="Q1109" s="293">
        <f t="shared" si="66"/>
        <v>0</v>
      </c>
      <c r="S1109" s="293">
        <f t="shared" si="67"/>
        <v>0</v>
      </c>
      <c r="U1109" s="385"/>
      <c r="V1109" s="385"/>
      <c r="W1109" s="385"/>
      <c r="X1109" s="385"/>
    </row>
    <row r="1110" spans="3:24" s="277" customFormat="1" x14ac:dyDescent="0.3">
      <c r="D1110" s="356" t="s">
        <v>977</v>
      </c>
      <c r="E1110" s="356"/>
      <c r="F1110" s="356"/>
      <c r="G1110" s="356"/>
      <c r="I1110" s="48">
        <v>0</v>
      </c>
      <c r="K1110" s="48">
        <v>0</v>
      </c>
      <c r="M1110" s="279">
        <f t="shared" si="64"/>
        <v>0</v>
      </c>
      <c r="O1110" s="279">
        <f t="shared" si="65"/>
        <v>0</v>
      </c>
      <c r="Q1110" s="293">
        <f t="shared" si="66"/>
        <v>0</v>
      </c>
      <c r="S1110" s="293">
        <f t="shared" si="67"/>
        <v>0</v>
      </c>
      <c r="U1110" s="385"/>
      <c r="V1110" s="385"/>
      <c r="W1110" s="385"/>
      <c r="X1110" s="385"/>
    </row>
    <row r="1111" spans="3:24" s="277" customFormat="1" x14ac:dyDescent="0.3">
      <c r="D1111" s="356" t="s">
        <v>978</v>
      </c>
      <c r="E1111" s="356"/>
      <c r="F1111" s="356"/>
      <c r="G1111" s="356"/>
      <c r="I1111" s="48">
        <v>0</v>
      </c>
      <c r="K1111" s="48">
        <v>0</v>
      </c>
      <c r="M1111" s="279">
        <f t="shared" si="64"/>
        <v>0</v>
      </c>
      <c r="O1111" s="279">
        <f t="shared" si="65"/>
        <v>0</v>
      </c>
      <c r="Q1111" s="293">
        <f t="shared" si="66"/>
        <v>0</v>
      </c>
      <c r="S1111" s="293">
        <f t="shared" si="67"/>
        <v>0</v>
      </c>
      <c r="U1111" s="385"/>
      <c r="V1111" s="385"/>
      <c r="W1111" s="385"/>
      <c r="X1111" s="385"/>
    </row>
    <row r="1112" spans="3:24" s="277" customFormat="1" x14ac:dyDescent="0.3">
      <c r="D1112" s="356" t="s">
        <v>979</v>
      </c>
      <c r="E1112" s="356"/>
      <c r="F1112" s="356"/>
      <c r="G1112" s="356"/>
      <c r="I1112" s="48">
        <v>0</v>
      </c>
      <c r="K1112" s="48">
        <v>0</v>
      </c>
      <c r="M1112" s="279">
        <f t="shared" si="64"/>
        <v>0</v>
      </c>
      <c r="O1112" s="279">
        <f t="shared" si="65"/>
        <v>0</v>
      </c>
      <c r="Q1112" s="293">
        <f t="shared" si="66"/>
        <v>0</v>
      </c>
      <c r="S1112" s="293">
        <f t="shared" si="67"/>
        <v>0</v>
      </c>
      <c r="U1112" s="385"/>
      <c r="V1112" s="385"/>
      <c r="W1112" s="385"/>
      <c r="X1112" s="385"/>
    </row>
    <row r="1113" spans="3:24" s="277" customFormat="1" x14ac:dyDescent="0.3">
      <c r="D1113" s="356" t="s">
        <v>980</v>
      </c>
      <c r="E1113" s="356"/>
      <c r="F1113" s="356"/>
      <c r="G1113" s="356"/>
      <c r="I1113" s="48">
        <v>0</v>
      </c>
      <c r="K1113" s="48">
        <v>0</v>
      </c>
      <c r="M1113" s="279">
        <f t="shared" si="64"/>
        <v>0</v>
      </c>
      <c r="O1113" s="279">
        <f t="shared" si="65"/>
        <v>0</v>
      </c>
      <c r="Q1113" s="293">
        <f t="shared" si="66"/>
        <v>0</v>
      </c>
      <c r="S1113" s="293">
        <f t="shared" si="67"/>
        <v>0</v>
      </c>
      <c r="U1113" s="385"/>
      <c r="V1113" s="385"/>
      <c r="W1113" s="385"/>
      <c r="X1113" s="385"/>
    </row>
    <row r="1114" spans="3:24" ht="14.4" x14ac:dyDescent="0.3">
      <c r="D1114" s="420" t="s">
        <v>82</v>
      </c>
      <c r="E1114" s="421"/>
      <c r="F1114" s="421"/>
      <c r="G1114" s="421"/>
      <c r="I1114" s="43"/>
      <c r="K1114" s="43"/>
      <c r="M1114" s="43"/>
      <c r="O1114" s="43"/>
      <c r="Q1114" s="294">
        <f>SUM(Q1089:Q1113)</f>
        <v>0</v>
      </c>
      <c r="S1114" s="294">
        <f>SUM(S1089:S1113)</f>
        <v>0</v>
      </c>
    </row>
    <row r="1118" spans="3:24" ht="15.6" x14ac:dyDescent="0.3">
      <c r="C1118" s="92" t="s">
        <v>84</v>
      </c>
    </row>
    <row r="1119" spans="3:24" ht="27.6" x14ac:dyDescent="0.3">
      <c r="D1119" s="90" t="s">
        <v>102</v>
      </c>
      <c r="I1119" s="91" t="s">
        <v>87</v>
      </c>
      <c r="K1119" s="91" t="s">
        <v>432</v>
      </c>
      <c r="M1119" s="42" t="s">
        <v>107</v>
      </c>
      <c r="O1119" s="42" t="s">
        <v>108</v>
      </c>
      <c r="Q1119" s="42" t="s">
        <v>105</v>
      </c>
      <c r="S1119" s="42" t="s">
        <v>106</v>
      </c>
      <c r="U1119" s="350" t="s">
        <v>185</v>
      </c>
      <c r="V1119" s="351"/>
      <c r="W1119" s="351"/>
      <c r="X1119" s="351"/>
    </row>
    <row r="1120" spans="3:24" x14ac:dyDescent="0.3">
      <c r="D1120" s="356" t="s">
        <v>892</v>
      </c>
      <c r="E1120" s="356"/>
      <c r="F1120" s="356"/>
      <c r="G1120" s="356"/>
      <c r="I1120" s="48">
        <v>0</v>
      </c>
      <c r="K1120" s="48">
        <v>0</v>
      </c>
      <c r="M1120" s="40">
        <f t="shared" ref="M1120:M1144" si="68">IFERROR(IF(DD_ACT_20_Meet1_Curr=1,INDEX($M$1292:$M$1326,MATCH(D1120,LU_ACT_20_Supplies,0)),INDEX($Q$1292:$Q$1326,MATCH(D1120,LU_ACT_20_Supplies,0))),0)</f>
        <v>0</v>
      </c>
      <c r="O1120" s="40">
        <f t="shared" ref="O1120:O1144" si="69">IFERROR(IF(DD_ACT_20_Meet1_Curr=1,INDEX($O$1292:$O$1326,MATCH(D1120,LU_ACT_20_Supplies,0)),INDEX($S$1292:$S$1326,MATCH(D1120,LU_ACT_20_Supplies,0))),0)</f>
        <v>0</v>
      </c>
      <c r="Q1120" s="295">
        <f t="shared" ref="Q1120:Q1144" si="70">I1120*K1120*M1120</f>
        <v>0</v>
      </c>
      <c r="S1120" s="293">
        <f t="shared" ref="S1120:S1144" si="71">I1120*K1120*O1120</f>
        <v>0</v>
      </c>
      <c r="U1120" s="356"/>
      <c r="V1120" s="356"/>
      <c r="W1120" s="356"/>
      <c r="X1120" s="356"/>
    </row>
    <row r="1121" spans="4:24" x14ac:dyDescent="0.3">
      <c r="D1121" s="356" t="s">
        <v>893</v>
      </c>
      <c r="E1121" s="356"/>
      <c r="F1121" s="356"/>
      <c r="G1121" s="356"/>
      <c r="I1121" s="48">
        <v>0</v>
      </c>
      <c r="K1121" s="48">
        <v>0</v>
      </c>
      <c r="M1121" s="40">
        <f t="shared" si="68"/>
        <v>0</v>
      </c>
      <c r="O1121" s="40">
        <f t="shared" si="69"/>
        <v>0</v>
      </c>
      <c r="Q1121" s="295">
        <f t="shared" si="70"/>
        <v>0</v>
      </c>
      <c r="S1121" s="293">
        <f t="shared" si="71"/>
        <v>0</v>
      </c>
      <c r="U1121" s="356"/>
      <c r="V1121" s="356"/>
      <c r="W1121" s="356"/>
      <c r="X1121" s="356"/>
    </row>
    <row r="1122" spans="4:24" s="277" customFormat="1" x14ac:dyDescent="0.3">
      <c r="D1122" s="356" t="s">
        <v>854</v>
      </c>
      <c r="E1122" s="356"/>
      <c r="F1122" s="356"/>
      <c r="G1122" s="356"/>
      <c r="I1122" s="48">
        <v>0</v>
      </c>
      <c r="K1122" s="48">
        <v>0</v>
      </c>
      <c r="M1122" s="279">
        <f t="shared" si="68"/>
        <v>0</v>
      </c>
      <c r="O1122" s="279">
        <f t="shared" si="69"/>
        <v>0</v>
      </c>
      <c r="Q1122" s="295">
        <f t="shared" si="70"/>
        <v>0</v>
      </c>
      <c r="S1122" s="293">
        <f t="shared" si="71"/>
        <v>0</v>
      </c>
      <c r="U1122" s="385"/>
      <c r="V1122" s="385"/>
      <c r="W1122" s="385"/>
      <c r="X1122" s="385"/>
    </row>
    <row r="1123" spans="4:24" s="277" customFormat="1" x14ac:dyDescent="0.3">
      <c r="D1123" s="356" t="s">
        <v>855</v>
      </c>
      <c r="E1123" s="356"/>
      <c r="F1123" s="356"/>
      <c r="G1123" s="356"/>
      <c r="I1123" s="48">
        <v>0</v>
      </c>
      <c r="K1123" s="48">
        <v>0</v>
      </c>
      <c r="M1123" s="279">
        <f t="shared" si="68"/>
        <v>0</v>
      </c>
      <c r="O1123" s="279">
        <f t="shared" si="69"/>
        <v>0</v>
      </c>
      <c r="Q1123" s="295">
        <f t="shared" si="70"/>
        <v>0</v>
      </c>
      <c r="S1123" s="293">
        <f t="shared" si="71"/>
        <v>0</v>
      </c>
      <c r="U1123" s="385"/>
      <c r="V1123" s="385"/>
      <c r="W1123" s="385"/>
      <c r="X1123" s="385"/>
    </row>
    <row r="1124" spans="4:24" s="277" customFormat="1" x14ac:dyDescent="0.3">
      <c r="D1124" s="356" t="s">
        <v>856</v>
      </c>
      <c r="E1124" s="356"/>
      <c r="F1124" s="356"/>
      <c r="G1124" s="356"/>
      <c r="I1124" s="48">
        <v>0</v>
      </c>
      <c r="K1124" s="48">
        <v>0</v>
      </c>
      <c r="M1124" s="279">
        <f t="shared" si="68"/>
        <v>0</v>
      </c>
      <c r="O1124" s="279">
        <f t="shared" si="69"/>
        <v>0</v>
      </c>
      <c r="Q1124" s="295">
        <f t="shared" si="70"/>
        <v>0</v>
      </c>
      <c r="S1124" s="293">
        <f t="shared" si="71"/>
        <v>0</v>
      </c>
      <c r="U1124" s="385"/>
      <c r="V1124" s="385"/>
      <c r="W1124" s="385"/>
      <c r="X1124" s="385"/>
    </row>
    <row r="1125" spans="4:24" s="277" customFormat="1" x14ac:dyDescent="0.3">
      <c r="D1125" s="356" t="s">
        <v>857</v>
      </c>
      <c r="E1125" s="356"/>
      <c r="F1125" s="356"/>
      <c r="G1125" s="356"/>
      <c r="I1125" s="48">
        <v>0</v>
      </c>
      <c r="K1125" s="48">
        <v>0</v>
      </c>
      <c r="M1125" s="279">
        <f t="shared" si="68"/>
        <v>0</v>
      </c>
      <c r="O1125" s="279">
        <f t="shared" si="69"/>
        <v>0</v>
      </c>
      <c r="Q1125" s="295">
        <f t="shared" si="70"/>
        <v>0</v>
      </c>
      <c r="S1125" s="293">
        <f t="shared" si="71"/>
        <v>0</v>
      </c>
      <c r="U1125" s="385"/>
      <c r="V1125" s="385"/>
      <c r="W1125" s="385"/>
      <c r="X1125" s="385"/>
    </row>
    <row r="1126" spans="4:24" s="277" customFormat="1" x14ac:dyDescent="0.3">
      <c r="D1126" s="356" t="s">
        <v>858</v>
      </c>
      <c r="E1126" s="356"/>
      <c r="F1126" s="356"/>
      <c r="G1126" s="356"/>
      <c r="I1126" s="48">
        <v>0</v>
      </c>
      <c r="K1126" s="48">
        <v>0</v>
      </c>
      <c r="M1126" s="279">
        <f t="shared" si="68"/>
        <v>0</v>
      </c>
      <c r="O1126" s="279">
        <f t="shared" si="69"/>
        <v>0</v>
      </c>
      <c r="Q1126" s="295">
        <f t="shared" si="70"/>
        <v>0</v>
      </c>
      <c r="S1126" s="293">
        <f t="shared" si="71"/>
        <v>0</v>
      </c>
      <c r="U1126" s="385"/>
      <c r="V1126" s="385"/>
      <c r="W1126" s="385"/>
      <c r="X1126" s="385"/>
    </row>
    <row r="1127" spans="4:24" s="277" customFormat="1" x14ac:dyDescent="0.3">
      <c r="D1127" s="356" t="s">
        <v>859</v>
      </c>
      <c r="E1127" s="356"/>
      <c r="F1127" s="356"/>
      <c r="G1127" s="356"/>
      <c r="I1127" s="48">
        <v>0</v>
      </c>
      <c r="K1127" s="48">
        <v>0</v>
      </c>
      <c r="M1127" s="279">
        <f t="shared" si="68"/>
        <v>0</v>
      </c>
      <c r="O1127" s="279">
        <f t="shared" si="69"/>
        <v>0</v>
      </c>
      <c r="Q1127" s="295">
        <f t="shared" si="70"/>
        <v>0</v>
      </c>
      <c r="S1127" s="293">
        <f t="shared" si="71"/>
        <v>0</v>
      </c>
      <c r="U1127" s="385"/>
      <c r="V1127" s="385"/>
      <c r="W1127" s="385"/>
      <c r="X1127" s="385"/>
    </row>
    <row r="1128" spans="4:24" s="277" customFormat="1" x14ac:dyDescent="0.3">
      <c r="D1128" s="356" t="s">
        <v>860</v>
      </c>
      <c r="E1128" s="356"/>
      <c r="F1128" s="356"/>
      <c r="G1128" s="356"/>
      <c r="I1128" s="48">
        <v>0</v>
      </c>
      <c r="K1128" s="48">
        <v>0</v>
      </c>
      <c r="M1128" s="279">
        <f t="shared" si="68"/>
        <v>0</v>
      </c>
      <c r="O1128" s="279">
        <f t="shared" si="69"/>
        <v>0</v>
      </c>
      <c r="Q1128" s="295">
        <f t="shared" si="70"/>
        <v>0</v>
      </c>
      <c r="S1128" s="293">
        <f t="shared" si="71"/>
        <v>0</v>
      </c>
      <c r="U1128" s="385"/>
      <c r="V1128" s="385"/>
      <c r="W1128" s="385"/>
      <c r="X1128" s="385"/>
    </row>
    <row r="1129" spans="4:24" s="277" customFormat="1" x14ac:dyDescent="0.3">
      <c r="D1129" s="356" t="s">
        <v>861</v>
      </c>
      <c r="E1129" s="356"/>
      <c r="F1129" s="356"/>
      <c r="G1129" s="356"/>
      <c r="I1129" s="48">
        <v>0</v>
      </c>
      <c r="K1129" s="48">
        <v>0</v>
      </c>
      <c r="M1129" s="279">
        <f t="shared" si="68"/>
        <v>0</v>
      </c>
      <c r="O1129" s="279">
        <f t="shared" si="69"/>
        <v>0</v>
      </c>
      <c r="Q1129" s="295">
        <f t="shared" si="70"/>
        <v>0</v>
      </c>
      <c r="S1129" s="293">
        <f t="shared" si="71"/>
        <v>0</v>
      </c>
      <c r="U1129" s="385"/>
      <c r="V1129" s="385"/>
      <c r="W1129" s="385"/>
      <c r="X1129" s="385"/>
    </row>
    <row r="1130" spans="4:24" s="277" customFormat="1" x14ac:dyDescent="0.3">
      <c r="D1130" s="356" t="s">
        <v>862</v>
      </c>
      <c r="E1130" s="356"/>
      <c r="F1130" s="356"/>
      <c r="G1130" s="356"/>
      <c r="I1130" s="48">
        <v>0</v>
      </c>
      <c r="K1130" s="48">
        <v>0</v>
      </c>
      <c r="M1130" s="279">
        <f t="shared" si="68"/>
        <v>0</v>
      </c>
      <c r="O1130" s="279">
        <f t="shared" si="69"/>
        <v>0</v>
      </c>
      <c r="Q1130" s="295">
        <f t="shared" si="70"/>
        <v>0</v>
      </c>
      <c r="S1130" s="293">
        <f t="shared" si="71"/>
        <v>0</v>
      </c>
      <c r="U1130" s="385"/>
      <c r="V1130" s="385"/>
      <c r="W1130" s="385"/>
      <c r="X1130" s="385"/>
    </row>
    <row r="1131" spans="4:24" s="277" customFormat="1" x14ac:dyDescent="0.3">
      <c r="D1131" s="356" t="s">
        <v>863</v>
      </c>
      <c r="E1131" s="356"/>
      <c r="F1131" s="356"/>
      <c r="G1131" s="356"/>
      <c r="I1131" s="48">
        <v>0</v>
      </c>
      <c r="K1131" s="48">
        <v>0</v>
      </c>
      <c r="M1131" s="279">
        <f t="shared" si="68"/>
        <v>0</v>
      </c>
      <c r="O1131" s="279">
        <f t="shared" si="69"/>
        <v>0</v>
      </c>
      <c r="Q1131" s="295">
        <f t="shared" si="70"/>
        <v>0</v>
      </c>
      <c r="S1131" s="293">
        <f t="shared" si="71"/>
        <v>0</v>
      </c>
      <c r="U1131" s="385"/>
      <c r="V1131" s="385"/>
      <c r="W1131" s="385"/>
      <c r="X1131" s="385"/>
    </row>
    <row r="1132" spans="4:24" s="277" customFormat="1" x14ac:dyDescent="0.3">
      <c r="D1132" s="356" t="s">
        <v>864</v>
      </c>
      <c r="E1132" s="356"/>
      <c r="F1132" s="356"/>
      <c r="G1132" s="356"/>
      <c r="I1132" s="48">
        <v>0</v>
      </c>
      <c r="K1132" s="48">
        <v>0</v>
      </c>
      <c r="M1132" s="279">
        <f t="shared" si="68"/>
        <v>0</v>
      </c>
      <c r="O1132" s="279">
        <f t="shared" si="69"/>
        <v>0</v>
      </c>
      <c r="Q1132" s="295">
        <f t="shared" si="70"/>
        <v>0</v>
      </c>
      <c r="S1132" s="293">
        <f t="shared" si="71"/>
        <v>0</v>
      </c>
      <c r="U1132" s="385"/>
      <c r="V1132" s="385"/>
      <c r="W1132" s="385"/>
      <c r="X1132" s="385"/>
    </row>
    <row r="1133" spans="4:24" s="277" customFormat="1" x14ac:dyDescent="0.3">
      <c r="D1133" s="356" t="s">
        <v>865</v>
      </c>
      <c r="E1133" s="356"/>
      <c r="F1133" s="356"/>
      <c r="G1133" s="356"/>
      <c r="I1133" s="48">
        <v>0</v>
      </c>
      <c r="K1133" s="48">
        <v>0</v>
      </c>
      <c r="M1133" s="279">
        <f t="shared" si="68"/>
        <v>0</v>
      </c>
      <c r="O1133" s="279">
        <f t="shared" si="69"/>
        <v>0</v>
      </c>
      <c r="Q1133" s="295">
        <f t="shared" si="70"/>
        <v>0</v>
      </c>
      <c r="S1133" s="293">
        <f t="shared" si="71"/>
        <v>0</v>
      </c>
      <c r="U1133" s="385"/>
      <c r="V1133" s="385"/>
      <c r="W1133" s="385"/>
      <c r="X1133" s="385"/>
    </row>
    <row r="1134" spans="4:24" s="277" customFormat="1" x14ac:dyDescent="0.3">
      <c r="D1134" s="356" t="s">
        <v>866</v>
      </c>
      <c r="E1134" s="356"/>
      <c r="F1134" s="356"/>
      <c r="G1134" s="356"/>
      <c r="I1134" s="48">
        <v>0</v>
      </c>
      <c r="K1134" s="48">
        <v>0</v>
      </c>
      <c r="M1134" s="279">
        <f t="shared" si="68"/>
        <v>0</v>
      </c>
      <c r="O1134" s="279">
        <f t="shared" si="69"/>
        <v>0</v>
      </c>
      <c r="Q1134" s="295">
        <f t="shared" si="70"/>
        <v>0</v>
      </c>
      <c r="S1134" s="293">
        <f t="shared" si="71"/>
        <v>0</v>
      </c>
      <c r="U1134" s="385"/>
      <c r="V1134" s="385"/>
      <c r="W1134" s="385"/>
      <c r="X1134" s="385"/>
    </row>
    <row r="1135" spans="4:24" s="277" customFormat="1" x14ac:dyDescent="0.3">
      <c r="D1135" s="356" t="s">
        <v>867</v>
      </c>
      <c r="E1135" s="356"/>
      <c r="F1135" s="356"/>
      <c r="G1135" s="356"/>
      <c r="I1135" s="48">
        <v>0</v>
      </c>
      <c r="K1135" s="48">
        <v>0</v>
      </c>
      <c r="M1135" s="279">
        <f t="shared" si="68"/>
        <v>0</v>
      </c>
      <c r="O1135" s="279">
        <f t="shared" si="69"/>
        <v>0</v>
      </c>
      <c r="Q1135" s="295">
        <f t="shared" si="70"/>
        <v>0</v>
      </c>
      <c r="S1135" s="293">
        <f t="shared" si="71"/>
        <v>0</v>
      </c>
      <c r="U1135" s="385"/>
      <c r="V1135" s="385"/>
      <c r="W1135" s="385"/>
      <c r="X1135" s="385"/>
    </row>
    <row r="1136" spans="4:24" s="277" customFormat="1" x14ac:dyDescent="0.3">
      <c r="D1136" s="356" t="s">
        <v>868</v>
      </c>
      <c r="E1136" s="356"/>
      <c r="F1136" s="356"/>
      <c r="G1136" s="356"/>
      <c r="I1136" s="48">
        <v>0</v>
      </c>
      <c r="K1136" s="48">
        <v>0</v>
      </c>
      <c r="M1136" s="279">
        <f t="shared" si="68"/>
        <v>0</v>
      </c>
      <c r="O1136" s="279">
        <f t="shared" si="69"/>
        <v>0</v>
      </c>
      <c r="Q1136" s="295">
        <f t="shared" si="70"/>
        <v>0</v>
      </c>
      <c r="S1136" s="293">
        <f t="shared" si="71"/>
        <v>0</v>
      </c>
      <c r="U1136" s="385"/>
      <c r="V1136" s="385"/>
      <c r="W1136" s="385"/>
      <c r="X1136" s="385"/>
    </row>
    <row r="1137" spans="3:24" s="277" customFormat="1" x14ac:dyDescent="0.3">
      <c r="D1137" s="356" t="s">
        <v>869</v>
      </c>
      <c r="E1137" s="356"/>
      <c r="F1137" s="356"/>
      <c r="G1137" s="356"/>
      <c r="I1137" s="48">
        <v>0</v>
      </c>
      <c r="K1137" s="48">
        <v>0</v>
      </c>
      <c r="M1137" s="279">
        <f t="shared" si="68"/>
        <v>0</v>
      </c>
      <c r="O1137" s="279">
        <f t="shared" si="69"/>
        <v>0</v>
      </c>
      <c r="Q1137" s="295">
        <f t="shared" si="70"/>
        <v>0</v>
      </c>
      <c r="S1137" s="293">
        <f t="shared" si="71"/>
        <v>0</v>
      </c>
      <c r="U1137" s="385"/>
      <c r="V1137" s="385"/>
      <c r="W1137" s="385"/>
      <c r="X1137" s="385"/>
    </row>
    <row r="1138" spans="3:24" s="277" customFormat="1" x14ac:dyDescent="0.3">
      <c r="D1138" s="356" t="s">
        <v>870</v>
      </c>
      <c r="E1138" s="356"/>
      <c r="F1138" s="356"/>
      <c r="G1138" s="356"/>
      <c r="I1138" s="48">
        <v>0</v>
      </c>
      <c r="K1138" s="48">
        <v>0</v>
      </c>
      <c r="M1138" s="279">
        <f t="shared" si="68"/>
        <v>0</v>
      </c>
      <c r="O1138" s="279">
        <f t="shared" si="69"/>
        <v>0</v>
      </c>
      <c r="Q1138" s="295">
        <f t="shared" si="70"/>
        <v>0</v>
      </c>
      <c r="S1138" s="293">
        <f t="shared" si="71"/>
        <v>0</v>
      </c>
      <c r="U1138" s="385"/>
      <c r="V1138" s="385"/>
      <c r="W1138" s="385"/>
      <c r="X1138" s="385"/>
    </row>
    <row r="1139" spans="3:24" s="277" customFormat="1" x14ac:dyDescent="0.3">
      <c r="D1139" s="356" t="s">
        <v>871</v>
      </c>
      <c r="E1139" s="356"/>
      <c r="F1139" s="356"/>
      <c r="G1139" s="356"/>
      <c r="I1139" s="48">
        <v>0</v>
      </c>
      <c r="K1139" s="48">
        <v>0</v>
      </c>
      <c r="M1139" s="279">
        <f t="shared" si="68"/>
        <v>0</v>
      </c>
      <c r="O1139" s="279">
        <f t="shared" si="69"/>
        <v>0</v>
      </c>
      <c r="Q1139" s="295">
        <f t="shared" si="70"/>
        <v>0</v>
      </c>
      <c r="S1139" s="293">
        <f t="shared" si="71"/>
        <v>0</v>
      </c>
      <c r="U1139" s="385"/>
      <c r="V1139" s="385"/>
      <c r="W1139" s="385"/>
      <c r="X1139" s="385"/>
    </row>
    <row r="1140" spans="3:24" s="277" customFormat="1" x14ac:dyDescent="0.3">
      <c r="D1140" s="356" t="s">
        <v>981</v>
      </c>
      <c r="E1140" s="356"/>
      <c r="F1140" s="356"/>
      <c r="G1140" s="356"/>
      <c r="I1140" s="48">
        <v>0</v>
      </c>
      <c r="K1140" s="48">
        <v>0</v>
      </c>
      <c r="M1140" s="279">
        <f t="shared" si="68"/>
        <v>0</v>
      </c>
      <c r="O1140" s="279">
        <f t="shared" si="69"/>
        <v>0</v>
      </c>
      <c r="Q1140" s="295">
        <f t="shared" si="70"/>
        <v>0</v>
      </c>
      <c r="S1140" s="293">
        <f t="shared" si="71"/>
        <v>0</v>
      </c>
      <c r="U1140" s="385"/>
      <c r="V1140" s="385"/>
      <c r="W1140" s="385"/>
      <c r="X1140" s="385"/>
    </row>
    <row r="1141" spans="3:24" s="277" customFormat="1" x14ac:dyDescent="0.3">
      <c r="D1141" s="356" t="s">
        <v>982</v>
      </c>
      <c r="E1141" s="356"/>
      <c r="F1141" s="356"/>
      <c r="G1141" s="356"/>
      <c r="I1141" s="48">
        <v>0</v>
      </c>
      <c r="K1141" s="48">
        <v>0</v>
      </c>
      <c r="M1141" s="279">
        <f t="shared" si="68"/>
        <v>0</v>
      </c>
      <c r="O1141" s="279">
        <f t="shared" si="69"/>
        <v>0</v>
      </c>
      <c r="Q1141" s="295">
        <f t="shared" si="70"/>
        <v>0</v>
      </c>
      <c r="S1141" s="293">
        <f t="shared" si="71"/>
        <v>0</v>
      </c>
      <c r="U1141" s="385"/>
      <c r="V1141" s="385"/>
      <c r="W1141" s="385"/>
      <c r="X1141" s="385"/>
    </row>
    <row r="1142" spans="3:24" s="277" customFormat="1" x14ac:dyDescent="0.3">
      <c r="D1142" s="356" t="s">
        <v>983</v>
      </c>
      <c r="E1142" s="356"/>
      <c r="F1142" s="356"/>
      <c r="G1142" s="356"/>
      <c r="I1142" s="48">
        <v>0</v>
      </c>
      <c r="K1142" s="48">
        <v>0</v>
      </c>
      <c r="M1142" s="279">
        <f t="shared" si="68"/>
        <v>0</v>
      </c>
      <c r="O1142" s="279">
        <f t="shared" si="69"/>
        <v>0</v>
      </c>
      <c r="Q1142" s="295">
        <f t="shared" si="70"/>
        <v>0</v>
      </c>
      <c r="S1142" s="293">
        <f t="shared" si="71"/>
        <v>0</v>
      </c>
      <c r="U1142" s="385"/>
      <c r="V1142" s="385"/>
      <c r="W1142" s="385"/>
      <c r="X1142" s="385"/>
    </row>
    <row r="1143" spans="3:24" s="277" customFormat="1" x14ac:dyDescent="0.3">
      <c r="D1143" s="356" t="s">
        <v>984</v>
      </c>
      <c r="E1143" s="356"/>
      <c r="F1143" s="356"/>
      <c r="G1143" s="356"/>
      <c r="I1143" s="48">
        <v>0</v>
      </c>
      <c r="K1143" s="48">
        <v>0</v>
      </c>
      <c r="M1143" s="279">
        <f t="shared" si="68"/>
        <v>0</v>
      </c>
      <c r="O1143" s="279">
        <f t="shared" si="69"/>
        <v>0</v>
      </c>
      <c r="Q1143" s="295">
        <f t="shared" si="70"/>
        <v>0</v>
      </c>
      <c r="S1143" s="293">
        <f t="shared" si="71"/>
        <v>0</v>
      </c>
      <c r="U1143" s="385"/>
      <c r="V1143" s="385"/>
      <c r="W1143" s="385"/>
      <c r="X1143" s="385"/>
    </row>
    <row r="1144" spans="3:24" s="277" customFormat="1" x14ac:dyDescent="0.3">
      <c r="D1144" s="356" t="s">
        <v>985</v>
      </c>
      <c r="E1144" s="356"/>
      <c r="F1144" s="356"/>
      <c r="G1144" s="356"/>
      <c r="I1144" s="48">
        <v>0</v>
      </c>
      <c r="K1144" s="48">
        <v>0</v>
      </c>
      <c r="M1144" s="279">
        <f t="shared" si="68"/>
        <v>0</v>
      </c>
      <c r="O1144" s="279">
        <f t="shared" si="69"/>
        <v>0</v>
      </c>
      <c r="Q1144" s="295">
        <f t="shared" si="70"/>
        <v>0</v>
      </c>
      <c r="S1144" s="293">
        <f t="shared" si="71"/>
        <v>0</v>
      </c>
      <c r="U1144" s="385"/>
      <c r="V1144" s="385"/>
      <c r="W1144" s="385"/>
      <c r="X1144" s="385"/>
    </row>
    <row r="1145" spans="3:24" ht="14.4" x14ac:dyDescent="0.3">
      <c r="D1145" s="420" t="s">
        <v>85</v>
      </c>
      <c r="E1145" s="421"/>
      <c r="F1145" s="421"/>
      <c r="G1145" s="421"/>
      <c r="I1145" s="43"/>
      <c r="K1145" s="43"/>
      <c r="M1145" s="43"/>
      <c r="O1145" s="43"/>
      <c r="Q1145" s="296">
        <f>SUM(Q1120:Q1144)</f>
        <v>0</v>
      </c>
      <c r="S1145" s="294">
        <f>SUM(S1120:S1144)</f>
        <v>0</v>
      </c>
      <c r="U1145" s="43"/>
      <c r="V1145" s="43"/>
      <c r="W1145" s="43"/>
      <c r="X1145" s="43"/>
    </row>
    <row r="1147" spans="3:24" ht="27.6" x14ac:dyDescent="0.3">
      <c r="C1147" s="92" t="s">
        <v>130</v>
      </c>
      <c r="Q1147" s="44" t="str">
        <f>"FINANCIAL COST ("&amp;INDEX(LU_ACT_20_Meet_Curr,DD_ACT_20_Meet1_Curr)&amp;")"</f>
        <v>FINANCIAL COST (GOZ)</v>
      </c>
      <c r="S1147" s="44" t="str">
        <f>"ECONOMIC COST ("&amp;INDEX(LU_ACT_20_Meet_Curr,DD_ACT_20_Meet1_Curr)&amp;")"</f>
        <v>ECONOMIC COST (GOZ)</v>
      </c>
    </row>
    <row r="1148" spans="3:24" ht="14.4" x14ac:dyDescent="0.3">
      <c r="D1148" s="90" t="s">
        <v>86</v>
      </c>
      <c r="I1148" s="91" t="s">
        <v>186</v>
      </c>
      <c r="M1148" s="91" t="s">
        <v>81</v>
      </c>
      <c r="O1148" s="91" t="s">
        <v>83</v>
      </c>
      <c r="U1148" s="350" t="s">
        <v>185</v>
      </c>
      <c r="V1148" s="351"/>
      <c r="W1148" s="351"/>
      <c r="X1148" s="351"/>
    </row>
    <row r="1149" spans="3:24" x14ac:dyDescent="0.3">
      <c r="D1149" s="356" t="s">
        <v>70</v>
      </c>
      <c r="E1149" s="356"/>
      <c r="F1149" s="356"/>
      <c r="G1149" s="356"/>
      <c r="I1149" s="48">
        <v>0</v>
      </c>
      <c r="M1149" s="40">
        <f t="shared" ref="M1149:M1173" si="72">IFERROR(IF(DD_ACT_20_Meet1_Curr=1,INDEX($M$1329:$M$1363,MATCH(D1149,LU_ACT_20_Equipment,0)),INDEX($Q$1329:$Q$1363,MATCH(D1149,LU_ACT_20_Equipment,0))),0)</f>
        <v>0</v>
      </c>
      <c r="O1149" s="40">
        <f t="shared" ref="O1149:O1173" si="73">IFERROR(IF(DD_ACT_20_Meet1_Curr=1,INDEX($O$1329:$O$1363,MATCH(D1149,LU_ACT_20_Equipment,0)),INDEX($S$1329:$S$1363,MATCH(D1149,LU_ACT_20_Equipment,0))),0)</f>
        <v>0</v>
      </c>
      <c r="Q1149" s="279">
        <f t="shared" ref="Q1149:Q1173" si="74">I1149*M1149</f>
        <v>0</v>
      </c>
      <c r="S1149" s="279">
        <f t="shared" ref="S1149:S1173" si="75">I1149*O1149</f>
        <v>0</v>
      </c>
      <c r="U1149" s="356"/>
      <c r="V1149" s="356"/>
      <c r="W1149" s="356"/>
      <c r="X1149" s="356"/>
    </row>
    <row r="1150" spans="3:24" x14ac:dyDescent="0.3">
      <c r="D1150" s="356" t="s">
        <v>122</v>
      </c>
      <c r="E1150" s="356"/>
      <c r="F1150" s="356"/>
      <c r="G1150" s="356"/>
      <c r="I1150" s="48">
        <v>0</v>
      </c>
      <c r="M1150" s="40">
        <f t="shared" si="72"/>
        <v>0</v>
      </c>
      <c r="O1150" s="40">
        <f t="shared" si="73"/>
        <v>0</v>
      </c>
      <c r="Q1150" s="279">
        <f t="shared" si="74"/>
        <v>0</v>
      </c>
      <c r="S1150" s="279">
        <f t="shared" si="75"/>
        <v>0</v>
      </c>
      <c r="U1150" s="356"/>
      <c r="V1150" s="356"/>
      <c r="W1150" s="356"/>
      <c r="X1150" s="356"/>
    </row>
    <row r="1151" spans="3:24" s="277" customFormat="1" x14ac:dyDescent="0.3">
      <c r="D1151" s="356" t="s">
        <v>872</v>
      </c>
      <c r="E1151" s="356"/>
      <c r="F1151" s="356"/>
      <c r="G1151" s="356"/>
      <c r="I1151" s="48">
        <v>0</v>
      </c>
      <c r="M1151" s="279">
        <f t="shared" si="72"/>
        <v>0</v>
      </c>
      <c r="O1151" s="279">
        <f t="shared" si="73"/>
        <v>0</v>
      </c>
      <c r="Q1151" s="279">
        <f t="shared" si="74"/>
        <v>0</v>
      </c>
      <c r="S1151" s="279">
        <f t="shared" si="75"/>
        <v>0</v>
      </c>
      <c r="U1151" s="385"/>
      <c r="V1151" s="385"/>
      <c r="W1151" s="385"/>
      <c r="X1151" s="385"/>
    </row>
    <row r="1152" spans="3:24" s="277" customFormat="1" x14ac:dyDescent="0.3">
      <c r="D1152" s="356" t="s">
        <v>873</v>
      </c>
      <c r="E1152" s="356"/>
      <c r="F1152" s="356"/>
      <c r="G1152" s="356"/>
      <c r="I1152" s="48">
        <v>0</v>
      </c>
      <c r="M1152" s="279">
        <f t="shared" si="72"/>
        <v>0</v>
      </c>
      <c r="O1152" s="279">
        <f t="shared" si="73"/>
        <v>0</v>
      </c>
      <c r="Q1152" s="279">
        <f t="shared" si="74"/>
        <v>0</v>
      </c>
      <c r="S1152" s="279">
        <f t="shared" si="75"/>
        <v>0</v>
      </c>
      <c r="U1152" s="385"/>
      <c r="V1152" s="385"/>
      <c r="W1152" s="385"/>
      <c r="X1152" s="385"/>
    </row>
    <row r="1153" spans="4:24" s="277" customFormat="1" x14ac:dyDescent="0.3">
      <c r="D1153" s="356" t="s">
        <v>874</v>
      </c>
      <c r="E1153" s="356"/>
      <c r="F1153" s="356"/>
      <c r="G1153" s="356"/>
      <c r="I1153" s="48">
        <v>0</v>
      </c>
      <c r="M1153" s="279">
        <f t="shared" si="72"/>
        <v>0</v>
      </c>
      <c r="O1153" s="279">
        <f t="shared" si="73"/>
        <v>0</v>
      </c>
      <c r="Q1153" s="279">
        <f t="shared" si="74"/>
        <v>0</v>
      </c>
      <c r="S1153" s="279">
        <f t="shared" si="75"/>
        <v>0</v>
      </c>
      <c r="U1153" s="385"/>
      <c r="V1153" s="385"/>
      <c r="W1153" s="385"/>
      <c r="X1153" s="385"/>
    </row>
    <row r="1154" spans="4:24" s="277" customFormat="1" x14ac:dyDescent="0.3">
      <c r="D1154" s="356" t="s">
        <v>875</v>
      </c>
      <c r="E1154" s="356"/>
      <c r="F1154" s="356"/>
      <c r="G1154" s="356"/>
      <c r="I1154" s="48">
        <v>0</v>
      </c>
      <c r="M1154" s="279">
        <f t="shared" si="72"/>
        <v>0</v>
      </c>
      <c r="O1154" s="279">
        <f t="shared" si="73"/>
        <v>0</v>
      </c>
      <c r="Q1154" s="279">
        <f t="shared" si="74"/>
        <v>0</v>
      </c>
      <c r="S1154" s="279">
        <f t="shared" si="75"/>
        <v>0</v>
      </c>
      <c r="U1154" s="385"/>
      <c r="V1154" s="385"/>
      <c r="W1154" s="385"/>
      <c r="X1154" s="385"/>
    </row>
    <row r="1155" spans="4:24" s="277" customFormat="1" x14ac:dyDescent="0.3">
      <c r="D1155" s="356" t="s">
        <v>778</v>
      </c>
      <c r="E1155" s="356"/>
      <c r="F1155" s="356"/>
      <c r="G1155" s="356"/>
      <c r="I1155" s="48">
        <v>0</v>
      </c>
      <c r="M1155" s="279">
        <f t="shared" si="72"/>
        <v>0</v>
      </c>
      <c r="O1155" s="279">
        <f t="shared" si="73"/>
        <v>0</v>
      </c>
      <c r="Q1155" s="279">
        <f t="shared" si="74"/>
        <v>0</v>
      </c>
      <c r="S1155" s="279">
        <f t="shared" si="75"/>
        <v>0</v>
      </c>
      <c r="U1155" s="385"/>
      <c r="V1155" s="385"/>
      <c r="W1155" s="385"/>
      <c r="X1155" s="385"/>
    </row>
    <row r="1156" spans="4:24" s="277" customFormat="1" x14ac:dyDescent="0.3">
      <c r="D1156" s="356" t="s">
        <v>779</v>
      </c>
      <c r="E1156" s="356"/>
      <c r="F1156" s="356"/>
      <c r="G1156" s="356"/>
      <c r="I1156" s="48">
        <v>0</v>
      </c>
      <c r="M1156" s="279">
        <f t="shared" si="72"/>
        <v>0</v>
      </c>
      <c r="O1156" s="279">
        <f t="shared" si="73"/>
        <v>0</v>
      </c>
      <c r="Q1156" s="279">
        <f t="shared" si="74"/>
        <v>0</v>
      </c>
      <c r="S1156" s="279">
        <f t="shared" si="75"/>
        <v>0</v>
      </c>
      <c r="U1156" s="385"/>
      <c r="V1156" s="385"/>
      <c r="W1156" s="385"/>
      <c r="X1156" s="385"/>
    </row>
    <row r="1157" spans="4:24" s="277" customFormat="1" x14ac:dyDescent="0.3">
      <c r="D1157" s="356" t="s">
        <v>780</v>
      </c>
      <c r="E1157" s="356"/>
      <c r="F1157" s="356"/>
      <c r="G1157" s="356"/>
      <c r="I1157" s="48">
        <v>0</v>
      </c>
      <c r="M1157" s="279">
        <f t="shared" si="72"/>
        <v>0</v>
      </c>
      <c r="O1157" s="279">
        <f t="shared" si="73"/>
        <v>0</v>
      </c>
      <c r="Q1157" s="279">
        <f t="shared" si="74"/>
        <v>0</v>
      </c>
      <c r="S1157" s="279">
        <f t="shared" si="75"/>
        <v>0</v>
      </c>
      <c r="U1157" s="385"/>
      <c r="V1157" s="385"/>
      <c r="W1157" s="385"/>
      <c r="X1157" s="385"/>
    </row>
    <row r="1158" spans="4:24" s="277" customFormat="1" x14ac:dyDescent="0.3">
      <c r="D1158" s="356" t="s">
        <v>781</v>
      </c>
      <c r="E1158" s="356"/>
      <c r="F1158" s="356"/>
      <c r="G1158" s="356"/>
      <c r="I1158" s="48">
        <v>0</v>
      </c>
      <c r="M1158" s="279">
        <f t="shared" si="72"/>
        <v>0</v>
      </c>
      <c r="O1158" s="279">
        <f t="shared" si="73"/>
        <v>0</v>
      </c>
      <c r="Q1158" s="279">
        <f t="shared" si="74"/>
        <v>0</v>
      </c>
      <c r="S1158" s="279">
        <f t="shared" si="75"/>
        <v>0</v>
      </c>
      <c r="U1158" s="385"/>
      <c r="V1158" s="385"/>
      <c r="W1158" s="385"/>
      <c r="X1158" s="385"/>
    </row>
    <row r="1159" spans="4:24" s="277" customFormat="1" x14ac:dyDescent="0.3">
      <c r="D1159" s="356" t="s">
        <v>782</v>
      </c>
      <c r="E1159" s="356"/>
      <c r="F1159" s="356"/>
      <c r="G1159" s="356"/>
      <c r="I1159" s="48">
        <v>0</v>
      </c>
      <c r="M1159" s="279">
        <f t="shared" si="72"/>
        <v>0</v>
      </c>
      <c r="O1159" s="279">
        <f t="shared" si="73"/>
        <v>0</v>
      </c>
      <c r="Q1159" s="279">
        <f t="shared" si="74"/>
        <v>0</v>
      </c>
      <c r="S1159" s="279">
        <f t="shared" si="75"/>
        <v>0</v>
      </c>
      <c r="U1159" s="385"/>
      <c r="V1159" s="385"/>
      <c r="W1159" s="385"/>
      <c r="X1159" s="385"/>
    </row>
    <row r="1160" spans="4:24" s="277" customFormat="1" x14ac:dyDescent="0.3">
      <c r="D1160" s="356" t="s">
        <v>783</v>
      </c>
      <c r="E1160" s="356"/>
      <c r="F1160" s="356"/>
      <c r="G1160" s="356"/>
      <c r="I1160" s="48">
        <v>0</v>
      </c>
      <c r="M1160" s="279">
        <f t="shared" si="72"/>
        <v>0</v>
      </c>
      <c r="O1160" s="279">
        <f t="shared" si="73"/>
        <v>0</v>
      </c>
      <c r="Q1160" s="279">
        <f t="shared" si="74"/>
        <v>0</v>
      </c>
      <c r="S1160" s="279">
        <f t="shared" si="75"/>
        <v>0</v>
      </c>
      <c r="U1160" s="385"/>
      <c r="V1160" s="385"/>
      <c r="W1160" s="385"/>
      <c r="X1160" s="385"/>
    </row>
    <row r="1161" spans="4:24" s="277" customFormat="1" x14ac:dyDescent="0.3">
      <c r="D1161" s="356" t="s">
        <v>784</v>
      </c>
      <c r="E1161" s="356"/>
      <c r="F1161" s="356"/>
      <c r="G1161" s="356"/>
      <c r="I1161" s="48">
        <v>0</v>
      </c>
      <c r="M1161" s="279">
        <f t="shared" si="72"/>
        <v>0</v>
      </c>
      <c r="O1161" s="279">
        <f t="shared" si="73"/>
        <v>0</v>
      </c>
      <c r="Q1161" s="279">
        <f t="shared" si="74"/>
        <v>0</v>
      </c>
      <c r="S1161" s="279">
        <f t="shared" si="75"/>
        <v>0</v>
      </c>
      <c r="U1161" s="385"/>
      <c r="V1161" s="385"/>
      <c r="W1161" s="385"/>
      <c r="X1161" s="385"/>
    </row>
    <row r="1162" spans="4:24" s="277" customFormat="1" x14ac:dyDescent="0.3">
      <c r="D1162" s="356" t="s">
        <v>785</v>
      </c>
      <c r="E1162" s="356"/>
      <c r="F1162" s="356"/>
      <c r="G1162" s="356"/>
      <c r="I1162" s="48">
        <v>0</v>
      </c>
      <c r="M1162" s="279">
        <f t="shared" si="72"/>
        <v>0</v>
      </c>
      <c r="O1162" s="279">
        <f t="shared" si="73"/>
        <v>0</v>
      </c>
      <c r="Q1162" s="279">
        <f t="shared" si="74"/>
        <v>0</v>
      </c>
      <c r="S1162" s="279">
        <f t="shared" si="75"/>
        <v>0</v>
      </c>
      <c r="U1162" s="385"/>
      <c r="V1162" s="385"/>
      <c r="W1162" s="385"/>
      <c r="X1162" s="385"/>
    </row>
    <row r="1163" spans="4:24" s="277" customFormat="1" x14ac:dyDescent="0.3">
      <c r="D1163" s="356" t="s">
        <v>786</v>
      </c>
      <c r="E1163" s="356"/>
      <c r="F1163" s="356"/>
      <c r="G1163" s="356"/>
      <c r="I1163" s="48">
        <v>0</v>
      </c>
      <c r="M1163" s="279">
        <f t="shared" si="72"/>
        <v>0</v>
      </c>
      <c r="O1163" s="279">
        <f t="shared" si="73"/>
        <v>0</v>
      </c>
      <c r="Q1163" s="279">
        <f t="shared" si="74"/>
        <v>0</v>
      </c>
      <c r="S1163" s="279">
        <f t="shared" si="75"/>
        <v>0</v>
      </c>
      <c r="U1163" s="385"/>
      <c r="V1163" s="385"/>
      <c r="W1163" s="385"/>
      <c r="X1163" s="385"/>
    </row>
    <row r="1164" spans="4:24" s="277" customFormat="1" x14ac:dyDescent="0.3">
      <c r="D1164" s="356" t="s">
        <v>787</v>
      </c>
      <c r="E1164" s="356"/>
      <c r="F1164" s="356"/>
      <c r="G1164" s="356"/>
      <c r="I1164" s="48">
        <v>0</v>
      </c>
      <c r="M1164" s="279">
        <f t="shared" si="72"/>
        <v>0</v>
      </c>
      <c r="O1164" s="279">
        <f t="shared" si="73"/>
        <v>0</v>
      </c>
      <c r="Q1164" s="279">
        <f t="shared" si="74"/>
        <v>0</v>
      </c>
      <c r="S1164" s="279">
        <f t="shared" si="75"/>
        <v>0</v>
      </c>
      <c r="U1164" s="385"/>
      <c r="V1164" s="385"/>
      <c r="W1164" s="385"/>
      <c r="X1164" s="385"/>
    </row>
    <row r="1165" spans="4:24" s="277" customFormat="1" x14ac:dyDescent="0.3">
      <c r="D1165" s="356" t="s">
        <v>788</v>
      </c>
      <c r="E1165" s="356"/>
      <c r="F1165" s="356"/>
      <c r="G1165" s="356"/>
      <c r="I1165" s="48">
        <v>0</v>
      </c>
      <c r="M1165" s="279">
        <f t="shared" si="72"/>
        <v>0</v>
      </c>
      <c r="O1165" s="279">
        <f t="shared" si="73"/>
        <v>0</v>
      </c>
      <c r="Q1165" s="279">
        <f t="shared" si="74"/>
        <v>0</v>
      </c>
      <c r="S1165" s="279">
        <f t="shared" si="75"/>
        <v>0</v>
      </c>
      <c r="U1165" s="385"/>
      <c r="V1165" s="385"/>
      <c r="W1165" s="385"/>
      <c r="X1165" s="385"/>
    </row>
    <row r="1166" spans="4:24" s="277" customFormat="1" x14ac:dyDescent="0.3">
      <c r="D1166" s="356" t="s">
        <v>789</v>
      </c>
      <c r="E1166" s="356"/>
      <c r="F1166" s="356"/>
      <c r="G1166" s="356"/>
      <c r="I1166" s="48">
        <v>0</v>
      </c>
      <c r="M1166" s="279">
        <f t="shared" si="72"/>
        <v>0</v>
      </c>
      <c r="O1166" s="279">
        <f t="shared" si="73"/>
        <v>0</v>
      </c>
      <c r="Q1166" s="279">
        <f t="shared" si="74"/>
        <v>0</v>
      </c>
      <c r="S1166" s="279">
        <f t="shared" si="75"/>
        <v>0</v>
      </c>
      <c r="U1166" s="385"/>
      <c r="V1166" s="385"/>
      <c r="W1166" s="385"/>
      <c r="X1166" s="385"/>
    </row>
    <row r="1167" spans="4:24" s="277" customFormat="1" x14ac:dyDescent="0.3">
      <c r="D1167" s="356" t="s">
        <v>790</v>
      </c>
      <c r="E1167" s="356"/>
      <c r="F1167" s="356"/>
      <c r="G1167" s="356"/>
      <c r="I1167" s="48">
        <v>0</v>
      </c>
      <c r="M1167" s="279">
        <f t="shared" si="72"/>
        <v>0</v>
      </c>
      <c r="O1167" s="279">
        <f t="shared" si="73"/>
        <v>0</v>
      </c>
      <c r="Q1167" s="279">
        <f t="shared" si="74"/>
        <v>0</v>
      </c>
      <c r="S1167" s="279">
        <f t="shared" si="75"/>
        <v>0</v>
      </c>
      <c r="U1167" s="385"/>
      <c r="V1167" s="385"/>
      <c r="W1167" s="385"/>
      <c r="X1167" s="385"/>
    </row>
    <row r="1168" spans="4:24" s="277" customFormat="1" x14ac:dyDescent="0.3">
      <c r="D1168" s="356" t="s">
        <v>791</v>
      </c>
      <c r="E1168" s="356"/>
      <c r="F1168" s="356"/>
      <c r="G1168" s="356"/>
      <c r="I1168" s="48">
        <v>0</v>
      </c>
      <c r="M1168" s="279">
        <f t="shared" si="72"/>
        <v>0</v>
      </c>
      <c r="O1168" s="279">
        <f t="shared" si="73"/>
        <v>0</v>
      </c>
      <c r="Q1168" s="279">
        <f t="shared" si="74"/>
        <v>0</v>
      </c>
      <c r="S1168" s="279">
        <f t="shared" si="75"/>
        <v>0</v>
      </c>
      <c r="U1168" s="385"/>
      <c r="V1168" s="385"/>
      <c r="W1168" s="385"/>
      <c r="X1168" s="385"/>
    </row>
    <row r="1169" spans="3:24" s="277" customFormat="1" x14ac:dyDescent="0.3">
      <c r="D1169" s="356" t="s">
        <v>792</v>
      </c>
      <c r="E1169" s="356"/>
      <c r="F1169" s="356"/>
      <c r="G1169" s="356"/>
      <c r="I1169" s="48">
        <v>0</v>
      </c>
      <c r="M1169" s="279">
        <f t="shared" si="72"/>
        <v>0</v>
      </c>
      <c r="O1169" s="279">
        <f t="shared" si="73"/>
        <v>0</v>
      </c>
      <c r="Q1169" s="279">
        <f t="shared" si="74"/>
        <v>0</v>
      </c>
      <c r="S1169" s="279">
        <f t="shared" si="75"/>
        <v>0</v>
      </c>
      <c r="U1169" s="385"/>
      <c r="V1169" s="385"/>
      <c r="W1169" s="385"/>
      <c r="X1169" s="385"/>
    </row>
    <row r="1170" spans="3:24" s="277" customFormat="1" x14ac:dyDescent="0.3">
      <c r="D1170" s="356" t="s">
        <v>793</v>
      </c>
      <c r="E1170" s="356"/>
      <c r="F1170" s="356"/>
      <c r="G1170" s="356"/>
      <c r="I1170" s="48">
        <v>0</v>
      </c>
      <c r="M1170" s="279">
        <f t="shared" si="72"/>
        <v>0</v>
      </c>
      <c r="O1170" s="279">
        <f t="shared" si="73"/>
        <v>0</v>
      </c>
      <c r="Q1170" s="279">
        <f t="shared" si="74"/>
        <v>0</v>
      </c>
      <c r="S1170" s="279">
        <f t="shared" si="75"/>
        <v>0</v>
      </c>
      <c r="U1170" s="385"/>
      <c r="V1170" s="385"/>
      <c r="W1170" s="385"/>
      <c r="X1170" s="385"/>
    </row>
    <row r="1171" spans="3:24" s="277" customFormat="1" x14ac:dyDescent="0.3">
      <c r="D1171" s="356" t="s">
        <v>794</v>
      </c>
      <c r="E1171" s="356"/>
      <c r="F1171" s="356"/>
      <c r="G1171" s="356"/>
      <c r="I1171" s="48">
        <v>0</v>
      </c>
      <c r="M1171" s="279">
        <f t="shared" si="72"/>
        <v>0</v>
      </c>
      <c r="O1171" s="279">
        <f t="shared" si="73"/>
        <v>0</v>
      </c>
      <c r="Q1171" s="279">
        <f t="shared" si="74"/>
        <v>0</v>
      </c>
      <c r="S1171" s="279">
        <f t="shared" si="75"/>
        <v>0</v>
      </c>
      <c r="U1171" s="385"/>
      <c r="V1171" s="385"/>
      <c r="W1171" s="385"/>
      <c r="X1171" s="385"/>
    </row>
    <row r="1172" spans="3:24" s="277" customFormat="1" x14ac:dyDescent="0.3">
      <c r="D1172" s="356" t="s">
        <v>795</v>
      </c>
      <c r="E1172" s="356"/>
      <c r="F1172" s="356"/>
      <c r="G1172" s="356"/>
      <c r="I1172" s="48">
        <v>0</v>
      </c>
      <c r="M1172" s="279">
        <f t="shared" si="72"/>
        <v>0</v>
      </c>
      <c r="O1172" s="279">
        <f t="shared" si="73"/>
        <v>0</v>
      </c>
      <c r="Q1172" s="279">
        <f t="shared" si="74"/>
        <v>0</v>
      </c>
      <c r="S1172" s="279">
        <f t="shared" si="75"/>
        <v>0</v>
      </c>
      <c r="U1172" s="385"/>
      <c r="V1172" s="385"/>
      <c r="W1172" s="385"/>
      <c r="X1172" s="385"/>
    </row>
    <row r="1173" spans="3:24" s="277" customFormat="1" x14ac:dyDescent="0.3">
      <c r="D1173" s="356" t="s">
        <v>796</v>
      </c>
      <c r="E1173" s="356"/>
      <c r="F1173" s="356"/>
      <c r="G1173" s="356"/>
      <c r="I1173" s="48">
        <v>0</v>
      </c>
      <c r="M1173" s="279">
        <f t="shared" si="72"/>
        <v>0</v>
      </c>
      <c r="O1173" s="279">
        <f t="shared" si="73"/>
        <v>0</v>
      </c>
      <c r="Q1173" s="279">
        <f t="shared" si="74"/>
        <v>0</v>
      </c>
      <c r="S1173" s="279">
        <f t="shared" si="75"/>
        <v>0</v>
      </c>
      <c r="U1173" s="385"/>
      <c r="V1173" s="385"/>
      <c r="W1173" s="385"/>
      <c r="X1173" s="385"/>
    </row>
    <row r="1174" spans="3:24" ht="14.4" x14ac:dyDescent="0.3">
      <c r="D1174" s="420" t="s">
        <v>88</v>
      </c>
      <c r="E1174" s="421"/>
      <c r="F1174" s="421"/>
      <c r="G1174" s="421"/>
      <c r="I1174" s="40"/>
      <c r="M1174" s="40"/>
      <c r="O1174" s="40"/>
      <c r="Q1174" s="294">
        <f>SUM(Q1149:Q1173)</f>
        <v>0</v>
      </c>
      <c r="S1174" s="294">
        <f>SUM(S1149:S1173)</f>
        <v>0</v>
      </c>
    </row>
    <row r="1176" spans="3:24" ht="15.6" x14ac:dyDescent="0.3">
      <c r="C1176" s="92" t="s">
        <v>89</v>
      </c>
    </row>
    <row r="1177" spans="3:24" ht="27.6" x14ac:dyDescent="0.3">
      <c r="Q1177" s="44" t="str">
        <f>"FINANCIAL COST ("&amp;INDEX(LU_ACT_20_Meet_Curr,DD_ACT_20_Meet1_Curr)&amp;")"</f>
        <v>FINANCIAL COST (GOZ)</v>
      </c>
      <c r="S1177" s="44" t="str">
        <f>"ECONOMIC COST ("&amp;INDEX(LU_ACT_20_Meet_Curr,DD_ACT_20_Meet1_Curr)&amp;")"</f>
        <v>ECONOMIC COST (GOZ)</v>
      </c>
    </row>
    <row r="1178" spans="3:24" ht="27.6" x14ac:dyDescent="0.3">
      <c r="D1178" s="90" t="s">
        <v>86</v>
      </c>
      <c r="I1178" s="91" t="s">
        <v>186</v>
      </c>
      <c r="K1178" s="91" t="s">
        <v>432</v>
      </c>
      <c r="M1178" s="42" t="s">
        <v>81</v>
      </c>
      <c r="O1178" s="42" t="s">
        <v>83</v>
      </c>
      <c r="U1178" s="350" t="s">
        <v>185</v>
      </c>
      <c r="V1178" s="351"/>
      <c r="W1178" s="351"/>
      <c r="X1178" s="351"/>
    </row>
    <row r="1179" spans="3:24" x14ac:dyDescent="0.3">
      <c r="D1179" s="356" t="s">
        <v>71</v>
      </c>
      <c r="E1179" s="356"/>
      <c r="F1179" s="356"/>
      <c r="G1179" s="356"/>
      <c r="I1179" s="48">
        <v>0</v>
      </c>
      <c r="K1179" s="48">
        <v>0</v>
      </c>
      <c r="M1179" s="40">
        <f t="shared" ref="M1179:M1203" si="76">IFERROR(IF(DD_ACT_20_Meet1_Curr=1,INDEX($M$1367:$M$1401,MATCH(D1179,LU_ACT_20_ODCS,0)),INDEX($Q$1367:$Q$1401,MATCH(D1179,LU_ACT_20_ODCS,0))),0)</f>
        <v>0</v>
      </c>
      <c r="O1179" s="40">
        <f t="shared" ref="O1179:O1203" si="77">IFERROR(IF(DD_ACT_20_Meet1_Curr=1,INDEX($O$1367:$O$1401,MATCH(D1179,LU_ACT_20_ODCS,0)),INDEX($S$1367:$S$1401,MATCH(D1179,LU_ACT_20_ODCS,0))),0)</f>
        <v>0</v>
      </c>
      <c r="Q1179" s="279">
        <f t="shared" ref="Q1179:Q1203" si="78">I1179*K1179*M1179</f>
        <v>0</v>
      </c>
      <c r="S1179" s="279">
        <f t="shared" ref="S1179:S1203" si="79">I1179*K1179*O1179</f>
        <v>0</v>
      </c>
      <c r="U1179" s="356"/>
      <c r="V1179" s="356"/>
      <c r="W1179" s="356"/>
      <c r="X1179" s="356"/>
    </row>
    <row r="1180" spans="3:24" x14ac:dyDescent="0.3">
      <c r="D1180" s="356" t="s">
        <v>72</v>
      </c>
      <c r="E1180" s="356"/>
      <c r="F1180" s="356"/>
      <c r="G1180" s="356"/>
      <c r="I1180" s="48">
        <v>0</v>
      </c>
      <c r="K1180" s="48">
        <v>0</v>
      </c>
      <c r="M1180" s="40">
        <f t="shared" si="76"/>
        <v>0</v>
      </c>
      <c r="O1180" s="40">
        <f t="shared" si="77"/>
        <v>0</v>
      </c>
      <c r="Q1180" s="279">
        <f t="shared" si="78"/>
        <v>0</v>
      </c>
      <c r="S1180" s="279">
        <f t="shared" si="79"/>
        <v>0</v>
      </c>
      <c r="U1180" s="356"/>
      <c r="V1180" s="356"/>
      <c r="W1180" s="356"/>
      <c r="X1180" s="356"/>
    </row>
    <row r="1181" spans="3:24" x14ac:dyDescent="0.3">
      <c r="D1181" s="356" t="s">
        <v>73</v>
      </c>
      <c r="E1181" s="356"/>
      <c r="F1181" s="356"/>
      <c r="G1181" s="356"/>
      <c r="I1181" s="48">
        <v>0</v>
      </c>
      <c r="K1181" s="48">
        <v>0</v>
      </c>
      <c r="M1181" s="40">
        <f t="shared" si="76"/>
        <v>0</v>
      </c>
      <c r="O1181" s="40">
        <f t="shared" si="77"/>
        <v>0</v>
      </c>
      <c r="Q1181" s="279">
        <f t="shared" si="78"/>
        <v>0</v>
      </c>
      <c r="S1181" s="279">
        <f t="shared" si="79"/>
        <v>0</v>
      </c>
      <c r="U1181" s="356"/>
      <c r="V1181" s="356"/>
      <c r="W1181" s="356"/>
      <c r="X1181" s="356"/>
    </row>
    <row r="1182" spans="3:24" x14ac:dyDescent="0.3">
      <c r="D1182" s="356" t="s">
        <v>74</v>
      </c>
      <c r="E1182" s="356"/>
      <c r="F1182" s="356"/>
      <c r="G1182" s="356"/>
      <c r="I1182" s="48">
        <v>0</v>
      </c>
      <c r="K1182" s="48">
        <v>0</v>
      </c>
      <c r="M1182" s="40">
        <f t="shared" si="76"/>
        <v>0</v>
      </c>
      <c r="O1182" s="40">
        <f t="shared" si="77"/>
        <v>0</v>
      </c>
      <c r="Q1182" s="279">
        <f t="shared" si="78"/>
        <v>0</v>
      </c>
      <c r="S1182" s="279">
        <f t="shared" si="79"/>
        <v>0</v>
      </c>
      <c r="U1182" s="356"/>
      <c r="V1182" s="356"/>
      <c r="W1182" s="356"/>
      <c r="X1182" s="356"/>
    </row>
    <row r="1183" spans="3:24" x14ac:dyDescent="0.3">
      <c r="D1183" s="356" t="s">
        <v>75</v>
      </c>
      <c r="E1183" s="356"/>
      <c r="F1183" s="356"/>
      <c r="G1183" s="356"/>
      <c r="I1183" s="48">
        <v>0</v>
      </c>
      <c r="K1183" s="48">
        <v>0</v>
      </c>
      <c r="M1183" s="40">
        <f t="shared" si="76"/>
        <v>0</v>
      </c>
      <c r="O1183" s="40">
        <f t="shared" si="77"/>
        <v>0</v>
      </c>
      <c r="Q1183" s="279">
        <f t="shared" si="78"/>
        <v>0</v>
      </c>
      <c r="S1183" s="279">
        <f t="shared" si="79"/>
        <v>0</v>
      </c>
      <c r="U1183" s="356"/>
      <c r="V1183" s="356"/>
      <c r="W1183" s="356"/>
      <c r="X1183" s="356"/>
    </row>
    <row r="1184" spans="3:24" s="277" customFormat="1" x14ac:dyDescent="0.3">
      <c r="D1184" s="356" t="s">
        <v>876</v>
      </c>
      <c r="E1184" s="356"/>
      <c r="F1184" s="356"/>
      <c r="G1184" s="356"/>
      <c r="I1184" s="48">
        <v>0</v>
      </c>
      <c r="K1184" s="48">
        <v>0</v>
      </c>
      <c r="M1184" s="279">
        <f t="shared" si="76"/>
        <v>0</v>
      </c>
      <c r="O1184" s="279">
        <f t="shared" si="77"/>
        <v>0</v>
      </c>
      <c r="Q1184" s="279">
        <f t="shared" si="78"/>
        <v>0</v>
      </c>
      <c r="S1184" s="279">
        <f t="shared" si="79"/>
        <v>0</v>
      </c>
      <c r="U1184" s="385"/>
      <c r="V1184" s="385"/>
      <c r="W1184" s="385"/>
      <c r="X1184" s="385"/>
    </row>
    <row r="1185" spans="4:24" s="277" customFormat="1" x14ac:dyDescent="0.3">
      <c r="D1185" s="356" t="s">
        <v>877</v>
      </c>
      <c r="E1185" s="356"/>
      <c r="F1185" s="356"/>
      <c r="G1185" s="356"/>
      <c r="I1185" s="48">
        <v>0</v>
      </c>
      <c r="K1185" s="48">
        <v>0</v>
      </c>
      <c r="M1185" s="279">
        <f t="shared" si="76"/>
        <v>0</v>
      </c>
      <c r="O1185" s="279">
        <f t="shared" si="77"/>
        <v>0</v>
      </c>
      <c r="Q1185" s="279">
        <f t="shared" si="78"/>
        <v>0</v>
      </c>
      <c r="S1185" s="279">
        <f t="shared" si="79"/>
        <v>0</v>
      </c>
      <c r="U1185" s="385"/>
      <c r="V1185" s="385"/>
      <c r="W1185" s="385"/>
      <c r="X1185" s="385"/>
    </row>
    <row r="1186" spans="4:24" s="277" customFormat="1" x14ac:dyDescent="0.3">
      <c r="D1186" s="356" t="s">
        <v>878</v>
      </c>
      <c r="E1186" s="356"/>
      <c r="F1186" s="356"/>
      <c r="G1186" s="356"/>
      <c r="I1186" s="48">
        <v>0</v>
      </c>
      <c r="K1186" s="48">
        <v>0</v>
      </c>
      <c r="M1186" s="279">
        <f t="shared" si="76"/>
        <v>0</v>
      </c>
      <c r="O1186" s="279">
        <f t="shared" si="77"/>
        <v>0</v>
      </c>
      <c r="Q1186" s="279">
        <f t="shared" si="78"/>
        <v>0</v>
      </c>
      <c r="S1186" s="279">
        <f t="shared" si="79"/>
        <v>0</v>
      </c>
      <c r="U1186" s="385"/>
      <c r="V1186" s="385"/>
      <c r="W1186" s="385"/>
      <c r="X1186" s="385"/>
    </row>
    <row r="1187" spans="4:24" s="277" customFormat="1" x14ac:dyDescent="0.3">
      <c r="D1187" s="356" t="s">
        <v>879</v>
      </c>
      <c r="E1187" s="356"/>
      <c r="F1187" s="356"/>
      <c r="G1187" s="356"/>
      <c r="I1187" s="48">
        <v>0</v>
      </c>
      <c r="K1187" s="48">
        <v>0</v>
      </c>
      <c r="M1187" s="279">
        <f t="shared" si="76"/>
        <v>0</v>
      </c>
      <c r="O1187" s="279">
        <f t="shared" si="77"/>
        <v>0</v>
      </c>
      <c r="Q1187" s="279">
        <f t="shared" si="78"/>
        <v>0</v>
      </c>
      <c r="S1187" s="279">
        <f t="shared" si="79"/>
        <v>0</v>
      </c>
      <c r="U1187" s="385"/>
      <c r="V1187" s="385"/>
      <c r="W1187" s="385"/>
      <c r="X1187" s="385"/>
    </row>
    <row r="1188" spans="4:24" s="277" customFormat="1" x14ac:dyDescent="0.3">
      <c r="D1188" s="356" t="s">
        <v>880</v>
      </c>
      <c r="E1188" s="356"/>
      <c r="F1188" s="356"/>
      <c r="G1188" s="356"/>
      <c r="I1188" s="48">
        <v>0</v>
      </c>
      <c r="K1188" s="48">
        <v>0</v>
      </c>
      <c r="M1188" s="279">
        <f t="shared" si="76"/>
        <v>0</v>
      </c>
      <c r="O1188" s="279">
        <f t="shared" si="77"/>
        <v>0</v>
      </c>
      <c r="Q1188" s="279">
        <f t="shared" si="78"/>
        <v>0</v>
      </c>
      <c r="S1188" s="279">
        <f t="shared" si="79"/>
        <v>0</v>
      </c>
      <c r="U1188" s="385"/>
      <c r="V1188" s="385"/>
      <c r="W1188" s="385"/>
      <c r="X1188" s="385"/>
    </row>
    <row r="1189" spans="4:24" s="277" customFormat="1" x14ac:dyDescent="0.3">
      <c r="D1189" s="356" t="s">
        <v>881</v>
      </c>
      <c r="E1189" s="356"/>
      <c r="F1189" s="356"/>
      <c r="G1189" s="356"/>
      <c r="I1189" s="48">
        <v>0</v>
      </c>
      <c r="K1189" s="48">
        <v>0</v>
      </c>
      <c r="M1189" s="279">
        <f t="shared" si="76"/>
        <v>0</v>
      </c>
      <c r="O1189" s="279">
        <f t="shared" si="77"/>
        <v>0</v>
      </c>
      <c r="Q1189" s="279">
        <f t="shared" si="78"/>
        <v>0</v>
      </c>
      <c r="S1189" s="279">
        <f t="shared" si="79"/>
        <v>0</v>
      </c>
      <c r="U1189" s="385"/>
      <c r="V1189" s="385"/>
      <c r="W1189" s="385"/>
      <c r="X1189" s="385"/>
    </row>
    <row r="1190" spans="4:24" s="277" customFormat="1" x14ac:dyDescent="0.3">
      <c r="D1190" s="356" t="s">
        <v>882</v>
      </c>
      <c r="E1190" s="356"/>
      <c r="F1190" s="356"/>
      <c r="G1190" s="356"/>
      <c r="I1190" s="48">
        <v>0</v>
      </c>
      <c r="K1190" s="48">
        <v>0</v>
      </c>
      <c r="M1190" s="279">
        <f t="shared" si="76"/>
        <v>0</v>
      </c>
      <c r="O1190" s="279">
        <f t="shared" si="77"/>
        <v>0</v>
      </c>
      <c r="Q1190" s="279">
        <f t="shared" si="78"/>
        <v>0</v>
      </c>
      <c r="S1190" s="279">
        <f t="shared" si="79"/>
        <v>0</v>
      </c>
      <c r="U1190" s="385"/>
      <c r="V1190" s="385"/>
      <c r="W1190" s="385"/>
      <c r="X1190" s="385"/>
    </row>
    <row r="1191" spans="4:24" s="277" customFormat="1" x14ac:dyDescent="0.3">
      <c r="D1191" s="356" t="s">
        <v>883</v>
      </c>
      <c r="E1191" s="356"/>
      <c r="F1191" s="356"/>
      <c r="G1191" s="356"/>
      <c r="I1191" s="48">
        <v>0</v>
      </c>
      <c r="K1191" s="48">
        <v>0</v>
      </c>
      <c r="M1191" s="279">
        <f t="shared" si="76"/>
        <v>0</v>
      </c>
      <c r="O1191" s="279">
        <f t="shared" si="77"/>
        <v>0</v>
      </c>
      <c r="Q1191" s="279">
        <f t="shared" si="78"/>
        <v>0</v>
      </c>
      <c r="S1191" s="279">
        <f t="shared" si="79"/>
        <v>0</v>
      </c>
      <c r="U1191" s="385"/>
      <c r="V1191" s="385"/>
      <c r="W1191" s="385"/>
      <c r="X1191" s="385"/>
    </row>
    <row r="1192" spans="4:24" s="277" customFormat="1" x14ac:dyDescent="0.3">
      <c r="D1192" s="356" t="s">
        <v>884</v>
      </c>
      <c r="E1192" s="356"/>
      <c r="F1192" s="356"/>
      <c r="G1192" s="356"/>
      <c r="I1192" s="48">
        <v>0</v>
      </c>
      <c r="K1192" s="48">
        <v>0</v>
      </c>
      <c r="M1192" s="279">
        <f t="shared" si="76"/>
        <v>0</v>
      </c>
      <c r="O1192" s="279">
        <f t="shared" si="77"/>
        <v>0</v>
      </c>
      <c r="Q1192" s="279">
        <f t="shared" si="78"/>
        <v>0</v>
      </c>
      <c r="S1192" s="279">
        <f t="shared" si="79"/>
        <v>0</v>
      </c>
      <c r="U1192" s="385"/>
      <c r="V1192" s="385"/>
      <c r="W1192" s="385"/>
      <c r="X1192" s="385"/>
    </row>
    <row r="1193" spans="4:24" s="277" customFormat="1" x14ac:dyDescent="0.3">
      <c r="D1193" s="356" t="s">
        <v>885</v>
      </c>
      <c r="E1193" s="356"/>
      <c r="F1193" s="356"/>
      <c r="G1193" s="356"/>
      <c r="I1193" s="48">
        <v>0</v>
      </c>
      <c r="K1193" s="48">
        <v>0</v>
      </c>
      <c r="M1193" s="279">
        <f t="shared" si="76"/>
        <v>0</v>
      </c>
      <c r="O1193" s="279">
        <f t="shared" si="77"/>
        <v>0</v>
      </c>
      <c r="Q1193" s="279">
        <f t="shared" si="78"/>
        <v>0</v>
      </c>
      <c r="S1193" s="279">
        <f t="shared" si="79"/>
        <v>0</v>
      </c>
      <c r="U1193" s="385"/>
      <c r="V1193" s="385"/>
      <c r="W1193" s="385"/>
      <c r="X1193" s="385"/>
    </row>
    <row r="1194" spans="4:24" s="277" customFormat="1" x14ac:dyDescent="0.3">
      <c r="D1194" s="356" t="s">
        <v>886</v>
      </c>
      <c r="E1194" s="356"/>
      <c r="F1194" s="356"/>
      <c r="G1194" s="356"/>
      <c r="I1194" s="48">
        <v>0</v>
      </c>
      <c r="K1194" s="48">
        <v>0</v>
      </c>
      <c r="M1194" s="279">
        <f t="shared" si="76"/>
        <v>0</v>
      </c>
      <c r="O1194" s="279">
        <f t="shared" si="77"/>
        <v>0</v>
      </c>
      <c r="Q1194" s="279">
        <f t="shared" si="78"/>
        <v>0</v>
      </c>
      <c r="S1194" s="279">
        <f t="shared" si="79"/>
        <v>0</v>
      </c>
      <c r="U1194" s="385"/>
      <c r="V1194" s="385"/>
      <c r="W1194" s="385"/>
      <c r="X1194" s="385"/>
    </row>
    <row r="1195" spans="4:24" s="277" customFormat="1" x14ac:dyDescent="0.3">
      <c r="D1195" s="356" t="s">
        <v>887</v>
      </c>
      <c r="E1195" s="356"/>
      <c r="F1195" s="356"/>
      <c r="G1195" s="356"/>
      <c r="I1195" s="48">
        <v>0</v>
      </c>
      <c r="K1195" s="48">
        <v>0</v>
      </c>
      <c r="M1195" s="279">
        <f t="shared" si="76"/>
        <v>0</v>
      </c>
      <c r="O1195" s="279">
        <f t="shared" si="77"/>
        <v>0</v>
      </c>
      <c r="Q1195" s="279">
        <f t="shared" si="78"/>
        <v>0</v>
      </c>
      <c r="S1195" s="279">
        <f t="shared" si="79"/>
        <v>0</v>
      </c>
      <c r="U1195" s="385"/>
      <c r="V1195" s="385"/>
      <c r="W1195" s="385"/>
      <c r="X1195" s="385"/>
    </row>
    <row r="1196" spans="4:24" s="277" customFormat="1" x14ac:dyDescent="0.3">
      <c r="D1196" s="356" t="s">
        <v>888</v>
      </c>
      <c r="E1196" s="356"/>
      <c r="F1196" s="356"/>
      <c r="G1196" s="356"/>
      <c r="I1196" s="48">
        <v>0</v>
      </c>
      <c r="K1196" s="48">
        <v>0</v>
      </c>
      <c r="M1196" s="279">
        <f t="shared" si="76"/>
        <v>0</v>
      </c>
      <c r="O1196" s="279">
        <f t="shared" si="77"/>
        <v>0</v>
      </c>
      <c r="Q1196" s="279">
        <f t="shared" si="78"/>
        <v>0</v>
      </c>
      <c r="S1196" s="279">
        <f t="shared" si="79"/>
        <v>0</v>
      </c>
      <c r="U1196" s="385"/>
      <c r="V1196" s="385"/>
      <c r="W1196" s="385"/>
      <c r="X1196" s="385"/>
    </row>
    <row r="1197" spans="4:24" s="277" customFormat="1" x14ac:dyDescent="0.3">
      <c r="D1197" s="356" t="s">
        <v>889</v>
      </c>
      <c r="E1197" s="356"/>
      <c r="F1197" s="356"/>
      <c r="G1197" s="356"/>
      <c r="I1197" s="48">
        <v>0</v>
      </c>
      <c r="K1197" s="48">
        <v>0</v>
      </c>
      <c r="M1197" s="279">
        <f t="shared" si="76"/>
        <v>0</v>
      </c>
      <c r="O1197" s="279">
        <f t="shared" si="77"/>
        <v>0</v>
      </c>
      <c r="Q1197" s="279">
        <f t="shared" si="78"/>
        <v>0</v>
      </c>
      <c r="S1197" s="279">
        <f t="shared" si="79"/>
        <v>0</v>
      </c>
      <c r="U1197" s="385"/>
      <c r="V1197" s="385"/>
      <c r="W1197" s="385"/>
      <c r="X1197" s="385"/>
    </row>
    <row r="1198" spans="4:24" s="277" customFormat="1" x14ac:dyDescent="0.3">
      <c r="D1198" s="356" t="s">
        <v>890</v>
      </c>
      <c r="E1198" s="356"/>
      <c r="F1198" s="356"/>
      <c r="G1198" s="356"/>
      <c r="I1198" s="48">
        <v>0</v>
      </c>
      <c r="K1198" s="48">
        <v>0</v>
      </c>
      <c r="M1198" s="279">
        <f t="shared" si="76"/>
        <v>0</v>
      </c>
      <c r="O1198" s="279">
        <f t="shared" si="77"/>
        <v>0</v>
      </c>
      <c r="Q1198" s="279">
        <f t="shared" si="78"/>
        <v>0</v>
      </c>
      <c r="S1198" s="279">
        <f t="shared" si="79"/>
        <v>0</v>
      </c>
      <c r="U1198" s="385"/>
      <c r="V1198" s="385"/>
      <c r="W1198" s="385"/>
      <c r="X1198" s="385"/>
    </row>
    <row r="1199" spans="4:24" s="277" customFormat="1" x14ac:dyDescent="0.3">
      <c r="D1199" s="356" t="s">
        <v>986</v>
      </c>
      <c r="E1199" s="356"/>
      <c r="F1199" s="356"/>
      <c r="G1199" s="356"/>
      <c r="I1199" s="48">
        <v>0</v>
      </c>
      <c r="K1199" s="48">
        <v>0</v>
      </c>
      <c r="M1199" s="279">
        <f t="shared" si="76"/>
        <v>0</v>
      </c>
      <c r="O1199" s="279">
        <f t="shared" si="77"/>
        <v>0</v>
      </c>
      <c r="Q1199" s="279">
        <f t="shared" si="78"/>
        <v>0</v>
      </c>
      <c r="S1199" s="279">
        <f t="shared" si="79"/>
        <v>0</v>
      </c>
      <c r="U1199" s="385"/>
      <c r="V1199" s="385"/>
      <c r="W1199" s="385"/>
      <c r="X1199" s="385"/>
    </row>
    <row r="1200" spans="4:24" s="277" customFormat="1" x14ac:dyDescent="0.3">
      <c r="D1200" s="356" t="s">
        <v>987</v>
      </c>
      <c r="E1200" s="356"/>
      <c r="F1200" s="356"/>
      <c r="G1200" s="356"/>
      <c r="I1200" s="48">
        <v>0</v>
      </c>
      <c r="K1200" s="48">
        <v>0</v>
      </c>
      <c r="M1200" s="279">
        <f t="shared" si="76"/>
        <v>0</v>
      </c>
      <c r="O1200" s="279">
        <f t="shared" si="77"/>
        <v>0</v>
      </c>
      <c r="Q1200" s="279">
        <f t="shared" si="78"/>
        <v>0</v>
      </c>
      <c r="S1200" s="279">
        <f t="shared" si="79"/>
        <v>0</v>
      </c>
      <c r="U1200" s="385"/>
      <c r="V1200" s="385"/>
      <c r="W1200" s="385"/>
      <c r="X1200" s="385"/>
    </row>
    <row r="1201" spans="2:24" s="277" customFormat="1" x14ac:dyDescent="0.3">
      <c r="D1201" s="356" t="s">
        <v>988</v>
      </c>
      <c r="E1201" s="356"/>
      <c r="F1201" s="356"/>
      <c r="G1201" s="356"/>
      <c r="I1201" s="48">
        <v>0</v>
      </c>
      <c r="K1201" s="48">
        <v>0</v>
      </c>
      <c r="M1201" s="279">
        <f t="shared" si="76"/>
        <v>0</v>
      </c>
      <c r="O1201" s="279">
        <f t="shared" si="77"/>
        <v>0</v>
      </c>
      <c r="Q1201" s="279">
        <f t="shared" si="78"/>
        <v>0</v>
      </c>
      <c r="S1201" s="279">
        <f t="shared" si="79"/>
        <v>0</v>
      </c>
      <c r="U1201" s="385"/>
      <c r="V1201" s="385"/>
      <c r="W1201" s="385"/>
      <c r="X1201" s="385"/>
    </row>
    <row r="1202" spans="2:24" s="277" customFormat="1" x14ac:dyDescent="0.3">
      <c r="D1202" s="356" t="s">
        <v>989</v>
      </c>
      <c r="E1202" s="356"/>
      <c r="F1202" s="356"/>
      <c r="G1202" s="356"/>
      <c r="I1202" s="48">
        <v>0</v>
      </c>
      <c r="K1202" s="48">
        <v>0</v>
      </c>
      <c r="M1202" s="279">
        <f t="shared" si="76"/>
        <v>0</v>
      </c>
      <c r="O1202" s="279">
        <f t="shared" si="77"/>
        <v>0</v>
      </c>
      <c r="Q1202" s="279">
        <f t="shared" si="78"/>
        <v>0</v>
      </c>
      <c r="S1202" s="279">
        <f t="shared" si="79"/>
        <v>0</v>
      </c>
      <c r="U1202" s="385"/>
      <c r="V1202" s="385"/>
      <c r="W1202" s="385"/>
      <c r="X1202" s="385"/>
    </row>
    <row r="1203" spans="2:24" s="277" customFormat="1" x14ac:dyDescent="0.3">
      <c r="D1203" s="356" t="s">
        <v>990</v>
      </c>
      <c r="E1203" s="356"/>
      <c r="F1203" s="356"/>
      <c r="G1203" s="356"/>
      <c r="I1203" s="48">
        <v>0</v>
      </c>
      <c r="K1203" s="48">
        <v>0</v>
      </c>
      <c r="M1203" s="279">
        <f t="shared" si="76"/>
        <v>0</v>
      </c>
      <c r="O1203" s="279">
        <f t="shared" si="77"/>
        <v>0</v>
      </c>
      <c r="Q1203" s="279">
        <f t="shared" si="78"/>
        <v>0</v>
      </c>
      <c r="S1203" s="279">
        <f t="shared" si="79"/>
        <v>0</v>
      </c>
      <c r="U1203" s="385"/>
      <c r="V1203" s="385"/>
      <c r="W1203" s="385"/>
      <c r="X1203" s="385"/>
    </row>
    <row r="1204" spans="2:24" ht="14.4" hidden="1" x14ac:dyDescent="0.3">
      <c r="D1204" s="420" t="s">
        <v>90</v>
      </c>
      <c r="E1204" s="421"/>
      <c r="F1204" s="421"/>
      <c r="G1204" s="421"/>
      <c r="I1204" s="40"/>
      <c r="K1204" s="40">
        <f>SUM(K1179:K1203)</f>
        <v>0</v>
      </c>
      <c r="M1204" s="40"/>
      <c r="O1204" s="40"/>
      <c r="Q1204" s="294">
        <f>SUM(Q1179:Q1203)</f>
        <v>0</v>
      </c>
      <c r="S1204" s="294">
        <f>SUM(S1179:S1203)</f>
        <v>0</v>
      </c>
    </row>
    <row r="1205" spans="2:24" collapsed="1" x14ac:dyDescent="0.3"/>
    <row r="1206" spans="2:24" ht="27.6" x14ac:dyDescent="0.3">
      <c r="Q1206" s="44" t="str">
        <f>"FINANCIAL COST ("&amp;INDEX(LU_ACT_20_Meet_Curr,DD_ACT_20_Meet1_Curr)&amp;")"</f>
        <v>FINANCIAL COST (GOZ)</v>
      </c>
      <c r="S1206" s="44" t="str">
        <f>"ECONOMIC COST ("&amp;INDEX(LU_ACT_20_Meet_Curr,DD_ACT_20_Meet1_Curr)&amp;")"</f>
        <v>ECONOMIC COST (GOZ)</v>
      </c>
      <c r="U1206" s="44" t="str">
        <f>"FINANCIAL COST ("&amp;IF(DD_ACT_20_Meet1_Curr=2,$D$1211,$D$1212)&amp;")"</f>
        <v>FINANCIAL COST (USD)</v>
      </c>
      <c r="V1206" s="44" t="str">
        <f>"ECONOMIC COST ("&amp;IF(DD_ACT_20_Meet1_Curr=2,$D$1211,$D$1212)&amp;")"</f>
        <v>ECONOMIC COST (USD)</v>
      </c>
    </row>
    <row r="1207" spans="2:24" ht="16.2" thickBot="1" x14ac:dyDescent="0.35">
      <c r="B1207" s="141" t="str">
        <f>"Total Estimated Costs - "&amp;B1055</f>
        <v>Total Estimated Costs - Training Activity #4 [not in use]</v>
      </c>
      <c r="Q1207" s="46">
        <f>SUM(Q1085,Q1114,Q1145,Q1174,Q1204)</f>
        <v>0</v>
      </c>
      <c r="S1207" s="46">
        <f>SUM(S1085,S1114,S1145,S1174,S1204)</f>
        <v>0</v>
      </c>
      <c r="U1207" s="47">
        <f>IFERROR(IF(DD_ACT_20_Meet1_Curr=2,$Q1207/$I$1212,$Q1207*$I$1212), 0)</f>
        <v>0</v>
      </c>
      <c r="V1207" s="47">
        <f>IFERROR(IF(DD_ACT_20_Meet1_Curr=2,$S1207/$I$1212,$S1207*$I$1212), 0)</f>
        <v>0</v>
      </c>
    </row>
    <row r="1208" spans="2:24" ht="14.4" thickTop="1" x14ac:dyDescent="0.3"/>
    <row r="1209" spans="2:24" x14ac:dyDescent="0.3">
      <c r="C1209" s="91" t="s">
        <v>587</v>
      </c>
    </row>
    <row r="1210" spans="2:24" hidden="1" outlineLevel="1" x14ac:dyDescent="0.3"/>
    <row r="1211" spans="2:24" ht="12.9" hidden="1" customHeight="1" outlineLevel="1" x14ac:dyDescent="0.3">
      <c r="D1211" s="422" t="str">
        <f>CURR_TA!D13</f>
        <v>USD</v>
      </c>
      <c r="E1211" s="423"/>
      <c r="F1211" s="423"/>
      <c r="G1211" s="423"/>
      <c r="I1211" s="279">
        <f>CURR_TA!J13</f>
        <v>1</v>
      </c>
      <c r="J1211" s="279">
        <f>CURR_TA!K13</f>
        <v>0</v>
      </c>
      <c r="K1211" s="279">
        <f>CURR_TA!L13</f>
        <v>0</v>
      </c>
      <c r="L1211" s="279">
        <f>CURR_TA!M13</f>
        <v>0</v>
      </c>
    </row>
    <row r="1212" spans="2:24" ht="12.9" hidden="1" customHeight="1" outlineLevel="1" x14ac:dyDescent="0.3">
      <c r="D1212" s="422" t="str">
        <f>CURR_TA!D14</f>
        <v>GOZ</v>
      </c>
      <c r="E1212" s="423"/>
      <c r="F1212" s="423"/>
      <c r="G1212" s="423"/>
      <c r="I1212" s="279">
        <f>CURR_TA!J14</f>
        <v>0</v>
      </c>
      <c r="J1212" s="279">
        <f>CURR_TA!K14</f>
        <v>0</v>
      </c>
      <c r="K1212" s="279">
        <f>CURR_TA!L14</f>
        <v>0</v>
      </c>
      <c r="L1212" s="279">
        <f>CURR_TA!M14</f>
        <v>0</v>
      </c>
    </row>
    <row r="1213" spans="2:24" collapsed="1" x14ac:dyDescent="0.3"/>
    <row r="1215" spans="2:24" x14ac:dyDescent="0.3">
      <c r="C1215" s="91" t="s">
        <v>588</v>
      </c>
    </row>
    <row r="1216" spans="2:24" hidden="1" outlineLevel="1" x14ac:dyDescent="0.3">
      <c r="M1216" s="40" t="str">
        <f>$D$1211</f>
        <v>USD</v>
      </c>
      <c r="O1216" s="40" t="str">
        <f>$D$1211</f>
        <v>USD</v>
      </c>
      <c r="Q1216" s="40" t="str">
        <f>$D$1212</f>
        <v>GOZ</v>
      </c>
      <c r="S1216" s="40" t="str">
        <f>$D$1212</f>
        <v>GOZ</v>
      </c>
    </row>
    <row r="1217" spans="3:19" hidden="1" outlineLevel="1" x14ac:dyDescent="0.3">
      <c r="C1217" s="89" t="str">
        <f>RES_BA!D14</f>
        <v>Personnel Cadre - Other 1</v>
      </c>
      <c r="M1217" s="40">
        <f>RES_BA!R14</f>
        <v>0</v>
      </c>
      <c r="O1217" s="40">
        <f>RES_BA!S14</f>
        <v>0</v>
      </c>
      <c r="Q1217" s="40">
        <f>RES_BA!T14</f>
        <v>0</v>
      </c>
      <c r="S1217" s="40">
        <f>RES_BA!U14</f>
        <v>0</v>
      </c>
    </row>
    <row r="1218" spans="3:19" hidden="1" outlineLevel="1" x14ac:dyDescent="0.3">
      <c r="C1218" s="89" t="str">
        <f>RES_BA!D15</f>
        <v>Personnel Cadre - Other 2</v>
      </c>
      <c r="M1218" s="40">
        <f>RES_BA!R15</f>
        <v>0</v>
      </c>
      <c r="O1218" s="40">
        <f>RES_BA!S15</f>
        <v>0</v>
      </c>
      <c r="Q1218" s="40">
        <f>RES_BA!T15</f>
        <v>0</v>
      </c>
      <c r="S1218" s="40">
        <f>RES_BA!U15</f>
        <v>0</v>
      </c>
    </row>
    <row r="1219" spans="3:19" hidden="1" outlineLevel="1" x14ac:dyDescent="0.3">
      <c r="C1219" s="89" t="str">
        <f>RES_BA!D16</f>
        <v>Personnel Cadre - Other 3</v>
      </c>
      <c r="M1219" s="40">
        <f>RES_BA!R16</f>
        <v>0</v>
      </c>
      <c r="O1219" s="40">
        <f>RES_BA!S16</f>
        <v>0</v>
      </c>
      <c r="Q1219" s="40">
        <f>RES_BA!T16</f>
        <v>0</v>
      </c>
      <c r="S1219" s="40">
        <f>RES_BA!U16</f>
        <v>0</v>
      </c>
    </row>
    <row r="1220" spans="3:19" hidden="1" outlineLevel="1" x14ac:dyDescent="0.3">
      <c r="C1220" s="89" t="str">
        <f>RES_BA!D17</f>
        <v>Personnel Cadre - Other 4</v>
      </c>
      <c r="M1220" s="40">
        <f>RES_BA!R17</f>
        <v>0</v>
      </c>
      <c r="O1220" s="40">
        <f>RES_BA!S17</f>
        <v>0</v>
      </c>
      <c r="Q1220" s="40">
        <f>RES_BA!T17</f>
        <v>0</v>
      </c>
      <c r="S1220" s="40">
        <f>RES_BA!U17</f>
        <v>0</v>
      </c>
    </row>
    <row r="1221" spans="3:19" hidden="1" outlineLevel="1" x14ac:dyDescent="0.3">
      <c r="C1221" s="89" t="str">
        <f>RES_BA!D18</f>
        <v>Personnel Cadre - Other 5</v>
      </c>
      <c r="M1221" s="40">
        <f>RES_BA!R18</f>
        <v>0</v>
      </c>
      <c r="O1221" s="40">
        <f>RES_BA!S18</f>
        <v>0</v>
      </c>
      <c r="Q1221" s="40">
        <f>RES_BA!T18</f>
        <v>0</v>
      </c>
      <c r="S1221" s="40">
        <f>RES_BA!U18</f>
        <v>0</v>
      </c>
    </row>
    <row r="1222" spans="3:19" hidden="1" outlineLevel="1" x14ac:dyDescent="0.3">
      <c r="C1222" s="89" t="str">
        <f>RES_BA!D19</f>
        <v>Personnel Cadre - Other 6</v>
      </c>
      <c r="M1222" s="40">
        <f>RES_BA!R19</f>
        <v>0</v>
      </c>
      <c r="O1222" s="40">
        <f>RES_BA!S19</f>
        <v>0</v>
      </c>
      <c r="Q1222" s="40">
        <f>RES_BA!T19</f>
        <v>0</v>
      </c>
      <c r="S1222" s="40">
        <f>RES_BA!U19</f>
        <v>0</v>
      </c>
    </row>
    <row r="1223" spans="3:19" hidden="1" outlineLevel="1" x14ac:dyDescent="0.3">
      <c r="C1223" s="89" t="str">
        <f>RES_BA!D20</f>
        <v>Personnel Cadre - Other 7</v>
      </c>
      <c r="M1223" s="40">
        <f>RES_BA!R20</f>
        <v>0</v>
      </c>
      <c r="O1223" s="40">
        <f>RES_BA!S20</f>
        <v>0</v>
      </c>
      <c r="Q1223" s="40">
        <f>RES_BA!T20</f>
        <v>0</v>
      </c>
      <c r="S1223" s="40">
        <f>RES_BA!U20</f>
        <v>0</v>
      </c>
    </row>
    <row r="1224" spans="3:19" hidden="1" outlineLevel="1" x14ac:dyDescent="0.3">
      <c r="C1224" s="89" t="str">
        <f>RES_BA!D21</f>
        <v>Personnel Cadre - Other 8</v>
      </c>
      <c r="M1224" s="40">
        <f>RES_BA!R21</f>
        <v>0</v>
      </c>
      <c r="O1224" s="40">
        <f>RES_BA!S21</f>
        <v>0</v>
      </c>
      <c r="Q1224" s="40">
        <f>RES_BA!T21</f>
        <v>0</v>
      </c>
      <c r="S1224" s="40">
        <f>RES_BA!U21</f>
        <v>0</v>
      </c>
    </row>
    <row r="1225" spans="3:19" hidden="1" outlineLevel="1" x14ac:dyDescent="0.3">
      <c r="C1225" s="89" t="str">
        <f>RES_BA!D22</f>
        <v>Personnel Cadre - Other 9</v>
      </c>
      <c r="M1225" s="40">
        <f>RES_BA!R22</f>
        <v>0</v>
      </c>
      <c r="O1225" s="40">
        <f>RES_BA!S22</f>
        <v>0</v>
      </c>
      <c r="Q1225" s="40">
        <f>RES_BA!T22</f>
        <v>0</v>
      </c>
      <c r="S1225" s="40">
        <f>RES_BA!U22</f>
        <v>0</v>
      </c>
    </row>
    <row r="1226" spans="3:19" hidden="1" outlineLevel="1" x14ac:dyDescent="0.3">
      <c r="C1226" s="89" t="str">
        <f>RES_BA!D23</f>
        <v>Personnel Cadre - Other 10</v>
      </c>
      <c r="M1226" s="40">
        <f>RES_BA!R23</f>
        <v>0</v>
      </c>
      <c r="O1226" s="40">
        <f>RES_BA!S23</f>
        <v>0</v>
      </c>
      <c r="Q1226" s="40">
        <f>RES_BA!T23</f>
        <v>0</v>
      </c>
      <c r="S1226" s="40">
        <f>RES_BA!U23</f>
        <v>0</v>
      </c>
    </row>
    <row r="1227" spans="3:19" hidden="1" outlineLevel="1" x14ac:dyDescent="0.3">
      <c r="C1227" s="89" t="str">
        <f>RES_BA!D24</f>
        <v>Personnel Cadre - Other 11</v>
      </c>
      <c r="M1227" s="40">
        <f>RES_BA!R24</f>
        <v>0</v>
      </c>
      <c r="O1227" s="40">
        <f>RES_BA!S24</f>
        <v>0</v>
      </c>
      <c r="Q1227" s="40">
        <f>RES_BA!T24</f>
        <v>0</v>
      </c>
      <c r="S1227" s="40">
        <f>RES_BA!U24</f>
        <v>0</v>
      </c>
    </row>
    <row r="1228" spans="3:19" hidden="1" outlineLevel="1" x14ac:dyDescent="0.3">
      <c r="C1228" s="89" t="str">
        <f>RES_BA!D25</f>
        <v>Personnel Cadre - Other 12</v>
      </c>
      <c r="M1228" s="40">
        <f>RES_BA!R25</f>
        <v>0</v>
      </c>
      <c r="O1228" s="40">
        <f>RES_BA!S25</f>
        <v>0</v>
      </c>
      <c r="Q1228" s="40">
        <f>RES_BA!T25</f>
        <v>0</v>
      </c>
      <c r="S1228" s="40">
        <f>RES_BA!U25</f>
        <v>0</v>
      </c>
    </row>
    <row r="1229" spans="3:19" hidden="1" outlineLevel="1" x14ac:dyDescent="0.3">
      <c r="C1229" s="89" t="str">
        <f>RES_BA!D26</f>
        <v>Personnel Cadre - Other 13</v>
      </c>
      <c r="M1229" s="40">
        <f>RES_BA!R26</f>
        <v>0</v>
      </c>
      <c r="O1229" s="40">
        <f>RES_BA!S26</f>
        <v>0</v>
      </c>
      <c r="Q1229" s="40">
        <f>RES_BA!T26</f>
        <v>0</v>
      </c>
      <c r="S1229" s="40">
        <f>RES_BA!U26</f>
        <v>0</v>
      </c>
    </row>
    <row r="1230" spans="3:19" hidden="1" outlineLevel="1" x14ac:dyDescent="0.3">
      <c r="C1230" s="89" t="str">
        <f>RES_BA!D27</f>
        <v>Personnel Cadre - Other 14</v>
      </c>
      <c r="M1230" s="40">
        <f>RES_BA!R27</f>
        <v>0</v>
      </c>
      <c r="O1230" s="40">
        <f>RES_BA!S27</f>
        <v>0</v>
      </c>
      <c r="Q1230" s="40">
        <f>RES_BA!T27</f>
        <v>0</v>
      </c>
      <c r="S1230" s="40">
        <f>RES_BA!U27</f>
        <v>0</v>
      </c>
    </row>
    <row r="1231" spans="3:19" hidden="1" outlineLevel="1" x14ac:dyDescent="0.3">
      <c r="C1231" s="89" t="str">
        <f>RES_BA!D28</f>
        <v>Personnel Cadre - Other 15</v>
      </c>
      <c r="M1231" s="40">
        <f>RES_BA!R28</f>
        <v>0</v>
      </c>
      <c r="O1231" s="40">
        <f>RES_BA!S28</f>
        <v>0</v>
      </c>
      <c r="Q1231" s="40">
        <f>RES_BA!T28</f>
        <v>0</v>
      </c>
      <c r="S1231" s="40">
        <f>RES_BA!U28</f>
        <v>0</v>
      </c>
    </row>
    <row r="1232" spans="3:19" s="277" customFormat="1" hidden="1" outlineLevel="1" collapsed="1" x14ac:dyDescent="0.3">
      <c r="C1232" s="283" t="str">
        <f>RES_BA!D29</f>
        <v>Personnel Cadre - Other 16</v>
      </c>
      <c r="M1232" s="279">
        <f>RES_BA!R29</f>
        <v>0</v>
      </c>
      <c r="O1232" s="279">
        <f>RES_BA!S29</f>
        <v>0</v>
      </c>
      <c r="Q1232" s="279">
        <f>RES_BA!T29</f>
        <v>0</v>
      </c>
      <c r="S1232" s="279">
        <f>RES_BA!U29</f>
        <v>0</v>
      </c>
    </row>
    <row r="1233" spans="3:19" s="277" customFormat="1" hidden="1" outlineLevel="1" collapsed="1" x14ac:dyDescent="0.3">
      <c r="C1233" s="283" t="str">
        <f>RES_BA!D30</f>
        <v>Personnel Cadre - Other 17</v>
      </c>
      <c r="M1233" s="279">
        <f>RES_BA!R30</f>
        <v>0</v>
      </c>
      <c r="O1233" s="279">
        <f>RES_BA!S30</f>
        <v>0</v>
      </c>
      <c r="Q1233" s="279">
        <f>RES_BA!T30</f>
        <v>0</v>
      </c>
      <c r="S1233" s="279">
        <f>RES_BA!U30</f>
        <v>0</v>
      </c>
    </row>
    <row r="1234" spans="3:19" s="277" customFormat="1" hidden="1" outlineLevel="1" collapsed="1" x14ac:dyDescent="0.3">
      <c r="C1234" s="283" t="str">
        <f>RES_BA!D31</f>
        <v>Personnel Cadre - Other 18</v>
      </c>
      <c r="M1234" s="279">
        <f>RES_BA!R31</f>
        <v>0</v>
      </c>
      <c r="O1234" s="279">
        <f>RES_BA!S31</f>
        <v>0</v>
      </c>
      <c r="Q1234" s="279">
        <f>RES_BA!T31</f>
        <v>0</v>
      </c>
      <c r="S1234" s="279">
        <f>RES_BA!U31</f>
        <v>0</v>
      </c>
    </row>
    <row r="1235" spans="3:19" s="277" customFormat="1" hidden="1" outlineLevel="1" x14ac:dyDescent="0.3">
      <c r="C1235" s="283" t="str">
        <f>RES_BA!D32</f>
        <v>Personnel Cadre - Other 19</v>
      </c>
      <c r="M1235" s="279">
        <f>RES_BA!R32</f>
        <v>0</v>
      </c>
      <c r="O1235" s="279">
        <f>RES_BA!S32</f>
        <v>0</v>
      </c>
      <c r="Q1235" s="279">
        <f>RES_BA!T32</f>
        <v>0</v>
      </c>
      <c r="S1235" s="279">
        <f>RES_BA!U32</f>
        <v>0</v>
      </c>
    </row>
    <row r="1236" spans="3:19" s="277" customFormat="1" hidden="1" outlineLevel="1" x14ac:dyDescent="0.3">
      <c r="C1236" s="283" t="str">
        <f>RES_BA!D33</f>
        <v>Personnel Cadre - Other 20</v>
      </c>
      <c r="M1236" s="279">
        <f>RES_BA!R33</f>
        <v>0</v>
      </c>
      <c r="O1236" s="279">
        <f>RES_BA!S33</f>
        <v>0</v>
      </c>
      <c r="Q1236" s="279">
        <f>RES_BA!T33</f>
        <v>0</v>
      </c>
      <c r="S1236" s="279">
        <f>RES_BA!U33</f>
        <v>0</v>
      </c>
    </row>
    <row r="1237" spans="3:19" s="277" customFormat="1" hidden="1" outlineLevel="1" collapsed="1" x14ac:dyDescent="0.3">
      <c r="C1237" s="283" t="str">
        <f>RES_BA!D34</f>
        <v>Personnel Cadre - Other 21</v>
      </c>
      <c r="M1237" s="279">
        <f>RES_BA!R34</f>
        <v>0</v>
      </c>
      <c r="O1237" s="279">
        <f>RES_BA!S34</f>
        <v>0</v>
      </c>
      <c r="Q1237" s="279">
        <f>RES_BA!T34</f>
        <v>0</v>
      </c>
      <c r="S1237" s="279">
        <f>RES_BA!U34</f>
        <v>0</v>
      </c>
    </row>
    <row r="1238" spans="3:19" s="277" customFormat="1" hidden="1" outlineLevel="1" x14ac:dyDescent="0.3">
      <c r="C1238" s="283" t="str">
        <f>RES_BA!D35</f>
        <v>Personnel Cadre - Other 22</v>
      </c>
      <c r="M1238" s="279">
        <f>RES_BA!R35</f>
        <v>0</v>
      </c>
      <c r="O1238" s="279">
        <f>RES_BA!S35</f>
        <v>0</v>
      </c>
      <c r="Q1238" s="279">
        <f>RES_BA!T35</f>
        <v>0</v>
      </c>
      <c r="S1238" s="279">
        <f>RES_BA!U35</f>
        <v>0</v>
      </c>
    </row>
    <row r="1239" spans="3:19" s="277" customFormat="1" hidden="1" outlineLevel="1" x14ac:dyDescent="0.3">
      <c r="C1239" s="283" t="str">
        <f>RES_BA!D36</f>
        <v>Personnel Cadre - Other 23</v>
      </c>
      <c r="M1239" s="279">
        <f>RES_BA!R36</f>
        <v>0</v>
      </c>
      <c r="O1239" s="279">
        <f>RES_BA!S36</f>
        <v>0</v>
      </c>
      <c r="Q1239" s="279">
        <f>RES_BA!T36</f>
        <v>0</v>
      </c>
      <c r="S1239" s="279">
        <f>RES_BA!U36</f>
        <v>0</v>
      </c>
    </row>
    <row r="1240" spans="3:19" s="277" customFormat="1" hidden="1" outlineLevel="1" x14ac:dyDescent="0.3">
      <c r="C1240" s="283" t="str">
        <f>RES_BA!D37</f>
        <v>Personnel Cadre - Other 24</v>
      </c>
      <c r="M1240" s="279">
        <f>RES_BA!R37</f>
        <v>0</v>
      </c>
      <c r="O1240" s="279">
        <f>RES_BA!S37</f>
        <v>0</v>
      </c>
      <c r="Q1240" s="279">
        <f>RES_BA!T37</f>
        <v>0</v>
      </c>
      <c r="S1240" s="279">
        <f>RES_BA!U37</f>
        <v>0</v>
      </c>
    </row>
    <row r="1241" spans="3:19" s="277" customFormat="1" hidden="1" outlineLevel="1" x14ac:dyDescent="0.3">
      <c r="C1241" s="283" t="str">
        <f>RES_BA!D38</f>
        <v>Personnel Cadre - Other 25</v>
      </c>
      <c r="M1241" s="279">
        <f>RES_BA!R38</f>
        <v>0</v>
      </c>
      <c r="O1241" s="279">
        <f>RES_BA!S38</f>
        <v>0</v>
      </c>
      <c r="Q1241" s="279">
        <f>RES_BA!T38</f>
        <v>0</v>
      </c>
      <c r="S1241" s="279">
        <f>RES_BA!U38</f>
        <v>0</v>
      </c>
    </row>
    <row r="1242" spans="3:19" s="277" customFormat="1" hidden="1" outlineLevel="1" x14ac:dyDescent="0.3">
      <c r="C1242" s="283" t="str">
        <f>RES_BA!D39</f>
        <v>Personnel Cadre - Other 26</v>
      </c>
      <c r="M1242" s="279">
        <f>RES_BA!R39</f>
        <v>0</v>
      </c>
      <c r="O1242" s="279">
        <f>RES_BA!S39</f>
        <v>0</v>
      </c>
      <c r="Q1242" s="279">
        <f>RES_BA!T39</f>
        <v>0</v>
      </c>
      <c r="S1242" s="279">
        <f>RES_BA!U39</f>
        <v>0</v>
      </c>
    </row>
    <row r="1243" spans="3:19" s="277" customFormat="1" hidden="1" outlineLevel="1" x14ac:dyDescent="0.3">
      <c r="C1243" s="283" t="str">
        <f>RES_BA!D40</f>
        <v>Personnel Cadre - Other 27</v>
      </c>
      <c r="M1243" s="279">
        <f>RES_BA!R40</f>
        <v>0</v>
      </c>
      <c r="O1243" s="279">
        <f>RES_BA!S40</f>
        <v>0</v>
      </c>
      <c r="Q1243" s="279">
        <f>RES_BA!T40</f>
        <v>0</v>
      </c>
      <c r="S1243" s="279">
        <f>RES_BA!U40</f>
        <v>0</v>
      </c>
    </row>
    <row r="1244" spans="3:19" s="277" customFormat="1" hidden="1" outlineLevel="1" x14ac:dyDescent="0.3">
      <c r="C1244" s="283" t="str">
        <f>RES_BA!D41</f>
        <v>Personnel Cadre - Other 28</v>
      </c>
      <c r="M1244" s="279">
        <f>RES_BA!R41</f>
        <v>0</v>
      </c>
      <c r="O1244" s="279">
        <f>RES_BA!S41</f>
        <v>0</v>
      </c>
      <c r="Q1244" s="279">
        <f>RES_BA!T41</f>
        <v>0</v>
      </c>
      <c r="S1244" s="279">
        <f>RES_BA!U41</f>
        <v>0</v>
      </c>
    </row>
    <row r="1245" spans="3:19" s="277" customFormat="1" hidden="1" outlineLevel="1" x14ac:dyDescent="0.3">
      <c r="C1245" s="283" t="str">
        <f>RES_BA!D42</f>
        <v>Personnel Cadre - Other 29</v>
      </c>
      <c r="M1245" s="279">
        <f>RES_BA!R42</f>
        <v>0</v>
      </c>
      <c r="O1245" s="279">
        <f>RES_BA!S42</f>
        <v>0</v>
      </c>
      <c r="Q1245" s="279">
        <f>RES_BA!T42</f>
        <v>0</v>
      </c>
      <c r="S1245" s="279">
        <f>RES_BA!U42</f>
        <v>0</v>
      </c>
    </row>
    <row r="1246" spans="3:19" s="277" customFormat="1" hidden="1" outlineLevel="1" x14ac:dyDescent="0.3">
      <c r="C1246" s="283" t="str">
        <f>RES_BA!D43</f>
        <v>Personnel Cadre - Other 30</v>
      </c>
      <c r="M1246" s="279">
        <f>RES_BA!R43</f>
        <v>0</v>
      </c>
      <c r="O1246" s="279">
        <f>RES_BA!S43</f>
        <v>0</v>
      </c>
      <c r="Q1246" s="279">
        <f>RES_BA!T43</f>
        <v>0</v>
      </c>
      <c r="S1246" s="279">
        <f>RES_BA!U43</f>
        <v>0</v>
      </c>
    </row>
    <row r="1247" spans="3:19" s="277" customFormat="1" hidden="1" outlineLevel="1" x14ac:dyDescent="0.3">
      <c r="C1247" s="283" t="str">
        <f>RES_BA!D44</f>
        <v>Personnel Cadre - Other 31</v>
      </c>
      <c r="M1247" s="279">
        <f>RES_BA!R44</f>
        <v>0</v>
      </c>
      <c r="O1247" s="279">
        <f>RES_BA!S44</f>
        <v>0</v>
      </c>
      <c r="Q1247" s="279">
        <f>RES_BA!T44</f>
        <v>0</v>
      </c>
      <c r="S1247" s="279">
        <f>RES_BA!U44</f>
        <v>0</v>
      </c>
    </row>
    <row r="1248" spans="3:19" s="277" customFormat="1" hidden="1" outlineLevel="1" x14ac:dyDescent="0.3">
      <c r="C1248" s="283" t="str">
        <f>RES_BA!D45</f>
        <v>Personnel Cadre - Other 32</v>
      </c>
      <c r="M1248" s="279">
        <f>RES_BA!R45</f>
        <v>0</v>
      </c>
      <c r="O1248" s="279">
        <f>RES_BA!S45</f>
        <v>0</v>
      </c>
      <c r="Q1248" s="279">
        <f>RES_BA!T45</f>
        <v>0</v>
      </c>
      <c r="S1248" s="279">
        <f>RES_BA!U45</f>
        <v>0</v>
      </c>
    </row>
    <row r="1249" spans="3:19" s="277" customFormat="1" hidden="1" outlineLevel="1" x14ac:dyDescent="0.3">
      <c r="C1249" s="283" t="str">
        <f>RES_BA!D46</f>
        <v>Personnel Cadre - Other 33</v>
      </c>
      <c r="M1249" s="279">
        <f>RES_BA!R46</f>
        <v>0</v>
      </c>
      <c r="O1249" s="279">
        <f>RES_BA!S46</f>
        <v>0</v>
      </c>
      <c r="Q1249" s="279">
        <f>RES_BA!T46</f>
        <v>0</v>
      </c>
      <c r="S1249" s="279">
        <f>RES_BA!U46</f>
        <v>0</v>
      </c>
    </row>
    <row r="1250" spans="3:19" s="277" customFormat="1" hidden="1" outlineLevel="1" x14ac:dyDescent="0.3">
      <c r="C1250" s="283" t="str">
        <f>RES_BA!D47</f>
        <v>Personnel Cadre - Other 34</v>
      </c>
      <c r="M1250" s="279">
        <f>RES_BA!R47</f>
        <v>0</v>
      </c>
      <c r="O1250" s="279">
        <f>RES_BA!S47</f>
        <v>0</v>
      </c>
      <c r="Q1250" s="279">
        <f>RES_BA!T47</f>
        <v>0</v>
      </c>
      <c r="S1250" s="279">
        <f>RES_BA!U47</f>
        <v>0</v>
      </c>
    </row>
    <row r="1251" spans="3:19" s="277" customFormat="1" hidden="1" outlineLevel="1" x14ac:dyDescent="0.3">
      <c r="C1251" s="283" t="str">
        <f>RES_BA!D48</f>
        <v>Personnel Cadre - Other 35</v>
      </c>
      <c r="M1251" s="279">
        <f>RES_BA!R48</f>
        <v>0</v>
      </c>
      <c r="O1251" s="279">
        <f>RES_BA!S48</f>
        <v>0</v>
      </c>
      <c r="Q1251" s="279">
        <f>RES_BA!T48</f>
        <v>0</v>
      </c>
      <c r="S1251" s="279">
        <f>RES_BA!U48</f>
        <v>0</v>
      </c>
    </row>
    <row r="1252" spans="3:19" hidden="1" outlineLevel="1" x14ac:dyDescent="0.3"/>
    <row r="1253" spans="3:19" hidden="1" outlineLevel="1" x14ac:dyDescent="0.3">
      <c r="M1253" s="40" t="str">
        <f>$D$1211</f>
        <v>USD</v>
      </c>
      <c r="O1253" s="40" t="str">
        <f>$D$1211</f>
        <v>USD</v>
      </c>
      <c r="Q1253" s="40" t="str">
        <f>$D$1212</f>
        <v>GOZ</v>
      </c>
      <c r="S1253" s="40" t="str">
        <f>$D$1212</f>
        <v>GOZ</v>
      </c>
    </row>
    <row r="1254" spans="3:19" hidden="1" outlineLevel="1" x14ac:dyDescent="0.3">
      <c r="C1254" s="89" t="str">
        <f>RES_BA!D53</f>
        <v>Allowances Category 1</v>
      </c>
      <c r="M1254" s="40">
        <f>RES_BA!R53</f>
        <v>0</v>
      </c>
      <c r="O1254" s="40">
        <f>RES_BA!S53</f>
        <v>0</v>
      </c>
      <c r="Q1254" s="40">
        <f>RES_BA!T53</f>
        <v>0</v>
      </c>
      <c r="S1254" s="40">
        <f>RES_BA!U53</f>
        <v>0</v>
      </c>
    </row>
    <row r="1255" spans="3:19" hidden="1" outlineLevel="1" x14ac:dyDescent="0.3">
      <c r="C1255" s="89" t="str">
        <f>RES_BA!D54</f>
        <v>Allowances Category 2</v>
      </c>
      <c r="M1255" s="40">
        <f>RES_BA!R54</f>
        <v>0</v>
      </c>
      <c r="O1255" s="40">
        <f>RES_BA!S54</f>
        <v>0</v>
      </c>
      <c r="Q1255" s="40">
        <f>RES_BA!T54</f>
        <v>0</v>
      </c>
      <c r="S1255" s="40">
        <f>RES_BA!U54</f>
        <v>0</v>
      </c>
    </row>
    <row r="1256" spans="3:19" hidden="1" outlineLevel="1" x14ac:dyDescent="0.3">
      <c r="C1256" s="89" t="str">
        <f>RES_BA!D55</f>
        <v>Allowances Category 3</v>
      </c>
      <c r="M1256" s="40">
        <f>RES_BA!R55</f>
        <v>0</v>
      </c>
      <c r="O1256" s="40">
        <f>RES_BA!S55</f>
        <v>0</v>
      </c>
      <c r="Q1256" s="40">
        <f>RES_BA!T55</f>
        <v>0</v>
      </c>
      <c r="S1256" s="40">
        <f>RES_BA!U55</f>
        <v>0</v>
      </c>
    </row>
    <row r="1257" spans="3:19" hidden="1" outlineLevel="1" x14ac:dyDescent="0.3">
      <c r="C1257" s="89" t="str">
        <f>RES_BA!D56</f>
        <v>Allowances Category 4</v>
      </c>
      <c r="M1257" s="40">
        <f>RES_BA!R56</f>
        <v>0</v>
      </c>
      <c r="O1257" s="40">
        <f>RES_BA!S56</f>
        <v>0</v>
      </c>
      <c r="Q1257" s="40">
        <f>RES_BA!T56</f>
        <v>0</v>
      </c>
      <c r="S1257" s="40">
        <f>RES_BA!U56</f>
        <v>0</v>
      </c>
    </row>
    <row r="1258" spans="3:19" hidden="1" outlineLevel="1" x14ac:dyDescent="0.3">
      <c r="C1258" s="89" t="str">
        <f>RES_BA!D57</f>
        <v>Allowances Category 5</v>
      </c>
      <c r="M1258" s="40">
        <f>RES_BA!R57</f>
        <v>0</v>
      </c>
      <c r="O1258" s="40">
        <f>RES_BA!S57</f>
        <v>0</v>
      </c>
      <c r="Q1258" s="40">
        <f>RES_BA!T57</f>
        <v>0</v>
      </c>
      <c r="S1258" s="40">
        <f>RES_BA!U57</f>
        <v>0</v>
      </c>
    </row>
    <row r="1259" spans="3:19" s="277" customFormat="1" hidden="1" outlineLevel="1" collapsed="1" x14ac:dyDescent="0.3">
      <c r="C1259" s="283" t="str">
        <f>RES_BA!D58</f>
        <v>Allowances Category 6</v>
      </c>
      <c r="M1259" s="279">
        <f>RES_BA!R58</f>
        <v>0</v>
      </c>
      <c r="O1259" s="279">
        <f>RES_BA!S58</f>
        <v>0</v>
      </c>
      <c r="Q1259" s="279">
        <f>RES_BA!T58</f>
        <v>0</v>
      </c>
      <c r="S1259" s="279">
        <f>RES_BA!U58</f>
        <v>0</v>
      </c>
    </row>
    <row r="1260" spans="3:19" s="277" customFormat="1" hidden="1" outlineLevel="1" x14ac:dyDescent="0.3">
      <c r="C1260" s="283" t="str">
        <f>RES_BA!D59</f>
        <v>Allowances Category 7</v>
      </c>
      <c r="M1260" s="279">
        <f>RES_BA!R59</f>
        <v>0</v>
      </c>
      <c r="O1260" s="279">
        <f>RES_BA!S59</f>
        <v>0</v>
      </c>
      <c r="Q1260" s="279">
        <f>RES_BA!T59</f>
        <v>0</v>
      </c>
      <c r="S1260" s="279">
        <f>RES_BA!U59</f>
        <v>0</v>
      </c>
    </row>
    <row r="1261" spans="3:19" s="277" customFormat="1" hidden="1" outlineLevel="1" x14ac:dyDescent="0.3">
      <c r="C1261" s="283" t="str">
        <f>RES_BA!D60</f>
        <v>Allowances Category 8</v>
      </c>
      <c r="M1261" s="279">
        <f>RES_BA!R60</f>
        <v>0</v>
      </c>
      <c r="O1261" s="279">
        <f>RES_BA!S60</f>
        <v>0</v>
      </c>
      <c r="Q1261" s="279">
        <f>RES_BA!T60</f>
        <v>0</v>
      </c>
      <c r="S1261" s="279">
        <f>RES_BA!U60</f>
        <v>0</v>
      </c>
    </row>
    <row r="1262" spans="3:19" s="277" customFormat="1" hidden="1" outlineLevel="1" x14ac:dyDescent="0.3">
      <c r="C1262" s="283" t="str">
        <f>RES_BA!D61</f>
        <v>Allowances Category 9</v>
      </c>
      <c r="M1262" s="279">
        <f>RES_BA!R61</f>
        <v>0</v>
      </c>
      <c r="O1262" s="279">
        <f>RES_BA!S61</f>
        <v>0</v>
      </c>
      <c r="Q1262" s="279">
        <f>RES_BA!T61</f>
        <v>0</v>
      </c>
      <c r="S1262" s="279">
        <f>RES_BA!U61</f>
        <v>0</v>
      </c>
    </row>
    <row r="1263" spans="3:19" s="277" customFormat="1" hidden="1" outlineLevel="1" x14ac:dyDescent="0.3">
      <c r="C1263" s="283" t="str">
        <f>RES_BA!D62</f>
        <v>Allowances Category 10</v>
      </c>
      <c r="M1263" s="279">
        <f>RES_BA!R62</f>
        <v>0</v>
      </c>
      <c r="O1263" s="279">
        <f>RES_BA!S62</f>
        <v>0</v>
      </c>
      <c r="Q1263" s="279">
        <f>RES_BA!T62</f>
        <v>0</v>
      </c>
      <c r="S1263" s="279">
        <f>RES_BA!U62</f>
        <v>0</v>
      </c>
    </row>
    <row r="1264" spans="3:19" s="277" customFormat="1" hidden="1" outlineLevel="1" x14ac:dyDescent="0.3">
      <c r="C1264" s="283" t="str">
        <f>RES_BA!D63</f>
        <v>Allowances Category 11</v>
      </c>
      <c r="M1264" s="279">
        <f>RES_BA!R63</f>
        <v>0</v>
      </c>
      <c r="O1264" s="279">
        <f>RES_BA!S63</f>
        <v>0</v>
      </c>
      <c r="Q1264" s="279">
        <f>RES_BA!T63</f>
        <v>0</v>
      </c>
      <c r="S1264" s="279">
        <f>RES_BA!U63</f>
        <v>0</v>
      </c>
    </row>
    <row r="1265" spans="3:19" s="277" customFormat="1" hidden="1" outlineLevel="1" x14ac:dyDescent="0.3">
      <c r="C1265" s="283" t="str">
        <f>RES_BA!D64</f>
        <v>Allowances Category 12</v>
      </c>
      <c r="M1265" s="279">
        <f>RES_BA!R64</f>
        <v>0</v>
      </c>
      <c r="O1265" s="279">
        <f>RES_BA!S64</f>
        <v>0</v>
      </c>
      <c r="Q1265" s="279">
        <f>RES_BA!T64</f>
        <v>0</v>
      </c>
      <c r="S1265" s="279">
        <f>RES_BA!U64</f>
        <v>0</v>
      </c>
    </row>
    <row r="1266" spans="3:19" s="277" customFormat="1" hidden="1" outlineLevel="1" x14ac:dyDescent="0.3">
      <c r="C1266" s="283" t="str">
        <f>RES_BA!D65</f>
        <v>Allowances Category 13</v>
      </c>
      <c r="M1266" s="279">
        <f>RES_BA!R65</f>
        <v>0</v>
      </c>
      <c r="O1266" s="279">
        <f>RES_BA!S65</f>
        <v>0</v>
      </c>
      <c r="Q1266" s="279">
        <f>RES_BA!T65</f>
        <v>0</v>
      </c>
      <c r="S1266" s="279">
        <f>RES_BA!U65</f>
        <v>0</v>
      </c>
    </row>
    <row r="1267" spans="3:19" s="277" customFormat="1" hidden="1" outlineLevel="1" x14ac:dyDescent="0.3">
      <c r="C1267" s="283" t="str">
        <f>RES_BA!D66</f>
        <v>Allowances Category 14</v>
      </c>
      <c r="M1267" s="279">
        <f>RES_BA!R66</f>
        <v>0</v>
      </c>
      <c r="O1267" s="279">
        <f>RES_BA!S66</f>
        <v>0</v>
      </c>
      <c r="Q1267" s="279">
        <f>RES_BA!T66</f>
        <v>0</v>
      </c>
      <c r="S1267" s="279">
        <f>RES_BA!U66</f>
        <v>0</v>
      </c>
    </row>
    <row r="1268" spans="3:19" s="277" customFormat="1" hidden="1" outlineLevel="1" x14ac:dyDescent="0.3">
      <c r="C1268" s="283" t="str">
        <f>RES_BA!D67</f>
        <v>Allowances Category 15</v>
      </c>
      <c r="M1268" s="279">
        <f>RES_BA!R67</f>
        <v>0</v>
      </c>
      <c r="O1268" s="279">
        <f>RES_BA!S67</f>
        <v>0</v>
      </c>
      <c r="Q1268" s="279">
        <f>RES_BA!T67</f>
        <v>0</v>
      </c>
      <c r="S1268" s="279">
        <f>RES_BA!U67</f>
        <v>0</v>
      </c>
    </row>
    <row r="1269" spans="3:19" s="277" customFormat="1" hidden="1" outlineLevel="1" x14ac:dyDescent="0.3">
      <c r="C1269" s="283" t="str">
        <f>RES_BA!D68</f>
        <v>Allowances Category 16</v>
      </c>
      <c r="M1269" s="279">
        <f>RES_BA!R68</f>
        <v>0</v>
      </c>
      <c r="O1269" s="279">
        <f>RES_BA!S68</f>
        <v>0</v>
      </c>
      <c r="Q1269" s="279">
        <f>RES_BA!T68</f>
        <v>0</v>
      </c>
      <c r="S1269" s="279">
        <f>RES_BA!U68</f>
        <v>0</v>
      </c>
    </row>
    <row r="1270" spans="3:19" hidden="1" outlineLevel="1" x14ac:dyDescent="0.3">
      <c r="C1270" s="89" t="str">
        <f>RES_BA!D69</f>
        <v>Allowances Category 17</v>
      </c>
      <c r="M1270" s="40">
        <f>RES_BA!R69</f>
        <v>0</v>
      </c>
      <c r="O1270" s="40">
        <f>RES_BA!S69</f>
        <v>0</v>
      </c>
      <c r="Q1270" s="40">
        <f>RES_BA!T69</f>
        <v>0</v>
      </c>
      <c r="S1270" s="40">
        <f>RES_BA!U69</f>
        <v>0</v>
      </c>
    </row>
    <row r="1271" spans="3:19" hidden="1" outlineLevel="1" x14ac:dyDescent="0.3">
      <c r="C1271" s="89" t="str">
        <f>RES_BA!D70</f>
        <v>Allowances Category 18</v>
      </c>
      <c r="M1271" s="40">
        <f>RES_BA!R70</f>
        <v>0</v>
      </c>
      <c r="O1271" s="40">
        <f>RES_BA!S70</f>
        <v>0</v>
      </c>
      <c r="Q1271" s="40">
        <f>RES_BA!T70</f>
        <v>0</v>
      </c>
      <c r="S1271" s="40">
        <f>RES_BA!U70</f>
        <v>0</v>
      </c>
    </row>
    <row r="1272" spans="3:19" hidden="1" outlineLevel="1" x14ac:dyDescent="0.3">
      <c r="C1272" s="89" t="str">
        <f>RES_BA!D71</f>
        <v>Allowances Category 19</v>
      </c>
      <c r="M1272" s="40">
        <f>RES_BA!R71</f>
        <v>0</v>
      </c>
      <c r="O1272" s="40">
        <f>RES_BA!S71</f>
        <v>0</v>
      </c>
      <c r="Q1272" s="40">
        <f>RES_BA!T71</f>
        <v>0</v>
      </c>
      <c r="S1272" s="40">
        <f>RES_BA!U71</f>
        <v>0</v>
      </c>
    </row>
    <row r="1273" spans="3:19" hidden="1" outlineLevel="1" x14ac:dyDescent="0.3">
      <c r="C1273" s="89" t="str">
        <f>RES_BA!D72</f>
        <v>Allowances Category 20</v>
      </c>
      <c r="M1273" s="40">
        <f>RES_BA!R72</f>
        <v>0</v>
      </c>
      <c r="O1273" s="40">
        <f>RES_BA!S72</f>
        <v>0</v>
      </c>
      <c r="Q1273" s="40">
        <f>RES_BA!T72</f>
        <v>0</v>
      </c>
      <c r="S1273" s="40">
        <f>RES_BA!U72</f>
        <v>0</v>
      </c>
    </row>
    <row r="1274" spans="3:19" hidden="1" outlineLevel="1" x14ac:dyDescent="0.3">
      <c r="C1274" s="89" t="str">
        <f>RES_BA!D73</f>
        <v>Allowances Category 21</v>
      </c>
      <c r="M1274" s="40">
        <f>RES_BA!R73</f>
        <v>0</v>
      </c>
      <c r="O1274" s="40">
        <f>RES_BA!S73</f>
        <v>0</v>
      </c>
      <c r="Q1274" s="40">
        <f>RES_BA!T73</f>
        <v>0</v>
      </c>
      <c r="S1274" s="40">
        <f>RES_BA!U73</f>
        <v>0</v>
      </c>
    </row>
    <row r="1275" spans="3:19" hidden="1" outlineLevel="1" x14ac:dyDescent="0.3">
      <c r="C1275" s="89" t="str">
        <f>RES_BA!D74</f>
        <v>Allowances Category 22</v>
      </c>
      <c r="M1275" s="40">
        <f>RES_BA!R74</f>
        <v>0</v>
      </c>
      <c r="O1275" s="40">
        <f>RES_BA!S74</f>
        <v>0</v>
      </c>
      <c r="Q1275" s="40">
        <f>RES_BA!T74</f>
        <v>0</v>
      </c>
      <c r="S1275" s="40">
        <f>RES_BA!U74</f>
        <v>0</v>
      </c>
    </row>
    <row r="1276" spans="3:19" hidden="1" outlineLevel="1" x14ac:dyDescent="0.3">
      <c r="C1276" s="89" t="str">
        <f>RES_BA!D75</f>
        <v>Allowances Category 23</v>
      </c>
      <c r="M1276" s="40">
        <f>RES_BA!R75</f>
        <v>0</v>
      </c>
      <c r="O1276" s="40">
        <f>RES_BA!S75</f>
        <v>0</v>
      </c>
      <c r="Q1276" s="40">
        <f>RES_BA!T75</f>
        <v>0</v>
      </c>
      <c r="S1276" s="40">
        <f>RES_BA!U75</f>
        <v>0</v>
      </c>
    </row>
    <row r="1277" spans="3:19" s="277" customFormat="1" hidden="1" outlineLevel="1" collapsed="1" x14ac:dyDescent="0.3">
      <c r="C1277" s="283" t="str">
        <f>RES_BA!D76</f>
        <v>Allowances Category 24</v>
      </c>
      <c r="M1277" s="279">
        <f>RES_BA!R76</f>
        <v>0</v>
      </c>
      <c r="O1277" s="279">
        <f>RES_BA!S76</f>
        <v>0</v>
      </c>
      <c r="Q1277" s="279">
        <f>RES_BA!T76</f>
        <v>0</v>
      </c>
      <c r="S1277" s="279">
        <f>RES_BA!U76</f>
        <v>0</v>
      </c>
    </row>
    <row r="1278" spans="3:19" s="277" customFormat="1" hidden="1" outlineLevel="1" x14ac:dyDescent="0.3">
      <c r="C1278" s="283" t="str">
        <f>RES_BA!D77</f>
        <v>Allowances Category 25</v>
      </c>
      <c r="M1278" s="279">
        <f>RES_BA!R77</f>
        <v>0</v>
      </c>
      <c r="O1278" s="279">
        <f>RES_BA!S77</f>
        <v>0</v>
      </c>
      <c r="Q1278" s="279">
        <f>RES_BA!T77</f>
        <v>0</v>
      </c>
      <c r="S1278" s="279">
        <f>RES_BA!U77</f>
        <v>0</v>
      </c>
    </row>
    <row r="1279" spans="3:19" s="277" customFormat="1" hidden="1" outlineLevel="1" x14ac:dyDescent="0.3">
      <c r="C1279" s="283" t="str">
        <f>RES_BA!D78</f>
        <v>Allowances Category 26</v>
      </c>
      <c r="M1279" s="279">
        <f>RES_BA!R78</f>
        <v>0</v>
      </c>
      <c r="O1279" s="279">
        <f>RES_BA!S78</f>
        <v>0</v>
      </c>
      <c r="Q1279" s="279">
        <f>RES_BA!T78</f>
        <v>0</v>
      </c>
      <c r="S1279" s="279">
        <f>RES_BA!U78</f>
        <v>0</v>
      </c>
    </row>
    <row r="1280" spans="3:19" s="277" customFormat="1" hidden="1" outlineLevel="1" x14ac:dyDescent="0.3">
      <c r="C1280" s="283" t="str">
        <f>RES_BA!D79</f>
        <v>Allowances Category 27</v>
      </c>
      <c r="M1280" s="279">
        <f>RES_BA!R79</f>
        <v>0</v>
      </c>
      <c r="O1280" s="279">
        <f>RES_BA!S79</f>
        <v>0</v>
      </c>
      <c r="Q1280" s="279">
        <f>RES_BA!T79</f>
        <v>0</v>
      </c>
      <c r="S1280" s="279">
        <f>RES_BA!U79</f>
        <v>0</v>
      </c>
    </row>
    <row r="1281" spans="3:19" s="277" customFormat="1" hidden="1" outlineLevel="1" x14ac:dyDescent="0.3">
      <c r="C1281" s="283" t="str">
        <f>RES_BA!D80</f>
        <v>Allowances Category 28</v>
      </c>
      <c r="M1281" s="279">
        <f>RES_BA!R80</f>
        <v>0</v>
      </c>
      <c r="O1281" s="279">
        <f>RES_BA!S80</f>
        <v>0</v>
      </c>
      <c r="Q1281" s="279">
        <f>RES_BA!T80</f>
        <v>0</v>
      </c>
      <c r="S1281" s="279">
        <f>RES_BA!U80</f>
        <v>0</v>
      </c>
    </row>
    <row r="1282" spans="3:19" s="277" customFormat="1" hidden="1" outlineLevel="1" x14ac:dyDescent="0.3">
      <c r="C1282" s="283" t="str">
        <f>RES_BA!D81</f>
        <v>Allowances Category 29</v>
      </c>
      <c r="M1282" s="279">
        <f>RES_BA!R81</f>
        <v>0</v>
      </c>
      <c r="O1282" s="279">
        <f>RES_BA!S81</f>
        <v>0</v>
      </c>
      <c r="Q1282" s="279">
        <f>RES_BA!T81</f>
        <v>0</v>
      </c>
      <c r="S1282" s="279">
        <f>RES_BA!U81</f>
        <v>0</v>
      </c>
    </row>
    <row r="1283" spans="3:19" s="277" customFormat="1" hidden="1" outlineLevel="1" x14ac:dyDescent="0.3">
      <c r="C1283" s="283" t="str">
        <f>RES_BA!D82</f>
        <v>Allowances Category 30</v>
      </c>
      <c r="M1283" s="279">
        <f>RES_BA!R82</f>
        <v>0</v>
      </c>
      <c r="O1283" s="279">
        <f>RES_BA!S82</f>
        <v>0</v>
      </c>
      <c r="Q1283" s="279">
        <f>RES_BA!T82</f>
        <v>0</v>
      </c>
      <c r="S1283" s="279">
        <f>RES_BA!U82</f>
        <v>0</v>
      </c>
    </row>
    <row r="1284" spans="3:19" hidden="1" outlineLevel="1" x14ac:dyDescent="0.3">
      <c r="C1284" s="89" t="str">
        <f>RES_BA!D83</f>
        <v>Allowances Category 31</v>
      </c>
      <c r="M1284" s="40">
        <f>RES_BA!R83</f>
        <v>0</v>
      </c>
      <c r="O1284" s="40">
        <f>RES_BA!S83</f>
        <v>0</v>
      </c>
      <c r="Q1284" s="40">
        <f>RES_BA!T83</f>
        <v>0</v>
      </c>
      <c r="S1284" s="40">
        <f>RES_BA!U83</f>
        <v>0</v>
      </c>
    </row>
    <row r="1285" spans="3:19" hidden="1" outlineLevel="1" x14ac:dyDescent="0.3">
      <c r="C1285" s="89" t="str">
        <f>RES_BA!D84</f>
        <v>Allowances Category 32</v>
      </c>
      <c r="M1285" s="40">
        <f>RES_BA!R84</f>
        <v>0</v>
      </c>
      <c r="O1285" s="40">
        <f>RES_BA!S84</f>
        <v>0</v>
      </c>
      <c r="Q1285" s="40">
        <f>RES_BA!T84</f>
        <v>0</v>
      </c>
      <c r="S1285" s="40">
        <f>RES_BA!U84</f>
        <v>0</v>
      </c>
    </row>
    <row r="1286" spans="3:19" hidden="1" outlineLevel="1" x14ac:dyDescent="0.3">
      <c r="C1286" s="89" t="str">
        <f>RES_BA!D85</f>
        <v>Allowances Category 33</v>
      </c>
      <c r="M1286" s="40">
        <f>RES_BA!R85</f>
        <v>0</v>
      </c>
      <c r="O1286" s="40">
        <f>RES_BA!S85</f>
        <v>0</v>
      </c>
      <c r="Q1286" s="40">
        <f>RES_BA!T85</f>
        <v>0</v>
      </c>
      <c r="S1286" s="40">
        <f>RES_BA!U85</f>
        <v>0</v>
      </c>
    </row>
    <row r="1287" spans="3:19" hidden="1" outlineLevel="1" x14ac:dyDescent="0.3">
      <c r="C1287" s="89" t="str">
        <f>RES_BA!D86</f>
        <v>Allowances Category 34</v>
      </c>
      <c r="M1287" s="40">
        <f>RES_BA!R86</f>
        <v>0</v>
      </c>
      <c r="O1287" s="40">
        <f>RES_BA!S86</f>
        <v>0</v>
      </c>
      <c r="Q1287" s="40">
        <f>RES_BA!T86</f>
        <v>0</v>
      </c>
      <c r="S1287" s="40">
        <f>RES_BA!U86</f>
        <v>0</v>
      </c>
    </row>
    <row r="1288" spans="3:19" hidden="1" outlineLevel="1" x14ac:dyDescent="0.3">
      <c r="C1288" s="89" t="str">
        <f>RES_BA!D87</f>
        <v>Allowances Category 35</v>
      </c>
      <c r="M1288" s="40">
        <f>RES_BA!R87</f>
        <v>0</v>
      </c>
      <c r="O1288" s="40">
        <f>RES_BA!S87</f>
        <v>0</v>
      </c>
      <c r="Q1288" s="40">
        <f>RES_BA!T87</f>
        <v>0</v>
      </c>
      <c r="S1288" s="40">
        <f>RES_BA!U87</f>
        <v>0</v>
      </c>
    </row>
    <row r="1289" spans="3:19" hidden="1" outlineLevel="1" x14ac:dyDescent="0.3"/>
    <row r="1290" spans="3:19" hidden="1" outlineLevel="1" x14ac:dyDescent="0.3"/>
    <row r="1291" spans="3:19" hidden="1" outlineLevel="1" x14ac:dyDescent="0.3">
      <c r="M1291" s="40" t="str">
        <f>$D$1211</f>
        <v>USD</v>
      </c>
      <c r="O1291" s="40" t="str">
        <f>$D$1211</f>
        <v>USD</v>
      </c>
      <c r="Q1291" s="40" t="str">
        <f>$D$1212</f>
        <v>GOZ</v>
      </c>
      <c r="S1291" s="40" t="str">
        <f>$D$1212</f>
        <v>GOZ</v>
      </c>
    </row>
    <row r="1292" spans="3:19" hidden="1" outlineLevel="1" x14ac:dyDescent="0.3">
      <c r="C1292" s="89" t="str">
        <f>RES_BA!D91</f>
        <v>Supplies Category 1</v>
      </c>
      <c r="M1292" s="40">
        <f>RES_BA!R91</f>
        <v>0</v>
      </c>
      <c r="O1292" s="40">
        <f>RES_BA!S91</f>
        <v>0</v>
      </c>
      <c r="Q1292" s="40">
        <f>RES_BA!T91</f>
        <v>0</v>
      </c>
      <c r="S1292" s="40">
        <f>RES_BA!U91</f>
        <v>0</v>
      </c>
    </row>
    <row r="1293" spans="3:19" hidden="1" outlineLevel="1" x14ac:dyDescent="0.3">
      <c r="C1293" s="89" t="str">
        <f>RES_BA!D92</f>
        <v>Supplies Category 2</v>
      </c>
      <c r="M1293" s="40">
        <f>RES_BA!R92</f>
        <v>0</v>
      </c>
      <c r="O1293" s="40">
        <f>RES_BA!S92</f>
        <v>0</v>
      </c>
      <c r="Q1293" s="40">
        <f>RES_BA!T92</f>
        <v>0</v>
      </c>
      <c r="S1293" s="40">
        <f>RES_BA!U92</f>
        <v>0</v>
      </c>
    </row>
    <row r="1294" spans="3:19" hidden="1" outlineLevel="1" x14ac:dyDescent="0.3">
      <c r="C1294" s="89" t="str">
        <f>RES_BA!D93</f>
        <v>Supplies Category 3</v>
      </c>
      <c r="M1294" s="40">
        <f>RES_BA!R93</f>
        <v>0</v>
      </c>
      <c r="O1294" s="40">
        <f>RES_BA!S93</f>
        <v>0</v>
      </c>
      <c r="Q1294" s="40">
        <f>RES_BA!T93</f>
        <v>0</v>
      </c>
      <c r="S1294" s="40">
        <f>RES_BA!U93</f>
        <v>0</v>
      </c>
    </row>
    <row r="1295" spans="3:19" hidden="1" outlineLevel="1" x14ac:dyDescent="0.3">
      <c r="C1295" s="89" t="str">
        <f>RES_BA!D94</f>
        <v>Supplies Category 4</v>
      </c>
      <c r="M1295" s="40">
        <f>RES_BA!R94</f>
        <v>0</v>
      </c>
      <c r="O1295" s="40">
        <f>RES_BA!S94</f>
        <v>0</v>
      </c>
      <c r="Q1295" s="40">
        <f>RES_BA!T94</f>
        <v>0</v>
      </c>
      <c r="S1295" s="40">
        <f>RES_BA!U94</f>
        <v>0</v>
      </c>
    </row>
    <row r="1296" spans="3:19" hidden="1" outlineLevel="1" x14ac:dyDescent="0.3">
      <c r="C1296" s="89" t="str">
        <f>RES_BA!D95</f>
        <v>Supplies Category 5</v>
      </c>
      <c r="M1296" s="40">
        <f>RES_BA!R95</f>
        <v>0</v>
      </c>
      <c r="O1296" s="40">
        <f>RES_BA!S95</f>
        <v>0</v>
      </c>
      <c r="Q1296" s="40">
        <f>RES_BA!T95</f>
        <v>0</v>
      </c>
      <c r="S1296" s="40">
        <f>RES_BA!U95</f>
        <v>0</v>
      </c>
    </row>
    <row r="1297" spans="3:19" hidden="1" outlineLevel="1" x14ac:dyDescent="0.3">
      <c r="C1297" s="89" t="str">
        <f>RES_BA!D96</f>
        <v>Supplies Category 6</v>
      </c>
      <c r="M1297" s="40">
        <f>RES_BA!R96</f>
        <v>0</v>
      </c>
      <c r="O1297" s="40">
        <f>RES_BA!S96</f>
        <v>0</v>
      </c>
      <c r="Q1297" s="40">
        <f>RES_BA!T96</f>
        <v>0</v>
      </c>
      <c r="S1297" s="40">
        <f>RES_BA!U96</f>
        <v>0</v>
      </c>
    </row>
    <row r="1298" spans="3:19" hidden="1" outlineLevel="1" x14ac:dyDescent="0.3">
      <c r="C1298" s="89" t="str">
        <f>RES_BA!D97</f>
        <v>Supplies Category 7</v>
      </c>
      <c r="M1298" s="40">
        <f>RES_BA!R97</f>
        <v>0</v>
      </c>
      <c r="O1298" s="40">
        <f>RES_BA!S97</f>
        <v>0</v>
      </c>
      <c r="Q1298" s="40">
        <f>RES_BA!T97</f>
        <v>0</v>
      </c>
      <c r="S1298" s="40">
        <f>RES_BA!U97</f>
        <v>0</v>
      </c>
    </row>
    <row r="1299" spans="3:19" hidden="1" outlineLevel="1" x14ac:dyDescent="0.3">
      <c r="C1299" s="89" t="str">
        <f>RES_BA!D98</f>
        <v>Supplies Category 8</v>
      </c>
      <c r="M1299" s="40">
        <f>RES_BA!R98</f>
        <v>0</v>
      </c>
      <c r="O1299" s="40">
        <f>RES_BA!S98</f>
        <v>0</v>
      </c>
      <c r="Q1299" s="40">
        <f>RES_BA!T98</f>
        <v>0</v>
      </c>
      <c r="S1299" s="40">
        <f>RES_BA!U98</f>
        <v>0</v>
      </c>
    </row>
    <row r="1300" spans="3:19" hidden="1" outlineLevel="1" x14ac:dyDescent="0.3">
      <c r="C1300" s="89" t="str">
        <f>RES_BA!D99</f>
        <v>Supplies Category 9</v>
      </c>
      <c r="M1300" s="40">
        <f>RES_BA!R99</f>
        <v>0</v>
      </c>
      <c r="O1300" s="40">
        <f>RES_BA!S99</f>
        <v>0</v>
      </c>
      <c r="Q1300" s="40">
        <f>RES_BA!T99</f>
        <v>0</v>
      </c>
      <c r="S1300" s="40">
        <f>RES_BA!U99</f>
        <v>0</v>
      </c>
    </row>
    <row r="1301" spans="3:19" hidden="1" outlineLevel="1" x14ac:dyDescent="0.3">
      <c r="C1301" s="89" t="str">
        <f>RES_BA!D100</f>
        <v>Supplies Category 10</v>
      </c>
      <c r="M1301" s="40">
        <f>RES_BA!R100</f>
        <v>0</v>
      </c>
      <c r="O1301" s="40">
        <f>RES_BA!S100</f>
        <v>0</v>
      </c>
      <c r="Q1301" s="40">
        <f>RES_BA!T100</f>
        <v>0</v>
      </c>
      <c r="S1301" s="40">
        <f>RES_BA!U100</f>
        <v>0</v>
      </c>
    </row>
    <row r="1302" spans="3:19" hidden="1" outlineLevel="1" x14ac:dyDescent="0.3">
      <c r="C1302" s="89" t="str">
        <f>RES_BA!D101</f>
        <v>Supplies Category 11</v>
      </c>
      <c r="M1302" s="40">
        <f>RES_BA!R101</f>
        <v>0</v>
      </c>
      <c r="O1302" s="40">
        <f>RES_BA!S101</f>
        <v>0</v>
      </c>
      <c r="Q1302" s="40">
        <f>RES_BA!T101</f>
        <v>0</v>
      </c>
      <c r="S1302" s="40">
        <f>RES_BA!U101</f>
        <v>0</v>
      </c>
    </row>
    <row r="1303" spans="3:19" hidden="1" outlineLevel="1" x14ac:dyDescent="0.3">
      <c r="C1303" s="89" t="str">
        <f>RES_BA!D102</f>
        <v>Supplies Category 12</v>
      </c>
      <c r="M1303" s="40">
        <f>RES_BA!R102</f>
        <v>0</v>
      </c>
      <c r="O1303" s="40">
        <f>RES_BA!S102</f>
        <v>0</v>
      </c>
      <c r="Q1303" s="40">
        <f>RES_BA!T102</f>
        <v>0</v>
      </c>
      <c r="S1303" s="40">
        <f>RES_BA!U102</f>
        <v>0</v>
      </c>
    </row>
    <row r="1304" spans="3:19" hidden="1" outlineLevel="1" x14ac:dyDescent="0.3">
      <c r="C1304" s="89" t="str">
        <f>RES_BA!D103</f>
        <v>Supplies Category 13</v>
      </c>
      <c r="M1304" s="40">
        <f>RES_BA!R103</f>
        <v>0</v>
      </c>
      <c r="O1304" s="40">
        <f>RES_BA!S103</f>
        <v>0</v>
      </c>
      <c r="Q1304" s="40">
        <f>RES_BA!T103</f>
        <v>0</v>
      </c>
      <c r="S1304" s="40">
        <f>RES_BA!U103</f>
        <v>0</v>
      </c>
    </row>
    <row r="1305" spans="3:19" hidden="1" outlineLevel="1" x14ac:dyDescent="0.3">
      <c r="C1305" s="89" t="str">
        <f>RES_BA!D104</f>
        <v>Supplies Category 14</v>
      </c>
      <c r="M1305" s="40">
        <f>RES_BA!R104</f>
        <v>0</v>
      </c>
      <c r="O1305" s="40">
        <f>RES_BA!S104</f>
        <v>0</v>
      </c>
      <c r="Q1305" s="40">
        <f>RES_BA!T104</f>
        <v>0</v>
      </c>
      <c r="S1305" s="40">
        <f>RES_BA!U104</f>
        <v>0</v>
      </c>
    </row>
    <row r="1306" spans="3:19" hidden="1" outlineLevel="1" x14ac:dyDescent="0.3">
      <c r="C1306" s="89" t="str">
        <f>RES_BA!D105</f>
        <v>Supplies Category 15</v>
      </c>
      <c r="M1306" s="40">
        <f>RES_BA!R105</f>
        <v>0</v>
      </c>
      <c r="O1306" s="40">
        <f>RES_BA!S105</f>
        <v>0</v>
      </c>
      <c r="Q1306" s="40">
        <f>RES_BA!T105</f>
        <v>0</v>
      </c>
      <c r="S1306" s="40">
        <f>RES_BA!U105</f>
        <v>0</v>
      </c>
    </row>
    <row r="1307" spans="3:19" hidden="1" outlineLevel="1" x14ac:dyDescent="0.3">
      <c r="C1307" s="89" t="str">
        <f>RES_BA!D106</f>
        <v>Supplies Category 16</v>
      </c>
      <c r="M1307" s="40">
        <f>RES_BA!R106</f>
        <v>0</v>
      </c>
      <c r="O1307" s="40">
        <f>RES_BA!S106</f>
        <v>0</v>
      </c>
      <c r="Q1307" s="40">
        <f>RES_BA!T106</f>
        <v>0</v>
      </c>
      <c r="S1307" s="40">
        <f>RES_BA!U106</f>
        <v>0</v>
      </c>
    </row>
    <row r="1308" spans="3:19" s="277" customFormat="1" hidden="1" outlineLevel="1" collapsed="1" x14ac:dyDescent="0.3">
      <c r="C1308" s="283" t="str">
        <f>RES_BA!D107</f>
        <v>Supplies Category 17</v>
      </c>
      <c r="M1308" s="279">
        <f>RES_BA!R107</f>
        <v>0</v>
      </c>
      <c r="O1308" s="279">
        <f>RES_BA!S107</f>
        <v>0</v>
      </c>
      <c r="Q1308" s="279">
        <f>RES_BA!T107</f>
        <v>0</v>
      </c>
      <c r="S1308" s="279">
        <f>RES_BA!U107</f>
        <v>0</v>
      </c>
    </row>
    <row r="1309" spans="3:19" s="277" customFormat="1" hidden="1" outlineLevel="1" x14ac:dyDescent="0.3">
      <c r="C1309" s="283" t="str">
        <f>RES_BA!D108</f>
        <v>Supplies Category 18</v>
      </c>
      <c r="M1309" s="279">
        <f>RES_BA!R108</f>
        <v>0</v>
      </c>
      <c r="O1309" s="279">
        <f>RES_BA!S108</f>
        <v>0</v>
      </c>
      <c r="Q1309" s="279">
        <f>RES_BA!T108</f>
        <v>0</v>
      </c>
      <c r="S1309" s="279">
        <f>RES_BA!U108</f>
        <v>0</v>
      </c>
    </row>
    <row r="1310" spans="3:19" s="277" customFormat="1" hidden="1" outlineLevel="1" x14ac:dyDescent="0.3">
      <c r="C1310" s="283" t="str">
        <f>RES_BA!D109</f>
        <v>Supplies Category 19</v>
      </c>
      <c r="M1310" s="279">
        <f>RES_BA!R109</f>
        <v>0</v>
      </c>
      <c r="O1310" s="279">
        <f>RES_BA!S109</f>
        <v>0</v>
      </c>
      <c r="Q1310" s="279">
        <f>RES_BA!T109</f>
        <v>0</v>
      </c>
      <c r="S1310" s="279">
        <f>RES_BA!U109</f>
        <v>0</v>
      </c>
    </row>
    <row r="1311" spans="3:19" s="277" customFormat="1" hidden="1" outlineLevel="1" x14ac:dyDescent="0.3">
      <c r="C1311" s="283" t="str">
        <f>RES_BA!D110</f>
        <v>Supplies Category 20</v>
      </c>
      <c r="M1311" s="279">
        <f>RES_BA!R110</f>
        <v>0</v>
      </c>
      <c r="O1311" s="279">
        <f>RES_BA!S110</f>
        <v>0</v>
      </c>
      <c r="Q1311" s="279">
        <f>RES_BA!T110</f>
        <v>0</v>
      </c>
      <c r="S1311" s="279">
        <f>RES_BA!U110</f>
        <v>0</v>
      </c>
    </row>
    <row r="1312" spans="3:19" s="277" customFormat="1" hidden="1" outlineLevel="1" x14ac:dyDescent="0.3">
      <c r="C1312" s="283" t="str">
        <f>RES_BA!D111</f>
        <v>Supplies Category 21</v>
      </c>
      <c r="M1312" s="279">
        <f>RES_BA!R111</f>
        <v>0</v>
      </c>
      <c r="O1312" s="279">
        <f>RES_BA!S111</f>
        <v>0</v>
      </c>
      <c r="Q1312" s="279">
        <f>RES_BA!T111</f>
        <v>0</v>
      </c>
      <c r="S1312" s="279">
        <f>RES_BA!U111</f>
        <v>0</v>
      </c>
    </row>
    <row r="1313" spans="3:19" s="277" customFormat="1" hidden="1" outlineLevel="1" x14ac:dyDescent="0.3">
      <c r="C1313" s="283" t="str">
        <f>RES_BA!D112</f>
        <v>Supplies Category 22</v>
      </c>
      <c r="M1313" s="279">
        <f>RES_BA!R112</f>
        <v>0</v>
      </c>
      <c r="O1313" s="279">
        <f>RES_BA!S112</f>
        <v>0</v>
      </c>
      <c r="Q1313" s="279">
        <f>RES_BA!T112</f>
        <v>0</v>
      </c>
      <c r="S1313" s="279">
        <f>RES_BA!U112</f>
        <v>0</v>
      </c>
    </row>
    <row r="1314" spans="3:19" s="277" customFormat="1" hidden="1" outlineLevel="1" x14ac:dyDescent="0.3">
      <c r="C1314" s="283" t="str">
        <f>RES_BA!D113</f>
        <v>Supplies Category 23</v>
      </c>
      <c r="M1314" s="279">
        <f>RES_BA!R113</f>
        <v>0</v>
      </c>
      <c r="O1314" s="279">
        <f>RES_BA!S113</f>
        <v>0</v>
      </c>
      <c r="Q1314" s="279">
        <f>RES_BA!T113</f>
        <v>0</v>
      </c>
      <c r="S1314" s="279">
        <f>RES_BA!U113</f>
        <v>0</v>
      </c>
    </row>
    <row r="1315" spans="3:19" s="277" customFormat="1" hidden="1" outlineLevel="1" x14ac:dyDescent="0.3">
      <c r="C1315" s="283" t="str">
        <f>RES_BA!D114</f>
        <v>Supplies Category 24</v>
      </c>
      <c r="M1315" s="279">
        <f>RES_BA!R114</f>
        <v>0</v>
      </c>
      <c r="O1315" s="279">
        <f>RES_BA!S114</f>
        <v>0</v>
      </c>
      <c r="Q1315" s="279">
        <f>RES_BA!T114</f>
        <v>0</v>
      </c>
      <c r="S1315" s="279">
        <f>RES_BA!U114</f>
        <v>0</v>
      </c>
    </row>
    <row r="1316" spans="3:19" s="277" customFormat="1" hidden="1" outlineLevel="1" x14ac:dyDescent="0.3">
      <c r="C1316" s="283" t="str">
        <f>RES_BA!D115</f>
        <v>Supplies Category 25</v>
      </c>
      <c r="M1316" s="279">
        <f>RES_BA!R115</f>
        <v>0</v>
      </c>
      <c r="O1316" s="279">
        <f>RES_BA!S115</f>
        <v>0</v>
      </c>
      <c r="Q1316" s="279">
        <f>RES_BA!T115</f>
        <v>0</v>
      </c>
      <c r="S1316" s="279">
        <f>RES_BA!U115</f>
        <v>0</v>
      </c>
    </row>
    <row r="1317" spans="3:19" s="277" customFormat="1" hidden="1" outlineLevel="1" x14ac:dyDescent="0.3">
      <c r="C1317" s="283" t="str">
        <f>RES_BA!D116</f>
        <v>Supplies Category 26</v>
      </c>
      <c r="M1317" s="279">
        <f>RES_BA!R116</f>
        <v>0</v>
      </c>
      <c r="O1317" s="279">
        <f>RES_BA!S116</f>
        <v>0</v>
      </c>
      <c r="Q1317" s="279">
        <f>RES_BA!T116</f>
        <v>0</v>
      </c>
      <c r="S1317" s="279">
        <f>RES_BA!U116</f>
        <v>0</v>
      </c>
    </row>
    <row r="1318" spans="3:19" s="277" customFormat="1" hidden="1" outlineLevel="1" x14ac:dyDescent="0.3">
      <c r="C1318" s="283" t="str">
        <f>RES_BA!D117</f>
        <v>Supplies Category 27</v>
      </c>
      <c r="M1318" s="279">
        <f>RES_BA!R117</f>
        <v>0</v>
      </c>
      <c r="O1318" s="279">
        <f>RES_BA!S117</f>
        <v>0</v>
      </c>
      <c r="Q1318" s="279">
        <f>RES_BA!T117</f>
        <v>0</v>
      </c>
      <c r="S1318" s="279">
        <f>RES_BA!U117</f>
        <v>0</v>
      </c>
    </row>
    <row r="1319" spans="3:19" s="277" customFormat="1" hidden="1" outlineLevel="1" x14ac:dyDescent="0.3">
      <c r="C1319" s="283" t="str">
        <f>RES_BA!D118</f>
        <v>Supplies Category 28</v>
      </c>
      <c r="M1319" s="279">
        <f>RES_BA!R118</f>
        <v>0</v>
      </c>
      <c r="O1319" s="279">
        <f>RES_BA!S118</f>
        <v>0</v>
      </c>
      <c r="Q1319" s="279">
        <f>RES_BA!T118</f>
        <v>0</v>
      </c>
      <c r="S1319" s="279">
        <f>RES_BA!U118</f>
        <v>0</v>
      </c>
    </row>
    <row r="1320" spans="3:19" s="277" customFormat="1" hidden="1" outlineLevel="1" x14ac:dyDescent="0.3">
      <c r="C1320" s="283" t="str">
        <f>RES_BA!D119</f>
        <v>Supplies Category 29</v>
      </c>
      <c r="M1320" s="279">
        <f>RES_BA!R119</f>
        <v>0</v>
      </c>
      <c r="O1320" s="279">
        <f>RES_BA!S119</f>
        <v>0</v>
      </c>
      <c r="Q1320" s="279">
        <f>RES_BA!T119</f>
        <v>0</v>
      </c>
      <c r="S1320" s="279">
        <f>RES_BA!U119</f>
        <v>0</v>
      </c>
    </row>
    <row r="1321" spans="3:19" s="277" customFormat="1" hidden="1" outlineLevel="1" collapsed="1" x14ac:dyDescent="0.3">
      <c r="C1321" s="283" t="str">
        <f>RES_BA!D120</f>
        <v>Supplies Category 30</v>
      </c>
      <c r="M1321" s="279">
        <f>RES_BA!R120</f>
        <v>0</v>
      </c>
      <c r="O1321" s="279">
        <f>RES_BA!S120</f>
        <v>0</v>
      </c>
      <c r="Q1321" s="279">
        <f>RES_BA!T120</f>
        <v>0</v>
      </c>
      <c r="S1321" s="279">
        <f>RES_BA!U120</f>
        <v>0</v>
      </c>
    </row>
    <row r="1322" spans="3:19" s="277" customFormat="1" hidden="1" outlineLevel="1" x14ac:dyDescent="0.3">
      <c r="C1322" s="283" t="str">
        <f>RES_BA!D121</f>
        <v>Supplies Category 31</v>
      </c>
      <c r="M1322" s="279">
        <f>RES_BA!R121</f>
        <v>0</v>
      </c>
      <c r="O1322" s="279">
        <f>RES_BA!S121</f>
        <v>0</v>
      </c>
      <c r="Q1322" s="279">
        <f>RES_BA!T121</f>
        <v>0</v>
      </c>
      <c r="S1322" s="279">
        <f>RES_BA!U121</f>
        <v>0</v>
      </c>
    </row>
    <row r="1323" spans="3:19" s="277" customFormat="1" hidden="1" outlineLevel="1" x14ac:dyDescent="0.3">
      <c r="C1323" s="283" t="str">
        <f>RES_BA!D122</f>
        <v>Supplies Category 32</v>
      </c>
      <c r="M1323" s="279">
        <f>RES_BA!R122</f>
        <v>0</v>
      </c>
      <c r="O1323" s="279">
        <f>RES_BA!S122</f>
        <v>0</v>
      </c>
      <c r="Q1323" s="279">
        <f>RES_BA!T122</f>
        <v>0</v>
      </c>
      <c r="S1323" s="279">
        <f>RES_BA!U122</f>
        <v>0</v>
      </c>
    </row>
    <row r="1324" spans="3:19" s="277" customFormat="1" hidden="1" outlineLevel="1" x14ac:dyDescent="0.3">
      <c r="C1324" s="283" t="str">
        <f>RES_BA!D123</f>
        <v>Supplies Category 33</v>
      </c>
      <c r="M1324" s="279">
        <f>RES_BA!R123</f>
        <v>0</v>
      </c>
      <c r="O1324" s="279">
        <f>RES_BA!S123</f>
        <v>0</v>
      </c>
      <c r="Q1324" s="279">
        <f>RES_BA!T123</f>
        <v>0</v>
      </c>
      <c r="S1324" s="279">
        <f>RES_BA!U123</f>
        <v>0</v>
      </c>
    </row>
    <row r="1325" spans="3:19" s="277" customFormat="1" hidden="1" outlineLevel="1" x14ac:dyDescent="0.3">
      <c r="C1325" s="283" t="str">
        <f>RES_BA!D124</f>
        <v>Supplies Category 34</v>
      </c>
      <c r="M1325" s="279">
        <f>RES_BA!R124</f>
        <v>0</v>
      </c>
      <c r="O1325" s="279">
        <f>RES_BA!S124</f>
        <v>0</v>
      </c>
      <c r="Q1325" s="279">
        <f>RES_BA!T124</f>
        <v>0</v>
      </c>
      <c r="S1325" s="279">
        <f>RES_BA!U124</f>
        <v>0</v>
      </c>
    </row>
    <row r="1326" spans="3:19" s="277" customFormat="1" hidden="1" outlineLevel="1" x14ac:dyDescent="0.3">
      <c r="C1326" s="283" t="str">
        <f>RES_BA!D125</f>
        <v>Supplies Category 35</v>
      </c>
      <c r="M1326" s="279">
        <f>RES_BA!R125</f>
        <v>0</v>
      </c>
      <c r="O1326" s="279">
        <f>RES_BA!S125</f>
        <v>0</v>
      </c>
      <c r="Q1326" s="279">
        <f>RES_BA!T125</f>
        <v>0</v>
      </c>
      <c r="S1326" s="279">
        <f>RES_BA!U125</f>
        <v>0</v>
      </c>
    </row>
    <row r="1327" spans="3:19" hidden="1" outlineLevel="1" x14ac:dyDescent="0.3"/>
    <row r="1328" spans="3:19" hidden="1" outlineLevel="1" x14ac:dyDescent="0.3">
      <c r="M1328" s="40" t="str">
        <f>$D$1211</f>
        <v>USD</v>
      </c>
      <c r="O1328" s="40" t="str">
        <f>$D$1211</f>
        <v>USD</v>
      </c>
      <c r="Q1328" s="40" t="str">
        <f>$D$1212</f>
        <v>GOZ</v>
      </c>
      <c r="S1328" s="40" t="str">
        <f>$D$1212</f>
        <v>GOZ</v>
      </c>
    </row>
    <row r="1329" spans="3:19" hidden="1" outlineLevel="1" x14ac:dyDescent="0.3">
      <c r="C1329" s="89" t="str">
        <f>RES_BA!D130</f>
        <v>Equipment Category 1</v>
      </c>
      <c r="M1329" s="40">
        <f>RES_BA!R130</f>
        <v>0</v>
      </c>
      <c r="O1329" s="40">
        <f>RES_BA!S130</f>
        <v>0</v>
      </c>
      <c r="Q1329" s="40">
        <f>RES_BA!T130</f>
        <v>0</v>
      </c>
      <c r="S1329" s="40">
        <f>RES_BA!U130</f>
        <v>0</v>
      </c>
    </row>
    <row r="1330" spans="3:19" hidden="1" outlineLevel="1" x14ac:dyDescent="0.3">
      <c r="C1330" s="89" t="str">
        <f>RES_BA!D131</f>
        <v>Equipment Category 2</v>
      </c>
      <c r="M1330" s="40">
        <f>RES_BA!R131</f>
        <v>0</v>
      </c>
      <c r="O1330" s="40">
        <f>RES_BA!S131</f>
        <v>0</v>
      </c>
      <c r="Q1330" s="40">
        <f>RES_BA!T131</f>
        <v>0</v>
      </c>
      <c r="S1330" s="40">
        <f>RES_BA!U131</f>
        <v>0</v>
      </c>
    </row>
    <row r="1331" spans="3:19" hidden="1" outlineLevel="1" x14ac:dyDescent="0.3">
      <c r="C1331" s="89" t="str">
        <f>RES_BA!D132</f>
        <v>Equipment Category 3</v>
      </c>
      <c r="M1331" s="40">
        <f>RES_BA!R132</f>
        <v>0</v>
      </c>
      <c r="O1331" s="40">
        <f>RES_BA!S132</f>
        <v>0</v>
      </c>
      <c r="Q1331" s="40">
        <f>RES_BA!T132</f>
        <v>0</v>
      </c>
      <c r="S1331" s="40">
        <f>RES_BA!U132</f>
        <v>0</v>
      </c>
    </row>
    <row r="1332" spans="3:19" hidden="1" outlineLevel="1" x14ac:dyDescent="0.3">
      <c r="C1332" s="89" t="str">
        <f>RES_BA!D133</f>
        <v>Equipment Category 4</v>
      </c>
      <c r="M1332" s="40">
        <f>RES_BA!R133</f>
        <v>0</v>
      </c>
      <c r="O1332" s="40">
        <f>RES_BA!S133</f>
        <v>0</v>
      </c>
      <c r="Q1332" s="40">
        <f>RES_BA!T133</f>
        <v>0</v>
      </c>
      <c r="S1332" s="40">
        <f>RES_BA!U133</f>
        <v>0</v>
      </c>
    </row>
    <row r="1333" spans="3:19" hidden="1" outlineLevel="1" x14ac:dyDescent="0.3">
      <c r="C1333" s="89" t="str">
        <f>RES_BA!D134</f>
        <v>Equipment Category 5</v>
      </c>
      <c r="M1333" s="40">
        <f>RES_BA!R134</f>
        <v>0</v>
      </c>
      <c r="O1333" s="40">
        <f>RES_BA!S134</f>
        <v>0</v>
      </c>
      <c r="Q1333" s="40">
        <f>RES_BA!T134</f>
        <v>0</v>
      </c>
      <c r="S1333" s="40">
        <f>RES_BA!U134</f>
        <v>0</v>
      </c>
    </row>
    <row r="1334" spans="3:19" hidden="1" outlineLevel="1" x14ac:dyDescent="0.3">
      <c r="C1334" s="89" t="str">
        <f>RES_BA!D135</f>
        <v>Equipment Category 6</v>
      </c>
      <c r="M1334" s="40">
        <f>RES_BA!R135</f>
        <v>0</v>
      </c>
      <c r="O1334" s="40">
        <f>RES_BA!S135</f>
        <v>0</v>
      </c>
      <c r="Q1334" s="40">
        <f>RES_BA!T135</f>
        <v>0</v>
      </c>
      <c r="S1334" s="40">
        <f>RES_BA!U135</f>
        <v>0</v>
      </c>
    </row>
    <row r="1335" spans="3:19" s="277" customFormat="1" hidden="1" outlineLevel="1" collapsed="1" x14ac:dyDescent="0.3">
      <c r="C1335" s="283" t="str">
        <f>RES_BA!D136</f>
        <v>Equipment Category 7</v>
      </c>
      <c r="M1335" s="279">
        <f>RES_BA!R136</f>
        <v>0</v>
      </c>
      <c r="O1335" s="279">
        <f>RES_BA!S136</f>
        <v>0</v>
      </c>
      <c r="Q1335" s="279">
        <f>RES_BA!T136</f>
        <v>0</v>
      </c>
      <c r="S1335" s="279">
        <f>RES_BA!U136</f>
        <v>0</v>
      </c>
    </row>
    <row r="1336" spans="3:19" s="277" customFormat="1" hidden="1" outlineLevel="1" x14ac:dyDescent="0.3">
      <c r="C1336" s="283" t="str">
        <f>RES_BA!D137</f>
        <v>Equipment Category 8</v>
      </c>
      <c r="M1336" s="279">
        <f>RES_BA!R137</f>
        <v>0</v>
      </c>
      <c r="O1336" s="279">
        <f>RES_BA!S137</f>
        <v>0</v>
      </c>
      <c r="Q1336" s="279">
        <f>RES_BA!T137</f>
        <v>0</v>
      </c>
      <c r="S1336" s="279">
        <f>RES_BA!U137</f>
        <v>0</v>
      </c>
    </row>
    <row r="1337" spans="3:19" s="277" customFormat="1" hidden="1" outlineLevel="1" x14ac:dyDescent="0.3">
      <c r="C1337" s="283" t="str">
        <f>RES_BA!D138</f>
        <v>Equipment Category 9</v>
      </c>
      <c r="M1337" s="279">
        <f>RES_BA!R138</f>
        <v>0</v>
      </c>
      <c r="O1337" s="279">
        <f>RES_BA!S138</f>
        <v>0</v>
      </c>
      <c r="Q1337" s="279">
        <f>RES_BA!T138</f>
        <v>0</v>
      </c>
      <c r="S1337" s="279">
        <f>RES_BA!U138</f>
        <v>0</v>
      </c>
    </row>
    <row r="1338" spans="3:19" s="277" customFormat="1" hidden="1" outlineLevel="1" x14ac:dyDescent="0.3">
      <c r="C1338" s="283" t="str">
        <f>RES_BA!D139</f>
        <v>Equipment Category 10</v>
      </c>
      <c r="M1338" s="279">
        <f>RES_BA!R139</f>
        <v>0</v>
      </c>
      <c r="O1338" s="279">
        <f>RES_BA!S139</f>
        <v>0</v>
      </c>
      <c r="Q1338" s="279">
        <f>RES_BA!T139</f>
        <v>0</v>
      </c>
      <c r="S1338" s="279">
        <f>RES_BA!U139</f>
        <v>0</v>
      </c>
    </row>
    <row r="1339" spans="3:19" s="277" customFormat="1" hidden="1" outlineLevel="1" x14ac:dyDescent="0.3">
      <c r="C1339" s="283" t="str">
        <f>RES_BA!D140</f>
        <v>Equipment Category 11</v>
      </c>
      <c r="M1339" s="279">
        <f>RES_BA!R140</f>
        <v>0</v>
      </c>
      <c r="O1339" s="279">
        <f>RES_BA!S140</f>
        <v>0</v>
      </c>
      <c r="Q1339" s="279">
        <f>RES_BA!T140</f>
        <v>0</v>
      </c>
      <c r="S1339" s="279">
        <f>RES_BA!U140</f>
        <v>0</v>
      </c>
    </row>
    <row r="1340" spans="3:19" s="277" customFormat="1" hidden="1" outlineLevel="1" x14ac:dyDescent="0.3">
      <c r="C1340" s="283" t="str">
        <f>RES_BA!D141</f>
        <v>Equipment Category 12</v>
      </c>
      <c r="M1340" s="279">
        <f>RES_BA!R141</f>
        <v>0</v>
      </c>
      <c r="O1340" s="279">
        <f>RES_BA!S141</f>
        <v>0</v>
      </c>
      <c r="Q1340" s="279">
        <f>RES_BA!T141</f>
        <v>0</v>
      </c>
      <c r="S1340" s="279">
        <f>RES_BA!U141</f>
        <v>0</v>
      </c>
    </row>
    <row r="1341" spans="3:19" s="277" customFormat="1" hidden="1" outlineLevel="1" collapsed="1" x14ac:dyDescent="0.3">
      <c r="C1341" s="283" t="str">
        <f>RES_BA!D142</f>
        <v>Equipment Category 13</v>
      </c>
      <c r="M1341" s="279">
        <f>RES_BA!R142</f>
        <v>0</v>
      </c>
      <c r="O1341" s="279">
        <f>RES_BA!S142</f>
        <v>0</v>
      </c>
      <c r="Q1341" s="279">
        <f>RES_BA!T142</f>
        <v>0</v>
      </c>
      <c r="S1341" s="279">
        <f>RES_BA!U142</f>
        <v>0</v>
      </c>
    </row>
    <row r="1342" spans="3:19" s="277" customFormat="1" hidden="1" outlineLevel="1" x14ac:dyDescent="0.3">
      <c r="C1342" s="283" t="str">
        <f>RES_BA!D143</f>
        <v>Equipment Category 14</v>
      </c>
      <c r="M1342" s="279">
        <f>RES_BA!R143</f>
        <v>0</v>
      </c>
      <c r="O1342" s="279">
        <f>RES_BA!S143</f>
        <v>0</v>
      </c>
      <c r="Q1342" s="279">
        <f>RES_BA!T143</f>
        <v>0</v>
      </c>
      <c r="S1342" s="279">
        <f>RES_BA!U143</f>
        <v>0</v>
      </c>
    </row>
    <row r="1343" spans="3:19" s="277" customFormat="1" hidden="1" outlineLevel="1" x14ac:dyDescent="0.3">
      <c r="C1343" s="283" t="str">
        <f>RES_BA!D144</f>
        <v>Equipment Category 15</v>
      </c>
      <c r="M1343" s="279">
        <f>RES_BA!R144</f>
        <v>0</v>
      </c>
      <c r="O1343" s="279">
        <f>RES_BA!S144</f>
        <v>0</v>
      </c>
      <c r="Q1343" s="279">
        <f>RES_BA!T144</f>
        <v>0</v>
      </c>
      <c r="S1343" s="279">
        <f>RES_BA!U144</f>
        <v>0</v>
      </c>
    </row>
    <row r="1344" spans="3:19" s="277" customFormat="1" hidden="1" outlineLevel="1" x14ac:dyDescent="0.3">
      <c r="C1344" s="283" t="str">
        <f>RES_BA!D145</f>
        <v>Equipment Category 16</v>
      </c>
      <c r="M1344" s="279">
        <f>RES_BA!R145</f>
        <v>0</v>
      </c>
      <c r="O1344" s="279">
        <f>RES_BA!S145</f>
        <v>0</v>
      </c>
      <c r="Q1344" s="279">
        <f>RES_BA!T145</f>
        <v>0</v>
      </c>
      <c r="S1344" s="279">
        <f>RES_BA!U145</f>
        <v>0</v>
      </c>
    </row>
    <row r="1345" spans="3:19" s="277" customFormat="1" hidden="1" outlineLevel="1" x14ac:dyDescent="0.3">
      <c r="C1345" s="283" t="str">
        <f>RES_BA!D146</f>
        <v>Equipment Category 17</v>
      </c>
      <c r="M1345" s="279">
        <f>RES_BA!R146</f>
        <v>0</v>
      </c>
      <c r="O1345" s="279">
        <f>RES_BA!S146</f>
        <v>0</v>
      </c>
      <c r="Q1345" s="279">
        <f>RES_BA!T146</f>
        <v>0</v>
      </c>
      <c r="S1345" s="279">
        <f>RES_BA!U146</f>
        <v>0</v>
      </c>
    </row>
    <row r="1346" spans="3:19" s="277" customFormat="1" hidden="1" outlineLevel="1" x14ac:dyDescent="0.3">
      <c r="C1346" s="283" t="str">
        <f>RES_BA!D147</f>
        <v>Equipment Category 18</v>
      </c>
      <c r="M1346" s="279">
        <f>RES_BA!R147</f>
        <v>0</v>
      </c>
      <c r="O1346" s="279">
        <f>RES_BA!S147</f>
        <v>0</v>
      </c>
      <c r="Q1346" s="279">
        <f>RES_BA!T147</f>
        <v>0</v>
      </c>
      <c r="S1346" s="279">
        <f>RES_BA!U147</f>
        <v>0</v>
      </c>
    </row>
    <row r="1347" spans="3:19" s="277" customFormat="1" hidden="1" outlineLevel="1" x14ac:dyDescent="0.3">
      <c r="C1347" s="283" t="str">
        <f>RES_BA!D148</f>
        <v>Equipment Category 19</v>
      </c>
      <c r="M1347" s="279">
        <f>RES_BA!R148</f>
        <v>0</v>
      </c>
      <c r="O1347" s="279">
        <f>RES_BA!S148</f>
        <v>0</v>
      </c>
      <c r="Q1347" s="279">
        <f>RES_BA!T148</f>
        <v>0</v>
      </c>
      <c r="S1347" s="279">
        <f>RES_BA!U148</f>
        <v>0</v>
      </c>
    </row>
    <row r="1348" spans="3:19" s="277" customFormat="1" hidden="1" outlineLevel="1" x14ac:dyDescent="0.3">
      <c r="C1348" s="283" t="str">
        <f>RES_BA!D149</f>
        <v>Equipment Category 20</v>
      </c>
      <c r="M1348" s="279">
        <f>RES_BA!R149</f>
        <v>0</v>
      </c>
      <c r="O1348" s="279">
        <f>RES_BA!S149</f>
        <v>0</v>
      </c>
      <c r="Q1348" s="279">
        <f>RES_BA!T149</f>
        <v>0</v>
      </c>
      <c r="S1348" s="279">
        <f>RES_BA!U149</f>
        <v>0</v>
      </c>
    </row>
    <row r="1349" spans="3:19" s="277" customFormat="1" hidden="1" outlineLevel="1" x14ac:dyDescent="0.3">
      <c r="C1349" s="283" t="str">
        <f>RES_BA!D150</f>
        <v>Equipment Category 21</v>
      </c>
      <c r="M1349" s="279">
        <f>RES_BA!R150</f>
        <v>0</v>
      </c>
      <c r="O1349" s="279">
        <f>RES_BA!S150</f>
        <v>0</v>
      </c>
      <c r="Q1349" s="279">
        <f>RES_BA!T150</f>
        <v>0</v>
      </c>
      <c r="S1349" s="279">
        <f>RES_BA!U150</f>
        <v>0</v>
      </c>
    </row>
    <row r="1350" spans="3:19" s="277" customFormat="1" hidden="1" outlineLevel="1" x14ac:dyDescent="0.3">
      <c r="C1350" s="283" t="str">
        <f>RES_BA!D151</f>
        <v>Equipment Category 22</v>
      </c>
      <c r="M1350" s="279">
        <f>RES_BA!R151</f>
        <v>0</v>
      </c>
      <c r="O1350" s="279">
        <f>RES_BA!S151</f>
        <v>0</v>
      </c>
      <c r="Q1350" s="279">
        <f>RES_BA!T151</f>
        <v>0</v>
      </c>
      <c r="S1350" s="279">
        <f>RES_BA!U151</f>
        <v>0</v>
      </c>
    </row>
    <row r="1351" spans="3:19" s="277" customFormat="1" hidden="1" outlineLevel="1" x14ac:dyDescent="0.3">
      <c r="C1351" s="283" t="str">
        <f>RES_BA!D152</f>
        <v>Equipment Category 23</v>
      </c>
      <c r="M1351" s="279">
        <f>RES_BA!R152</f>
        <v>0</v>
      </c>
      <c r="O1351" s="279">
        <f>RES_BA!S152</f>
        <v>0</v>
      </c>
      <c r="Q1351" s="279">
        <f>RES_BA!T152</f>
        <v>0</v>
      </c>
      <c r="S1351" s="279">
        <f>RES_BA!U152</f>
        <v>0</v>
      </c>
    </row>
    <row r="1352" spans="3:19" s="277" customFormat="1" hidden="1" outlineLevel="1" collapsed="1" x14ac:dyDescent="0.3">
      <c r="C1352" s="283" t="str">
        <f>RES_BA!D153</f>
        <v>Equipment Category 24</v>
      </c>
      <c r="M1352" s="279">
        <f>RES_BA!R153</f>
        <v>0</v>
      </c>
      <c r="O1352" s="279">
        <f>RES_BA!S153</f>
        <v>0</v>
      </c>
      <c r="Q1352" s="279">
        <f>RES_BA!T153</f>
        <v>0</v>
      </c>
      <c r="S1352" s="279">
        <f>RES_BA!U153</f>
        <v>0</v>
      </c>
    </row>
    <row r="1353" spans="3:19" s="277" customFormat="1" hidden="1" outlineLevel="1" x14ac:dyDescent="0.3">
      <c r="C1353" s="283" t="str">
        <f>RES_BA!D154</f>
        <v>Equipment Category 25</v>
      </c>
      <c r="M1353" s="279">
        <f>RES_BA!R154</f>
        <v>0</v>
      </c>
      <c r="O1353" s="279">
        <f>RES_BA!S154</f>
        <v>0</v>
      </c>
      <c r="Q1353" s="279">
        <f>RES_BA!T154</f>
        <v>0</v>
      </c>
      <c r="S1353" s="279">
        <f>RES_BA!U154</f>
        <v>0</v>
      </c>
    </row>
    <row r="1354" spans="3:19" s="277" customFormat="1" hidden="1" outlineLevel="1" x14ac:dyDescent="0.3">
      <c r="C1354" s="283" t="str">
        <f>RES_BA!D155</f>
        <v>Equipment Category 26</v>
      </c>
      <c r="M1354" s="279">
        <f>RES_BA!R155</f>
        <v>0</v>
      </c>
      <c r="O1354" s="279">
        <f>RES_BA!S155</f>
        <v>0</v>
      </c>
      <c r="Q1354" s="279">
        <f>RES_BA!T155</f>
        <v>0</v>
      </c>
      <c r="S1354" s="279">
        <f>RES_BA!U155</f>
        <v>0</v>
      </c>
    </row>
    <row r="1355" spans="3:19" s="277" customFormat="1" hidden="1" outlineLevel="1" x14ac:dyDescent="0.3">
      <c r="C1355" s="283" t="str">
        <f>RES_BA!D156</f>
        <v>Equipment Category 27</v>
      </c>
      <c r="M1355" s="279">
        <f>RES_BA!R156</f>
        <v>0</v>
      </c>
      <c r="O1355" s="279">
        <f>RES_BA!S156</f>
        <v>0</v>
      </c>
      <c r="Q1355" s="279">
        <f>RES_BA!T156</f>
        <v>0</v>
      </c>
      <c r="S1355" s="279">
        <f>RES_BA!U156</f>
        <v>0</v>
      </c>
    </row>
    <row r="1356" spans="3:19" s="277" customFormat="1" hidden="1" outlineLevel="1" x14ac:dyDescent="0.3">
      <c r="C1356" s="283" t="str">
        <f>RES_BA!D157</f>
        <v>Equipment Category 28</v>
      </c>
      <c r="M1356" s="279">
        <f>RES_BA!R157</f>
        <v>0</v>
      </c>
      <c r="O1356" s="279">
        <f>RES_BA!S157</f>
        <v>0</v>
      </c>
      <c r="Q1356" s="279">
        <f>RES_BA!T157</f>
        <v>0</v>
      </c>
      <c r="S1356" s="279">
        <f>RES_BA!U157</f>
        <v>0</v>
      </c>
    </row>
    <row r="1357" spans="3:19" s="277" customFormat="1" hidden="1" outlineLevel="1" x14ac:dyDescent="0.3">
      <c r="C1357" s="283" t="str">
        <f>RES_BA!D158</f>
        <v>Equipment Category 29</v>
      </c>
      <c r="M1357" s="279">
        <f>RES_BA!R158</f>
        <v>0</v>
      </c>
      <c r="O1357" s="279">
        <f>RES_BA!S158</f>
        <v>0</v>
      </c>
      <c r="Q1357" s="279">
        <f>RES_BA!T158</f>
        <v>0</v>
      </c>
      <c r="S1357" s="279">
        <f>RES_BA!U158</f>
        <v>0</v>
      </c>
    </row>
    <row r="1358" spans="3:19" s="277" customFormat="1" hidden="1" outlineLevel="1" x14ac:dyDescent="0.3">
      <c r="C1358" s="283" t="str">
        <f>RES_BA!D159</f>
        <v>Equipment Category 30</v>
      </c>
      <c r="M1358" s="279">
        <f>RES_BA!R159</f>
        <v>0</v>
      </c>
      <c r="O1358" s="279">
        <f>RES_BA!S159</f>
        <v>0</v>
      </c>
      <c r="Q1358" s="279">
        <f>RES_BA!T159</f>
        <v>0</v>
      </c>
      <c r="S1358" s="279">
        <f>RES_BA!U159</f>
        <v>0</v>
      </c>
    </row>
    <row r="1359" spans="3:19" s="277" customFormat="1" hidden="1" outlineLevel="1" x14ac:dyDescent="0.3">
      <c r="C1359" s="283" t="str">
        <f>RES_BA!D160</f>
        <v>Equipment Category 31</v>
      </c>
      <c r="M1359" s="279">
        <f>RES_BA!R160</f>
        <v>0</v>
      </c>
      <c r="O1359" s="279">
        <f>RES_BA!S160</f>
        <v>0</v>
      </c>
      <c r="Q1359" s="279">
        <f>RES_BA!T160</f>
        <v>0</v>
      </c>
      <c r="S1359" s="279">
        <f>RES_BA!U160</f>
        <v>0</v>
      </c>
    </row>
    <row r="1360" spans="3:19" s="277" customFormat="1" hidden="1" outlineLevel="1" x14ac:dyDescent="0.3">
      <c r="C1360" s="283" t="str">
        <f>RES_BA!D161</f>
        <v>Equipment Category 32</v>
      </c>
      <c r="M1360" s="279">
        <f>RES_BA!R161</f>
        <v>0</v>
      </c>
      <c r="O1360" s="279">
        <f>RES_BA!S161</f>
        <v>0</v>
      </c>
      <c r="Q1360" s="279">
        <f>RES_BA!T161</f>
        <v>0</v>
      </c>
      <c r="S1360" s="279">
        <f>RES_BA!U161</f>
        <v>0</v>
      </c>
    </row>
    <row r="1361" spans="3:19" s="277" customFormat="1" hidden="1" outlineLevel="1" x14ac:dyDescent="0.3">
      <c r="C1361" s="283" t="str">
        <f>RES_BA!D162</f>
        <v>Equipment Category 33</v>
      </c>
      <c r="M1361" s="279">
        <f>RES_BA!R162</f>
        <v>0</v>
      </c>
      <c r="O1361" s="279">
        <f>RES_BA!S162</f>
        <v>0</v>
      </c>
      <c r="Q1361" s="279">
        <f>RES_BA!T162</f>
        <v>0</v>
      </c>
      <c r="S1361" s="279">
        <f>RES_BA!U162</f>
        <v>0</v>
      </c>
    </row>
    <row r="1362" spans="3:19" s="277" customFormat="1" hidden="1" outlineLevel="1" collapsed="1" x14ac:dyDescent="0.3">
      <c r="C1362" s="283" t="str">
        <f>RES_BA!D163</f>
        <v>Equipment Category 34</v>
      </c>
      <c r="M1362" s="279">
        <f>RES_BA!R163</f>
        <v>0</v>
      </c>
      <c r="O1362" s="279">
        <f>RES_BA!S163</f>
        <v>0</v>
      </c>
      <c r="Q1362" s="279">
        <f>RES_BA!T163</f>
        <v>0</v>
      </c>
      <c r="S1362" s="279">
        <f>RES_BA!U163</f>
        <v>0</v>
      </c>
    </row>
    <row r="1363" spans="3:19" s="277" customFormat="1" hidden="1" outlineLevel="1" x14ac:dyDescent="0.3">
      <c r="C1363" s="283" t="str">
        <f>RES_BA!D164</f>
        <v>Equipment Category 35</v>
      </c>
      <c r="M1363" s="279">
        <f>RES_BA!R164</f>
        <v>0</v>
      </c>
      <c r="O1363" s="279">
        <f>RES_BA!S164</f>
        <v>0</v>
      </c>
      <c r="Q1363" s="279">
        <f>RES_BA!T164</f>
        <v>0</v>
      </c>
      <c r="S1363" s="279">
        <f>RES_BA!U164</f>
        <v>0</v>
      </c>
    </row>
    <row r="1364" spans="3:19" hidden="1" outlineLevel="1" x14ac:dyDescent="0.3"/>
    <row r="1365" spans="3:19" hidden="1" outlineLevel="1" x14ac:dyDescent="0.3"/>
    <row r="1366" spans="3:19" hidden="1" outlineLevel="1" x14ac:dyDescent="0.3">
      <c r="M1366" s="40" t="str">
        <f>$D$1211</f>
        <v>USD</v>
      </c>
      <c r="O1366" s="40" t="str">
        <f>$D$1211</f>
        <v>USD</v>
      </c>
      <c r="Q1366" s="40" t="str">
        <f>$D$1212</f>
        <v>GOZ</v>
      </c>
      <c r="S1366" s="40" t="str">
        <f>$D$1212</f>
        <v>GOZ</v>
      </c>
    </row>
    <row r="1367" spans="3:19" hidden="1" outlineLevel="1" x14ac:dyDescent="0.3">
      <c r="C1367" s="89" t="str">
        <f>RES_BA!D169</f>
        <v>Other Direct Costs Category 1</v>
      </c>
      <c r="M1367" s="40">
        <f>RES_BA!R169</f>
        <v>0</v>
      </c>
      <c r="O1367" s="40">
        <f>RES_BA!S169</f>
        <v>0</v>
      </c>
      <c r="Q1367" s="40">
        <f>RES_BA!T169</f>
        <v>0</v>
      </c>
      <c r="S1367" s="40">
        <f>RES_BA!U169</f>
        <v>0</v>
      </c>
    </row>
    <row r="1368" spans="3:19" hidden="1" outlineLevel="1" x14ac:dyDescent="0.3">
      <c r="C1368" s="89" t="str">
        <f>RES_BA!D170</f>
        <v>Other Direct Costs Category 2</v>
      </c>
      <c r="M1368" s="40">
        <f>RES_BA!R170</f>
        <v>0</v>
      </c>
      <c r="O1368" s="40">
        <f>RES_BA!S170</f>
        <v>0</v>
      </c>
      <c r="Q1368" s="40">
        <f>RES_BA!T170</f>
        <v>0</v>
      </c>
      <c r="S1368" s="40">
        <f>RES_BA!U170</f>
        <v>0</v>
      </c>
    </row>
    <row r="1369" spans="3:19" hidden="1" outlineLevel="1" x14ac:dyDescent="0.3">
      <c r="C1369" s="89" t="str">
        <f>RES_BA!D171</f>
        <v>Other Direct Costs Category 3</v>
      </c>
      <c r="M1369" s="40">
        <f>RES_BA!R171</f>
        <v>0</v>
      </c>
      <c r="O1369" s="40">
        <f>RES_BA!S171</f>
        <v>0</v>
      </c>
      <c r="Q1369" s="40">
        <f>RES_BA!T171</f>
        <v>0</v>
      </c>
      <c r="S1369" s="40">
        <f>RES_BA!U171</f>
        <v>0</v>
      </c>
    </row>
    <row r="1370" spans="3:19" s="277" customFormat="1" hidden="1" outlineLevel="1" collapsed="1" x14ac:dyDescent="0.3">
      <c r="C1370" s="283" t="str">
        <f>RES_BA!D172</f>
        <v>Other Direct Costs Category 4</v>
      </c>
      <c r="M1370" s="279">
        <f>RES_BA!R172</f>
        <v>0</v>
      </c>
      <c r="O1370" s="279">
        <f>RES_BA!S172</f>
        <v>0</v>
      </c>
      <c r="Q1370" s="279">
        <f>RES_BA!T172</f>
        <v>0</v>
      </c>
      <c r="S1370" s="279">
        <f>RES_BA!U172</f>
        <v>0</v>
      </c>
    </row>
    <row r="1371" spans="3:19" s="277" customFormat="1" hidden="1" outlineLevel="1" x14ac:dyDescent="0.3">
      <c r="C1371" s="283" t="str">
        <f>RES_BA!D173</f>
        <v>Other Direct Costs Category 5</v>
      </c>
      <c r="M1371" s="279">
        <f>RES_BA!R173</f>
        <v>0</v>
      </c>
      <c r="O1371" s="279">
        <f>RES_BA!S173</f>
        <v>0</v>
      </c>
      <c r="Q1371" s="279">
        <f>RES_BA!T173</f>
        <v>0</v>
      </c>
      <c r="S1371" s="279">
        <f>RES_BA!U173</f>
        <v>0</v>
      </c>
    </row>
    <row r="1372" spans="3:19" s="277" customFormat="1" hidden="1" outlineLevel="1" x14ac:dyDescent="0.3">
      <c r="C1372" s="283" t="str">
        <f>RES_BA!D174</f>
        <v>Other Direct Costs Category 6</v>
      </c>
      <c r="M1372" s="279">
        <f>RES_BA!R174</f>
        <v>0</v>
      </c>
      <c r="O1372" s="279">
        <f>RES_BA!S174</f>
        <v>0</v>
      </c>
      <c r="Q1372" s="279">
        <f>RES_BA!T174</f>
        <v>0</v>
      </c>
      <c r="S1372" s="279">
        <f>RES_BA!U174</f>
        <v>0</v>
      </c>
    </row>
    <row r="1373" spans="3:19" s="277" customFormat="1" hidden="1" outlineLevel="1" x14ac:dyDescent="0.3">
      <c r="C1373" s="283" t="str">
        <f>RES_BA!D175</f>
        <v>Other Direct Costs Category 7</v>
      </c>
      <c r="M1373" s="279">
        <f>RES_BA!R175</f>
        <v>0</v>
      </c>
      <c r="O1373" s="279">
        <f>RES_BA!S175</f>
        <v>0</v>
      </c>
      <c r="Q1373" s="279">
        <f>RES_BA!T175</f>
        <v>0</v>
      </c>
      <c r="S1373" s="279">
        <f>RES_BA!U175</f>
        <v>0</v>
      </c>
    </row>
    <row r="1374" spans="3:19" s="277" customFormat="1" hidden="1" outlineLevel="1" x14ac:dyDescent="0.3">
      <c r="C1374" s="283" t="str">
        <f>RES_BA!D176</f>
        <v>Other Direct Costs Category 8</v>
      </c>
      <c r="M1374" s="279">
        <f>RES_BA!R176</f>
        <v>0</v>
      </c>
      <c r="O1374" s="279">
        <f>RES_BA!S176</f>
        <v>0</v>
      </c>
      <c r="Q1374" s="279">
        <f>RES_BA!T176</f>
        <v>0</v>
      </c>
      <c r="S1374" s="279">
        <f>RES_BA!U176</f>
        <v>0</v>
      </c>
    </row>
    <row r="1375" spans="3:19" s="277" customFormat="1" hidden="1" outlineLevel="1" x14ac:dyDescent="0.3">
      <c r="C1375" s="283" t="str">
        <f>RES_BA!D177</f>
        <v>Other Direct Costs Category 9</v>
      </c>
      <c r="M1375" s="279">
        <f>RES_BA!R177</f>
        <v>0</v>
      </c>
      <c r="O1375" s="279">
        <f>RES_BA!S177</f>
        <v>0</v>
      </c>
      <c r="Q1375" s="279">
        <f>RES_BA!T177</f>
        <v>0</v>
      </c>
      <c r="S1375" s="279">
        <f>RES_BA!U177</f>
        <v>0</v>
      </c>
    </row>
    <row r="1376" spans="3:19" s="277" customFormat="1" hidden="1" outlineLevel="1" x14ac:dyDescent="0.3">
      <c r="C1376" s="283" t="str">
        <f>RES_BA!D178</f>
        <v>Other Direct Costs Category 10</v>
      </c>
      <c r="M1376" s="279">
        <f>RES_BA!R178</f>
        <v>0</v>
      </c>
      <c r="O1376" s="279">
        <f>RES_BA!S178</f>
        <v>0</v>
      </c>
      <c r="Q1376" s="279">
        <f>RES_BA!T178</f>
        <v>0</v>
      </c>
      <c r="S1376" s="279">
        <f>RES_BA!U178</f>
        <v>0</v>
      </c>
    </row>
    <row r="1377" spans="3:19" s="277" customFormat="1" hidden="1" outlineLevel="1" x14ac:dyDescent="0.3">
      <c r="C1377" s="283" t="str">
        <f>RES_BA!D179</f>
        <v>Other Direct Costs Category 11</v>
      </c>
      <c r="M1377" s="279">
        <f>RES_BA!R179</f>
        <v>0</v>
      </c>
      <c r="O1377" s="279">
        <f>RES_BA!S179</f>
        <v>0</v>
      </c>
      <c r="Q1377" s="279">
        <f>RES_BA!T179</f>
        <v>0</v>
      </c>
      <c r="S1377" s="279">
        <f>RES_BA!U179</f>
        <v>0</v>
      </c>
    </row>
    <row r="1378" spans="3:19" s="277" customFormat="1" hidden="1" outlineLevel="1" collapsed="1" x14ac:dyDescent="0.3">
      <c r="C1378" s="283" t="str">
        <f>RES_BA!D180</f>
        <v>Other Direct Costs Category 12</v>
      </c>
      <c r="M1378" s="279">
        <f>RES_BA!R180</f>
        <v>0</v>
      </c>
      <c r="O1378" s="279">
        <f>RES_BA!S180</f>
        <v>0</v>
      </c>
      <c r="Q1378" s="279">
        <f>RES_BA!T180</f>
        <v>0</v>
      </c>
      <c r="S1378" s="279">
        <f>RES_BA!U180</f>
        <v>0</v>
      </c>
    </row>
    <row r="1379" spans="3:19" s="277" customFormat="1" hidden="1" outlineLevel="1" x14ac:dyDescent="0.3">
      <c r="C1379" s="283" t="str">
        <f>RES_BA!D181</f>
        <v>Other Direct Costs Category 13</v>
      </c>
      <c r="M1379" s="279">
        <f>RES_BA!R181</f>
        <v>0</v>
      </c>
      <c r="O1379" s="279">
        <f>RES_BA!S181</f>
        <v>0</v>
      </c>
      <c r="Q1379" s="279">
        <f>RES_BA!T181</f>
        <v>0</v>
      </c>
      <c r="S1379" s="279">
        <f>RES_BA!U181</f>
        <v>0</v>
      </c>
    </row>
    <row r="1380" spans="3:19" s="277" customFormat="1" hidden="1" outlineLevel="1" x14ac:dyDescent="0.3">
      <c r="C1380" s="283" t="str">
        <f>RES_BA!D182</f>
        <v>Other Direct Costs Category 14</v>
      </c>
      <c r="M1380" s="279">
        <f>RES_BA!R182</f>
        <v>0</v>
      </c>
      <c r="O1380" s="279">
        <f>RES_BA!S182</f>
        <v>0</v>
      </c>
      <c r="Q1380" s="279">
        <f>RES_BA!T182</f>
        <v>0</v>
      </c>
      <c r="S1380" s="279">
        <f>RES_BA!U182</f>
        <v>0</v>
      </c>
    </row>
    <row r="1381" spans="3:19" s="277" customFormat="1" hidden="1" outlineLevel="1" x14ac:dyDescent="0.3">
      <c r="C1381" s="283" t="str">
        <f>RES_BA!D183</f>
        <v>Other Direct Costs Category 15</v>
      </c>
      <c r="M1381" s="279">
        <f>RES_BA!R183</f>
        <v>0</v>
      </c>
      <c r="O1381" s="279">
        <f>RES_BA!S183</f>
        <v>0</v>
      </c>
      <c r="Q1381" s="279">
        <f>RES_BA!T183</f>
        <v>0</v>
      </c>
      <c r="S1381" s="279">
        <f>RES_BA!U183</f>
        <v>0</v>
      </c>
    </row>
    <row r="1382" spans="3:19" s="277" customFormat="1" hidden="1" outlineLevel="1" x14ac:dyDescent="0.3">
      <c r="C1382" s="283" t="str">
        <f>RES_BA!D184</f>
        <v>Other Direct Costs Category 16</v>
      </c>
      <c r="M1382" s="279">
        <f>RES_BA!R184</f>
        <v>0</v>
      </c>
      <c r="O1382" s="279">
        <f>RES_BA!S184</f>
        <v>0</v>
      </c>
      <c r="Q1382" s="279">
        <f>RES_BA!T184</f>
        <v>0</v>
      </c>
      <c r="S1382" s="279">
        <f>RES_BA!U184</f>
        <v>0</v>
      </c>
    </row>
    <row r="1383" spans="3:19" s="277" customFormat="1" hidden="1" outlineLevel="1" x14ac:dyDescent="0.3">
      <c r="C1383" s="283" t="str">
        <f>RES_BA!D185</f>
        <v>Other Direct Costs Category 17</v>
      </c>
      <c r="M1383" s="279">
        <f>RES_BA!R185</f>
        <v>0</v>
      </c>
      <c r="O1383" s="279">
        <f>RES_BA!S185</f>
        <v>0</v>
      </c>
      <c r="Q1383" s="279">
        <f>RES_BA!T185</f>
        <v>0</v>
      </c>
      <c r="S1383" s="279">
        <f>RES_BA!U185</f>
        <v>0</v>
      </c>
    </row>
    <row r="1384" spans="3:19" s="277" customFormat="1" hidden="1" outlineLevel="1" x14ac:dyDescent="0.3">
      <c r="C1384" s="283" t="str">
        <f>RES_BA!D186</f>
        <v>Other Direct Costs Category 18</v>
      </c>
      <c r="M1384" s="279">
        <f>RES_BA!R186</f>
        <v>0</v>
      </c>
      <c r="O1384" s="279">
        <f>RES_BA!S186</f>
        <v>0</v>
      </c>
      <c r="Q1384" s="279">
        <f>RES_BA!T186</f>
        <v>0</v>
      </c>
      <c r="S1384" s="279">
        <f>RES_BA!U186</f>
        <v>0</v>
      </c>
    </row>
    <row r="1385" spans="3:19" s="277" customFormat="1" hidden="1" outlineLevel="1" x14ac:dyDescent="0.3">
      <c r="C1385" s="283" t="str">
        <f>RES_BA!D187</f>
        <v>Other Direct Costs Category 19</v>
      </c>
      <c r="M1385" s="279">
        <f>RES_BA!R187</f>
        <v>0</v>
      </c>
      <c r="O1385" s="279">
        <f>RES_BA!S187</f>
        <v>0</v>
      </c>
      <c r="Q1385" s="279">
        <f>RES_BA!T187</f>
        <v>0</v>
      </c>
      <c r="S1385" s="279">
        <f>RES_BA!U187</f>
        <v>0</v>
      </c>
    </row>
    <row r="1386" spans="3:19" s="277" customFormat="1" hidden="1" outlineLevel="1" x14ac:dyDescent="0.3">
      <c r="C1386" s="283" t="str">
        <f>RES_BA!D188</f>
        <v>Other Direct Costs Category 20</v>
      </c>
      <c r="M1386" s="279">
        <f>RES_BA!R188</f>
        <v>0</v>
      </c>
      <c r="O1386" s="279">
        <f>RES_BA!S188</f>
        <v>0</v>
      </c>
      <c r="Q1386" s="279">
        <f>RES_BA!T188</f>
        <v>0</v>
      </c>
      <c r="S1386" s="279">
        <f>RES_BA!U188</f>
        <v>0</v>
      </c>
    </row>
    <row r="1387" spans="3:19" s="277" customFormat="1" hidden="1" outlineLevel="1" x14ac:dyDescent="0.3">
      <c r="C1387" s="283" t="str">
        <f>RES_BA!D189</f>
        <v>Other Direct Costs Category 21</v>
      </c>
      <c r="M1387" s="279">
        <f>RES_BA!R189</f>
        <v>0</v>
      </c>
      <c r="O1387" s="279">
        <f>RES_BA!S189</f>
        <v>0</v>
      </c>
      <c r="Q1387" s="279">
        <f>RES_BA!T189</f>
        <v>0</v>
      </c>
      <c r="S1387" s="279">
        <f>RES_BA!U189</f>
        <v>0</v>
      </c>
    </row>
    <row r="1388" spans="3:19" s="277" customFormat="1" hidden="1" outlineLevel="1" x14ac:dyDescent="0.3">
      <c r="C1388" s="283" t="str">
        <f>RES_BA!D190</f>
        <v>Other Direct Costs Category 22</v>
      </c>
      <c r="M1388" s="279">
        <f>RES_BA!R190</f>
        <v>0</v>
      </c>
      <c r="O1388" s="279">
        <f>RES_BA!S190</f>
        <v>0</v>
      </c>
      <c r="Q1388" s="279">
        <f>RES_BA!T190</f>
        <v>0</v>
      </c>
      <c r="S1388" s="279">
        <f>RES_BA!U190</f>
        <v>0</v>
      </c>
    </row>
    <row r="1389" spans="3:19" s="277" customFormat="1" hidden="1" outlineLevel="1" x14ac:dyDescent="0.3">
      <c r="C1389" s="283" t="str">
        <f>RES_BA!D191</f>
        <v>Other Direct Costs Category 23</v>
      </c>
      <c r="M1389" s="279">
        <f>RES_BA!R191</f>
        <v>0</v>
      </c>
      <c r="O1389" s="279">
        <f>RES_BA!S191</f>
        <v>0</v>
      </c>
      <c r="Q1389" s="279">
        <f>RES_BA!T191</f>
        <v>0</v>
      </c>
      <c r="S1389" s="279">
        <f>RES_BA!U191</f>
        <v>0</v>
      </c>
    </row>
    <row r="1390" spans="3:19" s="277" customFormat="1" hidden="1" outlineLevel="1" collapsed="1" x14ac:dyDescent="0.3">
      <c r="C1390" s="283" t="str">
        <f>RES_BA!D192</f>
        <v>Other Direct Costs Category 24</v>
      </c>
      <c r="M1390" s="279">
        <f>RES_BA!R192</f>
        <v>0</v>
      </c>
      <c r="O1390" s="279">
        <f>RES_BA!S192</f>
        <v>0</v>
      </c>
      <c r="Q1390" s="279">
        <f>RES_BA!T192</f>
        <v>0</v>
      </c>
      <c r="S1390" s="279">
        <f>RES_BA!U192</f>
        <v>0</v>
      </c>
    </row>
    <row r="1391" spans="3:19" s="277" customFormat="1" hidden="1" outlineLevel="1" x14ac:dyDescent="0.3">
      <c r="C1391" s="283" t="str">
        <f>RES_BA!D193</f>
        <v>Other Direct Costs Category 25</v>
      </c>
      <c r="M1391" s="279">
        <f>RES_BA!R193</f>
        <v>0</v>
      </c>
      <c r="O1391" s="279">
        <f>RES_BA!S193</f>
        <v>0</v>
      </c>
      <c r="Q1391" s="279">
        <f>RES_BA!T193</f>
        <v>0</v>
      </c>
      <c r="S1391" s="279">
        <f>RES_BA!U193</f>
        <v>0</v>
      </c>
    </row>
    <row r="1392" spans="3:19" s="277" customFormat="1" hidden="1" outlineLevel="1" x14ac:dyDescent="0.3">
      <c r="C1392" s="283" t="str">
        <f>RES_BA!D194</f>
        <v>Other Direct Costs Category 26</v>
      </c>
      <c r="M1392" s="279">
        <f>RES_BA!R194</f>
        <v>0</v>
      </c>
      <c r="O1392" s="279">
        <f>RES_BA!S194</f>
        <v>0</v>
      </c>
      <c r="Q1392" s="279">
        <f>RES_BA!T194</f>
        <v>0</v>
      </c>
      <c r="S1392" s="279">
        <f>RES_BA!U194</f>
        <v>0</v>
      </c>
    </row>
    <row r="1393" spans="2:24" s="277" customFormat="1" hidden="1" outlineLevel="1" x14ac:dyDescent="0.3">
      <c r="C1393" s="283" t="str">
        <f>RES_BA!D195</f>
        <v>Other Direct Costs Category 27</v>
      </c>
      <c r="M1393" s="279">
        <f>RES_BA!R195</f>
        <v>0</v>
      </c>
      <c r="O1393" s="279">
        <f>RES_BA!S195</f>
        <v>0</v>
      </c>
      <c r="Q1393" s="279">
        <f>RES_BA!T195</f>
        <v>0</v>
      </c>
      <c r="S1393" s="279">
        <f>RES_BA!U195</f>
        <v>0</v>
      </c>
    </row>
    <row r="1394" spans="2:24" s="277" customFormat="1" hidden="1" outlineLevel="1" x14ac:dyDescent="0.3">
      <c r="C1394" s="283" t="str">
        <f>RES_BA!D196</f>
        <v>Other Direct Costs Category 28</v>
      </c>
      <c r="M1394" s="279">
        <f>RES_BA!R196</f>
        <v>0</v>
      </c>
      <c r="O1394" s="279">
        <f>RES_BA!S196</f>
        <v>0</v>
      </c>
      <c r="Q1394" s="279">
        <f>RES_BA!T196</f>
        <v>0</v>
      </c>
      <c r="S1394" s="279">
        <f>RES_BA!U196</f>
        <v>0</v>
      </c>
    </row>
    <row r="1395" spans="2:24" s="277" customFormat="1" hidden="1" outlineLevel="1" x14ac:dyDescent="0.3">
      <c r="C1395" s="283" t="str">
        <f>RES_BA!D197</f>
        <v>Other Direct Costs Category 29</v>
      </c>
      <c r="M1395" s="279">
        <f>RES_BA!R197</f>
        <v>0</v>
      </c>
      <c r="O1395" s="279">
        <f>RES_BA!S197</f>
        <v>0</v>
      </c>
      <c r="Q1395" s="279">
        <f>RES_BA!T197</f>
        <v>0</v>
      </c>
      <c r="S1395" s="279">
        <f>RES_BA!U197</f>
        <v>0</v>
      </c>
    </row>
    <row r="1396" spans="2:24" s="277" customFormat="1" hidden="1" outlineLevel="1" x14ac:dyDescent="0.3">
      <c r="C1396" s="283" t="str">
        <f>RES_BA!D198</f>
        <v>Other Direct Costs Category 30</v>
      </c>
      <c r="M1396" s="279">
        <f>RES_BA!R198</f>
        <v>0</v>
      </c>
      <c r="O1396" s="279">
        <f>RES_BA!S198</f>
        <v>0</v>
      </c>
      <c r="Q1396" s="279">
        <f>RES_BA!T198</f>
        <v>0</v>
      </c>
      <c r="S1396" s="279">
        <f>RES_BA!U198</f>
        <v>0</v>
      </c>
    </row>
    <row r="1397" spans="2:24" s="277" customFormat="1" hidden="1" outlineLevel="1" x14ac:dyDescent="0.3">
      <c r="C1397" s="283" t="str">
        <f>RES_BA!D199</f>
        <v>Other Direct Costs Category 31</v>
      </c>
      <c r="M1397" s="279">
        <f>RES_BA!R199</f>
        <v>0</v>
      </c>
      <c r="O1397" s="279">
        <f>RES_BA!S199</f>
        <v>0</v>
      </c>
      <c r="Q1397" s="279">
        <f>RES_BA!T199</f>
        <v>0</v>
      </c>
      <c r="S1397" s="279">
        <f>RES_BA!U199</f>
        <v>0</v>
      </c>
    </row>
    <row r="1398" spans="2:24" s="277" customFormat="1" hidden="1" outlineLevel="1" x14ac:dyDescent="0.3">
      <c r="C1398" s="283" t="str">
        <f>RES_BA!D200</f>
        <v>Other Direct Costs Category 32</v>
      </c>
      <c r="M1398" s="279">
        <f>RES_BA!R200</f>
        <v>0</v>
      </c>
      <c r="O1398" s="279">
        <f>RES_BA!S200</f>
        <v>0</v>
      </c>
      <c r="Q1398" s="279">
        <f>RES_BA!T200</f>
        <v>0</v>
      </c>
      <c r="S1398" s="279">
        <f>RES_BA!U200</f>
        <v>0</v>
      </c>
    </row>
    <row r="1399" spans="2:24" s="277" customFormat="1" hidden="1" outlineLevel="1" x14ac:dyDescent="0.3">
      <c r="C1399" s="283" t="str">
        <f>RES_BA!D201</f>
        <v>Other Direct Costs Category 33</v>
      </c>
      <c r="M1399" s="279">
        <f>RES_BA!R201</f>
        <v>0</v>
      </c>
      <c r="O1399" s="279">
        <f>RES_BA!S201</f>
        <v>0</v>
      </c>
      <c r="Q1399" s="279">
        <f>RES_BA!T201</f>
        <v>0</v>
      </c>
      <c r="S1399" s="279">
        <f>RES_BA!U201</f>
        <v>0</v>
      </c>
    </row>
    <row r="1400" spans="2:24" s="277" customFormat="1" hidden="1" outlineLevel="1" x14ac:dyDescent="0.3">
      <c r="C1400" s="283" t="str">
        <f>RES_BA!D202</f>
        <v>Other Direct Costs Category 34</v>
      </c>
      <c r="M1400" s="279">
        <f>RES_BA!R202</f>
        <v>0</v>
      </c>
      <c r="O1400" s="279">
        <f>RES_BA!S202</f>
        <v>0</v>
      </c>
      <c r="Q1400" s="279">
        <f>RES_BA!T202</f>
        <v>0</v>
      </c>
      <c r="S1400" s="279">
        <f>RES_BA!U202</f>
        <v>0</v>
      </c>
    </row>
    <row r="1401" spans="2:24" s="277" customFormat="1" hidden="1" outlineLevel="1" x14ac:dyDescent="0.3">
      <c r="C1401" s="283" t="str">
        <f>RES_BA!D203</f>
        <v>Other Direct Costs Category 35</v>
      </c>
      <c r="M1401" s="279">
        <f>RES_BA!R203</f>
        <v>0</v>
      </c>
      <c r="O1401" s="279">
        <f>RES_BA!S203</f>
        <v>0</v>
      </c>
      <c r="Q1401" s="279">
        <f>RES_BA!T203</f>
        <v>0</v>
      </c>
      <c r="S1401" s="279">
        <f>RES_BA!U203</f>
        <v>0</v>
      </c>
    </row>
    <row r="1402" spans="2:24" collapsed="1" x14ac:dyDescent="0.3"/>
    <row r="1404" spans="2:24" ht="18" x14ac:dyDescent="0.3">
      <c r="B1404" s="31" t="str">
        <f>I1405</f>
        <v>Training Activity #5 [not in use]</v>
      </c>
    </row>
    <row r="1405" spans="2:24" x14ac:dyDescent="0.3">
      <c r="G1405" s="41" t="s">
        <v>119</v>
      </c>
      <c r="I1405" s="356" t="s">
        <v>997</v>
      </c>
      <c r="J1405" s="356"/>
      <c r="K1405" s="356"/>
      <c r="L1405" s="356"/>
      <c r="M1405" s="356"/>
    </row>
    <row r="1406" spans="2:24" ht="10.5" customHeight="1" x14ac:dyDescent="0.3">
      <c r="G1406" s="41" t="s">
        <v>644</v>
      </c>
      <c r="I1406" s="32">
        <v>1</v>
      </c>
    </row>
    <row r="1407" spans="2:24" ht="15.6" hidden="1" x14ac:dyDescent="0.3">
      <c r="C1407" s="92" t="s">
        <v>77</v>
      </c>
      <c r="M1407" s="40" t="str">
        <f>IF(DD_ACT_25_Meet1_Curr=1,$D$1560,$D$1561)</f>
        <v>USD</v>
      </c>
      <c r="O1407" s="40" t="str">
        <f>IF(DD_ACT_25_Meet1_Curr=1,$D$1560,$D$1561)</f>
        <v>USD</v>
      </c>
      <c r="Q1407" s="40" t="str">
        <f>IF(DD_ACT_25_Meet1_Curr=1,$D$1560,$D$1561)</f>
        <v>USD</v>
      </c>
      <c r="S1407" s="40" t="str">
        <f>IF(DD_ACT_25_Meet1_Curr=1,$D$1560,$D$1561)</f>
        <v>USD</v>
      </c>
    </row>
    <row r="1408" spans="2:24" ht="27.6" x14ac:dyDescent="0.3">
      <c r="D1408" s="90" t="s">
        <v>77</v>
      </c>
      <c r="I1408" s="88" t="s">
        <v>80</v>
      </c>
      <c r="K1408" s="91" t="s">
        <v>187</v>
      </c>
      <c r="M1408" s="42" t="s">
        <v>103</v>
      </c>
      <c r="O1408" s="42" t="s">
        <v>104</v>
      </c>
      <c r="Q1408" s="42" t="s">
        <v>105</v>
      </c>
      <c r="S1408" s="42" t="s">
        <v>106</v>
      </c>
      <c r="U1408" s="350" t="s">
        <v>185</v>
      </c>
      <c r="V1408" s="426"/>
      <c r="W1408" s="426"/>
      <c r="X1408" s="426"/>
    </row>
    <row r="1409" spans="4:24" x14ac:dyDescent="0.3">
      <c r="D1409" s="356" t="s">
        <v>188</v>
      </c>
      <c r="E1409" s="356"/>
      <c r="F1409" s="356"/>
      <c r="G1409" s="356"/>
      <c r="I1409" s="48">
        <v>0</v>
      </c>
      <c r="K1409" s="48">
        <v>0</v>
      </c>
      <c r="M1409" s="40">
        <f t="shared" ref="M1409:M1433" si="80">IFERROR(IF(DD_ACT_25_Meet1_Curr=1,INDEX($M$1566:$M$1600,MATCH(D1409,LU_ACT_25_Pers_Res,0)),INDEX($Q$1566:$Q$1600,MATCH(D1409,LU_ACT_25_Pers_Res,0))),0)</f>
        <v>0</v>
      </c>
      <c r="O1409" s="40">
        <f t="shared" ref="O1409:O1433" si="81">IFERROR(IF(DD_ACT_25_Meet1_Curr=1,INDEX($O$1566:$O$1600,MATCH(D1409,LU_ACT_25_Pers_Res,0)),INDEX($S$1566:$S$1600,MATCH(D1409,LU_ACT_25_Pers_Res,0))),0)</f>
        <v>0</v>
      </c>
      <c r="Q1409" s="293">
        <f t="shared" ref="Q1409:Q1433" si="82">I1409*K1409*M1409</f>
        <v>0</v>
      </c>
      <c r="S1409" s="293">
        <f t="shared" ref="S1409:S1433" si="83">I1409*K1409*O1409</f>
        <v>0</v>
      </c>
      <c r="U1409" s="356"/>
      <c r="V1409" s="356"/>
      <c r="W1409" s="356"/>
      <c r="X1409" s="356"/>
    </row>
    <row r="1410" spans="4:24" x14ac:dyDescent="0.3">
      <c r="D1410" s="356" t="s">
        <v>189</v>
      </c>
      <c r="E1410" s="356"/>
      <c r="F1410" s="356"/>
      <c r="G1410" s="356"/>
      <c r="I1410" s="48">
        <v>0</v>
      </c>
      <c r="K1410" s="48">
        <v>0</v>
      </c>
      <c r="M1410" s="40">
        <f t="shared" si="80"/>
        <v>0</v>
      </c>
      <c r="O1410" s="40">
        <f t="shared" si="81"/>
        <v>0</v>
      </c>
      <c r="Q1410" s="293">
        <f t="shared" si="82"/>
        <v>0</v>
      </c>
      <c r="S1410" s="293">
        <f t="shared" si="83"/>
        <v>0</v>
      </c>
      <c r="U1410" s="356"/>
      <c r="V1410" s="356"/>
      <c r="W1410" s="356"/>
      <c r="X1410" s="356"/>
    </row>
    <row r="1411" spans="4:24" x14ac:dyDescent="0.3">
      <c r="D1411" s="356" t="s">
        <v>190</v>
      </c>
      <c r="E1411" s="356"/>
      <c r="F1411" s="356"/>
      <c r="G1411" s="356"/>
      <c r="I1411" s="48">
        <v>0</v>
      </c>
      <c r="K1411" s="48">
        <v>0</v>
      </c>
      <c r="M1411" s="40">
        <f t="shared" si="80"/>
        <v>0</v>
      </c>
      <c r="O1411" s="40">
        <f t="shared" si="81"/>
        <v>0</v>
      </c>
      <c r="Q1411" s="293">
        <f t="shared" si="82"/>
        <v>0</v>
      </c>
      <c r="S1411" s="293">
        <f t="shared" si="83"/>
        <v>0</v>
      </c>
      <c r="U1411" s="356"/>
      <c r="V1411" s="356"/>
      <c r="W1411" s="356"/>
      <c r="X1411" s="356"/>
    </row>
    <row r="1412" spans="4:24" x14ac:dyDescent="0.3">
      <c r="D1412" s="356" t="s">
        <v>191</v>
      </c>
      <c r="E1412" s="356"/>
      <c r="F1412" s="356"/>
      <c r="G1412" s="356"/>
      <c r="I1412" s="48">
        <v>0</v>
      </c>
      <c r="K1412" s="48">
        <v>0</v>
      </c>
      <c r="M1412" s="40">
        <f t="shared" si="80"/>
        <v>0</v>
      </c>
      <c r="O1412" s="40">
        <f t="shared" si="81"/>
        <v>0</v>
      </c>
      <c r="Q1412" s="293">
        <f t="shared" si="82"/>
        <v>0</v>
      </c>
      <c r="S1412" s="293">
        <f t="shared" si="83"/>
        <v>0</v>
      </c>
      <c r="U1412" s="356"/>
      <c r="V1412" s="356"/>
      <c r="W1412" s="356"/>
      <c r="X1412" s="356"/>
    </row>
    <row r="1413" spans="4:24" x14ac:dyDescent="0.3">
      <c r="D1413" s="356" t="s">
        <v>192</v>
      </c>
      <c r="E1413" s="356"/>
      <c r="F1413" s="356"/>
      <c r="G1413" s="356"/>
      <c r="I1413" s="48">
        <v>0</v>
      </c>
      <c r="K1413" s="48">
        <v>0</v>
      </c>
      <c r="M1413" s="40">
        <f t="shared" si="80"/>
        <v>0</v>
      </c>
      <c r="O1413" s="40">
        <f t="shared" si="81"/>
        <v>0</v>
      </c>
      <c r="Q1413" s="293">
        <f t="shared" si="82"/>
        <v>0</v>
      </c>
      <c r="S1413" s="293">
        <f t="shared" si="83"/>
        <v>0</v>
      </c>
      <c r="U1413" s="356"/>
      <c r="V1413" s="356"/>
      <c r="W1413" s="356"/>
      <c r="X1413" s="356"/>
    </row>
    <row r="1414" spans="4:24" x14ac:dyDescent="0.3">
      <c r="D1414" s="356" t="s">
        <v>193</v>
      </c>
      <c r="E1414" s="356"/>
      <c r="F1414" s="356"/>
      <c r="G1414" s="356"/>
      <c r="I1414" s="48">
        <v>0</v>
      </c>
      <c r="K1414" s="48">
        <v>0</v>
      </c>
      <c r="M1414" s="40">
        <f t="shared" si="80"/>
        <v>0</v>
      </c>
      <c r="O1414" s="40">
        <f t="shared" si="81"/>
        <v>0</v>
      </c>
      <c r="Q1414" s="293">
        <f t="shared" si="82"/>
        <v>0</v>
      </c>
      <c r="S1414" s="293">
        <f t="shared" si="83"/>
        <v>0</v>
      </c>
      <c r="U1414" s="356"/>
      <c r="V1414" s="356"/>
      <c r="W1414" s="356"/>
      <c r="X1414" s="356"/>
    </row>
    <row r="1415" spans="4:24" x14ac:dyDescent="0.3">
      <c r="D1415" s="356" t="s">
        <v>120</v>
      </c>
      <c r="E1415" s="356"/>
      <c r="F1415" s="356"/>
      <c r="G1415" s="356"/>
      <c r="I1415" s="48">
        <v>0</v>
      </c>
      <c r="K1415" s="48">
        <v>0</v>
      </c>
      <c r="M1415" s="40">
        <f t="shared" si="80"/>
        <v>0</v>
      </c>
      <c r="O1415" s="40">
        <f t="shared" si="81"/>
        <v>0</v>
      </c>
      <c r="Q1415" s="293">
        <f t="shared" si="82"/>
        <v>0</v>
      </c>
      <c r="S1415" s="293">
        <f t="shared" si="83"/>
        <v>0</v>
      </c>
      <c r="U1415" s="356"/>
      <c r="V1415" s="356"/>
      <c r="W1415" s="356"/>
      <c r="X1415" s="356"/>
    </row>
    <row r="1416" spans="4:24" x14ac:dyDescent="0.3">
      <c r="D1416" s="356" t="s">
        <v>121</v>
      </c>
      <c r="E1416" s="356"/>
      <c r="F1416" s="356"/>
      <c r="G1416" s="356"/>
      <c r="I1416" s="48">
        <v>0</v>
      </c>
      <c r="K1416" s="48">
        <v>0</v>
      </c>
      <c r="M1416" s="40">
        <f t="shared" si="80"/>
        <v>0</v>
      </c>
      <c r="O1416" s="40">
        <f t="shared" si="81"/>
        <v>0</v>
      </c>
      <c r="Q1416" s="293">
        <f t="shared" si="82"/>
        <v>0</v>
      </c>
      <c r="S1416" s="293">
        <f t="shared" si="83"/>
        <v>0</v>
      </c>
      <c r="U1416" s="356"/>
      <c r="V1416" s="356"/>
      <c r="W1416" s="356"/>
      <c r="X1416" s="356"/>
    </row>
    <row r="1417" spans="4:24" s="277" customFormat="1" x14ac:dyDescent="0.3">
      <c r="D1417" s="356" t="s">
        <v>830</v>
      </c>
      <c r="E1417" s="356"/>
      <c r="F1417" s="356"/>
      <c r="G1417" s="356"/>
      <c r="I1417" s="48">
        <v>0</v>
      </c>
      <c r="K1417" s="48">
        <v>0</v>
      </c>
      <c r="M1417" s="279">
        <f t="shared" si="80"/>
        <v>0</v>
      </c>
      <c r="O1417" s="279">
        <f t="shared" si="81"/>
        <v>0</v>
      </c>
      <c r="Q1417" s="293">
        <f t="shared" si="82"/>
        <v>0</v>
      </c>
      <c r="S1417" s="293">
        <f t="shared" si="83"/>
        <v>0</v>
      </c>
      <c r="U1417" s="385"/>
      <c r="V1417" s="385"/>
      <c r="W1417" s="385"/>
      <c r="X1417" s="385"/>
    </row>
    <row r="1418" spans="4:24" s="277" customFormat="1" x14ac:dyDescent="0.3">
      <c r="D1418" s="356" t="s">
        <v>831</v>
      </c>
      <c r="E1418" s="356"/>
      <c r="F1418" s="356"/>
      <c r="G1418" s="356"/>
      <c r="I1418" s="48">
        <v>0</v>
      </c>
      <c r="K1418" s="48">
        <v>0</v>
      </c>
      <c r="M1418" s="279">
        <f t="shared" si="80"/>
        <v>0</v>
      </c>
      <c r="O1418" s="279">
        <f t="shared" si="81"/>
        <v>0</v>
      </c>
      <c r="Q1418" s="293">
        <f t="shared" si="82"/>
        <v>0</v>
      </c>
      <c r="S1418" s="293">
        <f t="shared" si="83"/>
        <v>0</v>
      </c>
      <c r="U1418" s="385"/>
      <c r="V1418" s="385"/>
      <c r="W1418" s="385"/>
      <c r="X1418" s="385"/>
    </row>
    <row r="1419" spans="4:24" s="277" customFormat="1" x14ac:dyDescent="0.3">
      <c r="D1419" s="356" t="s">
        <v>832</v>
      </c>
      <c r="E1419" s="356"/>
      <c r="F1419" s="356"/>
      <c r="G1419" s="356"/>
      <c r="I1419" s="48">
        <v>0</v>
      </c>
      <c r="K1419" s="48">
        <v>0</v>
      </c>
      <c r="M1419" s="279">
        <f t="shared" si="80"/>
        <v>0</v>
      </c>
      <c r="O1419" s="279">
        <f t="shared" si="81"/>
        <v>0</v>
      </c>
      <c r="Q1419" s="293">
        <f t="shared" si="82"/>
        <v>0</v>
      </c>
      <c r="S1419" s="293">
        <f t="shared" si="83"/>
        <v>0</v>
      </c>
      <c r="U1419" s="385"/>
      <c r="V1419" s="385"/>
      <c r="W1419" s="385"/>
      <c r="X1419" s="385"/>
    </row>
    <row r="1420" spans="4:24" s="277" customFormat="1" x14ac:dyDescent="0.3">
      <c r="D1420" s="356" t="s">
        <v>833</v>
      </c>
      <c r="E1420" s="356"/>
      <c r="F1420" s="356"/>
      <c r="G1420" s="356"/>
      <c r="I1420" s="48">
        <v>0</v>
      </c>
      <c r="K1420" s="48">
        <v>0</v>
      </c>
      <c r="M1420" s="279">
        <f t="shared" si="80"/>
        <v>0</v>
      </c>
      <c r="O1420" s="279">
        <f t="shared" si="81"/>
        <v>0</v>
      </c>
      <c r="Q1420" s="293">
        <f t="shared" si="82"/>
        <v>0</v>
      </c>
      <c r="S1420" s="293">
        <f t="shared" si="83"/>
        <v>0</v>
      </c>
      <c r="U1420" s="385"/>
      <c r="V1420" s="385"/>
      <c r="W1420" s="385"/>
      <c r="X1420" s="385"/>
    </row>
    <row r="1421" spans="4:24" s="277" customFormat="1" x14ac:dyDescent="0.3">
      <c r="D1421" s="356" t="s">
        <v>834</v>
      </c>
      <c r="E1421" s="356"/>
      <c r="F1421" s="356"/>
      <c r="G1421" s="356"/>
      <c r="I1421" s="48">
        <v>0</v>
      </c>
      <c r="K1421" s="48">
        <v>0</v>
      </c>
      <c r="M1421" s="279">
        <f t="shared" si="80"/>
        <v>0</v>
      </c>
      <c r="O1421" s="279">
        <f t="shared" si="81"/>
        <v>0</v>
      </c>
      <c r="Q1421" s="293">
        <f t="shared" si="82"/>
        <v>0</v>
      </c>
      <c r="S1421" s="293">
        <f t="shared" si="83"/>
        <v>0</v>
      </c>
      <c r="U1421" s="385"/>
      <c r="V1421" s="385"/>
      <c r="W1421" s="385"/>
      <c r="X1421" s="385"/>
    </row>
    <row r="1422" spans="4:24" s="277" customFormat="1" x14ac:dyDescent="0.3">
      <c r="D1422" s="356" t="s">
        <v>835</v>
      </c>
      <c r="E1422" s="356"/>
      <c r="F1422" s="356"/>
      <c r="G1422" s="356"/>
      <c r="I1422" s="48">
        <v>0</v>
      </c>
      <c r="K1422" s="48">
        <v>0</v>
      </c>
      <c r="M1422" s="279">
        <f t="shared" si="80"/>
        <v>0</v>
      </c>
      <c r="O1422" s="279">
        <f t="shared" si="81"/>
        <v>0</v>
      </c>
      <c r="Q1422" s="293">
        <f t="shared" si="82"/>
        <v>0</v>
      </c>
      <c r="S1422" s="293">
        <f t="shared" si="83"/>
        <v>0</v>
      </c>
      <c r="U1422" s="385"/>
      <c r="V1422" s="385"/>
      <c r="W1422" s="385"/>
      <c r="X1422" s="385"/>
    </row>
    <row r="1423" spans="4:24" s="277" customFormat="1" x14ac:dyDescent="0.3">
      <c r="D1423" s="356" t="s">
        <v>836</v>
      </c>
      <c r="E1423" s="356"/>
      <c r="F1423" s="356"/>
      <c r="G1423" s="356"/>
      <c r="I1423" s="48">
        <v>0</v>
      </c>
      <c r="K1423" s="48">
        <v>0</v>
      </c>
      <c r="M1423" s="279">
        <f t="shared" si="80"/>
        <v>0</v>
      </c>
      <c r="O1423" s="279">
        <f t="shared" si="81"/>
        <v>0</v>
      </c>
      <c r="Q1423" s="293">
        <f t="shared" si="82"/>
        <v>0</v>
      </c>
      <c r="S1423" s="293">
        <f t="shared" si="83"/>
        <v>0</v>
      </c>
      <c r="U1423" s="385"/>
      <c r="V1423" s="385"/>
      <c r="W1423" s="385"/>
      <c r="X1423" s="385"/>
    </row>
    <row r="1424" spans="4:24" s="277" customFormat="1" x14ac:dyDescent="0.3">
      <c r="D1424" s="356" t="s">
        <v>837</v>
      </c>
      <c r="E1424" s="356"/>
      <c r="F1424" s="356"/>
      <c r="G1424" s="356"/>
      <c r="I1424" s="48">
        <v>0</v>
      </c>
      <c r="K1424" s="48">
        <v>0</v>
      </c>
      <c r="M1424" s="279">
        <f t="shared" si="80"/>
        <v>0</v>
      </c>
      <c r="O1424" s="279">
        <f t="shared" si="81"/>
        <v>0</v>
      </c>
      <c r="Q1424" s="293">
        <f t="shared" si="82"/>
        <v>0</v>
      </c>
      <c r="S1424" s="293">
        <f t="shared" si="83"/>
        <v>0</v>
      </c>
      <c r="U1424" s="385"/>
      <c r="V1424" s="385"/>
      <c r="W1424" s="385"/>
      <c r="X1424" s="385"/>
    </row>
    <row r="1425" spans="3:24" s="277" customFormat="1" x14ac:dyDescent="0.3">
      <c r="D1425" s="356" t="s">
        <v>846</v>
      </c>
      <c r="E1425" s="356"/>
      <c r="F1425" s="356"/>
      <c r="G1425" s="356"/>
      <c r="I1425" s="48">
        <v>0</v>
      </c>
      <c r="K1425" s="48">
        <v>0</v>
      </c>
      <c r="M1425" s="279">
        <f t="shared" si="80"/>
        <v>0</v>
      </c>
      <c r="O1425" s="279">
        <f t="shared" si="81"/>
        <v>0</v>
      </c>
      <c r="Q1425" s="293">
        <f t="shared" si="82"/>
        <v>0</v>
      </c>
      <c r="S1425" s="293">
        <f t="shared" si="83"/>
        <v>0</v>
      </c>
      <c r="U1425" s="385"/>
      <c r="V1425" s="385"/>
      <c r="W1425" s="385"/>
      <c r="X1425" s="385"/>
    </row>
    <row r="1426" spans="3:24" s="277" customFormat="1" x14ac:dyDescent="0.3">
      <c r="D1426" s="356" t="s">
        <v>847</v>
      </c>
      <c r="E1426" s="356"/>
      <c r="F1426" s="356"/>
      <c r="G1426" s="356"/>
      <c r="I1426" s="48">
        <v>0</v>
      </c>
      <c r="K1426" s="48">
        <v>0</v>
      </c>
      <c r="M1426" s="279">
        <f t="shared" si="80"/>
        <v>0</v>
      </c>
      <c r="O1426" s="279">
        <f t="shared" si="81"/>
        <v>0</v>
      </c>
      <c r="Q1426" s="293">
        <f t="shared" si="82"/>
        <v>0</v>
      </c>
      <c r="S1426" s="293">
        <f t="shared" si="83"/>
        <v>0</v>
      </c>
      <c r="U1426" s="385"/>
      <c r="V1426" s="385"/>
      <c r="W1426" s="385"/>
      <c r="X1426" s="385"/>
    </row>
    <row r="1427" spans="3:24" s="277" customFormat="1" x14ac:dyDescent="0.3">
      <c r="D1427" s="356" t="s">
        <v>848</v>
      </c>
      <c r="E1427" s="356"/>
      <c r="F1427" s="356"/>
      <c r="G1427" s="356"/>
      <c r="I1427" s="48">
        <v>0</v>
      </c>
      <c r="K1427" s="48">
        <v>0</v>
      </c>
      <c r="M1427" s="279">
        <f t="shared" si="80"/>
        <v>0</v>
      </c>
      <c r="O1427" s="279">
        <f t="shared" si="81"/>
        <v>0</v>
      </c>
      <c r="Q1427" s="293">
        <f t="shared" si="82"/>
        <v>0</v>
      </c>
      <c r="S1427" s="293">
        <f t="shared" si="83"/>
        <v>0</v>
      </c>
      <c r="U1427" s="385"/>
      <c r="V1427" s="385"/>
      <c r="W1427" s="385"/>
      <c r="X1427" s="385"/>
    </row>
    <row r="1428" spans="3:24" s="277" customFormat="1" x14ac:dyDescent="0.3">
      <c r="D1428" s="356" t="s">
        <v>849</v>
      </c>
      <c r="E1428" s="356"/>
      <c r="F1428" s="356"/>
      <c r="G1428" s="356"/>
      <c r="I1428" s="48">
        <v>0</v>
      </c>
      <c r="K1428" s="48">
        <v>0</v>
      </c>
      <c r="M1428" s="279">
        <f t="shared" si="80"/>
        <v>0</v>
      </c>
      <c r="O1428" s="279">
        <f t="shared" si="81"/>
        <v>0</v>
      </c>
      <c r="Q1428" s="293">
        <f t="shared" si="82"/>
        <v>0</v>
      </c>
      <c r="S1428" s="293">
        <f t="shared" si="83"/>
        <v>0</v>
      </c>
      <c r="U1428" s="385"/>
      <c r="V1428" s="385"/>
      <c r="W1428" s="385"/>
      <c r="X1428" s="385"/>
    </row>
    <row r="1429" spans="3:24" s="277" customFormat="1" x14ac:dyDescent="0.3">
      <c r="D1429" s="356" t="s">
        <v>971</v>
      </c>
      <c r="E1429" s="356"/>
      <c r="F1429" s="356"/>
      <c r="G1429" s="356"/>
      <c r="I1429" s="48">
        <v>0</v>
      </c>
      <c r="K1429" s="48">
        <v>0</v>
      </c>
      <c r="M1429" s="279">
        <f t="shared" si="80"/>
        <v>0</v>
      </c>
      <c r="O1429" s="279">
        <f t="shared" si="81"/>
        <v>0</v>
      </c>
      <c r="Q1429" s="293">
        <f t="shared" si="82"/>
        <v>0</v>
      </c>
      <c r="S1429" s="293">
        <f t="shared" si="83"/>
        <v>0</v>
      </c>
      <c r="U1429" s="385"/>
      <c r="V1429" s="385"/>
      <c r="W1429" s="385"/>
      <c r="X1429" s="385"/>
    </row>
    <row r="1430" spans="3:24" s="277" customFormat="1" x14ac:dyDescent="0.3">
      <c r="D1430" s="356" t="s">
        <v>973</v>
      </c>
      <c r="E1430" s="356"/>
      <c r="F1430" s="356"/>
      <c r="G1430" s="356"/>
      <c r="I1430" s="48">
        <v>0</v>
      </c>
      <c r="K1430" s="48">
        <v>0</v>
      </c>
      <c r="M1430" s="279">
        <f t="shared" si="80"/>
        <v>0</v>
      </c>
      <c r="O1430" s="279">
        <f t="shared" si="81"/>
        <v>0</v>
      </c>
      <c r="Q1430" s="293">
        <f t="shared" si="82"/>
        <v>0</v>
      </c>
      <c r="S1430" s="293">
        <f t="shared" si="83"/>
        <v>0</v>
      </c>
      <c r="U1430" s="385"/>
      <c r="V1430" s="385"/>
      <c r="W1430" s="385"/>
      <c r="X1430" s="385"/>
    </row>
    <row r="1431" spans="3:24" s="277" customFormat="1" x14ac:dyDescent="0.3">
      <c r="D1431" s="356" t="s">
        <v>974</v>
      </c>
      <c r="E1431" s="356"/>
      <c r="F1431" s="356"/>
      <c r="G1431" s="356"/>
      <c r="I1431" s="48">
        <v>0</v>
      </c>
      <c r="K1431" s="48">
        <v>0</v>
      </c>
      <c r="M1431" s="279">
        <f t="shared" si="80"/>
        <v>0</v>
      </c>
      <c r="O1431" s="279">
        <f t="shared" si="81"/>
        <v>0</v>
      </c>
      <c r="Q1431" s="293">
        <f t="shared" si="82"/>
        <v>0</v>
      </c>
      <c r="S1431" s="293">
        <f t="shared" si="83"/>
        <v>0</v>
      </c>
      <c r="U1431" s="385"/>
      <c r="V1431" s="385"/>
      <c r="W1431" s="385"/>
      <c r="X1431" s="385"/>
    </row>
    <row r="1432" spans="3:24" s="277" customFormat="1" x14ac:dyDescent="0.3">
      <c r="D1432" s="356" t="s">
        <v>975</v>
      </c>
      <c r="E1432" s="356"/>
      <c r="F1432" s="356"/>
      <c r="G1432" s="356"/>
      <c r="I1432" s="48">
        <v>0</v>
      </c>
      <c r="K1432" s="48">
        <v>0</v>
      </c>
      <c r="M1432" s="279">
        <f t="shared" si="80"/>
        <v>0</v>
      </c>
      <c r="O1432" s="279">
        <f t="shared" si="81"/>
        <v>0</v>
      </c>
      <c r="Q1432" s="293">
        <f t="shared" si="82"/>
        <v>0</v>
      </c>
      <c r="S1432" s="293">
        <f t="shared" si="83"/>
        <v>0</v>
      </c>
      <c r="U1432" s="385"/>
      <c r="V1432" s="385"/>
      <c r="W1432" s="385"/>
      <c r="X1432" s="385"/>
    </row>
    <row r="1433" spans="3:24" s="277" customFormat="1" x14ac:dyDescent="0.3">
      <c r="D1433" s="356" t="s">
        <v>976</v>
      </c>
      <c r="E1433" s="356"/>
      <c r="F1433" s="356"/>
      <c r="G1433" s="356"/>
      <c r="I1433" s="48">
        <v>0</v>
      </c>
      <c r="K1433" s="48">
        <v>0</v>
      </c>
      <c r="M1433" s="279">
        <f t="shared" si="80"/>
        <v>0</v>
      </c>
      <c r="O1433" s="279">
        <f t="shared" si="81"/>
        <v>0</v>
      </c>
      <c r="Q1433" s="293">
        <f t="shared" si="82"/>
        <v>0</v>
      </c>
      <c r="S1433" s="293">
        <f t="shared" si="83"/>
        <v>0</v>
      </c>
      <c r="U1433" s="385"/>
      <c r="V1433" s="385"/>
      <c r="W1433" s="385"/>
      <c r="X1433" s="385"/>
    </row>
    <row r="1434" spans="3:24" ht="14.4" hidden="1" x14ac:dyDescent="0.3">
      <c r="D1434" s="420" t="s">
        <v>79</v>
      </c>
      <c r="E1434" s="427"/>
      <c r="F1434" s="427"/>
      <c r="G1434" s="427"/>
      <c r="I1434" s="43"/>
      <c r="K1434" s="43"/>
      <c r="M1434" s="43"/>
      <c r="O1434" s="43"/>
      <c r="Q1434" s="294">
        <f>SUM(Q1409:Q1433)</f>
        <v>0</v>
      </c>
      <c r="S1434" s="294">
        <f>SUM(S1409:S1433)</f>
        <v>0</v>
      </c>
    </row>
    <row r="1435" spans="3:24" hidden="1" x14ac:dyDescent="0.3"/>
    <row r="1436" spans="3:24" ht="15.6" hidden="1" x14ac:dyDescent="0.3">
      <c r="C1436" s="92" t="s">
        <v>164</v>
      </c>
    </row>
    <row r="1437" spans="3:24" ht="27.6" x14ac:dyDescent="0.3">
      <c r="D1437" s="90" t="s">
        <v>102</v>
      </c>
      <c r="I1437" s="91" t="s">
        <v>80</v>
      </c>
      <c r="K1437" s="91" t="s">
        <v>187</v>
      </c>
      <c r="M1437" s="42" t="s">
        <v>103</v>
      </c>
      <c r="O1437" s="42" t="s">
        <v>104</v>
      </c>
      <c r="Q1437" s="42" t="s">
        <v>105</v>
      </c>
      <c r="S1437" s="42" t="s">
        <v>106</v>
      </c>
      <c r="U1437" s="350" t="s">
        <v>185</v>
      </c>
      <c r="V1437" s="426"/>
      <c r="W1437" s="426"/>
      <c r="X1437" s="426"/>
    </row>
    <row r="1438" spans="3:24" x14ac:dyDescent="0.3">
      <c r="D1438" s="356" t="s">
        <v>109</v>
      </c>
      <c r="E1438" s="356"/>
      <c r="F1438" s="356"/>
      <c r="G1438" s="356"/>
      <c r="I1438" s="48">
        <v>0</v>
      </c>
      <c r="K1438" s="48">
        <v>0</v>
      </c>
      <c r="M1438" s="40">
        <f t="shared" ref="M1438:M1462" si="84">IFERROR(IF(DD_ACT_25_Meet1_Curr=1,INDEX($M$1603:$M$1637,MATCH(D1438,LU_ACT_25_Allowances,0)),INDEX($Q$1603:$Q$1637,MATCH(D1438,LU_ACT_25_Allowances,0))),0)</f>
        <v>0</v>
      </c>
      <c r="O1438" s="40">
        <f t="shared" ref="O1438:O1462" si="85">IFERROR(IF(DD_ACT_25_Meet1_Curr=1,INDEX($O$1603:$O$1637,MATCH(D1438,LU_ACT_25_Allowances,0)),INDEX($S$1603:$S$1637,MATCH(D1438,LU_ACT_25_Allowances,0))),0)</f>
        <v>0</v>
      </c>
      <c r="Q1438" s="293">
        <f t="shared" ref="Q1438:Q1462" si="86">I1438*K1438*M1438</f>
        <v>0</v>
      </c>
      <c r="S1438" s="293">
        <f t="shared" ref="S1438:S1462" si="87">I1438*K1438*O1438</f>
        <v>0</v>
      </c>
      <c r="U1438" s="356"/>
      <c r="V1438" s="356"/>
      <c r="W1438" s="356"/>
      <c r="X1438" s="356"/>
    </row>
    <row r="1439" spans="3:24" x14ac:dyDescent="0.3">
      <c r="D1439" s="356" t="s">
        <v>110</v>
      </c>
      <c r="E1439" s="356"/>
      <c r="F1439" s="356"/>
      <c r="G1439" s="356"/>
      <c r="I1439" s="48">
        <v>0</v>
      </c>
      <c r="K1439" s="48">
        <v>0</v>
      </c>
      <c r="M1439" s="40">
        <f t="shared" si="84"/>
        <v>0</v>
      </c>
      <c r="O1439" s="40">
        <f t="shared" si="85"/>
        <v>0</v>
      </c>
      <c r="Q1439" s="293">
        <f t="shared" si="86"/>
        <v>0</v>
      </c>
      <c r="S1439" s="293">
        <f t="shared" si="87"/>
        <v>0</v>
      </c>
      <c r="U1439" s="356"/>
      <c r="V1439" s="356"/>
      <c r="W1439" s="356"/>
      <c r="X1439" s="356"/>
    </row>
    <row r="1440" spans="3:24" x14ac:dyDescent="0.3">
      <c r="D1440" s="356" t="s">
        <v>111</v>
      </c>
      <c r="E1440" s="356"/>
      <c r="F1440" s="356"/>
      <c r="G1440" s="356"/>
      <c r="I1440" s="48">
        <v>0</v>
      </c>
      <c r="K1440" s="48">
        <v>0</v>
      </c>
      <c r="M1440" s="40">
        <f t="shared" si="84"/>
        <v>0</v>
      </c>
      <c r="O1440" s="40">
        <f t="shared" si="85"/>
        <v>0</v>
      </c>
      <c r="Q1440" s="293">
        <f t="shared" si="86"/>
        <v>0</v>
      </c>
      <c r="S1440" s="293">
        <f t="shared" si="87"/>
        <v>0</v>
      </c>
      <c r="U1440" s="356"/>
      <c r="V1440" s="356"/>
      <c r="W1440" s="356"/>
      <c r="X1440" s="356"/>
    </row>
    <row r="1441" spans="4:24" x14ac:dyDescent="0.3">
      <c r="D1441" s="356" t="s">
        <v>112</v>
      </c>
      <c r="E1441" s="356"/>
      <c r="F1441" s="356"/>
      <c r="G1441" s="356"/>
      <c r="I1441" s="48">
        <v>0</v>
      </c>
      <c r="K1441" s="48">
        <v>0</v>
      </c>
      <c r="M1441" s="40">
        <f t="shared" si="84"/>
        <v>0</v>
      </c>
      <c r="O1441" s="40">
        <f t="shared" si="85"/>
        <v>0</v>
      </c>
      <c r="Q1441" s="293">
        <f t="shared" si="86"/>
        <v>0</v>
      </c>
      <c r="S1441" s="293">
        <f t="shared" si="87"/>
        <v>0</v>
      </c>
      <c r="U1441" s="356"/>
      <c r="V1441" s="356"/>
      <c r="W1441" s="356"/>
      <c r="X1441" s="356"/>
    </row>
    <row r="1442" spans="4:24" x14ac:dyDescent="0.3">
      <c r="D1442" s="356" t="s">
        <v>113</v>
      </c>
      <c r="E1442" s="356"/>
      <c r="F1442" s="356"/>
      <c r="G1442" s="356"/>
      <c r="I1442" s="48">
        <v>0</v>
      </c>
      <c r="K1442" s="48">
        <v>0</v>
      </c>
      <c r="M1442" s="40">
        <f t="shared" si="84"/>
        <v>0</v>
      </c>
      <c r="O1442" s="40">
        <f t="shared" si="85"/>
        <v>0</v>
      </c>
      <c r="Q1442" s="293">
        <f t="shared" si="86"/>
        <v>0</v>
      </c>
      <c r="S1442" s="293">
        <f t="shared" si="87"/>
        <v>0</v>
      </c>
      <c r="U1442" s="356"/>
      <c r="V1442" s="356"/>
      <c r="W1442" s="356"/>
      <c r="X1442" s="356"/>
    </row>
    <row r="1443" spans="4:24" x14ac:dyDescent="0.3">
      <c r="D1443" s="356" t="s">
        <v>114</v>
      </c>
      <c r="E1443" s="356"/>
      <c r="F1443" s="356"/>
      <c r="G1443" s="356"/>
      <c r="I1443" s="48">
        <v>0</v>
      </c>
      <c r="K1443" s="48">
        <v>0</v>
      </c>
      <c r="M1443" s="40">
        <f t="shared" si="84"/>
        <v>0</v>
      </c>
      <c r="O1443" s="40">
        <f t="shared" si="85"/>
        <v>0</v>
      </c>
      <c r="Q1443" s="293">
        <f t="shared" si="86"/>
        <v>0</v>
      </c>
      <c r="S1443" s="293">
        <f t="shared" si="87"/>
        <v>0</v>
      </c>
      <c r="U1443" s="356"/>
      <c r="V1443" s="356"/>
      <c r="W1443" s="356"/>
      <c r="X1443" s="356"/>
    </row>
    <row r="1444" spans="4:24" x14ac:dyDescent="0.3">
      <c r="D1444" s="356" t="s">
        <v>115</v>
      </c>
      <c r="E1444" s="356"/>
      <c r="F1444" s="356"/>
      <c r="G1444" s="356"/>
      <c r="I1444" s="48">
        <v>0</v>
      </c>
      <c r="K1444" s="48">
        <v>0</v>
      </c>
      <c r="M1444" s="40">
        <f t="shared" si="84"/>
        <v>0</v>
      </c>
      <c r="O1444" s="40">
        <f t="shared" si="85"/>
        <v>0</v>
      </c>
      <c r="Q1444" s="293">
        <f t="shared" si="86"/>
        <v>0</v>
      </c>
      <c r="S1444" s="293">
        <f t="shared" si="87"/>
        <v>0</v>
      </c>
      <c r="U1444" s="356"/>
      <c r="V1444" s="356"/>
      <c r="W1444" s="356"/>
      <c r="X1444" s="356"/>
    </row>
    <row r="1445" spans="4:24" x14ac:dyDescent="0.3">
      <c r="D1445" s="356" t="s">
        <v>116</v>
      </c>
      <c r="E1445" s="356"/>
      <c r="F1445" s="356"/>
      <c r="G1445" s="356"/>
      <c r="I1445" s="48">
        <v>0</v>
      </c>
      <c r="K1445" s="48">
        <v>0</v>
      </c>
      <c r="M1445" s="40">
        <f t="shared" si="84"/>
        <v>0</v>
      </c>
      <c r="O1445" s="40">
        <f t="shared" si="85"/>
        <v>0</v>
      </c>
      <c r="Q1445" s="293">
        <f t="shared" si="86"/>
        <v>0</v>
      </c>
      <c r="S1445" s="293">
        <f t="shared" si="87"/>
        <v>0</v>
      </c>
      <c r="U1445" s="356"/>
      <c r="V1445" s="356"/>
      <c r="W1445" s="356"/>
      <c r="X1445" s="356"/>
    </row>
    <row r="1446" spans="4:24" s="277" customFormat="1" x14ac:dyDescent="0.3">
      <c r="D1446" s="356" t="s">
        <v>838</v>
      </c>
      <c r="E1446" s="356"/>
      <c r="F1446" s="356"/>
      <c r="G1446" s="356"/>
      <c r="I1446" s="48">
        <v>0</v>
      </c>
      <c r="K1446" s="48">
        <v>0</v>
      </c>
      <c r="M1446" s="279">
        <f t="shared" si="84"/>
        <v>0</v>
      </c>
      <c r="O1446" s="279">
        <f t="shared" si="85"/>
        <v>0</v>
      </c>
      <c r="Q1446" s="293">
        <f t="shared" si="86"/>
        <v>0</v>
      </c>
      <c r="S1446" s="293">
        <f t="shared" si="87"/>
        <v>0</v>
      </c>
      <c r="U1446" s="385"/>
      <c r="V1446" s="385"/>
      <c r="W1446" s="385"/>
      <c r="X1446" s="385"/>
    </row>
    <row r="1447" spans="4:24" s="277" customFormat="1" x14ac:dyDescent="0.3">
      <c r="D1447" s="356" t="s">
        <v>839</v>
      </c>
      <c r="E1447" s="356"/>
      <c r="F1447" s="356"/>
      <c r="G1447" s="356"/>
      <c r="I1447" s="48">
        <v>0</v>
      </c>
      <c r="K1447" s="48">
        <v>0</v>
      </c>
      <c r="M1447" s="279">
        <f t="shared" si="84"/>
        <v>0</v>
      </c>
      <c r="O1447" s="279">
        <f t="shared" si="85"/>
        <v>0</v>
      </c>
      <c r="Q1447" s="293">
        <f t="shared" si="86"/>
        <v>0</v>
      </c>
      <c r="S1447" s="293">
        <f t="shared" si="87"/>
        <v>0</v>
      </c>
      <c r="U1447" s="385"/>
      <c r="V1447" s="385"/>
      <c r="W1447" s="385"/>
      <c r="X1447" s="385"/>
    </row>
    <row r="1448" spans="4:24" s="277" customFormat="1" x14ac:dyDescent="0.3">
      <c r="D1448" s="356" t="s">
        <v>840</v>
      </c>
      <c r="E1448" s="356"/>
      <c r="F1448" s="356"/>
      <c r="G1448" s="356"/>
      <c r="I1448" s="48">
        <v>0</v>
      </c>
      <c r="K1448" s="48">
        <v>0</v>
      </c>
      <c r="M1448" s="279">
        <f t="shared" si="84"/>
        <v>0</v>
      </c>
      <c r="O1448" s="279">
        <f t="shared" si="85"/>
        <v>0</v>
      </c>
      <c r="Q1448" s="293">
        <f t="shared" si="86"/>
        <v>0</v>
      </c>
      <c r="S1448" s="293">
        <f t="shared" si="87"/>
        <v>0</v>
      </c>
      <c r="U1448" s="385"/>
      <c r="V1448" s="385"/>
      <c r="W1448" s="385"/>
      <c r="X1448" s="385"/>
    </row>
    <row r="1449" spans="4:24" s="277" customFormat="1" x14ac:dyDescent="0.3">
      <c r="D1449" s="356" t="s">
        <v>841</v>
      </c>
      <c r="E1449" s="356"/>
      <c r="F1449" s="356"/>
      <c r="G1449" s="356"/>
      <c r="I1449" s="48">
        <v>0</v>
      </c>
      <c r="K1449" s="48">
        <v>0</v>
      </c>
      <c r="M1449" s="279">
        <f t="shared" si="84"/>
        <v>0</v>
      </c>
      <c r="O1449" s="279">
        <f t="shared" si="85"/>
        <v>0</v>
      </c>
      <c r="Q1449" s="293">
        <f t="shared" si="86"/>
        <v>0</v>
      </c>
      <c r="S1449" s="293">
        <f t="shared" si="87"/>
        <v>0</v>
      </c>
      <c r="U1449" s="385"/>
      <c r="V1449" s="385"/>
      <c r="W1449" s="385"/>
      <c r="X1449" s="385"/>
    </row>
    <row r="1450" spans="4:24" s="277" customFormat="1" x14ac:dyDescent="0.3">
      <c r="D1450" s="356" t="s">
        <v>842</v>
      </c>
      <c r="E1450" s="356"/>
      <c r="F1450" s="356"/>
      <c r="G1450" s="356"/>
      <c r="I1450" s="48">
        <v>0</v>
      </c>
      <c r="K1450" s="48">
        <v>0</v>
      </c>
      <c r="M1450" s="279">
        <f t="shared" si="84"/>
        <v>0</v>
      </c>
      <c r="O1450" s="279">
        <f t="shared" si="85"/>
        <v>0</v>
      </c>
      <c r="Q1450" s="293">
        <f t="shared" si="86"/>
        <v>0</v>
      </c>
      <c r="S1450" s="293">
        <f t="shared" si="87"/>
        <v>0</v>
      </c>
      <c r="U1450" s="385"/>
      <c r="V1450" s="385"/>
      <c r="W1450" s="385"/>
      <c r="X1450" s="385"/>
    </row>
    <row r="1451" spans="4:24" s="277" customFormat="1" x14ac:dyDescent="0.3">
      <c r="D1451" s="356" t="s">
        <v>843</v>
      </c>
      <c r="E1451" s="356"/>
      <c r="F1451" s="356"/>
      <c r="G1451" s="356"/>
      <c r="I1451" s="48">
        <v>0</v>
      </c>
      <c r="K1451" s="48">
        <v>0</v>
      </c>
      <c r="M1451" s="279">
        <f t="shared" si="84"/>
        <v>0</v>
      </c>
      <c r="O1451" s="279">
        <f t="shared" si="85"/>
        <v>0</v>
      </c>
      <c r="Q1451" s="293">
        <f t="shared" si="86"/>
        <v>0</v>
      </c>
      <c r="S1451" s="293">
        <f t="shared" si="87"/>
        <v>0</v>
      </c>
      <c r="U1451" s="385"/>
      <c r="V1451" s="385"/>
      <c r="W1451" s="385"/>
      <c r="X1451" s="385"/>
    </row>
    <row r="1452" spans="4:24" s="277" customFormat="1" x14ac:dyDescent="0.3">
      <c r="D1452" s="356" t="s">
        <v>844</v>
      </c>
      <c r="E1452" s="356"/>
      <c r="F1452" s="356"/>
      <c r="G1452" s="356"/>
      <c r="I1452" s="48">
        <v>0</v>
      </c>
      <c r="K1452" s="48">
        <v>0</v>
      </c>
      <c r="M1452" s="279">
        <f t="shared" si="84"/>
        <v>0</v>
      </c>
      <c r="O1452" s="279">
        <f t="shared" si="85"/>
        <v>0</v>
      </c>
      <c r="Q1452" s="293">
        <f t="shared" si="86"/>
        <v>0</v>
      </c>
      <c r="S1452" s="293">
        <f t="shared" si="87"/>
        <v>0</v>
      </c>
      <c r="U1452" s="385"/>
      <c r="V1452" s="385"/>
      <c r="W1452" s="385"/>
      <c r="X1452" s="385"/>
    </row>
    <row r="1453" spans="4:24" s="277" customFormat="1" x14ac:dyDescent="0.3">
      <c r="D1453" s="356" t="s">
        <v>845</v>
      </c>
      <c r="E1453" s="356"/>
      <c r="F1453" s="356"/>
      <c r="G1453" s="356"/>
      <c r="I1453" s="48">
        <v>0</v>
      </c>
      <c r="K1453" s="48">
        <v>0</v>
      </c>
      <c r="M1453" s="279">
        <f t="shared" si="84"/>
        <v>0</v>
      </c>
      <c r="O1453" s="279">
        <f t="shared" si="85"/>
        <v>0</v>
      </c>
      <c r="Q1453" s="293">
        <f t="shared" si="86"/>
        <v>0</v>
      </c>
      <c r="S1453" s="293">
        <f t="shared" si="87"/>
        <v>0</v>
      </c>
      <c r="U1453" s="385"/>
      <c r="V1453" s="385"/>
      <c r="W1453" s="385"/>
      <c r="X1453" s="385"/>
    </row>
    <row r="1454" spans="4:24" s="277" customFormat="1" x14ac:dyDescent="0.3">
      <c r="D1454" s="356" t="s">
        <v>850</v>
      </c>
      <c r="E1454" s="356"/>
      <c r="F1454" s="356"/>
      <c r="G1454" s="356"/>
      <c r="I1454" s="48">
        <v>0</v>
      </c>
      <c r="K1454" s="48">
        <v>0</v>
      </c>
      <c r="M1454" s="279">
        <f t="shared" si="84"/>
        <v>0</v>
      </c>
      <c r="O1454" s="279">
        <f t="shared" si="85"/>
        <v>0</v>
      </c>
      <c r="Q1454" s="293">
        <f t="shared" si="86"/>
        <v>0</v>
      </c>
      <c r="S1454" s="293">
        <f t="shared" si="87"/>
        <v>0</v>
      </c>
      <c r="U1454" s="385"/>
      <c r="V1454" s="385"/>
      <c r="W1454" s="385"/>
      <c r="X1454" s="385"/>
    </row>
    <row r="1455" spans="4:24" s="277" customFormat="1" x14ac:dyDescent="0.3">
      <c r="D1455" s="356" t="s">
        <v>851</v>
      </c>
      <c r="E1455" s="356"/>
      <c r="F1455" s="356"/>
      <c r="G1455" s="356"/>
      <c r="I1455" s="48">
        <v>0</v>
      </c>
      <c r="K1455" s="48">
        <v>0</v>
      </c>
      <c r="M1455" s="279">
        <f t="shared" si="84"/>
        <v>0</v>
      </c>
      <c r="O1455" s="279">
        <f t="shared" si="85"/>
        <v>0</v>
      </c>
      <c r="Q1455" s="293">
        <f t="shared" si="86"/>
        <v>0</v>
      </c>
      <c r="S1455" s="293">
        <f t="shared" si="87"/>
        <v>0</v>
      </c>
      <c r="U1455" s="385"/>
      <c r="V1455" s="385"/>
      <c r="W1455" s="385"/>
      <c r="X1455" s="385"/>
    </row>
    <row r="1456" spans="4:24" s="277" customFormat="1" x14ac:dyDescent="0.3">
      <c r="D1456" s="356" t="s">
        <v>852</v>
      </c>
      <c r="E1456" s="356"/>
      <c r="F1456" s="356"/>
      <c r="G1456" s="356"/>
      <c r="I1456" s="48">
        <v>0</v>
      </c>
      <c r="K1456" s="48">
        <v>0</v>
      </c>
      <c r="M1456" s="279">
        <f t="shared" si="84"/>
        <v>0</v>
      </c>
      <c r="O1456" s="279">
        <f t="shared" si="85"/>
        <v>0</v>
      </c>
      <c r="Q1456" s="293">
        <f t="shared" si="86"/>
        <v>0</v>
      </c>
      <c r="S1456" s="293">
        <f t="shared" si="87"/>
        <v>0</v>
      </c>
      <c r="U1456" s="385"/>
      <c r="V1456" s="385"/>
      <c r="W1456" s="385"/>
      <c r="X1456" s="385"/>
    </row>
    <row r="1457" spans="3:24" s="277" customFormat="1" x14ac:dyDescent="0.3">
      <c r="D1457" s="356" t="s">
        <v>853</v>
      </c>
      <c r="E1457" s="356"/>
      <c r="F1457" s="356"/>
      <c r="G1457" s="356"/>
      <c r="I1457" s="48">
        <v>0</v>
      </c>
      <c r="K1457" s="48">
        <v>0</v>
      </c>
      <c r="M1457" s="279">
        <f t="shared" si="84"/>
        <v>0</v>
      </c>
      <c r="O1457" s="279">
        <f t="shared" si="85"/>
        <v>0</v>
      </c>
      <c r="Q1457" s="293">
        <f t="shared" si="86"/>
        <v>0</v>
      </c>
      <c r="S1457" s="293">
        <f t="shared" si="87"/>
        <v>0</v>
      </c>
      <c r="U1457" s="385"/>
      <c r="V1457" s="385"/>
      <c r="W1457" s="385"/>
      <c r="X1457" s="385"/>
    </row>
    <row r="1458" spans="3:24" s="277" customFormat="1" x14ac:dyDescent="0.3">
      <c r="D1458" s="356" t="s">
        <v>972</v>
      </c>
      <c r="E1458" s="356"/>
      <c r="F1458" s="356"/>
      <c r="G1458" s="356"/>
      <c r="I1458" s="48">
        <v>0</v>
      </c>
      <c r="K1458" s="48">
        <v>0</v>
      </c>
      <c r="M1458" s="279">
        <f t="shared" si="84"/>
        <v>0</v>
      </c>
      <c r="O1458" s="279">
        <f t="shared" si="85"/>
        <v>0</v>
      </c>
      <c r="Q1458" s="293">
        <f t="shared" si="86"/>
        <v>0</v>
      </c>
      <c r="S1458" s="293">
        <f t="shared" si="87"/>
        <v>0</v>
      </c>
      <c r="U1458" s="385"/>
      <c r="V1458" s="385"/>
      <c r="W1458" s="385"/>
      <c r="X1458" s="385"/>
    </row>
    <row r="1459" spans="3:24" s="277" customFormat="1" x14ac:dyDescent="0.3">
      <c r="D1459" s="356" t="s">
        <v>977</v>
      </c>
      <c r="E1459" s="356"/>
      <c r="F1459" s="356"/>
      <c r="G1459" s="356"/>
      <c r="I1459" s="48">
        <v>0</v>
      </c>
      <c r="K1459" s="48">
        <v>0</v>
      </c>
      <c r="M1459" s="279">
        <f t="shared" si="84"/>
        <v>0</v>
      </c>
      <c r="O1459" s="279">
        <f t="shared" si="85"/>
        <v>0</v>
      </c>
      <c r="Q1459" s="293">
        <f t="shared" si="86"/>
        <v>0</v>
      </c>
      <c r="S1459" s="293">
        <f t="shared" si="87"/>
        <v>0</v>
      </c>
      <c r="U1459" s="385"/>
      <c r="V1459" s="385"/>
      <c r="W1459" s="385"/>
      <c r="X1459" s="385"/>
    </row>
    <row r="1460" spans="3:24" s="277" customFormat="1" x14ac:dyDescent="0.3">
      <c r="D1460" s="356" t="s">
        <v>978</v>
      </c>
      <c r="E1460" s="356"/>
      <c r="F1460" s="356"/>
      <c r="G1460" s="356"/>
      <c r="I1460" s="48">
        <v>0</v>
      </c>
      <c r="K1460" s="48">
        <v>0</v>
      </c>
      <c r="M1460" s="279">
        <f t="shared" si="84"/>
        <v>0</v>
      </c>
      <c r="O1460" s="279">
        <f t="shared" si="85"/>
        <v>0</v>
      </c>
      <c r="Q1460" s="293">
        <f t="shared" si="86"/>
        <v>0</v>
      </c>
      <c r="S1460" s="293">
        <f t="shared" si="87"/>
        <v>0</v>
      </c>
      <c r="U1460" s="385"/>
      <c r="V1460" s="385"/>
      <c r="W1460" s="385"/>
      <c r="X1460" s="385"/>
    </row>
    <row r="1461" spans="3:24" s="277" customFormat="1" x14ac:dyDescent="0.3">
      <c r="D1461" s="356" t="s">
        <v>979</v>
      </c>
      <c r="E1461" s="356"/>
      <c r="F1461" s="356"/>
      <c r="G1461" s="356"/>
      <c r="I1461" s="48">
        <v>0</v>
      </c>
      <c r="K1461" s="48">
        <v>0</v>
      </c>
      <c r="M1461" s="279">
        <f t="shared" si="84"/>
        <v>0</v>
      </c>
      <c r="O1461" s="279">
        <f t="shared" si="85"/>
        <v>0</v>
      </c>
      <c r="Q1461" s="293">
        <f t="shared" si="86"/>
        <v>0</v>
      </c>
      <c r="S1461" s="293">
        <f t="shared" si="87"/>
        <v>0</v>
      </c>
      <c r="U1461" s="385"/>
      <c r="V1461" s="385"/>
      <c r="W1461" s="385"/>
      <c r="X1461" s="385"/>
    </row>
    <row r="1462" spans="3:24" s="277" customFormat="1" x14ac:dyDescent="0.3">
      <c r="D1462" s="356" t="s">
        <v>980</v>
      </c>
      <c r="E1462" s="356"/>
      <c r="F1462" s="356"/>
      <c r="G1462" s="356"/>
      <c r="I1462" s="48">
        <v>0</v>
      </c>
      <c r="K1462" s="48">
        <v>0</v>
      </c>
      <c r="M1462" s="279">
        <f t="shared" si="84"/>
        <v>0</v>
      </c>
      <c r="O1462" s="279">
        <f t="shared" si="85"/>
        <v>0</v>
      </c>
      <c r="Q1462" s="293">
        <f t="shared" si="86"/>
        <v>0</v>
      </c>
      <c r="S1462" s="293">
        <f t="shared" si="87"/>
        <v>0</v>
      </c>
      <c r="U1462" s="385"/>
      <c r="V1462" s="385"/>
      <c r="W1462" s="385"/>
      <c r="X1462" s="385"/>
    </row>
    <row r="1463" spans="3:24" ht="14.4" hidden="1" x14ac:dyDescent="0.3">
      <c r="D1463" s="420" t="s">
        <v>82</v>
      </c>
      <c r="E1463" s="427"/>
      <c r="F1463" s="427"/>
      <c r="G1463" s="427"/>
      <c r="I1463" s="43"/>
      <c r="K1463" s="43"/>
      <c r="M1463" s="43"/>
      <c r="O1463" s="43"/>
      <c r="Q1463" s="294">
        <f>SUM(Q1438:Q1462)</f>
        <v>0</v>
      </c>
      <c r="S1463" s="294">
        <f>SUM(S1438:S1462)</f>
        <v>0</v>
      </c>
    </row>
    <row r="1464" spans="3:24" hidden="1" x14ac:dyDescent="0.3"/>
    <row r="1465" spans="3:24" hidden="1" x14ac:dyDescent="0.3"/>
    <row r="1466" spans="3:24" hidden="1" x14ac:dyDescent="0.3"/>
    <row r="1467" spans="3:24" ht="15.6" hidden="1" x14ac:dyDescent="0.3">
      <c r="C1467" s="92" t="s">
        <v>84</v>
      </c>
    </row>
    <row r="1468" spans="3:24" ht="27.6" x14ac:dyDescent="0.3">
      <c r="D1468" s="90" t="s">
        <v>102</v>
      </c>
      <c r="I1468" s="91" t="s">
        <v>87</v>
      </c>
      <c r="K1468" s="91" t="s">
        <v>187</v>
      </c>
      <c r="M1468" s="42" t="s">
        <v>107</v>
      </c>
      <c r="O1468" s="42" t="s">
        <v>108</v>
      </c>
      <c r="Q1468" s="42" t="s">
        <v>105</v>
      </c>
      <c r="S1468" s="42" t="s">
        <v>106</v>
      </c>
      <c r="U1468" s="350" t="s">
        <v>185</v>
      </c>
      <c r="V1468" s="426"/>
      <c r="W1468" s="426"/>
      <c r="X1468" s="426"/>
    </row>
    <row r="1469" spans="3:24" x14ac:dyDescent="0.3">
      <c r="D1469" s="356" t="s">
        <v>892</v>
      </c>
      <c r="E1469" s="356"/>
      <c r="F1469" s="356"/>
      <c r="G1469" s="356"/>
      <c r="I1469" s="48">
        <v>0</v>
      </c>
      <c r="K1469" s="48">
        <v>0</v>
      </c>
      <c r="M1469" s="40">
        <f t="shared" ref="M1469:M1493" si="88">IFERROR(IF(DD_ACT_25_Meet1_Curr=1,INDEX($M$1641:$M$1675,MATCH(D1469,LU_ACT_25_Supplies,0)),INDEX($Q$1641:$Q$1675,MATCH(D1469,LU_ACT_25_Supplies,0))),0)</f>
        <v>0</v>
      </c>
      <c r="O1469" s="40">
        <f t="shared" ref="O1469:O1493" si="89">IFERROR(IF(DD_ACT_25_Meet1_Curr=1,INDEX($O$1641:$O$1675,MATCH(D1469,LU_ACT_25_Supplies,0)),INDEX($S$1641:$S$1675,MATCH(D1469,LU_ACT_25_Supplies,0))),0)</f>
        <v>0</v>
      </c>
      <c r="Q1469" s="295">
        <f t="shared" ref="Q1469:Q1493" si="90">I1469*K1469*M1469</f>
        <v>0</v>
      </c>
      <c r="S1469" s="293">
        <f t="shared" ref="S1469:S1493" si="91">I1469*K1469*O1469</f>
        <v>0</v>
      </c>
      <c r="U1469" s="356"/>
      <c r="V1469" s="356"/>
      <c r="W1469" s="356"/>
      <c r="X1469" s="356"/>
    </row>
    <row r="1470" spans="3:24" x14ac:dyDescent="0.3">
      <c r="D1470" s="356" t="s">
        <v>893</v>
      </c>
      <c r="E1470" s="356"/>
      <c r="F1470" s="356"/>
      <c r="G1470" s="356"/>
      <c r="I1470" s="48">
        <v>0</v>
      </c>
      <c r="K1470" s="48">
        <v>0</v>
      </c>
      <c r="M1470" s="40">
        <f t="shared" si="88"/>
        <v>0</v>
      </c>
      <c r="O1470" s="40">
        <f t="shared" si="89"/>
        <v>0</v>
      </c>
      <c r="Q1470" s="295">
        <f t="shared" si="90"/>
        <v>0</v>
      </c>
      <c r="S1470" s="293">
        <f t="shared" si="91"/>
        <v>0</v>
      </c>
      <c r="U1470" s="356"/>
      <c r="V1470" s="356"/>
      <c r="W1470" s="356"/>
      <c r="X1470" s="356"/>
    </row>
    <row r="1471" spans="3:24" s="277" customFormat="1" x14ac:dyDescent="0.3">
      <c r="D1471" s="356" t="s">
        <v>854</v>
      </c>
      <c r="E1471" s="356"/>
      <c r="F1471" s="356"/>
      <c r="G1471" s="356"/>
      <c r="I1471" s="48">
        <v>0</v>
      </c>
      <c r="K1471" s="48">
        <v>0</v>
      </c>
      <c r="M1471" s="279">
        <f t="shared" si="88"/>
        <v>0</v>
      </c>
      <c r="O1471" s="279">
        <f t="shared" si="89"/>
        <v>0</v>
      </c>
      <c r="Q1471" s="295">
        <f t="shared" si="90"/>
        <v>0</v>
      </c>
      <c r="S1471" s="293">
        <f t="shared" si="91"/>
        <v>0</v>
      </c>
      <c r="U1471" s="385"/>
      <c r="V1471" s="385"/>
      <c r="W1471" s="385"/>
      <c r="X1471" s="385"/>
    </row>
    <row r="1472" spans="3:24" s="277" customFormat="1" x14ac:dyDescent="0.3">
      <c r="D1472" s="356" t="s">
        <v>855</v>
      </c>
      <c r="E1472" s="356"/>
      <c r="F1472" s="356"/>
      <c r="G1472" s="356"/>
      <c r="I1472" s="48">
        <v>0</v>
      </c>
      <c r="K1472" s="48">
        <v>0</v>
      </c>
      <c r="M1472" s="279">
        <f t="shared" si="88"/>
        <v>0</v>
      </c>
      <c r="O1472" s="279">
        <f t="shared" si="89"/>
        <v>0</v>
      </c>
      <c r="Q1472" s="295">
        <f t="shared" si="90"/>
        <v>0</v>
      </c>
      <c r="S1472" s="293">
        <f t="shared" si="91"/>
        <v>0</v>
      </c>
      <c r="U1472" s="385"/>
      <c r="V1472" s="385"/>
      <c r="W1472" s="385"/>
      <c r="X1472" s="385"/>
    </row>
    <row r="1473" spans="4:24" s="277" customFormat="1" x14ac:dyDescent="0.3">
      <c r="D1473" s="356" t="s">
        <v>856</v>
      </c>
      <c r="E1473" s="356"/>
      <c r="F1473" s="356"/>
      <c r="G1473" s="356"/>
      <c r="I1473" s="48">
        <v>0</v>
      </c>
      <c r="K1473" s="48">
        <v>0</v>
      </c>
      <c r="M1473" s="279">
        <f t="shared" si="88"/>
        <v>0</v>
      </c>
      <c r="O1473" s="279">
        <f t="shared" si="89"/>
        <v>0</v>
      </c>
      <c r="Q1473" s="295">
        <f t="shared" si="90"/>
        <v>0</v>
      </c>
      <c r="S1473" s="293">
        <f t="shared" si="91"/>
        <v>0</v>
      </c>
      <c r="U1473" s="385"/>
      <c r="V1473" s="385"/>
      <c r="W1473" s="385"/>
      <c r="X1473" s="385"/>
    </row>
    <row r="1474" spans="4:24" s="277" customFormat="1" x14ac:dyDescent="0.3">
      <c r="D1474" s="356" t="s">
        <v>857</v>
      </c>
      <c r="E1474" s="356"/>
      <c r="F1474" s="356"/>
      <c r="G1474" s="356"/>
      <c r="I1474" s="48">
        <v>0</v>
      </c>
      <c r="K1474" s="48">
        <v>0</v>
      </c>
      <c r="M1474" s="279">
        <f t="shared" si="88"/>
        <v>0</v>
      </c>
      <c r="O1474" s="279">
        <f t="shared" si="89"/>
        <v>0</v>
      </c>
      <c r="Q1474" s="295">
        <f t="shared" si="90"/>
        <v>0</v>
      </c>
      <c r="S1474" s="293">
        <f t="shared" si="91"/>
        <v>0</v>
      </c>
      <c r="U1474" s="385"/>
      <c r="V1474" s="385"/>
      <c r="W1474" s="385"/>
      <c r="X1474" s="385"/>
    </row>
    <row r="1475" spans="4:24" s="277" customFormat="1" x14ac:dyDescent="0.3">
      <c r="D1475" s="356" t="s">
        <v>858</v>
      </c>
      <c r="E1475" s="356"/>
      <c r="F1475" s="356"/>
      <c r="G1475" s="356"/>
      <c r="I1475" s="48">
        <v>0</v>
      </c>
      <c r="K1475" s="48">
        <v>0</v>
      </c>
      <c r="M1475" s="279">
        <f t="shared" si="88"/>
        <v>0</v>
      </c>
      <c r="O1475" s="279">
        <f t="shared" si="89"/>
        <v>0</v>
      </c>
      <c r="Q1475" s="295">
        <f t="shared" si="90"/>
        <v>0</v>
      </c>
      <c r="S1475" s="293">
        <f t="shared" si="91"/>
        <v>0</v>
      </c>
      <c r="U1475" s="385"/>
      <c r="V1475" s="385"/>
      <c r="W1475" s="385"/>
      <c r="X1475" s="385"/>
    </row>
    <row r="1476" spans="4:24" s="277" customFormat="1" x14ac:dyDescent="0.3">
      <c r="D1476" s="356" t="s">
        <v>859</v>
      </c>
      <c r="E1476" s="356"/>
      <c r="F1476" s="356"/>
      <c r="G1476" s="356"/>
      <c r="I1476" s="48">
        <v>0</v>
      </c>
      <c r="K1476" s="48">
        <v>0</v>
      </c>
      <c r="M1476" s="279">
        <f t="shared" si="88"/>
        <v>0</v>
      </c>
      <c r="O1476" s="279">
        <f t="shared" si="89"/>
        <v>0</v>
      </c>
      <c r="Q1476" s="295">
        <f t="shared" si="90"/>
        <v>0</v>
      </c>
      <c r="S1476" s="293">
        <f t="shared" si="91"/>
        <v>0</v>
      </c>
      <c r="U1476" s="385"/>
      <c r="V1476" s="385"/>
      <c r="W1476" s="385"/>
      <c r="X1476" s="385"/>
    </row>
    <row r="1477" spans="4:24" s="277" customFormat="1" x14ac:dyDescent="0.3">
      <c r="D1477" s="356" t="s">
        <v>860</v>
      </c>
      <c r="E1477" s="356"/>
      <c r="F1477" s="356"/>
      <c r="G1477" s="356"/>
      <c r="I1477" s="48">
        <v>0</v>
      </c>
      <c r="K1477" s="48">
        <v>0</v>
      </c>
      <c r="M1477" s="279">
        <f t="shared" si="88"/>
        <v>0</v>
      </c>
      <c r="O1477" s="279">
        <f t="shared" si="89"/>
        <v>0</v>
      </c>
      <c r="Q1477" s="295">
        <f t="shared" si="90"/>
        <v>0</v>
      </c>
      <c r="S1477" s="293">
        <f t="shared" si="91"/>
        <v>0</v>
      </c>
      <c r="U1477" s="385"/>
      <c r="V1477" s="385"/>
      <c r="W1477" s="385"/>
      <c r="X1477" s="385"/>
    </row>
    <row r="1478" spans="4:24" s="277" customFormat="1" x14ac:dyDescent="0.3">
      <c r="D1478" s="356" t="s">
        <v>861</v>
      </c>
      <c r="E1478" s="356"/>
      <c r="F1478" s="356"/>
      <c r="G1478" s="356"/>
      <c r="I1478" s="48">
        <v>0</v>
      </c>
      <c r="K1478" s="48">
        <v>0</v>
      </c>
      <c r="M1478" s="279">
        <f t="shared" si="88"/>
        <v>0</v>
      </c>
      <c r="O1478" s="279">
        <f t="shared" si="89"/>
        <v>0</v>
      </c>
      <c r="Q1478" s="295">
        <f t="shared" si="90"/>
        <v>0</v>
      </c>
      <c r="S1478" s="293">
        <f t="shared" si="91"/>
        <v>0</v>
      </c>
      <c r="U1478" s="385"/>
      <c r="V1478" s="385"/>
      <c r="W1478" s="385"/>
      <c r="X1478" s="385"/>
    </row>
    <row r="1479" spans="4:24" s="277" customFormat="1" x14ac:dyDescent="0.3">
      <c r="D1479" s="356" t="s">
        <v>862</v>
      </c>
      <c r="E1479" s="356"/>
      <c r="F1479" s="356"/>
      <c r="G1479" s="356"/>
      <c r="I1479" s="48">
        <v>0</v>
      </c>
      <c r="K1479" s="48">
        <v>0</v>
      </c>
      <c r="M1479" s="279">
        <f t="shared" si="88"/>
        <v>0</v>
      </c>
      <c r="O1479" s="279">
        <f t="shared" si="89"/>
        <v>0</v>
      </c>
      <c r="Q1479" s="295">
        <f t="shared" si="90"/>
        <v>0</v>
      </c>
      <c r="S1479" s="293">
        <f t="shared" si="91"/>
        <v>0</v>
      </c>
      <c r="U1479" s="385"/>
      <c r="V1479" s="385"/>
      <c r="W1479" s="385"/>
      <c r="X1479" s="385"/>
    </row>
    <row r="1480" spans="4:24" s="277" customFormat="1" x14ac:dyDescent="0.3">
      <c r="D1480" s="356" t="s">
        <v>863</v>
      </c>
      <c r="E1480" s="356"/>
      <c r="F1480" s="356"/>
      <c r="G1480" s="356"/>
      <c r="I1480" s="48">
        <v>0</v>
      </c>
      <c r="K1480" s="48">
        <v>0</v>
      </c>
      <c r="M1480" s="279">
        <f t="shared" si="88"/>
        <v>0</v>
      </c>
      <c r="O1480" s="279">
        <f t="shared" si="89"/>
        <v>0</v>
      </c>
      <c r="Q1480" s="295">
        <f t="shared" si="90"/>
        <v>0</v>
      </c>
      <c r="S1480" s="293">
        <f t="shared" si="91"/>
        <v>0</v>
      </c>
      <c r="U1480" s="385"/>
      <c r="V1480" s="385"/>
      <c r="W1480" s="385"/>
      <c r="X1480" s="385"/>
    </row>
    <row r="1481" spans="4:24" s="277" customFormat="1" x14ac:dyDescent="0.3">
      <c r="D1481" s="356" t="s">
        <v>864</v>
      </c>
      <c r="E1481" s="356"/>
      <c r="F1481" s="356"/>
      <c r="G1481" s="356"/>
      <c r="I1481" s="48">
        <v>0</v>
      </c>
      <c r="K1481" s="48">
        <v>0</v>
      </c>
      <c r="M1481" s="279">
        <f t="shared" si="88"/>
        <v>0</v>
      </c>
      <c r="O1481" s="279">
        <f t="shared" si="89"/>
        <v>0</v>
      </c>
      <c r="Q1481" s="295">
        <f t="shared" si="90"/>
        <v>0</v>
      </c>
      <c r="S1481" s="293">
        <f t="shared" si="91"/>
        <v>0</v>
      </c>
      <c r="U1481" s="385"/>
      <c r="V1481" s="385"/>
      <c r="W1481" s="385"/>
      <c r="X1481" s="385"/>
    </row>
    <row r="1482" spans="4:24" s="277" customFormat="1" x14ac:dyDescent="0.3">
      <c r="D1482" s="356" t="s">
        <v>865</v>
      </c>
      <c r="E1482" s="356"/>
      <c r="F1482" s="356"/>
      <c r="G1482" s="356"/>
      <c r="I1482" s="48">
        <v>0</v>
      </c>
      <c r="K1482" s="48">
        <v>0</v>
      </c>
      <c r="M1482" s="279">
        <f t="shared" si="88"/>
        <v>0</v>
      </c>
      <c r="O1482" s="279">
        <f t="shared" si="89"/>
        <v>0</v>
      </c>
      <c r="Q1482" s="295">
        <f t="shared" si="90"/>
        <v>0</v>
      </c>
      <c r="S1482" s="293">
        <f t="shared" si="91"/>
        <v>0</v>
      </c>
      <c r="U1482" s="385"/>
      <c r="V1482" s="385"/>
      <c r="W1482" s="385"/>
      <c r="X1482" s="385"/>
    </row>
    <row r="1483" spans="4:24" s="277" customFormat="1" x14ac:dyDescent="0.3">
      <c r="D1483" s="356" t="s">
        <v>866</v>
      </c>
      <c r="E1483" s="356"/>
      <c r="F1483" s="356"/>
      <c r="G1483" s="356"/>
      <c r="I1483" s="48">
        <v>0</v>
      </c>
      <c r="K1483" s="48">
        <v>0</v>
      </c>
      <c r="M1483" s="279">
        <f t="shared" si="88"/>
        <v>0</v>
      </c>
      <c r="O1483" s="279">
        <f t="shared" si="89"/>
        <v>0</v>
      </c>
      <c r="Q1483" s="295">
        <f t="shared" si="90"/>
        <v>0</v>
      </c>
      <c r="S1483" s="293">
        <f t="shared" si="91"/>
        <v>0</v>
      </c>
      <c r="U1483" s="385"/>
      <c r="V1483" s="385"/>
      <c r="W1483" s="385"/>
      <c r="X1483" s="385"/>
    </row>
    <row r="1484" spans="4:24" s="277" customFormat="1" x14ac:dyDescent="0.3">
      <c r="D1484" s="356" t="s">
        <v>867</v>
      </c>
      <c r="E1484" s="356"/>
      <c r="F1484" s="356"/>
      <c r="G1484" s="356"/>
      <c r="I1484" s="48">
        <v>0</v>
      </c>
      <c r="K1484" s="48">
        <v>0</v>
      </c>
      <c r="M1484" s="279">
        <f t="shared" si="88"/>
        <v>0</v>
      </c>
      <c r="O1484" s="279">
        <f t="shared" si="89"/>
        <v>0</v>
      </c>
      <c r="Q1484" s="295">
        <f t="shared" si="90"/>
        <v>0</v>
      </c>
      <c r="S1484" s="293">
        <f t="shared" si="91"/>
        <v>0</v>
      </c>
      <c r="U1484" s="385"/>
      <c r="V1484" s="385"/>
      <c r="W1484" s="385"/>
      <c r="X1484" s="385"/>
    </row>
    <row r="1485" spans="4:24" s="277" customFormat="1" x14ac:dyDescent="0.3">
      <c r="D1485" s="356" t="s">
        <v>868</v>
      </c>
      <c r="E1485" s="356"/>
      <c r="F1485" s="356"/>
      <c r="G1485" s="356"/>
      <c r="I1485" s="48">
        <v>0</v>
      </c>
      <c r="K1485" s="48">
        <v>0</v>
      </c>
      <c r="M1485" s="279">
        <f t="shared" si="88"/>
        <v>0</v>
      </c>
      <c r="O1485" s="279">
        <f t="shared" si="89"/>
        <v>0</v>
      </c>
      <c r="Q1485" s="295">
        <f t="shared" si="90"/>
        <v>0</v>
      </c>
      <c r="S1485" s="293">
        <f t="shared" si="91"/>
        <v>0</v>
      </c>
      <c r="U1485" s="385"/>
      <c r="V1485" s="385"/>
      <c r="W1485" s="385"/>
      <c r="X1485" s="385"/>
    </row>
    <row r="1486" spans="4:24" s="277" customFormat="1" x14ac:dyDescent="0.3">
      <c r="D1486" s="356" t="s">
        <v>869</v>
      </c>
      <c r="E1486" s="356"/>
      <c r="F1486" s="356"/>
      <c r="G1486" s="356"/>
      <c r="I1486" s="48">
        <v>0</v>
      </c>
      <c r="K1486" s="48">
        <v>0</v>
      </c>
      <c r="M1486" s="279">
        <f t="shared" si="88"/>
        <v>0</v>
      </c>
      <c r="O1486" s="279">
        <f t="shared" si="89"/>
        <v>0</v>
      </c>
      <c r="Q1486" s="295">
        <f t="shared" si="90"/>
        <v>0</v>
      </c>
      <c r="S1486" s="293">
        <f t="shared" si="91"/>
        <v>0</v>
      </c>
      <c r="U1486" s="385"/>
      <c r="V1486" s="385"/>
      <c r="W1486" s="385"/>
      <c r="X1486" s="385"/>
    </row>
    <row r="1487" spans="4:24" s="277" customFormat="1" x14ac:dyDescent="0.3">
      <c r="D1487" s="356" t="s">
        <v>870</v>
      </c>
      <c r="E1487" s="356"/>
      <c r="F1487" s="356"/>
      <c r="G1487" s="356"/>
      <c r="I1487" s="48">
        <v>0</v>
      </c>
      <c r="K1487" s="48">
        <v>0</v>
      </c>
      <c r="M1487" s="279">
        <f t="shared" si="88"/>
        <v>0</v>
      </c>
      <c r="O1487" s="279">
        <f t="shared" si="89"/>
        <v>0</v>
      </c>
      <c r="Q1487" s="295">
        <f t="shared" si="90"/>
        <v>0</v>
      </c>
      <c r="S1487" s="293">
        <f t="shared" si="91"/>
        <v>0</v>
      </c>
      <c r="U1487" s="385"/>
      <c r="V1487" s="385"/>
      <c r="W1487" s="385"/>
      <c r="X1487" s="385"/>
    </row>
    <row r="1488" spans="4:24" s="277" customFormat="1" x14ac:dyDescent="0.3">
      <c r="D1488" s="356" t="s">
        <v>871</v>
      </c>
      <c r="E1488" s="356"/>
      <c r="F1488" s="356"/>
      <c r="G1488" s="356"/>
      <c r="I1488" s="48">
        <v>0</v>
      </c>
      <c r="K1488" s="48">
        <v>0</v>
      </c>
      <c r="M1488" s="279">
        <f t="shared" si="88"/>
        <v>0</v>
      </c>
      <c r="O1488" s="279">
        <f t="shared" si="89"/>
        <v>0</v>
      </c>
      <c r="Q1488" s="295">
        <f t="shared" si="90"/>
        <v>0</v>
      </c>
      <c r="S1488" s="293">
        <f t="shared" si="91"/>
        <v>0</v>
      </c>
      <c r="U1488" s="385"/>
      <c r="V1488" s="385"/>
      <c r="W1488" s="385"/>
      <c r="X1488" s="385"/>
    </row>
    <row r="1489" spans="3:24" s="277" customFormat="1" x14ac:dyDescent="0.3">
      <c r="D1489" s="356" t="s">
        <v>981</v>
      </c>
      <c r="E1489" s="356"/>
      <c r="F1489" s="356"/>
      <c r="G1489" s="356"/>
      <c r="I1489" s="48">
        <v>0</v>
      </c>
      <c r="K1489" s="48">
        <v>0</v>
      </c>
      <c r="M1489" s="279">
        <f t="shared" si="88"/>
        <v>0</v>
      </c>
      <c r="O1489" s="279">
        <f t="shared" si="89"/>
        <v>0</v>
      </c>
      <c r="Q1489" s="295">
        <f t="shared" si="90"/>
        <v>0</v>
      </c>
      <c r="S1489" s="293">
        <f t="shared" si="91"/>
        <v>0</v>
      </c>
      <c r="U1489" s="385"/>
      <c r="V1489" s="385"/>
      <c r="W1489" s="385"/>
      <c r="X1489" s="385"/>
    </row>
    <row r="1490" spans="3:24" s="277" customFormat="1" x14ac:dyDescent="0.3">
      <c r="D1490" s="356" t="s">
        <v>982</v>
      </c>
      <c r="E1490" s="356"/>
      <c r="F1490" s="356"/>
      <c r="G1490" s="356"/>
      <c r="I1490" s="48">
        <v>0</v>
      </c>
      <c r="K1490" s="48">
        <v>0</v>
      </c>
      <c r="M1490" s="279">
        <f t="shared" si="88"/>
        <v>0</v>
      </c>
      <c r="O1490" s="279">
        <f t="shared" si="89"/>
        <v>0</v>
      </c>
      <c r="Q1490" s="295">
        <f t="shared" si="90"/>
        <v>0</v>
      </c>
      <c r="S1490" s="293">
        <f t="shared" si="91"/>
        <v>0</v>
      </c>
      <c r="U1490" s="385"/>
      <c r="V1490" s="385"/>
      <c r="W1490" s="385"/>
      <c r="X1490" s="385"/>
    </row>
    <row r="1491" spans="3:24" s="277" customFormat="1" x14ac:dyDescent="0.3">
      <c r="D1491" s="356" t="s">
        <v>983</v>
      </c>
      <c r="E1491" s="356"/>
      <c r="F1491" s="356"/>
      <c r="G1491" s="356"/>
      <c r="I1491" s="48">
        <v>0</v>
      </c>
      <c r="K1491" s="48">
        <v>0</v>
      </c>
      <c r="M1491" s="279">
        <f t="shared" si="88"/>
        <v>0</v>
      </c>
      <c r="O1491" s="279">
        <f t="shared" si="89"/>
        <v>0</v>
      </c>
      <c r="Q1491" s="295">
        <f t="shared" si="90"/>
        <v>0</v>
      </c>
      <c r="S1491" s="293">
        <f t="shared" si="91"/>
        <v>0</v>
      </c>
      <c r="U1491" s="385"/>
      <c r="V1491" s="385"/>
      <c r="W1491" s="385"/>
      <c r="X1491" s="385"/>
    </row>
    <row r="1492" spans="3:24" s="277" customFormat="1" x14ac:dyDescent="0.3">
      <c r="D1492" s="356" t="s">
        <v>984</v>
      </c>
      <c r="E1492" s="356"/>
      <c r="F1492" s="356"/>
      <c r="G1492" s="356"/>
      <c r="I1492" s="48">
        <v>0</v>
      </c>
      <c r="K1492" s="48">
        <v>0</v>
      </c>
      <c r="M1492" s="279">
        <f t="shared" si="88"/>
        <v>0</v>
      </c>
      <c r="O1492" s="279">
        <f t="shared" si="89"/>
        <v>0</v>
      </c>
      <c r="Q1492" s="295">
        <f t="shared" si="90"/>
        <v>0</v>
      </c>
      <c r="S1492" s="293">
        <f t="shared" si="91"/>
        <v>0</v>
      </c>
      <c r="U1492" s="385"/>
      <c r="V1492" s="385"/>
      <c r="W1492" s="385"/>
      <c r="X1492" s="385"/>
    </row>
    <row r="1493" spans="3:24" s="277" customFormat="1" x14ac:dyDescent="0.3">
      <c r="D1493" s="356" t="s">
        <v>985</v>
      </c>
      <c r="E1493" s="356"/>
      <c r="F1493" s="356"/>
      <c r="G1493" s="356"/>
      <c r="I1493" s="48">
        <v>0</v>
      </c>
      <c r="K1493" s="48">
        <v>0</v>
      </c>
      <c r="M1493" s="279">
        <f t="shared" si="88"/>
        <v>0</v>
      </c>
      <c r="O1493" s="279">
        <f t="shared" si="89"/>
        <v>0</v>
      </c>
      <c r="Q1493" s="295">
        <f t="shared" si="90"/>
        <v>0</v>
      </c>
      <c r="S1493" s="293">
        <f t="shared" si="91"/>
        <v>0</v>
      </c>
      <c r="U1493" s="385"/>
      <c r="V1493" s="385"/>
      <c r="W1493" s="385"/>
      <c r="X1493" s="385"/>
    </row>
    <row r="1494" spans="3:24" ht="14.4" hidden="1" x14ac:dyDescent="0.3">
      <c r="D1494" s="420" t="s">
        <v>85</v>
      </c>
      <c r="E1494" s="427"/>
      <c r="F1494" s="427"/>
      <c r="G1494" s="427"/>
      <c r="I1494" s="43"/>
      <c r="K1494" s="43"/>
      <c r="M1494" s="43"/>
      <c r="O1494" s="43"/>
      <c r="Q1494" s="296">
        <f>SUM(Q1469:Q1493)</f>
        <v>0</v>
      </c>
      <c r="S1494" s="294">
        <f>SUM(S1469:S1493)</f>
        <v>0</v>
      </c>
      <c r="U1494" s="43"/>
      <c r="V1494" s="43"/>
      <c r="W1494" s="43"/>
      <c r="X1494" s="43"/>
    </row>
    <row r="1495" spans="3:24" hidden="1" x14ac:dyDescent="0.3"/>
    <row r="1496" spans="3:24" ht="27.6" hidden="1" x14ac:dyDescent="0.3">
      <c r="C1496" s="92" t="s">
        <v>130</v>
      </c>
      <c r="Q1496" s="44" t="str">
        <f>"FINANCIAL COST ("&amp;INDEX(LU_ACT_25_Meet_Curr,DD_ACT_25_Meet1_Curr)&amp;")"</f>
        <v>FINANCIAL COST (USD)</v>
      </c>
      <c r="S1496" s="44" t="str">
        <f>"ECONOMIC COST ("&amp;INDEX(LU_ACT_25_Meet_Curr,DD_ACT_25_Meet1_Curr)&amp;")"</f>
        <v>ECONOMIC COST (USD)</v>
      </c>
    </row>
    <row r="1497" spans="3:24" ht="14.4" x14ac:dyDescent="0.3">
      <c r="D1497" s="90" t="s">
        <v>86</v>
      </c>
      <c r="I1497" s="91" t="s">
        <v>186</v>
      </c>
      <c r="M1497" s="91" t="s">
        <v>81</v>
      </c>
      <c r="O1497" s="91" t="s">
        <v>83</v>
      </c>
      <c r="U1497" s="350" t="s">
        <v>185</v>
      </c>
      <c r="V1497" s="426"/>
      <c r="W1497" s="426"/>
      <c r="X1497" s="426"/>
    </row>
    <row r="1498" spans="3:24" x14ac:dyDescent="0.3">
      <c r="D1498" s="356" t="s">
        <v>70</v>
      </c>
      <c r="E1498" s="356"/>
      <c r="F1498" s="356"/>
      <c r="G1498" s="356"/>
      <c r="I1498" s="48">
        <v>0</v>
      </c>
      <c r="M1498" s="40">
        <f t="shared" ref="M1498:M1522" si="92">IFERROR(IF(DD_ACT_25_Meet1_Curr=1,INDEX($M$1678:$M$1712,MATCH(D1498,LU_ACT_25_Equipment,0)),INDEX($Q$1678:$Q$1712,MATCH(D1498,LU_ACT_25_Equipment,0))),0)</f>
        <v>0</v>
      </c>
      <c r="O1498" s="40">
        <f t="shared" ref="O1498:O1522" si="93">IFERROR(IF(DD_ACT_25_Meet1_Curr=1,INDEX($O$1678:$O$1712,MATCH(D1498,LU_ACT_25_Equipment,0)),INDEX($S$1678:$S$1712,MATCH(D1498,LU_ACT_25_Equipment,0))),0)</f>
        <v>0</v>
      </c>
      <c r="Q1498" s="279">
        <f t="shared" ref="Q1498:Q1522" si="94">I1498*M1498</f>
        <v>0</v>
      </c>
      <c r="S1498" s="279">
        <f t="shared" ref="S1498:S1522" si="95">I1498*O1498</f>
        <v>0</v>
      </c>
      <c r="U1498" s="356"/>
      <c r="V1498" s="356"/>
      <c r="W1498" s="356"/>
      <c r="X1498" s="356"/>
    </row>
    <row r="1499" spans="3:24" x14ac:dyDescent="0.3">
      <c r="D1499" s="356" t="s">
        <v>122</v>
      </c>
      <c r="E1499" s="356"/>
      <c r="F1499" s="356"/>
      <c r="G1499" s="356"/>
      <c r="I1499" s="48">
        <v>0</v>
      </c>
      <c r="M1499" s="40">
        <f t="shared" si="92"/>
        <v>0</v>
      </c>
      <c r="O1499" s="40">
        <f t="shared" si="93"/>
        <v>0</v>
      </c>
      <c r="Q1499" s="279">
        <f t="shared" si="94"/>
        <v>0</v>
      </c>
      <c r="S1499" s="279">
        <f t="shared" si="95"/>
        <v>0</v>
      </c>
      <c r="U1499" s="356"/>
      <c r="V1499" s="356"/>
      <c r="W1499" s="356"/>
      <c r="X1499" s="356"/>
    </row>
    <row r="1500" spans="3:24" s="277" customFormat="1" x14ac:dyDescent="0.3">
      <c r="D1500" s="356" t="s">
        <v>872</v>
      </c>
      <c r="E1500" s="356"/>
      <c r="F1500" s="356"/>
      <c r="G1500" s="356"/>
      <c r="I1500" s="48">
        <v>0</v>
      </c>
      <c r="M1500" s="279">
        <f t="shared" si="92"/>
        <v>0</v>
      </c>
      <c r="O1500" s="279">
        <f t="shared" si="93"/>
        <v>0</v>
      </c>
      <c r="Q1500" s="279">
        <f t="shared" si="94"/>
        <v>0</v>
      </c>
      <c r="S1500" s="279">
        <f t="shared" si="95"/>
        <v>0</v>
      </c>
      <c r="U1500" s="385"/>
      <c r="V1500" s="385"/>
      <c r="W1500" s="385"/>
      <c r="X1500" s="385"/>
    </row>
    <row r="1501" spans="3:24" s="277" customFormat="1" x14ac:dyDescent="0.3">
      <c r="D1501" s="356" t="s">
        <v>873</v>
      </c>
      <c r="E1501" s="356"/>
      <c r="F1501" s="356"/>
      <c r="G1501" s="356"/>
      <c r="I1501" s="48">
        <v>0</v>
      </c>
      <c r="M1501" s="279">
        <f t="shared" si="92"/>
        <v>0</v>
      </c>
      <c r="O1501" s="279">
        <f t="shared" si="93"/>
        <v>0</v>
      </c>
      <c r="Q1501" s="279">
        <f t="shared" si="94"/>
        <v>0</v>
      </c>
      <c r="S1501" s="279">
        <f t="shared" si="95"/>
        <v>0</v>
      </c>
      <c r="U1501" s="385"/>
      <c r="V1501" s="385"/>
      <c r="W1501" s="385"/>
      <c r="X1501" s="385"/>
    </row>
    <row r="1502" spans="3:24" s="277" customFormat="1" x14ac:dyDescent="0.3">
      <c r="D1502" s="356" t="s">
        <v>874</v>
      </c>
      <c r="E1502" s="356"/>
      <c r="F1502" s="356"/>
      <c r="G1502" s="356"/>
      <c r="I1502" s="48">
        <v>0</v>
      </c>
      <c r="M1502" s="279">
        <f t="shared" si="92"/>
        <v>0</v>
      </c>
      <c r="O1502" s="279">
        <f t="shared" si="93"/>
        <v>0</v>
      </c>
      <c r="Q1502" s="279">
        <f t="shared" si="94"/>
        <v>0</v>
      </c>
      <c r="S1502" s="279">
        <f t="shared" si="95"/>
        <v>0</v>
      </c>
      <c r="U1502" s="385"/>
      <c r="V1502" s="385"/>
      <c r="W1502" s="385"/>
      <c r="X1502" s="385"/>
    </row>
    <row r="1503" spans="3:24" s="277" customFormat="1" x14ac:dyDescent="0.3">
      <c r="D1503" s="356" t="s">
        <v>875</v>
      </c>
      <c r="E1503" s="356"/>
      <c r="F1503" s="356"/>
      <c r="G1503" s="356"/>
      <c r="I1503" s="48">
        <v>0</v>
      </c>
      <c r="M1503" s="279">
        <f t="shared" si="92"/>
        <v>0</v>
      </c>
      <c r="O1503" s="279">
        <f t="shared" si="93"/>
        <v>0</v>
      </c>
      <c r="Q1503" s="279">
        <f t="shared" si="94"/>
        <v>0</v>
      </c>
      <c r="S1503" s="279">
        <f t="shared" si="95"/>
        <v>0</v>
      </c>
      <c r="U1503" s="385"/>
      <c r="V1503" s="385"/>
      <c r="W1503" s="385"/>
      <c r="X1503" s="385"/>
    </row>
    <row r="1504" spans="3:24" s="277" customFormat="1" x14ac:dyDescent="0.3">
      <c r="D1504" s="356" t="s">
        <v>778</v>
      </c>
      <c r="E1504" s="356"/>
      <c r="F1504" s="356"/>
      <c r="G1504" s="356"/>
      <c r="I1504" s="48">
        <v>0</v>
      </c>
      <c r="M1504" s="279">
        <f t="shared" si="92"/>
        <v>0</v>
      </c>
      <c r="O1504" s="279">
        <f t="shared" si="93"/>
        <v>0</v>
      </c>
      <c r="Q1504" s="279">
        <f t="shared" si="94"/>
        <v>0</v>
      </c>
      <c r="S1504" s="279">
        <f t="shared" si="95"/>
        <v>0</v>
      </c>
      <c r="U1504" s="385"/>
      <c r="V1504" s="385"/>
      <c r="W1504" s="385"/>
      <c r="X1504" s="385"/>
    </row>
    <row r="1505" spans="4:24" s="277" customFormat="1" x14ac:dyDescent="0.3">
      <c r="D1505" s="356" t="s">
        <v>779</v>
      </c>
      <c r="E1505" s="356"/>
      <c r="F1505" s="356"/>
      <c r="G1505" s="356"/>
      <c r="I1505" s="48">
        <v>0</v>
      </c>
      <c r="M1505" s="279">
        <f t="shared" si="92"/>
        <v>0</v>
      </c>
      <c r="O1505" s="279">
        <f t="shared" si="93"/>
        <v>0</v>
      </c>
      <c r="Q1505" s="279">
        <f t="shared" si="94"/>
        <v>0</v>
      </c>
      <c r="S1505" s="279">
        <f t="shared" si="95"/>
        <v>0</v>
      </c>
      <c r="U1505" s="385"/>
      <c r="V1505" s="385"/>
      <c r="W1505" s="385"/>
      <c r="X1505" s="385"/>
    </row>
    <row r="1506" spans="4:24" s="277" customFormat="1" x14ac:dyDescent="0.3">
      <c r="D1506" s="356" t="s">
        <v>780</v>
      </c>
      <c r="E1506" s="356"/>
      <c r="F1506" s="356"/>
      <c r="G1506" s="356"/>
      <c r="I1506" s="48">
        <v>0</v>
      </c>
      <c r="M1506" s="279">
        <f t="shared" si="92"/>
        <v>0</v>
      </c>
      <c r="O1506" s="279">
        <f t="shared" si="93"/>
        <v>0</v>
      </c>
      <c r="Q1506" s="279">
        <f t="shared" si="94"/>
        <v>0</v>
      </c>
      <c r="S1506" s="279">
        <f t="shared" si="95"/>
        <v>0</v>
      </c>
      <c r="U1506" s="385"/>
      <c r="V1506" s="385"/>
      <c r="W1506" s="385"/>
      <c r="X1506" s="385"/>
    </row>
    <row r="1507" spans="4:24" s="277" customFormat="1" x14ac:dyDescent="0.3">
      <c r="D1507" s="356" t="s">
        <v>781</v>
      </c>
      <c r="E1507" s="356"/>
      <c r="F1507" s="356"/>
      <c r="G1507" s="356"/>
      <c r="I1507" s="48">
        <v>0</v>
      </c>
      <c r="M1507" s="279">
        <f t="shared" si="92"/>
        <v>0</v>
      </c>
      <c r="O1507" s="279">
        <f t="shared" si="93"/>
        <v>0</v>
      </c>
      <c r="Q1507" s="279">
        <f t="shared" si="94"/>
        <v>0</v>
      </c>
      <c r="S1507" s="279">
        <f t="shared" si="95"/>
        <v>0</v>
      </c>
      <c r="U1507" s="385"/>
      <c r="V1507" s="385"/>
      <c r="W1507" s="385"/>
      <c r="X1507" s="385"/>
    </row>
    <row r="1508" spans="4:24" s="277" customFormat="1" x14ac:dyDescent="0.3">
      <c r="D1508" s="356" t="s">
        <v>782</v>
      </c>
      <c r="E1508" s="356"/>
      <c r="F1508" s="356"/>
      <c r="G1508" s="356"/>
      <c r="I1508" s="48">
        <v>0</v>
      </c>
      <c r="M1508" s="279">
        <f t="shared" si="92"/>
        <v>0</v>
      </c>
      <c r="O1508" s="279">
        <f t="shared" si="93"/>
        <v>0</v>
      </c>
      <c r="Q1508" s="279">
        <f t="shared" si="94"/>
        <v>0</v>
      </c>
      <c r="S1508" s="279">
        <f t="shared" si="95"/>
        <v>0</v>
      </c>
      <c r="U1508" s="385"/>
      <c r="V1508" s="385"/>
      <c r="W1508" s="385"/>
      <c r="X1508" s="385"/>
    </row>
    <row r="1509" spans="4:24" s="277" customFormat="1" x14ac:dyDescent="0.3">
      <c r="D1509" s="356" t="s">
        <v>783</v>
      </c>
      <c r="E1509" s="356"/>
      <c r="F1509" s="356"/>
      <c r="G1509" s="356"/>
      <c r="I1509" s="48">
        <v>0</v>
      </c>
      <c r="M1509" s="279">
        <f t="shared" si="92"/>
        <v>0</v>
      </c>
      <c r="O1509" s="279">
        <f t="shared" si="93"/>
        <v>0</v>
      </c>
      <c r="Q1509" s="279">
        <f t="shared" si="94"/>
        <v>0</v>
      </c>
      <c r="S1509" s="279">
        <f t="shared" si="95"/>
        <v>0</v>
      </c>
      <c r="U1509" s="385"/>
      <c r="V1509" s="385"/>
      <c r="W1509" s="385"/>
      <c r="X1509" s="385"/>
    </row>
    <row r="1510" spans="4:24" s="277" customFormat="1" x14ac:dyDescent="0.3">
      <c r="D1510" s="356" t="s">
        <v>784</v>
      </c>
      <c r="E1510" s="356"/>
      <c r="F1510" s="356"/>
      <c r="G1510" s="356"/>
      <c r="I1510" s="48">
        <v>0</v>
      </c>
      <c r="M1510" s="279">
        <f t="shared" si="92"/>
        <v>0</v>
      </c>
      <c r="O1510" s="279">
        <f t="shared" si="93"/>
        <v>0</v>
      </c>
      <c r="Q1510" s="279">
        <f t="shared" si="94"/>
        <v>0</v>
      </c>
      <c r="S1510" s="279">
        <f t="shared" si="95"/>
        <v>0</v>
      </c>
      <c r="U1510" s="385"/>
      <c r="V1510" s="385"/>
      <c r="W1510" s="385"/>
      <c r="X1510" s="385"/>
    </row>
    <row r="1511" spans="4:24" s="277" customFormat="1" x14ac:dyDescent="0.3">
      <c r="D1511" s="356" t="s">
        <v>785</v>
      </c>
      <c r="E1511" s="356"/>
      <c r="F1511" s="356"/>
      <c r="G1511" s="356"/>
      <c r="I1511" s="48">
        <v>0</v>
      </c>
      <c r="M1511" s="279">
        <f t="shared" si="92"/>
        <v>0</v>
      </c>
      <c r="O1511" s="279">
        <f t="shared" si="93"/>
        <v>0</v>
      </c>
      <c r="Q1511" s="279">
        <f t="shared" si="94"/>
        <v>0</v>
      </c>
      <c r="S1511" s="279">
        <f t="shared" si="95"/>
        <v>0</v>
      </c>
      <c r="U1511" s="385"/>
      <c r="V1511" s="385"/>
      <c r="W1511" s="385"/>
      <c r="X1511" s="385"/>
    </row>
    <row r="1512" spans="4:24" s="277" customFormat="1" x14ac:dyDescent="0.3">
      <c r="D1512" s="356" t="s">
        <v>786</v>
      </c>
      <c r="E1512" s="356"/>
      <c r="F1512" s="356"/>
      <c r="G1512" s="356"/>
      <c r="I1512" s="48">
        <v>0</v>
      </c>
      <c r="M1512" s="279">
        <f t="shared" si="92"/>
        <v>0</v>
      </c>
      <c r="O1512" s="279">
        <f t="shared" si="93"/>
        <v>0</v>
      </c>
      <c r="Q1512" s="279">
        <f t="shared" si="94"/>
        <v>0</v>
      </c>
      <c r="S1512" s="279">
        <f t="shared" si="95"/>
        <v>0</v>
      </c>
      <c r="U1512" s="385"/>
      <c r="V1512" s="385"/>
      <c r="W1512" s="385"/>
      <c r="X1512" s="385"/>
    </row>
    <row r="1513" spans="4:24" s="277" customFormat="1" x14ac:dyDescent="0.3">
      <c r="D1513" s="356" t="s">
        <v>787</v>
      </c>
      <c r="E1513" s="356"/>
      <c r="F1513" s="356"/>
      <c r="G1513" s="356"/>
      <c r="I1513" s="48">
        <v>0</v>
      </c>
      <c r="M1513" s="279">
        <f t="shared" si="92"/>
        <v>0</v>
      </c>
      <c r="O1513" s="279">
        <f t="shared" si="93"/>
        <v>0</v>
      </c>
      <c r="Q1513" s="279">
        <f t="shared" si="94"/>
        <v>0</v>
      </c>
      <c r="S1513" s="279">
        <f t="shared" si="95"/>
        <v>0</v>
      </c>
      <c r="U1513" s="385"/>
      <c r="V1513" s="385"/>
      <c r="W1513" s="385"/>
      <c r="X1513" s="385"/>
    </row>
    <row r="1514" spans="4:24" s="277" customFormat="1" x14ac:dyDescent="0.3">
      <c r="D1514" s="356" t="s">
        <v>788</v>
      </c>
      <c r="E1514" s="356"/>
      <c r="F1514" s="356"/>
      <c r="G1514" s="356"/>
      <c r="I1514" s="48">
        <v>0</v>
      </c>
      <c r="M1514" s="279">
        <f t="shared" si="92"/>
        <v>0</v>
      </c>
      <c r="O1514" s="279">
        <f t="shared" si="93"/>
        <v>0</v>
      </c>
      <c r="Q1514" s="279">
        <f t="shared" si="94"/>
        <v>0</v>
      </c>
      <c r="S1514" s="279">
        <f t="shared" si="95"/>
        <v>0</v>
      </c>
      <c r="U1514" s="385"/>
      <c r="V1514" s="385"/>
      <c r="W1514" s="385"/>
      <c r="X1514" s="385"/>
    </row>
    <row r="1515" spans="4:24" s="277" customFormat="1" x14ac:dyDescent="0.3">
      <c r="D1515" s="356" t="s">
        <v>789</v>
      </c>
      <c r="E1515" s="356"/>
      <c r="F1515" s="356"/>
      <c r="G1515" s="356"/>
      <c r="I1515" s="48">
        <v>0</v>
      </c>
      <c r="M1515" s="279">
        <f t="shared" si="92"/>
        <v>0</v>
      </c>
      <c r="O1515" s="279">
        <f t="shared" si="93"/>
        <v>0</v>
      </c>
      <c r="Q1515" s="279">
        <f t="shared" si="94"/>
        <v>0</v>
      </c>
      <c r="S1515" s="279">
        <f t="shared" si="95"/>
        <v>0</v>
      </c>
      <c r="U1515" s="385"/>
      <c r="V1515" s="385"/>
      <c r="W1515" s="385"/>
      <c r="X1515" s="385"/>
    </row>
    <row r="1516" spans="4:24" s="277" customFormat="1" x14ac:dyDescent="0.3">
      <c r="D1516" s="356" t="s">
        <v>790</v>
      </c>
      <c r="E1516" s="356"/>
      <c r="F1516" s="356"/>
      <c r="G1516" s="356"/>
      <c r="I1516" s="48">
        <v>0</v>
      </c>
      <c r="M1516" s="279">
        <f t="shared" si="92"/>
        <v>0</v>
      </c>
      <c r="O1516" s="279">
        <f t="shared" si="93"/>
        <v>0</v>
      </c>
      <c r="Q1516" s="279">
        <f t="shared" si="94"/>
        <v>0</v>
      </c>
      <c r="S1516" s="279">
        <f t="shared" si="95"/>
        <v>0</v>
      </c>
      <c r="U1516" s="385"/>
      <c r="V1516" s="385"/>
      <c r="W1516" s="385"/>
      <c r="X1516" s="385"/>
    </row>
    <row r="1517" spans="4:24" s="277" customFormat="1" x14ac:dyDescent="0.3">
      <c r="D1517" s="356" t="s">
        <v>791</v>
      </c>
      <c r="E1517" s="356"/>
      <c r="F1517" s="356"/>
      <c r="G1517" s="356"/>
      <c r="I1517" s="48">
        <v>0</v>
      </c>
      <c r="M1517" s="279">
        <f t="shared" si="92"/>
        <v>0</v>
      </c>
      <c r="O1517" s="279">
        <f t="shared" si="93"/>
        <v>0</v>
      </c>
      <c r="Q1517" s="279">
        <f t="shared" si="94"/>
        <v>0</v>
      </c>
      <c r="S1517" s="279">
        <f t="shared" si="95"/>
        <v>0</v>
      </c>
      <c r="U1517" s="385"/>
      <c r="V1517" s="385"/>
      <c r="W1517" s="385"/>
      <c r="X1517" s="385"/>
    </row>
    <row r="1518" spans="4:24" s="277" customFormat="1" x14ac:dyDescent="0.3">
      <c r="D1518" s="356" t="s">
        <v>792</v>
      </c>
      <c r="E1518" s="356"/>
      <c r="F1518" s="356"/>
      <c r="G1518" s="356"/>
      <c r="I1518" s="48">
        <v>0</v>
      </c>
      <c r="M1518" s="279">
        <f t="shared" si="92"/>
        <v>0</v>
      </c>
      <c r="O1518" s="279">
        <f t="shared" si="93"/>
        <v>0</v>
      </c>
      <c r="Q1518" s="279">
        <f t="shared" si="94"/>
        <v>0</v>
      </c>
      <c r="S1518" s="279">
        <f t="shared" si="95"/>
        <v>0</v>
      </c>
      <c r="U1518" s="385"/>
      <c r="V1518" s="385"/>
      <c r="W1518" s="385"/>
      <c r="X1518" s="385"/>
    </row>
    <row r="1519" spans="4:24" s="277" customFormat="1" x14ac:dyDescent="0.3">
      <c r="D1519" s="356" t="s">
        <v>793</v>
      </c>
      <c r="E1519" s="356"/>
      <c r="F1519" s="356"/>
      <c r="G1519" s="356"/>
      <c r="I1519" s="48">
        <v>0</v>
      </c>
      <c r="M1519" s="279">
        <f t="shared" si="92"/>
        <v>0</v>
      </c>
      <c r="O1519" s="279">
        <f t="shared" si="93"/>
        <v>0</v>
      </c>
      <c r="Q1519" s="279">
        <f t="shared" si="94"/>
        <v>0</v>
      </c>
      <c r="S1519" s="279">
        <f t="shared" si="95"/>
        <v>0</v>
      </c>
      <c r="U1519" s="385"/>
      <c r="V1519" s="385"/>
      <c r="W1519" s="385"/>
      <c r="X1519" s="385"/>
    </row>
    <row r="1520" spans="4:24" s="277" customFormat="1" x14ac:dyDescent="0.3">
      <c r="D1520" s="356" t="s">
        <v>794</v>
      </c>
      <c r="E1520" s="356"/>
      <c r="F1520" s="356"/>
      <c r="G1520" s="356"/>
      <c r="I1520" s="48">
        <v>0</v>
      </c>
      <c r="M1520" s="279">
        <f t="shared" si="92"/>
        <v>0</v>
      </c>
      <c r="O1520" s="279">
        <f t="shared" si="93"/>
        <v>0</v>
      </c>
      <c r="Q1520" s="279">
        <f t="shared" si="94"/>
        <v>0</v>
      </c>
      <c r="S1520" s="279">
        <f t="shared" si="95"/>
        <v>0</v>
      </c>
      <c r="U1520" s="385"/>
      <c r="V1520" s="385"/>
      <c r="W1520" s="385"/>
      <c r="X1520" s="385"/>
    </row>
    <row r="1521" spans="3:24" s="277" customFormat="1" x14ac:dyDescent="0.3">
      <c r="D1521" s="356" t="s">
        <v>795</v>
      </c>
      <c r="E1521" s="356"/>
      <c r="F1521" s="356"/>
      <c r="G1521" s="356"/>
      <c r="I1521" s="48">
        <v>0</v>
      </c>
      <c r="M1521" s="279">
        <f t="shared" si="92"/>
        <v>0</v>
      </c>
      <c r="O1521" s="279">
        <f t="shared" si="93"/>
        <v>0</v>
      </c>
      <c r="Q1521" s="279">
        <f t="shared" si="94"/>
        <v>0</v>
      </c>
      <c r="S1521" s="279">
        <f t="shared" si="95"/>
        <v>0</v>
      </c>
      <c r="U1521" s="385"/>
      <c r="V1521" s="385"/>
      <c r="W1521" s="385"/>
      <c r="X1521" s="385"/>
    </row>
    <row r="1522" spans="3:24" s="277" customFormat="1" x14ac:dyDescent="0.3">
      <c r="D1522" s="356" t="s">
        <v>796</v>
      </c>
      <c r="E1522" s="356"/>
      <c r="F1522" s="356"/>
      <c r="G1522" s="356"/>
      <c r="I1522" s="48">
        <v>0</v>
      </c>
      <c r="M1522" s="279">
        <f t="shared" si="92"/>
        <v>0</v>
      </c>
      <c r="O1522" s="279">
        <f t="shared" si="93"/>
        <v>0</v>
      </c>
      <c r="Q1522" s="279">
        <f t="shared" si="94"/>
        <v>0</v>
      </c>
      <c r="S1522" s="279">
        <f t="shared" si="95"/>
        <v>0</v>
      </c>
      <c r="U1522" s="385"/>
      <c r="V1522" s="385"/>
      <c r="W1522" s="385"/>
      <c r="X1522" s="385"/>
    </row>
    <row r="1523" spans="3:24" ht="14.4" hidden="1" x14ac:dyDescent="0.3">
      <c r="D1523" s="420" t="s">
        <v>88</v>
      </c>
      <c r="E1523" s="427"/>
      <c r="F1523" s="427"/>
      <c r="G1523" s="427"/>
      <c r="I1523" s="40"/>
      <c r="M1523" s="40"/>
      <c r="O1523" s="40"/>
      <c r="Q1523" s="294">
        <f>SUM(Q1498:Q1522)</f>
        <v>0</v>
      </c>
      <c r="S1523" s="294">
        <f>SUM(S1498:S1522)</f>
        <v>0</v>
      </c>
    </row>
    <row r="1524" spans="3:24" hidden="1" x14ac:dyDescent="0.3"/>
    <row r="1525" spans="3:24" ht="15.6" hidden="1" x14ac:dyDescent="0.3">
      <c r="C1525" s="92" t="s">
        <v>89</v>
      </c>
    </row>
    <row r="1526" spans="3:24" ht="27.6" x14ac:dyDescent="0.3">
      <c r="Q1526" s="44" t="str">
        <f>"FINANCIAL COST ("&amp;INDEX(LU_ACT_25_Meet_Curr,DD_ACT_25_Meet1_Curr)&amp;")"</f>
        <v>FINANCIAL COST (USD)</v>
      </c>
      <c r="S1526" s="44" t="str">
        <f>"ECONOMIC COST ("&amp;INDEX(LU_ACT_25_Meet_Curr,DD_ACT_25_Meet1_Curr)&amp;")"</f>
        <v>ECONOMIC COST (USD)</v>
      </c>
    </row>
    <row r="1527" spans="3:24" ht="27.6" x14ac:dyDescent="0.3">
      <c r="D1527" s="90" t="s">
        <v>86</v>
      </c>
      <c r="I1527" s="91" t="s">
        <v>186</v>
      </c>
      <c r="K1527" s="91" t="s">
        <v>187</v>
      </c>
      <c r="M1527" s="42" t="s">
        <v>81</v>
      </c>
      <c r="O1527" s="42" t="s">
        <v>83</v>
      </c>
      <c r="U1527" s="350" t="s">
        <v>185</v>
      </c>
      <c r="V1527" s="426"/>
      <c r="W1527" s="426"/>
      <c r="X1527" s="426"/>
    </row>
    <row r="1528" spans="3:24" x14ac:dyDescent="0.3">
      <c r="D1528" s="356" t="s">
        <v>71</v>
      </c>
      <c r="E1528" s="356"/>
      <c r="F1528" s="356"/>
      <c r="G1528" s="356"/>
      <c r="I1528" s="48">
        <v>0</v>
      </c>
      <c r="K1528" s="48">
        <v>0</v>
      </c>
      <c r="M1528" s="40">
        <f t="shared" ref="M1528:M1552" si="96">IFERROR(IF(DD_ACT_25_Meet1_Curr=1,INDEX($M$1716:$M$1750,MATCH(D1528,LU_ACT_25_ODCS,0)),INDEX($Q$1716:$Q$1750,MATCH(D1528,LU_ACT_25_ODCS,0))),0)</f>
        <v>0</v>
      </c>
      <c r="O1528" s="40">
        <f t="shared" ref="O1528:O1552" si="97">IFERROR(IF(DD_ACT_25_Meet1_Curr=1,INDEX($O$1716:$O$1750,MATCH(D1528,LU_ACT_25_ODCS,0)),INDEX($S$1716:$S$1750,MATCH(D1528,LU_ACT_25_ODCS,0))),0)</f>
        <v>0</v>
      </c>
      <c r="Q1528" s="279">
        <f t="shared" ref="Q1528:Q1552" si="98">I1528*K1528*M1528</f>
        <v>0</v>
      </c>
      <c r="S1528" s="279">
        <f t="shared" ref="S1528:S1552" si="99">I1528*K1528*O1528</f>
        <v>0</v>
      </c>
      <c r="U1528" s="356"/>
      <c r="V1528" s="356"/>
      <c r="W1528" s="356"/>
      <c r="X1528" s="356"/>
    </row>
    <row r="1529" spans="3:24" x14ac:dyDescent="0.3">
      <c r="D1529" s="356" t="s">
        <v>72</v>
      </c>
      <c r="E1529" s="356"/>
      <c r="F1529" s="356"/>
      <c r="G1529" s="356"/>
      <c r="I1529" s="48">
        <v>0</v>
      </c>
      <c r="K1529" s="48">
        <v>0</v>
      </c>
      <c r="M1529" s="40">
        <f t="shared" si="96"/>
        <v>0</v>
      </c>
      <c r="O1529" s="40">
        <f t="shared" si="97"/>
        <v>0</v>
      </c>
      <c r="Q1529" s="279">
        <f t="shared" si="98"/>
        <v>0</v>
      </c>
      <c r="S1529" s="279">
        <f t="shared" si="99"/>
        <v>0</v>
      </c>
      <c r="U1529" s="356"/>
      <c r="V1529" s="356"/>
      <c r="W1529" s="356"/>
      <c r="X1529" s="356"/>
    </row>
    <row r="1530" spans="3:24" x14ac:dyDescent="0.3">
      <c r="D1530" s="356" t="s">
        <v>73</v>
      </c>
      <c r="E1530" s="356"/>
      <c r="F1530" s="356"/>
      <c r="G1530" s="356"/>
      <c r="I1530" s="48">
        <v>0</v>
      </c>
      <c r="K1530" s="48">
        <v>0</v>
      </c>
      <c r="M1530" s="40">
        <f t="shared" si="96"/>
        <v>0</v>
      </c>
      <c r="O1530" s="40">
        <f t="shared" si="97"/>
        <v>0</v>
      </c>
      <c r="Q1530" s="279">
        <f t="shared" si="98"/>
        <v>0</v>
      </c>
      <c r="S1530" s="279">
        <f t="shared" si="99"/>
        <v>0</v>
      </c>
      <c r="U1530" s="356"/>
      <c r="V1530" s="356"/>
      <c r="W1530" s="356"/>
      <c r="X1530" s="356"/>
    </row>
    <row r="1531" spans="3:24" x14ac:dyDescent="0.3">
      <c r="D1531" s="356" t="s">
        <v>74</v>
      </c>
      <c r="E1531" s="356"/>
      <c r="F1531" s="356"/>
      <c r="G1531" s="356"/>
      <c r="I1531" s="48">
        <v>0</v>
      </c>
      <c r="K1531" s="48">
        <v>0</v>
      </c>
      <c r="M1531" s="40">
        <f t="shared" si="96"/>
        <v>0</v>
      </c>
      <c r="O1531" s="40">
        <f t="shared" si="97"/>
        <v>0</v>
      </c>
      <c r="Q1531" s="279">
        <f t="shared" si="98"/>
        <v>0</v>
      </c>
      <c r="S1531" s="279">
        <f t="shared" si="99"/>
        <v>0</v>
      </c>
      <c r="U1531" s="356"/>
      <c r="V1531" s="356"/>
      <c r="W1531" s="356"/>
      <c r="X1531" s="356"/>
    </row>
    <row r="1532" spans="3:24" x14ac:dyDescent="0.3">
      <c r="D1532" s="356" t="s">
        <v>75</v>
      </c>
      <c r="E1532" s="356"/>
      <c r="F1532" s="356"/>
      <c r="G1532" s="356"/>
      <c r="I1532" s="48">
        <v>0</v>
      </c>
      <c r="K1532" s="48">
        <v>0</v>
      </c>
      <c r="M1532" s="40">
        <f t="shared" si="96"/>
        <v>0</v>
      </c>
      <c r="O1532" s="40">
        <f t="shared" si="97"/>
        <v>0</v>
      </c>
      <c r="Q1532" s="279">
        <f t="shared" si="98"/>
        <v>0</v>
      </c>
      <c r="S1532" s="279">
        <f t="shared" si="99"/>
        <v>0</v>
      </c>
      <c r="U1532" s="356"/>
      <c r="V1532" s="356"/>
      <c r="W1532" s="356"/>
      <c r="X1532" s="356"/>
    </row>
    <row r="1533" spans="3:24" s="277" customFormat="1" x14ac:dyDescent="0.3">
      <c r="D1533" s="356" t="s">
        <v>876</v>
      </c>
      <c r="E1533" s="356"/>
      <c r="F1533" s="356"/>
      <c r="G1533" s="356"/>
      <c r="I1533" s="48">
        <v>0</v>
      </c>
      <c r="K1533" s="48">
        <v>0</v>
      </c>
      <c r="M1533" s="279">
        <f t="shared" si="96"/>
        <v>0</v>
      </c>
      <c r="O1533" s="279">
        <f t="shared" si="97"/>
        <v>0</v>
      </c>
      <c r="Q1533" s="279">
        <f t="shared" si="98"/>
        <v>0</v>
      </c>
      <c r="S1533" s="279">
        <f t="shared" si="99"/>
        <v>0</v>
      </c>
      <c r="U1533" s="385"/>
      <c r="V1533" s="385"/>
      <c r="W1533" s="385"/>
      <c r="X1533" s="385"/>
    </row>
    <row r="1534" spans="3:24" s="277" customFormat="1" x14ac:dyDescent="0.3">
      <c r="D1534" s="356" t="s">
        <v>877</v>
      </c>
      <c r="E1534" s="356"/>
      <c r="F1534" s="356"/>
      <c r="G1534" s="356"/>
      <c r="I1534" s="48">
        <v>0</v>
      </c>
      <c r="K1534" s="48">
        <v>0</v>
      </c>
      <c r="M1534" s="279">
        <f t="shared" si="96"/>
        <v>0</v>
      </c>
      <c r="O1534" s="279">
        <f t="shared" si="97"/>
        <v>0</v>
      </c>
      <c r="Q1534" s="279">
        <f t="shared" si="98"/>
        <v>0</v>
      </c>
      <c r="S1534" s="279">
        <f t="shared" si="99"/>
        <v>0</v>
      </c>
      <c r="U1534" s="385"/>
      <c r="V1534" s="385"/>
      <c r="W1534" s="385"/>
      <c r="X1534" s="385"/>
    </row>
    <row r="1535" spans="3:24" s="277" customFormat="1" x14ac:dyDescent="0.3">
      <c r="D1535" s="356" t="s">
        <v>878</v>
      </c>
      <c r="E1535" s="356"/>
      <c r="F1535" s="356"/>
      <c r="G1535" s="356"/>
      <c r="I1535" s="48">
        <v>0</v>
      </c>
      <c r="K1535" s="48">
        <v>0</v>
      </c>
      <c r="M1535" s="279">
        <f t="shared" si="96"/>
        <v>0</v>
      </c>
      <c r="O1535" s="279">
        <f t="shared" si="97"/>
        <v>0</v>
      </c>
      <c r="Q1535" s="279">
        <f t="shared" si="98"/>
        <v>0</v>
      </c>
      <c r="S1535" s="279">
        <f t="shared" si="99"/>
        <v>0</v>
      </c>
      <c r="U1535" s="385"/>
      <c r="V1535" s="385"/>
      <c r="W1535" s="385"/>
      <c r="X1535" s="385"/>
    </row>
    <row r="1536" spans="3:24" s="277" customFormat="1" x14ac:dyDescent="0.3">
      <c r="D1536" s="356" t="s">
        <v>879</v>
      </c>
      <c r="E1536" s="356"/>
      <c r="F1536" s="356"/>
      <c r="G1536" s="356"/>
      <c r="I1536" s="48">
        <v>0</v>
      </c>
      <c r="K1536" s="48">
        <v>0</v>
      </c>
      <c r="M1536" s="279">
        <f t="shared" si="96"/>
        <v>0</v>
      </c>
      <c r="O1536" s="279">
        <f t="shared" si="97"/>
        <v>0</v>
      </c>
      <c r="Q1536" s="279">
        <f t="shared" si="98"/>
        <v>0</v>
      </c>
      <c r="S1536" s="279">
        <f t="shared" si="99"/>
        <v>0</v>
      </c>
      <c r="U1536" s="385"/>
      <c r="V1536" s="385"/>
      <c r="W1536" s="385"/>
      <c r="X1536" s="385"/>
    </row>
    <row r="1537" spans="4:24" s="277" customFormat="1" x14ac:dyDescent="0.3">
      <c r="D1537" s="356" t="s">
        <v>880</v>
      </c>
      <c r="E1537" s="356"/>
      <c r="F1537" s="356"/>
      <c r="G1537" s="356"/>
      <c r="I1537" s="48">
        <v>0</v>
      </c>
      <c r="K1537" s="48">
        <v>0</v>
      </c>
      <c r="M1537" s="279">
        <f t="shared" si="96"/>
        <v>0</v>
      </c>
      <c r="O1537" s="279">
        <f t="shared" si="97"/>
        <v>0</v>
      </c>
      <c r="Q1537" s="279">
        <f t="shared" si="98"/>
        <v>0</v>
      </c>
      <c r="S1537" s="279">
        <f t="shared" si="99"/>
        <v>0</v>
      </c>
      <c r="U1537" s="385"/>
      <c r="V1537" s="385"/>
      <c r="W1537" s="385"/>
      <c r="X1537" s="385"/>
    </row>
    <row r="1538" spans="4:24" s="277" customFormat="1" x14ac:dyDescent="0.3">
      <c r="D1538" s="356" t="s">
        <v>881</v>
      </c>
      <c r="E1538" s="356"/>
      <c r="F1538" s="356"/>
      <c r="G1538" s="356"/>
      <c r="I1538" s="48">
        <v>0</v>
      </c>
      <c r="K1538" s="48">
        <v>0</v>
      </c>
      <c r="M1538" s="279">
        <f t="shared" si="96"/>
        <v>0</v>
      </c>
      <c r="O1538" s="279">
        <f t="shared" si="97"/>
        <v>0</v>
      </c>
      <c r="Q1538" s="279">
        <f t="shared" si="98"/>
        <v>0</v>
      </c>
      <c r="S1538" s="279">
        <f t="shared" si="99"/>
        <v>0</v>
      </c>
      <c r="U1538" s="385"/>
      <c r="V1538" s="385"/>
      <c r="W1538" s="385"/>
      <c r="X1538" s="385"/>
    </row>
    <row r="1539" spans="4:24" s="277" customFormat="1" x14ac:dyDescent="0.3">
      <c r="D1539" s="356" t="s">
        <v>882</v>
      </c>
      <c r="E1539" s="356"/>
      <c r="F1539" s="356"/>
      <c r="G1539" s="356"/>
      <c r="I1539" s="48">
        <v>0</v>
      </c>
      <c r="K1539" s="48">
        <v>0</v>
      </c>
      <c r="M1539" s="279">
        <f t="shared" si="96"/>
        <v>0</v>
      </c>
      <c r="O1539" s="279">
        <f t="shared" si="97"/>
        <v>0</v>
      </c>
      <c r="Q1539" s="279">
        <f t="shared" si="98"/>
        <v>0</v>
      </c>
      <c r="S1539" s="279">
        <f t="shared" si="99"/>
        <v>0</v>
      </c>
      <c r="U1539" s="385"/>
      <c r="V1539" s="385"/>
      <c r="W1539" s="385"/>
      <c r="X1539" s="385"/>
    </row>
    <row r="1540" spans="4:24" s="277" customFormat="1" x14ac:dyDescent="0.3">
      <c r="D1540" s="356" t="s">
        <v>883</v>
      </c>
      <c r="E1540" s="356"/>
      <c r="F1540" s="356"/>
      <c r="G1540" s="356"/>
      <c r="I1540" s="48">
        <v>0</v>
      </c>
      <c r="K1540" s="48">
        <v>0</v>
      </c>
      <c r="M1540" s="279">
        <f t="shared" si="96"/>
        <v>0</v>
      </c>
      <c r="O1540" s="279">
        <f t="shared" si="97"/>
        <v>0</v>
      </c>
      <c r="Q1540" s="279">
        <f t="shared" si="98"/>
        <v>0</v>
      </c>
      <c r="S1540" s="279">
        <f t="shared" si="99"/>
        <v>0</v>
      </c>
      <c r="U1540" s="385"/>
      <c r="V1540" s="385"/>
      <c r="W1540" s="385"/>
      <c r="X1540" s="385"/>
    </row>
    <row r="1541" spans="4:24" s="277" customFormat="1" x14ac:dyDescent="0.3">
      <c r="D1541" s="356" t="s">
        <v>884</v>
      </c>
      <c r="E1541" s="356"/>
      <c r="F1541" s="356"/>
      <c r="G1541" s="356"/>
      <c r="I1541" s="48">
        <v>0</v>
      </c>
      <c r="K1541" s="48">
        <v>0</v>
      </c>
      <c r="M1541" s="279">
        <f t="shared" si="96"/>
        <v>0</v>
      </c>
      <c r="O1541" s="279">
        <f t="shared" si="97"/>
        <v>0</v>
      </c>
      <c r="Q1541" s="279">
        <f t="shared" si="98"/>
        <v>0</v>
      </c>
      <c r="S1541" s="279">
        <f t="shared" si="99"/>
        <v>0</v>
      </c>
      <c r="U1541" s="385"/>
      <c r="V1541" s="385"/>
      <c r="W1541" s="385"/>
      <c r="X1541" s="385"/>
    </row>
    <row r="1542" spans="4:24" s="277" customFormat="1" x14ac:dyDescent="0.3">
      <c r="D1542" s="356" t="s">
        <v>885</v>
      </c>
      <c r="E1542" s="356"/>
      <c r="F1542" s="356"/>
      <c r="G1542" s="356"/>
      <c r="I1542" s="48">
        <v>0</v>
      </c>
      <c r="K1542" s="48">
        <v>0</v>
      </c>
      <c r="M1542" s="279">
        <f t="shared" si="96"/>
        <v>0</v>
      </c>
      <c r="O1542" s="279">
        <f t="shared" si="97"/>
        <v>0</v>
      </c>
      <c r="Q1542" s="279">
        <f t="shared" si="98"/>
        <v>0</v>
      </c>
      <c r="S1542" s="279">
        <f t="shared" si="99"/>
        <v>0</v>
      </c>
      <c r="U1542" s="385"/>
      <c r="V1542" s="385"/>
      <c r="W1542" s="385"/>
      <c r="X1542" s="385"/>
    </row>
    <row r="1543" spans="4:24" s="277" customFormat="1" x14ac:dyDescent="0.3">
      <c r="D1543" s="356" t="s">
        <v>886</v>
      </c>
      <c r="E1543" s="356"/>
      <c r="F1543" s="356"/>
      <c r="G1543" s="356"/>
      <c r="I1543" s="48">
        <v>0</v>
      </c>
      <c r="K1543" s="48">
        <v>0</v>
      </c>
      <c r="M1543" s="279">
        <f t="shared" si="96"/>
        <v>0</v>
      </c>
      <c r="O1543" s="279">
        <f t="shared" si="97"/>
        <v>0</v>
      </c>
      <c r="Q1543" s="279">
        <f t="shared" si="98"/>
        <v>0</v>
      </c>
      <c r="S1543" s="279">
        <f t="shared" si="99"/>
        <v>0</v>
      </c>
      <c r="U1543" s="385"/>
      <c r="V1543" s="385"/>
      <c r="W1543" s="385"/>
      <c r="X1543" s="385"/>
    </row>
    <row r="1544" spans="4:24" s="277" customFormat="1" x14ac:dyDescent="0.3">
      <c r="D1544" s="356" t="s">
        <v>887</v>
      </c>
      <c r="E1544" s="356"/>
      <c r="F1544" s="356"/>
      <c r="G1544" s="356"/>
      <c r="I1544" s="48">
        <v>0</v>
      </c>
      <c r="K1544" s="48">
        <v>0</v>
      </c>
      <c r="M1544" s="279">
        <f t="shared" si="96"/>
        <v>0</v>
      </c>
      <c r="O1544" s="279">
        <f t="shared" si="97"/>
        <v>0</v>
      </c>
      <c r="Q1544" s="279">
        <f t="shared" si="98"/>
        <v>0</v>
      </c>
      <c r="S1544" s="279">
        <f t="shared" si="99"/>
        <v>0</v>
      </c>
      <c r="U1544" s="385"/>
      <c r="V1544" s="385"/>
      <c r="W1544" s="385"/>
      <c r="X1544" s="385"/>
    </row>
    <row r="1545" spans="4:24" s="277" customFormat="1" x14ac:dyDescent="0.3">
      <c r="D1545" s="356" t="s">
        <v>888</v>
      </c>
      <c r="E1545" s="356"/>
      <c r="F1545" s="356"/>
      <c r="G1545" s="356"/>
      <c r="I1545" s="48">
        <v>0</v>
      </c>
      <c r="K1545" s="48">
        <v>0</v>
      </c>
      <c r="M1545" s="279">
        <f t="shared" si="96"/>
        <v>0</v>
      </c>
      <c r="O1545" s="279">
        <f t="shared" si="97"/>
        <v>0</v>
      </c>
      <c r="Q1545" s="279">
        <f t="shared" si="98"/>
        <v>0</v>
      </c>
      <c r="S1545" s="279">
        <f t="shared" si="99"/>
        <v>0</v>
      </c>
      <c r="U1545" s="385"/>
      <c r="V1545" s="385"/>
      <c r="W1545" s="385"/>
      <c r="X1545" s="385"/>
    </row>
    <row r="1546" spans="4:24" s="277" customFormat="1" x14ac:dyDescent="0.3">
      <c r="D1546" s="356" t="s">
        <v>889</v>
      </c>
      <c r="E1546" s="356"/>
      <c r="F1546" s="356"/>
      <c r="G1546" s="356"/>
      <c r="I1546" s="48">
        <v>0</v>
      </c>
      <c r="K1546" s="48">
        <v>0</v>
      </c>
      <c r="M1546" s="279">
        <f t="shared" si="96"/>
        <v>0</v>
      </c>
      <c r="O1546" s="279">
        <f t="shared" si="97"/>
        <v>0</v>
      </c>
      <c r="Q1546" s="279">
        <f t="shared" si="98"/>
        <v>0</v>
      </c>
      <c r="S1546" s="279">
        <f t="shared" si="99"/>
        <v>0</v>
      </c>
      <c r="U1546" s="385"/>
      <c r="V1546" s="385"/>
      <c r="W1546" s="385"/>
      <c r="X1546" s="385"/>
    </row>
    <row r="1547" spans="4:24" s="277" customFormat="1" x14ac:dyDescent="0.3">
      <c r="D1547" s="356" t="s">
        <v>890</v>
      </c>
      <c r="E1547" s="356"/>
      <c r="F1547" s="356"/>
      <c r="G1547" s="356"/>
      <c r="I1547" s="48">
        <v>0</v>
      </c>
      <c r="K1547" s="48">
        <v>0</v>
      </c>
      <c r="M1547" s="279">
        <f t="shared" si="96"/>
        <v>0</v>
      </c>
      <c r="O1547" s="279">
        <f t="shared" si="97"/>
        <v>0</v>
      </c>
      <c r="Q1547" s="279">
        <f t="shared" si="98"/>
        <v>0</v>
      </c>
      <c r="S1547" s="279">
        <f t="shared" si="99"/>
        <v>0</v>
      </c>
      <c r="U1547" s="385"/>
      <c r="V1547" s="385"/>
      <c r="W1547" s="385"/>
      <c r="X1547" s="385"/>
    </row>
    <row r="1548" spans="4:24" s="277" customFormat="1" x14ac:dyDescent="0.3">
      <c r="D1548" s="356" t="s">
        <v>986</v>
      </c>
      <c r="E1548" s="356"/>
      <c r="F1548" s="356"/>
      <c r="G1548" s="356"/>
      <c r="I1548" s="48">
        <v>0</v>
      </c>
      <c r="K1548" s="48">
        <v>0</v>
      </c>
      <c r="M1548" s="279">
        <f t="shared" si="96"/>
        <v>0</v>
      </c>
      <c r="O1548" s="279">
        <f t="shared" si="97"/>
        <v>0</v>
      </c>
      <c r="Q1548" s="279">
        <f t="shared" si="98"/>
        <v>0</v>
      </c>
      <c r="S1548" s="279">
        <f t="shared" si="99"/>
        <v>0</v>
      </c>
      <c r="U1548" s="385"/>
      <c r="V1548" s="385"/>
      <c r="W1548" s="385"/>
      <c r="X1548" s="385"/>
    </row>
    <row r="1549" spans="4:24" s="277" customFormat="1" x14ac:dyDescent="0.3">
      <c r="D1549" s="356" t="s">
        <v>987</v>
      </c>
      <c r="E1549" s="356"/>
      <c r="F1549" s="356"/>
      <c r="G1549" s="356"/>
      <c r="I1549" s="48">
        <v>0</v>
      </c>
      <c r="K1549" s="48">
        <v>0</v>
      </c>
      <c r="M1549" s="279">
        <f t="shared" si="96"/>
        <v>0</v>
      </c>
      <c r="O1549" s="279">
        <f t="shared" si="97"/>
        <v>0</v>
      </c>
      <c r="Q1549" s="279">
        <f t="shared" si="98"/>
        <v>0</v>
      </c>
      <c r="S1549" s="279">
        <f t="shared" si="99"/>
        <v>0</v>
      </c>
      <c r="U1549" s="385"/>
      <c r="V1549" s="385"/>
      <c r="W1549" s="385"/>
      <c r="X1549" s="385"/>
    </row>
    <row r="1550" spans="4:24" s="277" customFormat="1" x14ac:dyDescent="0.3">
      <c r="D1550" s="356" t="s">
        <v>988</v>
      </c>
      <c r="E1550" s="356"/>
      <c r="F1550" s="356"/>
      <c r="G1550" s="356"/>
      <c r="I1550" s="48">
        <v>0</v>
      </c>
      <c r="K1550" s="48">
        <v>0</v>
      </c>
      <c r="M1550" s="279">
        <f t="shared" si="96"/>
        <v>0</v>
      </c>
      <c r="O1550" s="279">
        <f t="shared" si="97"/>
        <v>0</v>
      </c>
      <c r="Q1550" s="279">
        <f t="shared" si="98"/>
        <v>0</v>
      </c>
      <c r="S1550" s="279">
        <f t="shared" si="99"/>
        <v>0</v>
      </c>
      <c r="U1550" s="385"/>
      <c r="V1550" s="385"/>
      <c r="W1550" s="385"/>
      <c r="X1550" s="385"/>
    </row>
    <row r="1551" spans="4:24" s="277" customFormat="1" x14ac:dyDescent="0.3">
      <c r="D1551" s="356" t="s">
        <v>989</v>
      </c>
      <c r="E1551" s="356"/>
      <c r="F1551" s="356"/>
      <c r="G1551" s="356"/>
      <c r="I1551" s="48">
        <v>0</v>
      </c>
      <c r="K1551" s="48">
        <v>0</v>
      </c>
      <c r="M1551" s="279">
        <f t="shared" si="96"/>
        <v>0</v>
      </c>
      <c r="O1551" s="279">
        <f t="shared" si="97"/>
        <v>0</v>
      </c>
      <c r="Q1551" s="279">
        <f t="shared" si="98"/>
        <v>0</v>
      </c>
      <c r="S1551" s="279">
        <f t="shared" si="99"/>
        <v>0</v>
      </c>
      <c r="U1551" s="385"/>
      <c r="V1551" s="385"/>
      <c r="W1551" s="385"/>
      <c r="X1551" s="385"/>
    </row>
    <row r="1552" spans="4:24" s="277" customFormat="1" x14ac:dyDescent="0.3">
      <c r="D1552" s="356" t="s">
        <v>990</v>
      </c>
      <c r="E1552" s="356"/>
      <c r="F1552" s="356"/>
      <c r="G1552" s="356"/>
      <c r="I1552" s="48">
        <v>0</v>
      </c>
      <c r="K1552" s="48">
        <v>0</v>
      </c>
      <c r="M1552" s="279">
        <f t="shared" si="96"/>
        <v>0</v>
      </c>
      <c r="O1552" s="279">
        <f t="shared" si="97"/>
        <v>0</v>
      </c>
      <c r="Q1552" s="279">
        <f t="shared" si="98"/>
        <v>0</v>
      </c>
      <c r="S1552" s="279">
        <f t="shared" si="99"/>
        <v>0</v>
      </c>
      <c r="U1552" s="385"/>
      <c r="V1552" s="385"/>
      <c r="W1552" s="385"/>
      <c r="X1552" s="385"/>
    </row>
    <row r="1553" spans="2:22" ht="14.4" hidden="1" x14ac:dyDescent="0.3">
      <c r="D1553" s="420" t="s">
        <v>90</v>
      </c>
      <c r="E1553" s="427"/>
      <c r="F1553" s="427"/>
      <c r="G1553" s="427"/>
      <c r="I1553" s="40"/>
      <c r="K1553" s="40">
        <f>SUM(K1528:K1552)</f>
        <v>0</v>
      </c>
      <c r="M1553" s="40"/>
      <c r="O1553" s="40"/>
      <c r="Q1553" s="294">
        <f>SUM(Q1528:Q1552)</f>
        <v>0</v>
      </c>
      <c r="S1553" s="294">
        <f>SUM(S1528:S1552)</f>
        <v>0</v>
      </c>
    </row>
    <row r="1554" spans="2:22" collapsed="1" x14ac:dyDescent="0.3"/>
    <row r="1555" spans="2:22" ht="27.6" x14ac:dyDescent="0.3">
      <c r="Q1555" s="44" t="str">
        <f>"FINANCIAL COST ("&amp;INDEX(LU_ACT_25_Meet_Curr,DD_ACT_25_Meet1_Curr)&amp;")"</f>
        <v>FINANCIAL COST (USD)</v>
      </c>
      <c r="S1555" s="44" t="str">
        <f>"ECONOMIC COST ("&amp;INDEX(LU_ACT_25_Meet_Curr,DD_ACT_25_Meet1_Curr)&amp;")"</f>
        <v>ECONOMIC COST (USD)</v>
      </c>
      <c r="U1555" s="44" t="str">
        <f>"FINANCIAL COST ("&amp;IF(DD_ACT_25_Meet1_Curr=2,$D$1560,$D$1561)&amp;")"</f>
        <v>FINANCIAL COST (GOZ)</v>
      </c>
      <c r="V1555" s="44" t="str">
        <f>"ECONOMIC COST ("&amp;IF(DD_ACT_25_Meet1_Curr=2,$D$1560,$D$1561)&amp;")"</f>
        <v>ECONOMIC COST (GOZ)</v>
      </c>
    </row>
    <row r="1556" spans="2:22" ht="16.2" thickBot="1" x14ac:dyDescent="0.35">
      <c r="B1556" s="141" t="str">
        <f>"Total Estimated Costs - "&amp;B1404</f>
        <v>Total Estimated Costs - Training Activity #5 [not in use]</v>
      </c>
      <c r="Q1556" s="46">
        <f>SUM(Q1434,Q1463,Q1494,Q1523,Q1553)</f>
        <v>0</v>
      </c>
      <c r="S1556" s="46">
        <f>SUM(S1434,S1463,S1494,S1523,S1553)</f>
        <v>0</v>
      </c>
      <c r="U1556" s="47">
        <f>IF(DD_ACT_25_Meet1_Curr=2,$Q1556/$I$1561,$Q1556*$I$1561)</f>
        <v>0</v>
      </c>
      <c r="V1556" s="47">
        <f>IF(DD_ACT_25_Meet1_Curr=2,$S1556/$I$1561,$S1556*$I$1561)</f>
        <v>0</v>
      </c>
    </row>
    <row r="1557" spans="2:22" ht="14.4" thickTop="1" x14ac:dyDescent="0.3"/>
    <row r="1558" spans="2:22" x14ac:dyDescent="0.3">
      <c r="C1558" s="91" t="s">
        <v>587</v>
      </c>
    </row>
    <row r="1559" spans="2:22" hidden="1" outlineLevel="1" x14ac:dyDescent="0.3"/>
    <row r="1560" spans="2:22" ht="12.9" hidden="1" customHeight="1" outlineLevel="1" x14ac:dyDescent="0.3">
      <c r="D1560" s="422" t="str">
        <f>CURR_TA!D13</f>
        <v>USD</v>
      </c>
      <c r="E1560" s="423"/>
      <c r="F1560" s="423"/>
      <c r="G1560" s="423"/>
      <c r="I1560" s="279">
        <f>CURR_TA!J13</f>
        <v>1</v>
      </c>
      <c r="J1560" s="279">
        <f>CURR_TA!K13</f>
        <v>0</v>
      </c>
      <c r="K1560" s="279">
        <f>CURR_TA!L13</f>
        <v>0</v>
      </c>
      <c r="L1560" s="279">
        <f>CURR_TA!M13</f>
        <v>0</v>
      </c>
    </row>
    <row r="1561" spans="2:22" ht="12.9" hidden="1" customHeight="1" outlineLevel="1" x14ac:dyDescent="0.3">
      <c r="D1561" s="422" t="str">
        <f>CURR_TA!D14</f>
        <v>GOZ</v>
      </c>
      <c r="E1561" s="423"/>
      <c r="F1561" s="423"/>
      <c r="G1561" s="423"/>
      <c r="I1561" s="279">
        <f>CURR_TA!J14</f>
        <v>0</v>
      </c>
      <c r="J1561" s="279">
        <f>CURR_TA!K14</f>
        <v>0</v>
      </c>
      <c r="K1561" s="279">
        <f>CURR_TA!L14</f>
        <v>0</v>
      </c>
      <c r="L1561" s="279">
        <f>CURR_TA!M14</f>
        <v>0</v>
      </c>
    </row>
    <row r="1562" spans="2:22" collapsed="1" x14ac:dyDescent="0.3"/>
    <row r="1564" spans="2:22" x14ac:dyDescent="0.3">
      <c r="C1564" s="91" t="s">
        <v>588</v>
      </c>
    </row>
    <row r="1565" spans="2:22" hidden="1" outlineLevel="1" x14ac:dyDescent="0.3">
      <c r="M1565" s="40" t="str">
        <f>$D$1560</f>
        <v>USD</v>
      </c>
      <c r="O1565" s="40" t="str">
        <f>$D$1560</f>
        <v>USD</v>
      </c>
      <c r="Q1565" s="40" t="str">
        <f>$D$1561</f>
        <v>GOZ</v>
      </c>
      <c r="S1565" s="40" t="str">
        <f>$D$1561</f>
        <v>GOZ</v>
      </c>
    </row>
    <row r="1566" spans="2:22" hidden="1" outlineLevel="1" x14ac:dyDescent="0.3">
      <c r="C1566" s="89" t="str">
        <f>RES_BA!D14</f>
        <v>Personnel Cadre - Other 1</v>
      </c>
      <c r="M1566" s="40">
        <f>RES_BA!R14</f>
        <v>0</v>
      </c>
      <c r="O1566" s="40">
        <f>RES_BA!S14</f>
        <v>0</v>
      </c>
      <c r="Q1566" s="40">
        <f>RES_BA!T14</f>
        <v>0</v>
      </c>
      <c r="S1566" s="40">
        <f>RES_BA!U14</f>
        <v>0</v>
      </c>
    </row>
    <row r="1567" spans="2:22" hidden="1" outlineLevel="1" x14ac:dyDescent="0.3">
      <c r="C1567" s="89" t="str">
        <f>RES_BA!D15</f>
        <v>Personnel Cadre - Other 2</v>
      </c>
      <c r="M1567" s="40">
        <f>RES_BA!R15</f>
        <v>0</v>
      </c>
      <c r="O1567" s="40">
        <f>RES_BA!S15</f>
        <v>0</v>
      </c>
      <c r="Q1567" s="40">
        <f>RES_BA!T15</f>
        <v>0</v>
      </c>
      <c r="S1567" s="40">
        <f>RES_BA!U15</f>
        <v>0</v>
      </c>
    </row>
    <row r="1568" spans="2:22" hidden="1" outlineLevel="1" x14ac:dyDescent="0.3">
      <c r="C1568" s="89" t="str">
        <f>RES_BA!D16</f>
        <v>Personnel Cadre - Other 3</v>
      </c>
      <c r="M1568" s="40">
        <f>RES_BA!R16</f>
        <v>0</v>
      </c>
      <c r="O1568" s="40">
        <f>RES_BA!S16</f>
        <v>0</v>
      </c>
      <c r="Q1568" s="40">
        <f>RES_BA!T16</f>
        <v>0</v>
      </c>
      <c r="S1568" s="40">
        <f>RES_BA!U16</f>
        <v>0</v>
      </c>
    </row>
    <row r="1569" spans="3:19" hidden="1" outlineLevel="1" x14ac:dyDescent="0.3">
      <c r="C1569" s="89" t="str">
        <f>RES_BA!D17</f>
        <v>Personnel Cadre - Other 4</v>
      </c>
      <c r="M1569" s="40">
        <f>RES_BA!R17</f>
        <v>0</v>
      </c>
      <c r="O1569" s="40">
        <f>RES_BA!S17</f>
        <v>0</v>
      </c>
      <c r="Q1569" s="40">
        <f>RES_BA!T17</f>
        <v>0</v>
      </c>
      <c r="S1569" s="40">
        <f>RES_BA!U17</f>
        <v>0</v>
      </c>
    </row>
    <row r="1570" spans="3:19" hidden="1" outlineLevel="1" x14ac:dyDescent="0.3">
      <c r="C1570" s="89" t="str">
        <f>RES_BA!D18</f>
        <v>Personnel Cadre - Other 5</v>
      </c>
      <c r="M1570" s="40">
        <f>RES_BA!R18</f>
        <v>0</v>
      </c>
      <c r="O1570" s="40">
        <f>RES_BA!S18</f>
        <v>0</v>
      </c>
      <c r="Q1570" s="40">
        <f>RES_BA!T18</f>
        <v>0</v>
      </c>
      <c r="S1570" s="40">
        <f>RES_BA!U18</f>
        <v>0</v>
      </c>
    </row>
    <row r="1571" spans="3:19" hidden="1" outlineLevel="1" x14ac:dyDescent="0.3">
      <c r="C1571" s="89" t="str">
        <f>RES_BA!D19</f>
        <v>Personnel Cadre - Other 6</v>
      </c>
      <c r="M1571" s="40">
        <f>RES_BA!R19</f>
        <v>0</v>
      </c>
      <c r="O1571" s="40">
        <f>RES_BA!S19</f>
        <v>0</v>
      </c>
      <c r="Q1571" s="40">
        <f>RES_BA!T19</f>
        <v>0</v>
      </c>
      <c r="S1571" s="40">
        <f>RES_BA!U19</f>
        <v>0</v>
      </c>
    </row>
    <row r="1572" spans="3:19" hidden="1" outlineLevel="1" x14ac:dyDescent="0.3">
      <c r="C1572" s="89" t="str">
        <f>RES_BA!D20</f>
        <v>Personnel Cadre - Other 7</v>
      </c>
      <c r="M1572" s="40">
        <f>RES_BA!R20</f>
        <v>0</v>
      </c>
      <c r="O1572" s="40">
        <f>RES_BA!S20</f>
        <v>0</v>
      </c>
      <c r="Q1572" s="40">
        <f>RES_BA!T20</f>
        <v>0</v>
      </c>
      <c r="S1572" s="40">
        <f>RES_BA!U20</f>
        <v>0</v>
      </c>
    </row>
    <row r="1573" spans="3:19" hidden="1" outlineLevel="1" x14ac:dyDescent="0.3">
      <c r="C1573" s="89" t="str">
        <f>RES_BA!D21</f>
        <v>Personnel Cadre - Other 8</v>
      </c>
      <c r="M1573" s="40">
        <f>RES_BA!R21</f>
        <v>0</v>
      </c>
      <c r="O1573" s="40">
        <f>RES_BA!S21</f>
        <v>0</v>
      </c>
      <c r="Q1573" s="40">
        <f>RES_BA!T21</f>
        <v>0</v>
      </c>
      <c r="S1573" s="40">
        <f>RES_BA!U21</f>
        <v>0</v>
      </c>
    </row>
    <row r="1574" spans="3:19" hidden="1" outlineLevel="1" x14ac:dyDescent="0.3">
      <c r="C1574" s="89" t="str">
        <f>RES_BA!D22</f>
        <v>Personnel Cadre - Other 9</v>
      </c>
      <c r="M1574" s="40">
        <f>RES_BA!R22</f>
        <v>0</v>
      </c>
      <c r="O1574" s="40">
        <f>RES_BA!S22</f>
        <v>0</v>
      </c>
      <c r="Q1574" s="40">
        <f>RES_BA!T22</f>
        <v>0</v>
      </c>
      <c r="S1574" s="40">
        <f>RES_BA!U22</f>
        <v>0</v>
      </c>
    </row>
    <row r="1575" spans="3:19" hidden="1" outlineLevel="1" x14ac:dyDescent="0.3">
      <c r="C1575" s="89" t="str">
        <f>RES_BA!D23</f>
        <v>Personnel Cadre - Other 10</v>
      </c>
      <c r="M1575" s="40">
        <f>RES_BA!R23</f>
        <v>0</v>
      </c>
      <c r="O1575" s="40">
        <f>RES_BA!S23</f>
        <v>0</v>
      </c>
      <c r="Q1575" s="40">
        <f>RES_BA!T23</f>
        <v>0</v>
      </c>
      <c r="S1575" s="40">
        <f>RES_BA!U23</f>
        <v>0</v>
      </c>
    </row>
    <row r="1576" spans="3:19" hidden="1" outlineLevel="1" x14ac:dyDescent="0.3">
      <c r="C1576" s="89" t="str">
        <f>RES_BA!D24</f>
        <v>Personnel Cadre - Other 11</v>
      </c>
      <c r="M1576" s="40">
        <f>RES_BA!R24</f>
        <v>0</v>
      </c>
      <c r="O1576" s="40">
        <f>RES_BA!S24</f>
        <v>0</v>
      </c>
      <c r="Q1576" s="40">
        <f>RES_BA!T24</f>
        <v>0</v>
      </c>
      <c r="S1576" s="40">
        <f>RES_BA!U24</f>
        <v>0</v>
      </c>
    </row>
    <row r="1577" spans="3:19" hidden="1" outlineLevel="1" x14ac:dyDescent="0.3">
      <c r="C1577" s="89" t="str">
        <f>RES_BA!D25</f>
        <v>Personnel Cadre - Other 12</v>
      </c>
      <c r="M1577" s="40">
        <f>RES_BA!R25</f>
        <v>0</v>
      </c>
      <c r="O1577" s="40">
        <f>RES_BA!S25</f>
        <v>0</v>
      </c>
      <c r="Q1577" s="40">
        <f>RES_BA!T25</f>
        <v>0</v>
      </c>
      <c r="S1577" s="40">
        <f>RES_BA!U25</f>
        <v>0</v>
      </c>
    </row>
    <row r="1578" spans="3:19" hidden="1" outlineLevel="1" x14ac:dyDescent="0.3">
      <c r="C1578" s="89" t="str">
        <f>RES_BA!D26</f>
        <v>Personnel Cadre - Other 13</v>
      </c>
      <c r="M1578" s="40">
        <f>RES_BA!R26</f>
        <v>0</v>
      </c>
      <c r="O1578" s="40">
        <f>RES_BA!S26</f>
        <v>0</v>
      </c>
      <c r="Q1578" s="40">
        <f>RES_BA!T26</f>
        <v>0</v>
      </c>
      <c r="S1578" s="40">
        <f>RES_BA!U26</f>
        <v>0</v>
      </c>
    </row>
    <row r="1579" spans="3:19" hidden="1" outlineLevel="1" x14ac:dyDescent="0.3">
      <c r="C1579" s="89" t="str">
        <f>RES_BA!D27</f>
        <v>Personnel Cadre - Other 14</v>
      </c>
      <c r="M1579" s="40">
        <f>RES_BA!R27</f>
        <v>0</v>
      </c>
      <c r="O1579" s="40">
        <f>RES_BA!S27</f>
        <v>0</v>
      </c>
      <c r="Q1579" s="40">
        <f>RES_BA!T27</f>
        <v>0</v>
      </c>
      <c r="S1579" s="40">
        <f>RES_BA!U27</f>
        <v>0</v>
      </c>
    </row>
    <row r="1580" spans="3:19" hidden="1" outlineLevel="1" x14ac:dyDescent="0.3">
      <c r="C1580" s="89" t="str">
        <f>RES_BA!D28</f>
        <v>Personnel Cadre - Other 15</v>
      </c>
      <c r="M1580" s="40">
        <f>RES_BA!R28</f>
        <v>0</v>
      </c>
      <c r="O1580" s="40">
        <f>RES_BA!S28</f>
        <v>0</v>
      </c>
      <c r="Q1580" s="40">
        <f>RES_BA!T28</f>
        <v>0</v>
      </c>
      <c r="S1580" s="40">
        <f>RES_BA!U28</f>
        <v>0</v>
      </c>
    </row>
    <row r="1581" spans="3:19" s="277" customFormat="1" hidden="1" outlineLevel="1" collapsed="1" x14ac:dyDescent="0.3">
      <c r="C1581" s="283" t="str">
        <f>RES_BA!D29</f>
        <v>Personnel Cadre - Other 16</v>
      </c>
      <c r="M1581" s="279">
        <f>RES_BA!R29</f>
        <v>0</v>
      </c>
      <c r="O1581" s="279">
        <f>RES_BA!S29</f>
        <v>0</v>
      </c>
      <c r="Q1581" s="279">
        <f>RES_BA!T29</f>
        <v>0</v>
      </c>
      <c r="S1581" s="279">
        <f>RES_BA!U29</f>
        <v>0</v>
      </c>
    </row>
    <row r="1582" spans="3:19" s="277" customFormat="1" hidden="1" outlineLevel="1" collapsed="1" x14ac:dyDescent="0.3">
      <c r="C1582" s="283" t="str">
        <f>RES_BA!D30</f>
        <v>Personnel Cadre - Other 17</v>
      </c>
      <c r="M1582" s="279">
        <f>RES_BA!R30</f>
        <v>0</v>
      </c>
      <c r="O1582" s="279">
        <f>RES_BA!S30</f>
        <v>0</v>
      </c>
      <c r="Q1582" s="279">
        <f>RES_BA!T30</f>
        <v>0</v>
      </c>
      <c r="S1582" s="279">
        <f>RES_BA!U30</f>
        <v>0</v>
      </c>
    </row>
    <row r="1583" spans="3:19" s="277" customFormat="1" hidden="1" outlineLevel="1" collapsed="1" x14ac:dyDescent="0.3">
      <c r="C1583" s="283" t="str">
        <f>RES_BA!D31</f>
        <v>Personnel Cadre - Other 18</v>
      </c>
      <c r="M1583" s="279">
        <f>RES_BA!R31</f>
        <v>0</v>
      </c>
      <c r="O1583" s="279">
        <f>RES_BA!S31</f>
        <v>0</v>
      </c>
      <c r="Q1583" s="279">
        <f>RES_BA!T31</f>
        <v>0</v>
      </c>
      <c r="S1583" s="279">
        <f>RES_BA!U31</f>
        <v>0</v>
      </c>
    </row>
    <row r="1584" spans="3:19" s="277" customFormat="1" hidden="1" outlineLevel="1" x14ac:dyDescent="0.3">
      <c r="C1584" s="283" t="str">
        <f>RES_BA!D32</f>
        <v>Personnel Cadre - Other 19</v>
      </c>
      <c r="M1584" s="279">
        <f>RES_BA!R32</f>
        <v>0</v>
      </c>
      <c r="O1584" s="279">
        <f>RES_BA!S32</f>
        <v>0</v>
      </c>
      <c r="Q1584" s="279">
        <f>RES_BA!T32</f>
        <v>0</v>
      </c>
      <c r="S1584" s="279">
        <f>RES_BA!U32</f>
        <v>0</v>
      </c>
    </row>
    <row r="1585" spans="3:19" s="277" customFormat="1" hidden="1" outlineLevel="1" x14ac:dyDescent="0.3">
      <c r="C1585" s="283" t="str">
        <f>RES_BA!D33</f>
        <v>Personnel Cadre - Other 20</v>
      </c>
      <c r="M1585" s="279">
        <f>RES_BA!R33</f>
        <v>0</v>
      </c>
      <c r="O1585" s="279">
        <f>RES_BA!S33</f>
        <v>0</v>
      </c>
      <c r="Q1585" s="279">
        <f>RES_BA!T33</f>
        <v>0</v>
      </c>
      <c r="S1585" s="279">
        <f>RES_BA!U33</f>
        <v>0</v>
      </c>
    </row>
    <row r="1586" spans="3:19" s="277" customFormat="1" hidden="1" outlineLevel="1" collapsed="1" x14ac:dyDescent="0.3">
      <c r="C1586" s="283" t="str">
        <f>RES_BA!D34</f>
        <v>Personnel Cadre - Other 21</v>
      </c>
      <c r="M1586" s="279">
        <f>RES_BA!R34</f>
        <v>0</v>
      </c>
      <c r="O1586" s="279">
        <f>RES_BA!S34</f>
        <v>0</v>
      </c>
      <c r="Q1586" s="279">
        <f>RES_BA!T34</f>
        <v>0</v>
      </c>
      <c r="S1586" s="279">
        <f>RES_BA!U34</f>
        <v>0</v>
      </c>
    </row>
    <row r="1587" spans="3:19" s="277" customFormat="1" hidden="1" outlineLevel="1" x14ac:dyDescent="0.3">
      <c r="C1587" s="283" t="str">
        <f>RES_BA!D35</f>
        <v>Personnel Cadre - Other 22</v>
      </c>
      <c r="M1587" s="279">
        <f>RES_BA!R35</f>
        <v>0</v>
      </c>
      <c r="O1587" s="279">
        <f>RES_BA!S35</f>
        <v>0</v>
      </c>
      <c r="Q1587" s="279">
        <f>RES_BA!T35</f>
        <v>0</v>
      </c>
      <c r="S1587" s="279">
        <f>RES_BA!U35</f>
        <v>0</v>
      </c>
    </row>
    <row r="1588" spans="3:19" s="277" customFormat="1" hidden="1" outlineLevel="1" x14ac:dyDescent="0.3">
      <c r="C1588" s="283" t="str">
        <f>RES_BA!D36</f>
        <v>Personnel Cadre - Other 23</v>
      </c>
      <c r="M1588" s="279">
        <f>RES_BA!R36</f>
        <v>0</v>
      </c>
      <c r="O1588" s="279">
        <f>RES_BA!S36</f>
        <v>0</v>
      </c>
      <c r="Q1588" s="279">
        <f>RES_BA!T36</f>
        <v>0</v>
      </c>
      <c r="S1588" s="279">
        <f>RES_BA!U36</f>
        <v>0</v>
      </c>
    </row>
    <row r="1589" spans="3:19" s="277" customFormat="1" hidden="1" outlineLevel="1" x14ac:dyDescent="0.3">
      <c r="C1589" s="283" t="str">
        <f>RES_BA!D37</f>
        <v>Personnel Cadre - Other 24</v>
      </c>
      <c r="M1589" s="279">
        <f>RES_BA!R37</f>
        <v>0</v>
      </c>
      <c r="O1589" s="279">
        <f>RES_BA!S37</f>
        <v>0</v>
      </c>
      <c r="Q1589" s="279">
        <f>RES_BA!T37</f>
        <v>0</v>
      </c>
      <c r="S1589" s="279">
        <f>RES_BA!U37</f>
        <v>0</v>
      </c>
    </row>
    <row r="1590" spans="3:19" s="277" customFormat="1" hidden="1" outlineLevel="1" x14ac:dyDescent="0.3">
      <c r="C1590" s="283" t="str">
        <f>RES_BA!D38</f>
        <v>Personnel Cadre - Other 25</v>
      </c>
      <c r="M1590" s="279">
        <f>RES_BA!R38</f>
        <v>0</v>
      </c>
      <c r="O1590" s="279">
        <f>RES_BA!S38</f>
        <v>0</v>
      </c>
      <c r="Q1590" s="279">
        <f>RES_BA!T38</f>
        <v>0</v>
      </c>
      <c r="S1590" s="279">
        <f>RES_BA!U38</f>
        <v>0</v>
      </c>
    </row>
    <row r="1591" spans="3:19" s="277" customFormat="1" hidden="1" outlineLevel="1" x14ac:dyDescent="0.3">
      <c r="C1591" s="283" t="str">
        <f>RES_BA!D39</f>
        <v>Personnel Cadre - Other 26</v>
      </c>
      <c r="M1591" s="279">
        <f>RES_BA!R39</f>
        <v>0</v>
      </c>
      <c r="O1591" s="279">
        <f>RES_BA!S39</f>
        <v>0</v>
      </c>
      <c r="Q1591" s="279">
        <f>RES_BA!T39</f>
        <v>0</v>
      </c>
      <c r="S1591" s="279">
        <f>RES_BA!U39</f>
        <v>0</v>
      </c>
    </row>
    <row r="1592" spans="3:19" s="277" customFormat="1" hidden="1" outlineLevel="1" x14ac:dyDescent="0.3">
      <c r="C1592" s="283" t="str">
        <f>RES_BA!D40</f>
        <v>Personnel Cadre - Other 27</v>
      </c>
      <c r="M1592" s="279">
        <f>RES_BA!R40</f>
        <v>0</v>
      </c>
      <c r="O1592" s="279">
        <f>RES_BA!S40</f>
        <v>0</v>
      </c>
      <c r="Q1592" s="279">
        <f>RES_BA!T40</f>
        <v>0</v>
      </c>
      <c r="S1592" s="279">
        <f>RES_BA!U40</f>
        <v>0</v>
      </c>
    </row>
    <row r="1593" spans="3:19" s="277" customFormat="1" hidden="1" outlineLevel="1" x14ac:dyDescent="0.3">
      <c r="C1593" s="283" t="str">
        <f>RES_BA!D41</f>
        <v>Personnel Cadre - Other 28</v>
      </c>
      <c r="M1593" s="279">
        <f>RES_BA!R41</f>
        <v>0</v>
      </c>
      <c r="O1593" s="279">
        <f>RES_BA!S41</f>
        <v>0</v>
      </c>
      <c r="Q1593" s="279">
        <f>RES_BA!T41</f>
        <v>0</v>
      </c>
      <c r="S1593" s="279">
        <f>RES_BA!U41</f>
        <v>0</v>
      </c>
    </row>
    <row r="1594" spans="3:19" s="277" customFormat="1" hidden="1" outlineLevel="1" x14ac:dyDescent="0.3">
      <c r="C1594" s="283" t="str">
        <f>RES_BA!D42</f>
        <v>Personnel Cadre - Other 29</v>
      </c>
      <c r="M1594" s="279">
        <f>RES_BA!R42</f>
        <v>0</v>
      </c>
      <c r="O1594" s="279">
        <f>RES_BA!S42</f>
        <v>0</v>
      </c>
      <c r="Q1594" s="279">
        <f>RES_BA!T42</f>
        <v>0</v>
      </c>
      <c r="S1594" s="279">
        <f>RES_BA!U42</f>
        <v>0</v>
      </c>
    </row>
    <row r="1595" spans="3:19" s="277" customFormat="1" hidden="1" outlineLevel="1" x14ac:dyDescent="0.3">
      <c r="C1595" s="283" t="str">
        <f>RES_BA!D43</f>
        <v>Personnel Cadre - Other 30</v>
      </c>
      <c r="M1595" s="279">
        <f>RES_BA!R43</f>
        <v>0</v>
      </c>
      <c r="O1595" s="279">
        <f>RES_BA!S43</f>
        <v>0</v>
      </c>
      <c r="Q1595" s="279">
        <f>RES_BA!T43</f>
        <v>0</v>
      </c>
      <c r="S1595" s="279">
        <f>RES_BA!U43</f>
        <v>0</v>
      </c>
    </row>
    <row r="1596" spans="3:19" s="277" customFormat="1" hidden="1" outlineLevel="1" x14ac:dyDescent="0.3">
      <c r="C1596" s="283" t="str">
        <f>RES_BA!D44</f>
        <v>Personnel Cadre - Other 31</v>
      </c>
      <c r="M1596" s="279">
        <f>RES_BA!R44</f>
        <v>0</v>
      </c>
      <c r="O1596" s="279">
        <f>RES_BA!S44</f>
        <v>0</v>
      </c>
      <c r="Q1596" s="279">
        <f>RES_BA!T44</f>
        <v>0</v>
      </c>
      <c r="S1596" s="279">
        <f>RES_BA!U44</f>
        <v>0</v>
      </c>
    </row>
    <row r="1597" spans="3:19" s="277" customFormat="1" hidden="1" outlineLevel="1" x14ac:dyDescent="0.3">
      <c r="C1597" s="283" t="str">
        <f>RES_BA!D45</f>
        <v>Personnel Cadre - Other 32</v>
      </c>
      <c r="M1597" s="279">
        <f>RES_BA!R45</f>
        <v>0</v>
      </c>
      <c r="O1597" s="279">
        <f>RES_BA!S45</f>
        <v>0</v>
      </c>
      <c r="Q1597" s="279">
        <f>RES_BA!T45</f>
        <v>0</v>
      </c>
      <c r="S1597" s="279">
        <f>RES_BA!U45</f>
        <v>0</v>
      </c>
    </row>
    <row r="1598" spans="3:19" s="277" customFormat="1" hidden="1" outlineLevel="1" x14ac:dyDescent="0.3">
      <c r="C1598" s="283" t="str">
        <f>RES_BA!D46</f>
        <v>Personnel Cadre - Other 33</v>
      </c>
      <c r="M1598" s="279">
        <f>RES_BA!R46</f>
        <v>0</v>
      </c>
      <c r="O1598" s="279">
        <f>RES_BA!S46</f>
        <v>0</v>
      </c>
      <c r="Q1598" s="279">
        <f>RES_BA!T46</f>
        <v>0</v>
      </c>
      <c r="S1598" s="279">
        <f>RES_BA!U46</f>
        <v>0</v>
      </c>
    </row>
    <row r="1599" spans="3:19" s="277" customFormat="1" hidden="1" outlineLevel="1" x14ac:dyDescent="0.3">
      <c r="C1599" s="283" t="str">
        <f>RES_BA!D47</f>
        <v>Personnel Cadre - Other 34</v>
      </c>
      <c r="M1599" s="279">
        <f>RES_BA!R47</f>
        <v>0</v>
      </c>
      <c r="O1599" s="279">
        <f>RES_BA!S47</f>
        <v>0</v>
      </c>
      <c r="Q1599" s="279">
        <f>RES_BA!T47</f>
        <v>0</v>
      </c>
      <c r="S1599" s="279">
        <f>RES_BA!U47</f>
        <v>0</v>
      </c>
    </row>
    <row r="1600" spans="3:19" s="277" customFormat="1" hidden="1" outlineLevel="1" x14ac:dyDescent="0.3">
      <c r="C1600" s="283" t="str">
        <f>RES_BA!D48</f>
        <v>Personnel Cadre - Other 35</v>
      </c>
      <c r="M1600" s="279">
        <f>RES_BA!R48</f>
        <v>0</v>
      </c>
      <c r="O1600" s="279">
        <f>RES_BA!S48</f>
        <v>0</v>
      </c>
      <c r="Q1600" s="279">
        <f>RES_BA!T48</f>
        <v>0</v>
      </c>
      <c r="S1600" s="279">
        <f>RES_BA!U48</f>
        <v>0</v>
      </c>
    </row>
    <row r="1601" spans="3:19" hidden="1" outlineLevel="1" x14ac:dyDescent="0.3"/>
    <row r="1602" spans="3:19" hidden="1" outlineLevel="1" x14ac:dyDescent="0.3">
      <c r="M1602" s="40" t="str">
        <f>$D$1560</f>
        <v>USD</v>
      </c>
      <c r="O1602" s="40" t="str">
        <f>$D$1560</f>
        <v>USD</v>
      </c>
      <c r="Q1602" s="40" t="str">
        <f>$D$1561</f>
        <v>GOZ</v>
      </c>
      <c r="S1602" s="40" t="str">
        <f>$D$1561</f>
        <v>GOZ</v>
      </c>
    </row>
    <row r="1603" spans="3:19" hidden="1" outlineLevel="1" x14ac:dyDescent="0.3">
      <c r="C1603" s="89" t="str">
        <f>RES_BA!D53</f>
        <v>Allowances Category 1</v>
      </c>
      <c r="M1603" s="40">
        <f>RES_BA!R53</f>
        <v>0</v>
      </c>
      <c r="O1603" s="40">
        <f>RES_BA!S53</f>
        <v>0</v>
      </c>
      <c r="Q1603" s="40">
        <f>RES_BA!T53</f>
        <v>0</v>
      </c>
      <c r="S1603" s="40">
        <f>RES_BA!U53</f>
        <v>0</v>
      </c>
    </row>
    <row r="1604" spans="3:19" hidden="1" outlineLevel="1" x14ac:dyDescent="0.3">
      <c r="C1604" s="89" t="str">
        <f>RES_BA!D54</f>
        <v>Allowances Category 2</v>
      </c>
      <c r="M1604" s="40">
        <f>RES_BA!R54</f>
        <v>0</v>
      </c>
      <c r="O1604" s="40">
        <f>RES_BA!S54</f>
        <v>0</v>
      </c>
      <c r="Q1604" s="40">
        <f>RES_BA!T54</f>
        <v>0</v>
      </c>
      <c r="S1604" s="40">
        <f>RES_BA!U54</f>
        <v>0</v>
      </c>
    </row>
    <row r="1605" spans="3:19" hidden="1" outlineLevel="1" x14ac:dyDescent="0.3">
      <c r="C1605" s="89" t="str">
        <f>RES_BA!D55</f>
        <v>Allowances Category 3</v>
      </c>
      <c r="M1605" s="40">
        <f>RES_BA!R55</f>
        <v>0</v>
      </c>
      <c r="O1605" s="40">
        <f>RES_BA!S55</f>
        <v>0</v>
      </c>
      <c r="Q1605" s="40">
        <f>RES_BA!T55</f>
        <v>0</v>
      </c>
      <c r="S1605" s="40">
        <f>RES_BA!U55</f>
        <v>0</v>
      </c>
    </row>
    <row r="1606" spans="3:19" hidden="1" outlineLevel="1" x14ac:dyDescent="0.3">
      <c r="C1606" s="89" t="str">
        <f>RES_BA!D56</f>
        <v>Allowances Category 4</v>
      </c>
      <c r="M1606" s="40">
        <f>RES_BA!R56</f>
        <v>0</v>
      </c>
      <c r="O1606" s="40">
        <f>RES_BA!S56</f>
        <v>0</v>
      </c>
      <c r="Q1606" s="40">
        <f>RES_BA!T56</f>
        <v>0</v>
      </c>
      <c r="S1606" s="40">
        <f>RES_BA!U56</f>
        <v>0</v>
      </c>
    </row>
    <row r="1607" spans="3:19" hidden="1" outlineLevel="1" x14ac:dyDescent="0.3">
      <c r="C1607" s="89" t="str">
        <f>RES_BA!D57</f>
        <v>Allowances Category 5</v>
      </c>
      <c r="M1607" s="40">
        <f>RES_BA!R57</f>
        <v>0</v>
      </c>
      <c r="O1607" s="40">
        <f>RES_BA!S57</f>
        <v>0</v>
      </c>
      <c r="Q1607" s="40">
        <f>RES_BA!T57</f>
        <v>0</v>
      </c>
      <c r="S1607" s="40">
        <f>RES_BA!U57</f>
        <v>0</v>
      </c>
    </row>
    <row r="1608" spans="3:19" s="277" customFormat="1" hidden="1" outlineLevel="1" collapsed="1" x14ac:dyDescent="0.3">
      <c r="C1608" s="283" t="str">
        <f>RES_BA!D58</f>
        <v>Allowances Category 6</v>
      </c>
      <c r="M1608" s="279">
        <f>RES_BA!R58</f>
        <v>0</v>
      </c>
      <c r="O1608" s="279">
        <f>RES_BA!S58</f>
        <v>0</v>
      </c>
      <c r="Q1608" s="279">
        <f>RES_BA!T58</f>
        <v>0</v>
      </c>
      <c r="S1608" s="279">
        <f>RES_BA!U58</f>
        <v>0</v>
      </c>
    </row>
    <row r="1609" spans="3:19" s="277" customFormat="1" hidden="1" outlineLevel="1" x14ac:dyDescent="0.3">
      <c r="C1609" s="283" t="str">
        <f>RES_BA!D59</f>
        <v>Allowances Category 7</v>
      </c>
      <c r="M1609" s="279">
        <f>RES_BA!R59</f>
        <v>0</v>
      </c>
      <c r="O1609" s="279">
        <f>RES_BA!S59</f>
        <v>0</v>
      </c>
      <c r="Q1609" s="279">
        <f>RES_BA!T59</f>
        <v>0</v>
      </c>
      <c r="S1609" s="279">
        <f>RES_BA!U59</f>
        <v>0</v>
      </c>
    </row>
    <row r="1610" spans="3:19" s="277" customFormat="1" hidden="1" outlineLevel="1" x14ac:dyDescent="0.3">
      <c r="C1610" s="283" t="str">
        <f>RES_BA!D60</f>
        <v>Allowances Category 8</v>
      </c>
      <c r="M1610" s="279">
        <f>RES_BA!R60</f>
        <v>0</v>
      </c>
      <c r="O1610" s="279">
        <f>RES_BA!S60</f>
        <v>0</v>
      </c>
      <c r="Q1610" s="279">
        <f>RES_BA!T60</f>
        <v>0</v>
      </c>
      <c r="S1610" s="279">
        <f>RES_BA!U60</f>
        <v>0</v>
      </c>
    </row>
    <row r="1611" spans="3:19" s="277" customFormat="1" hidden="1" outlineLevel="1" x14ac:dyDescent="0.3">
      <c r="C1611" s="283" t="str">
        <f>RES_BA!D61</f>
        <v>Allowances Category 9</v>
      </c>
      <c r="M1611" s="279">
        <f>RES_BA!R61</f>
        <v>0</v>
      </c>
      <c r="O1611" s="279">
        <f>RES_BA!S61</f>
        <v>0</v>
      </c>
      <c r="Q1611" s="279">
        <f>RES_BA!T61</f>
        <v>0</v>
      </c>
      <c r="S1611" s="279">
        <f>RES_BA!U61</f>
        <v>0</v>
      </c>
    </row>
    <row r="1612" spans="3:19" s="277" customFormat="1" hidden="1" outlineLevel="1" x14ac:dyDescent="0.3">
      <c r="C1612" s="283" t="str">
        <f>RES_BA!D62</f>
        <v>Allowances Category 10</v>
      </c>
      <c r="M1612" s="279">
        <f>RES_BA!R62</f>
        <v>0</v>
      </c>
      <c r="O1612" s="279">
        <f>RES_BA!S62</f>
        <v>0</v>
      </c>
      <c r="Q1612" s="279">
        <f>RES_BA!T62</f>
        <v>0</v>
      </c>
      <c r="S1612" s="279">
        <f>RES_BA!U62</f>
        <v>0</v>
      </c>
    </row>
    <row r="1613" spans="3:19" s="277" customFormat="1" hidden="1" outlineLevel="1" x14ac:dyDescent="0.3">
      <c r="C1613" s="283" t="str">
        <f>RES_BA!D63</f>
        <v>Allowances Category 11</v>
      </c>
      <c r="M1613" s="279">
        <f>RES_BA!R63</f>
        <v>0</v>
      </c>
      <c r="O1613" s="279">
        <f>RES_BA!S63</f>
        <v>0</v>
      </c>
      <c r="Q1613" s="279">
        <f>RES_BA!T63</f>
        <v>0</v>
      </c>
      <c r="S1613" s="279">
        <f>RES_BA!U63</f>
        <v>0</v>
      </c>
    </row>
    <row r="1614" spans="3:19" s="277" customFormat="1" hidden="1" outlineLevel="1" x14ac:dyDescent="0.3">
      <c r="C1614" s="283" t="str">
        <f>RES_BA!D64</f>
        <v>Allowances Category 12</v>
      </c>
      <c r="M1614" s="279">
        <f>RES_BA!R64</f>
        <v>0</v>
      </c>
      <c r="O1614" s="279">
        <f>RES_BA!S64</f>
        <v>0</v>
      </c>
      <c r="Q1614" s="279">
        <f>RES_BA!T64</f>
        <v>0</v>
      </c>
      <c r="S1614" s="279">
        <f>RES_BA!U64</f>
        <v>0</v>
      </c>
    </row>
    <row r="1615" spans="3:19" s="277" customFormat="1" hidden="1" outlineLevel="1" x14ac:dyDescent="0.3">
      <c r="C1615" s="283" t="str">
        <f>RES_BA!D65</f>
        <v>Allowances Category 13</v>
      </c>
      <c r="M1615" s="279">
        <f>RES_BA!R65</f>
        <v>0</v>
      </c>
      <c r="O1615" s="279">
        <f>RES_BA!S65</f>
        <v>0</v>
      </c>
      <c r="Q1615" s="279">
        <f>RES_BA!T65</f>
        <v>0</v>
      </c>
      <c r="S1615" s="279">
        <f>RES_BA!U65</f>
        <v>0</v>
      </c>
    </row>
    <row r="1616" spans="3:19" s="277" customFormat="1" hidden="1" outlineLevel="1" x14ac:dyDescent="0.3">
      <c r="C1616" s="283" t="str">
        <f>RES_BA!D66</f>
        <v>Allowances Category 14</v>
      </c>
      <c r="M1616" s="279">
        <f>RES_BA!R66</f>
        <v>0</v>
      </c>
      <c r="O1616" s="279">
        <f>RES_BA!S66</f>
        <v>0</v>
      </c>
      <c r="Q1616" s="279">
        <f>RES_BA!T66</f>
        <v>0</v>
      </c>
      <c r="S1616" s="279">
        <f>RES_BA!U66</f>
        <v>0</v>
      </c>
    </row>
    <row r="1617" spans="3:19" s="277" customFormat="1" hidden="1" outlineLevel="1" x14ac:dyDescent="0.3">
      <c r="C1617" s="283" t="str">
        <f>RES_BA!D67</f>
        <v>Allowances Category 15</v>
      </c>
      <c r="M1617" s="279">
        <f>RES_BA!R67</f>
        <v>0</v>
      </c>
      <c r="O1617" s="279">
        <f>RES_BA!S67</f>
        <v>0</v>
      </c>
      <c r="Q1617" s="279">
        <f>RES_BA!T67</f>
        <v>0</v>
      </c>
      <c r="S1617" s="279">
        <f>RES_BA!U67</f>
        <v>0</v>
      </c>
    </row>
    <row r="1618" spans="3:19" s="277" customFormat="1" hidden="1" outlineLevel="1" x14ac:dyDescent="0.3">
      <c r="C1618" s="283" t="str">
        <f>RES_BA!D68</f>
        <v>Allowances Category 16</v>
      </c>
      <c r="M1618" s="279">
        <f>RES_BA!R68</f>
        <v>0</v>
      </c>
      <c r="O1618" s="279">
        <f>RES_BA!S68</f>
        <v>0</v>
      </c>
      <c r="Q1618" s="279">
        <f>RES_BA!T68</f>
        <v>0</v>
      </c>
      <c r="S1618" s="279">
        <f>RES_BA!U68</f>
        <v>0</v>
      </c>
    </row>
    <row r="1619" spans="3:19" hidden="1" outlineLevel="1" x14ac:dyDescent="0.3">
      <c r="C1619" s="89" t="str">
        <f>RES_BA!D69</f>
        <v>Allowances Category 17</v>
      </c>
      <c r="M1619" s="40">
        <f>RES_BA!R69</f>
        <v>0</v>
      </c>
      <c r="O1619" s="40">
        <f>RES_BA!S69</f>
        <v>0</v>
      </c>
      <c r="Q1619" s="40">
        <f>RES_BA!T69</f>
        <v>0</v>
      </c>
      <c r="S1619" s="40">
        <f>RES_BA!U69</f>
        <v>0</v>
      </c>
    </row>
    <row r="1620" spans="3:19" hidden="1" outlineLevel="1" x14ac:dyDescent="0.3">
      <c r="C1620" s="89" t="str">
        <f>RES_BA!D70</f>
        <v>Allowances Category 18</v>
      </c>
      <c r="M1620" s="40">
        <f>RES_BA!R70</f>
        <v>0</v>
      </c>
      <c r="O1620" s="40">
        <f>RES_BA!S70</f>
        <v>0</v>
      </c>
      <c r="Q1620" s="40">
        <f>RES_BA!T70</f>
        <v>0</v>
      </c>
      <c r="S1620" s="40">
        <f>RES_BA!U70</f>
        <v>0</v>
      </c>
    </row>
    <row r="1621" spans="3:19" hidden="1" outlineLevel="1" x14ac:dyDescent="0.3">
      <c r="C1621" s="89" t="str">
        <f>RES_BA!D71</f>
        <v>Allowances Category 19</v>
      </c>
      <c r="M1621" s="40">
        <f>RES_BA!R71</f>
        <v>0</v>
      </c>
      <c r="O1621" s="40">
        <f>RES_BA!S71</f>
        <v>0</v>
      </c>
      <c r="Q1621" s="40">
        <f>RES_BA!T71</f>
        <v>0</v>
      </c>
      <c r="S1621" s="40">
        <f>RES_BA!U71</f>
        <v>0</v>
      </c>
    </row>
    <row r="1622" spans="3:19" hidden="1" outlineLevel="1" x14ac:dyDescent="0.3">
      <c r="C1622" s="89" t="str">
        <f>RES_BA!D72</f>
        <v>Allowances Category 20</v>
      </c>
      <c r="M1622" s="40">
        <f>RES_BA!R72</f>
        <v>0</v>
      </c>
      <c r="O1622" s="40">
        <f>RES_BA!S72</f>
        <v>0</v>
      </c>
      <c r="Q1622" s="40">
        <f>RES_BA!T72</f>
        <v>0</v>
      </c>
      <c r="S1622" s="40">
        <f>RES_BA!U72</f>
        <v>0</v>
      </c>
    </row>
    <row r="1623" spans="3:19" hidden="1" outlineLevel="1" x14ac:dyDescent="0.3">
      <c r="C1623" s="89" t="str">
        <f>RES_BA!D73</f>
        <v>Allowances Category 21</v>
      </c>
      <c r="M1623" s="40">
        <f>RES_BA!R73</f>
        <v>0</v>
      </c>
      <c r="O1623" s="40">
        <f>RES_BA!S73</f>
        <v>0</v>
      </c>
      <c r="Q1623" s="40">
        <f>RES_BA!T73</f>
        <v>0</v>
      </c>
      <c r="S1623" s="40">
        <f>RES_BA!U73</f>
        <v>0</v>
      </c>
    </row>
    <row r="1624" spans="3:19" hidden="1" outlineLevel="1" x14ac:dyDescent="0.3">
      <c r="C1624" s="89" t="str">
        <f>RES_BA!D74</f>
        <v>Allowances Category 22</v>
      </c>
      <c r="M1624" s="40">
        <f>RES_BA!R74</f>
        <v>0</v>
      </c>
      <c r="O1624" s="40">
        <f>RES_BA!S74</f>
        <v>0</v>
      </c>
      <c r="Q1624" s="40">
        <f>RES_BA!T74</f>
        <v>0</v>
      </c>
      <c r="S1624" s="40">
        <f>RES_BA!U74</f>
        <v>0</v>
      </c>
    </row>
    <row r="1625" spans="3:19" hidden="1" outlineLevel="1" x14ac:dyDescent="0.3">
      <c r="C1625" s="89" t="str">
        <f>RES_BA!D75</f>
        <v>Allowances Category 23</v>
      </c>
      <c r="M1625" s="40">
        <f>RES_BA!R75</f>
        <v>0</v>
      </c>
      <c r="O1625" s="40">
        <f>RES_BA!S75</f>
        <v>0</v>
      </c>
      <c r="Q1625" s="40">
        <f>RES_BA!T75</f>
        <v>0</v>
      </c>
      <c r="S1625" s="40">
        <f>RES_BA!U75</f>
        <v>0</v>
      </c>
    </row>
    <row r="1626" spans="3:19" s="277" customFormat="1" hidden="1" outlineLevel="1" collapsed="1" x14ac:dyDescent="0.3">
      <c r="C1626" s="283" t="str">
        <f>RES_BA!D76</f>
        <v>Allowances Category 24</v>
      </c>
      <c r="M1626" s="279">
        <f>RES_BA!R76</f>
        <v>0</v>
      </c>
      <c r="O1626" s="279">
        <f>RES_BA!S76</f>
        <v>0</v>
      </c>
      <c r="Q1626" s="279">
        <f>RES_BA!T76</f>
        <v>0</v>
      </c>
      <c r="S1626" s="279">
        <f>RES_BA!U76</f>
        <v>0</v>
      </c>
    </row>
    <row r="1627" spans="3:19" s="277" customFormat="1" hidden="1" outlineLevel="1" x14ac:dyDescent="0.3">
      <c r="C1627" s="283" t="str">
        <f>RES_BA!D77</f>
        <v>Allowances Category 25</v>
      </c>
      <c r="M1627" s="279">
        <f>RES_BA!R77</f>
        <v>0</v>
      </c>
      <c r="O1627" s="279">
        <f>RES_BA!S77</f>
        <v>0</v>
      </c>
      <c r="Q1627" s="279">
        <f>RES_BA!T77</f>
        <v>0</v>
      </c>
      <c r="S1627" s="279">
        <f>RES_BA!U77</f>
        <v>0</v>
      </c>
    </row>
    <row r="1628" spans="3:19" s="277" customFormat="1" hidden="1" outlineLevel="1" x14ac:dyDescent="0.3">
      <c r="C1628" s="283" t="str">
        <f>RES_BA!D78</f>
        <v>Allowances Category 26</v>
      </c>
      <c r="M1628" s="279">
        <f>RES_BA!R78</f>
        <v>0</v>
      </c>
      <c r="O1628" s="279">
        <f>RES_BA!S78</f>
        <v>0</v>
      </c>
      <c r="Q1628" s="279">
        <f>RES_BA!T78</f>
        <v>0</v>
      </c>
      <c r="S1628" s="279">
        <f>RES_BA!U78</f>
        <v>0</v>
      </c>
    </row>
    <row r="1629" spans="3:19" s="277" customFormat="1" hidden="1" outlineLevel="1" x14ac:dyDescent="0.3">
      <c r="C1629" s="283" t="str">
        <f>RES_BA!D79</f>
        <v>Allowances Category 27</v>
      </c>
      <c r="M1629" s="279">
        <f>RES_BA!R79</f>
        <v>0</v>
      </c>
      <c r="O1629" s="279">
        <f>RES_BA!S79</f>
        <v>0</v>
      </c>
      <c r="Q1629" s="279">
        <f>RES_BA!T79</f>
        <v>0</v>
      </c>
      <c r="S1629" s="279">
        <f>RES_BA!U79</f>
        <v>0</v>
      </c>
    </row>
    <row r="1630" spans="3:19" s="277" customFormat="1" hidden="1" outlineLevel="1" x14ac:dyDescent="0.3">
      <c r="C1630" s="283" t="str">
        <f>RES_BA!D80</f>
        <v>Allowances Category 28</v>
      </c>
      <c r="M1630" s="279">
        <f>RES_BA!R80</f>
        <v>0</v>
      </c>
      <c r="O1630" s="279">
        <f>RES_BA!S80</f>
        <v>0</v>
      </c>
      <c r="Q1630" s="279">
        <f>RES_BA!T80</f>
        <v>0</v>
      </c>
      <c r="S1630" s="279">
        <f>RES_BA!U80</f>
        <v>0</v>
      </c>
    </row>
    <row r="1631" spans="3:19" s="277" customFormat="1" hidden="1" outlineLevel="1" x14ac:dyDescent="0.3">
      <c r="C1631" s="283" t="str">
        <f>RES_BA!D81</f>
        <v>Allowances Category 29</v>
      </c>
      <c r="M1631" s="279">
        <f>RES_BA!R81</f>
        <v>0</v>
      </c>
      <c r="O1631" s="279">
        <f>RES_BA!S81</f>
        <v>0</v>
      </c>
      <c r="Q1631" s="279">
        <f>RES_BA!T81</f>
        <v>0</v>
      </c>
      <c r="S1631" s="279">
        <f>RES_BA!U81</f>
        <v>0</v>
      </c>
    </row>
    <row r="1632" spans="3:19" s="277" customFormat="1" hidden="1" outlineLevel="1" x14ac:dyDescent="0.3">
      <c r="C1632" s="283" t="str">
        <f>RES_BA!D82</f>
        <v>Allowances Category 30</v>
      </c>
      <c r="M1632" s="279">
        <f>RES_BA!R82</f>
        <v>0</v>
      </c>
      <c r="O1632" s="279">
        <f>RES_BA!S82</f>
        <v>0</v>
      </c>
      <c r="Q1632" s="279">
        <f>RES_BA!T82</f>
        <v>0</v>
      </c>
      <c r="S1632" s="279">
        <f>RES_BA!U82</f>
        <v>0</v>
      </c>
    </row>
    <row r="1633" spans="3:19" hidden="1" outlineLevel="1" x14ac:dyDescent="0.3">
      <c r="C1633" s="89" t="str">
        <f>RES_BA!D83</f>
        <v>Allowances Category 31</v>
      </c>
      <c r="M1633" s="40">
        <f>RES_BA!R83</f>
        <v>0</v>
      </c>
      <c r="O1633" s="40">
        <f>RES_BA!S83</f>
        <v>0</v>
      </c>
      <c r="Q1633" s="40">
        <f>RES_BA!T83</f>
        <v>0</v>
      </c>
      <c r="S1633" s="40">
        <f>RES_BA!U83</f>
        <v>0</v>
      </c>
    </row>
    <row r="1634" spans="3:19" hidden="1" outlineLevel="1" x14ac:dyDescent="0.3">
      <c r="C1634" s="89" t="str">
        <f>RES_BA!D84</f>
        <v>Allowances Category 32</v>
      </c>
      <c r="M1634" s="40">
        <f>RES_BA!R84</f>
        <v>0</v>
      </c>
      <c r="O1634" s="40">
        <f>RES_BA!S84</f>
        <v>0</v>
      </c>
      <c r="Q1634" s="40">
        <f>RES_BA!T84</f>
        <v>0</v>
      </c>
      <c r="S1634" s="40">
        <f>RES_BA!U84</f>
        <v>0</v>
      </c>
    </row>
    <row r="1635" spans="3:19" hidden="1" outlineLevel="1" x14ac:dyDescent="0.3">
      <c r="C1635" s="89" t="str">
        <f>RES_BA!D85</f>
        <v>Allowances Category 33</v>
      </c>
      <c r="M1635" s="40">
        <f>RES_BA!R85</f>
        <v>0</v>
      </c>
      <c r="O1635" s="40">
        <f>RES_BA!S85</f>
        <v>0</v>
      </c>
      <c r="Q1635" s="40">
        <f>RES_BA!T85</f>
        <v>0</v>
      </c>
      <c r="S1635" s="40">
        <f>RES_BA!U85</f>
        <v>0</v>
      </c>
    </row>
    <row r="1636" spans="3:19" hidden="1" outlineLevel="1" x14ac:dyDescent="0.3">
      <c r="C1636" s="89" t="str">
        <f>RES_BA!D86</f>
        <v>Allowances Category 34</v>
      </c>
      <c r="M1636" s="40">
        <f>RES_BA!R86</f>
        <v>0</v>
      </c>
      <c r="O1636" s="40">
        <f>RES_BA!S86</f>
        <v>0</v>
      </c>
      <c r="Q1636" s="40">
        <f>RES_BA!T86</f>
        <v>0</v>
      </c>
      <c r="S1636" s="40">
        <f>RES_BA!U86</f>
        <v>0</v>
      </c>
    </row>
    <row r="1637" spans="3:19" hidden="1" outlineLevel="1" x14ac:dyDescent="0.3">
      <c r="C1637" s="89" t="str">
        <f>RES_BA!D87</f>
        <v>Allowances Category 35</v>
      </c>
      <c r="M1637" s="40">
        <f>RES_BA!R87</f>
        <v>0</v>
      </c>
      <c r="O1637" s="40">
        <f>RES_BA!S87</f>
        <v>0</v>
      </c>
      <c r="Q1637" s="40">
        <f>RES_BA!T87</f>
        <v>0</v>
      </c>
      <c r="S1637" s="40">
        <f>RES_BA!U87</f>
        <v>0</v>
      </c>
    </row>
    <row r="1638" spans="3:19" hidden="1" outlineLevel="1" x14ac:dyDescent="0.3"/>
    <row r="1639" spans="3:19" hidden="1" outlineLevel="1" x14ac:dyDescent="0.3"/>
    <row r="1640" spans="3:19" hidden="1" outlineLevel="1" x14ac:dyDescent="0.3">
      <c r="M1640" s="40" t="str">
        <f>$D$1560</f>
        <v>USD</v>
      </c>
      <c r="O1640" s="40" t="str">
        <f>$D$1560</f>
        <v>USD</v>
      </c>
      <c r="Q1640" s="40" t="str">
        <f>$D$1561</f>
        <v>GOZ</v>
      </c>
      <c r="S1640" s="40" t="str">
        <f>$D$1561</f>
        <v>GOZ</v>
      </c>
    </row>
    <row r="1641" spans="3:19" hidden="1" outlineLevel="1" x14ac:dyDescent="0.3">
      <c r="C1641" s="89" t="str">
        <f>RES_BA!D91</f>
        <v>Supplies Category 1</v>
      </c>
      <c r="M1641" s="40">
        <f>RES_BA!R91</f>
        <v>0</v>
      </c>
      <c r="O1641" s="40">
        <f>RES_BA!S91</f>
        <v>0</v>
      </c>
      <c r="Q1641" s="40">
        <f>RES_BA!T91</f>
        <v>0</v>
      </c>
      <c r="S1641" s="40">
        <f>RES_BA!U91</f>
        <v>0</v>
      </c>
    </row>
    <row r="1642" spans="3:19" hidden="1" outlineLevel="1" x14ac:dyDescent="0.3">
      <c r="C1642" s="89" t="str">
        <f>RES_BA!D92</f>
        <v>Supplies Category 2</v>
      </c>
      <c r="M1642" s="40">
        <f>RES_BA!R92</f>
        <v>0</v>
      </c>
      <c r="O1642" s="40">
        <f>RES_BA!S92</f>
        <v>0</v>
      </c>
      <c r="Q1642" s="40">
        <f>RES_BA!T92</f>
        <v>0</v>
      </c>
      <c r="S1642" s="40">
        <f>RES_BA!U92</f>
        <v>0</v>
      </c>
    </row>
    <row r="1643" spans="3:19" hidden="1" outlineLevel="1" x14ac:dyDescent="0.3">
      <c r="C1643" s="89" t="str">
        <f>RES_BA!D93</f>
        <v>Supplies Category 3</v>
      </c>
      <c r="M1643" s="40">
        <f>RES_BA!R93</f>
        <v>0</v>
      </c>
      <c r="O1643" s="40">
        <f>RES_BA!S93</f>
        <v>0</v>
      </c>
      <c r="Q1643" s="40">
        <f>RES_BA!T93</f>
        <v>0</v>
      </c>
      <c r="S1643" s="40">
        <f>RES_BA!U93</f>
        <v>0</v>
      </c>
    </row>
    <row r="1644" spans="3:19" hidden="1" outlineLevel="1" x14ac:dyDescent="0.3">
      <c r="C1644" s="89" t="str">
        <f>RES_BA!D94</f>
        <v>Supplies Category 4</v>
      </c>
      <c r="M1644" s="40">
        <f>RES_BA!R94</f>
        <v>0</v>
      </c>
      <c r="O1644" s="40">
        <f>RES_BA!S94</f>
        <v>0</v>
      </c>
      <c r="Q1644" s="40">
        <f>RES_BA!T94</f>
        <v>0</v>
      </c>
      <c r="S1644" s="40">
        <f>RES_BA!U94</f>
        <v>0</v>
      </c>
    </row>
    <row r="1645" spans="3:19" hidden="1" outlineLevel="1" x14ac:dyDescent="0.3">
      <c r="C1645" s="89" t="str">
        <f>RES_BA!D95</f>
        <v>Supplies Category 5</v>
      </c>
      <c r="M1645" s="40">
        <f>RES_BA!R95</f>
        <v>0</v>
      </c>
      <c r="O1645" s="40">
        <f>RES_BA!S95</f>
        <v>0</v>
      </c>
      <c r="Q1645" s="40">
        <f>RES_BA!T95</f>
        <v>0</v>
      </c>
      <c r="S1645" s="40">
        <f>RES_BA!U95</f>
        <v>0</v>
      </c>
    </row>
    <row r="1646" spans="3:19" hidden="1" outlineLevel="1" x14ac:dyDescent="0.3">
      <c r="C1646" s="89" t="str">
        <f>RES_BA!D96</f>
        <v>Supplies Category 6</v>
      </c>
      <c r="M1646" s="40">
        <f>RES_BA!R96</f>
        <v>0</v>
      </c>
      <c r="O1646" s="40">
        <f>RES_BA!S96</f>
        <v>0</v>
      </c>
      <c r="Q1646" s="40">
        <f>RES_BA!T96</f>
        <v>0</v>
      </c>
      <c r="S1646" s="40">
        <f>RES_BA!U96</f>
        <v>0</v>
      </c>
    </row>
    <row r="1647" spans="3:19" hidden="1" outlineLevel="1" x14ac:dyDescent="0.3">
      <c r="C1647" s="89" t="str">
        <f>RES_BA!D97</f>
        <v>Supplies Category 7</v>
      </c>
      <c r="M1647" s="40">
        <f>RES_BA!R97</f>
        <v>0</v>
      </c>
      <c r="O1647" s="40">
        <f>RES_BA!S97</f>
        <v>0</v>
      </c>
      <c r="Q1647" s="40">
        <f>RES_BA!T97</f>
        <v>0</v>
      </c>
      <c r="S1647" s="40">
        <f>RES_BA!U97</f>
        <v>0</v>
      </c>
    </row>
    <row r="1648" spans="3:19" hidden="1" outlineLevel="1" x14ac:dyDescent="0.3">
      <c r="C1648" s="89" t="str">
        <f>RES_BA!D98</f>
        <v>Supplies Category 8</v>
      </c>
      <c r="M1648" s="40">
        <f>RES_BA!R98</f>
        <v>0</v>
      </c>
      <c r="O1648" s="40">
        <f>RES_BA!S98</f>
        <v>0</v>
      </c>
      <c r="Q1648" s="40">
        <f>RES_BA!T98</f>
        <v>0</v>
      </c>
      <c r="S1648" s="40">
        <f>RES_BA!U98</f>
        <v>0</v>
      </c>
    </row>
    <row r="1649" spans="3:19" hidden="1" outlineLevel="1" x14ac:dyDescent="0.3">
      <c r="C1649" s="89" t="str">
        <f>RES_BA!D99</f>
        <v>Supplies Category 9</v>
      </c>
      <c r="M1649" s="40">
        <f>RES_BA!R99</f>
        <v>0</v>
      </c>
      <c r="O1649" s="40">
        <f>RES_BA!S99</f>
        <v>0</v>
      </c>
      <c r="Q1649" s="40">
        <f>RES_BA!T99</f>
        <v>0</v>
      </c>
      <c r="S1649" s="40">
        <f>RES_BA!U99</f>
        <v>0</v>
      </c>
    </row>
    <row r="1650" spans="3:19" hidden="1" outlineLevel="1" x14ac:dyDescent="0.3">
      <c r="C1650" s="89" t="str">
        <f>RES_BA!D100</f>
        <v>Supplies Category 10</v>
      </c>
      <c r="M1650" s="40">
        <f>RES_BA!R100</f>
        <v>0</v>
      </c>
      <c r="O1650" s="40">
        <f>RES_BA!S100</f>
        <v>0</v>
      </c>
      <c r="Q1650" s="40">
        <f>RES_BA!T100</f>
        <v>0</v>
      </c>
      <c r="S1650" s="40">
        <f>RES_BA!U100</f>
        <v>0</v>
      </c>
    </row>
    <row r="1651" spans="3:19" hidden="1" outlineLevel="1" x14ac:dyDescent="0.3">
      <c r="C1651" s="89" t="str">
        <f>RES_BA!D101</f>
        <v>Supplies Category 11</v>
      </c>
      <c r="M1651" s="40">
        <f>RES_BA!R101</f>
        <v>0</v>
      </c>
      <c r="O1651" s="40">
        <f>RES_BA!S101</f>
        <v>0</v>
      </c>
      <c r="Q1651" s="40">
        <f>RES_BA!T101</f>
        <v>0</v>
      </c>
      <c r="S1651" s="40">
        <f>RES_BA!U101</f>
        <v>0</v>
      </c>
    </row>
    <row r="1652" spans="3:19" hidden="1" outlineLevel="1" x14ac:dyDescent="0.3">
      <c r="C1652" s="89" t="str">
        <f>RES_BA!D102</f>
        <v>Supplies Category 12</v>
      </c>
      <c r="M1652" s="40">
        <f>RES_BA!R102</f>
        <v>0</v>
      </c>
      <c r="O1652" s="40">
        <f>RES_BA!S102</f>
        <v>0</v>
      </c>
      <c r="Q1652" s="40">
        <f>RES_BA!T102</f>
        <v>0</v>
      </c>
      <c r="S1652" s="40">
        <f>RES_BA!U102</f>
        <v>0</v>
      </c>
    </row>
    <row r="1653" spans="3:19" hidden="1" outlineLevel="1" x14ac:dyDescent="0.3">
      <c r="C1653" s="89" t="str">
        <f>RES_BA!D103</f>
        <v>Supplies Category 13</v>
      </c>
      <c r="M1653" s="40">
        <f>RES_BA!R103</f>
        <v>0</v>
      </c>
      <c r="O1653" s="40">
        <f>RES_BA!S103</f>
        <v>0</v>
      </c>
      <c r="Q1653" s="40">
        <f>RES_BA!T103</f>
        <v>0</v>
      </c>
      <c r="S1653" s="40">
        <f>RES_BA!U103</f>
        <v>0</v>
      </c>
    </row>
    <row r="1654" spans="3:19" hidden="1" outlineLevel="1" x14ac:dyDescent="0.3">
      <c r="C1654" s="89" t="str">
        <f>RES_BA!D104</f>
        <v>Supplies Category 14</v>
      </c>
      <c r="M1654" s="40">
        <f>RES_BA!R104</f>
        <v>0</v>
      </c>
      <c r="O1654" s="40">
        <f>RES_BA!S104</f>
        <v>0</v>
      </c>
      <c r="Q1654" s="40">
        <f>RES_BA!T104</f>
        <v>0</v>
      </c>
      <c r="S1654" s="40">
        <f>RES_BA!U104</f>
        <v>0</v>
      </c>
    </row>
    <row r="1655" spans="3:19" hidden="1" outlineLevel="1" x14ac:dyDescent="0.3">
      <c r="C1655" s="89" t="str">
        <f>RES_BA!D105</f>
        <v>Supplies Category 15</v>
      </c>
      <c r="M1655" s="40">
        <f>RES_BA!R105</f>
        <v>0</v>
      </c>
      <c r="O1655" s="40">
        <f>RES_BA!S105</f>
        <v>0</v>
      </c>
      <c r="Q1655" s="40">
        <f>RES_BA!T105</f>
        <v>0</v>
      </c>
      <c r="S1655" s="40">
        <f>RES_BA!U105</f>
        <v>0</v>
      </c>
    </row>
    <row r="1656" spans="3:19" hidden="1" outlineLevel="1" x14ac:dyDescent="0.3">
      <c r="C1656" s="89" t="str">
        <f>RES_BA!D106</f>
        <v>Supplies Category 16</v>
      </c>
      <c r="M1656" s="40">
        <f>RES_BA!R106</f>
        <v>0</v>
      </c>
      <c r="O1656" s="40">
        <f>RES_BA!S106</f>
        <v>0</v>
      </c>
      <c r="Q1656" s="40">
        <f>RES_BA!T106</f>
        <v>0</v>
      </c>
      <c r="S1656" s="40">
        <f>RES_BA!U106</f>
        <v>0</v>
      </c>
    </row>
    <row r="1657" spans="3:19" s="277" customFormat="1" hidden="1" outlineLevel="1" collapsed="1" x14ac:dyDescent="0.3">
      <c r="C1657" s="283" t="str">
        <f>RES_BA!D107</f>
        <v>Supplies Category 17</v>
      </c>
      <c r="M1657" s="279">
        <f>RES_BA!R107</f>
        <v>0</v>
      </c>
      <c r="O1657" s="279">
        <f>RES_BA!S107</f>
        <v>0</v>
      </c>
      <c r="Q1657" s="279">
        <f>RES_BA!T107</f>
        <v>0</v>
      </c>
      <c r="S1657" s="279">
        <f>RES_BA!U107</f>
        <v>0</v>
      </c>
    </row>
    <row r="1658" spans="3:19" s="277" customFormat="1" hidden="1" outlineLevel="1" x14ac:dyDescent="0.3">
      <c r="C1658" s="283" t="str">
        <f>RES_BA!D108</f>
        <v>Supplies Category 18</v>
      </c>
      <c r="M1658" s="279">
        <f>RES_BA!R108</f>
        <v>0</v>
      </c>
      <c r="O1658" s="279">
        <f>RES_BA!S108</f>
        <v>0</v>
      </c>
      <c r="Q1658" s="279">
        <f>RES_BA!T108</f>
        <v>0</v>
      </c>
      <c r="S1658" s="279">
        <f>RES_BA!U108</f>
        <v>0</v>
      </c>
    </row>
    <row r="1659" spans="3:19" s="277" customFormat="1" hidden="1" outlineLevel="1" x14ac:dyDescent="0.3">
      <c r="C1659" s="283" t="str">
        <f>RES_BA!D109</f>
        <v>Supplies Category 19</v>
      </c>
      <c r="M1659" s="279">
        <f>RES_BA!R109</f>
        <v>0</v>
      </c>
      <c r="O1659" s="279">
        <f>RES_BA!S109</f>
        <v>0</v>
      </c>
      <c r="Q1659" s="279">
        <f>RES_BA!T109</f>
        <v>0</v>
      </c>
      <c r="S1659" s="279">
        <f>RES_BA!U109</f>
        <v>0</v>
      </c>
    </row>
    <row r="1660" spans="3:19" s="277" customFormat="1" hidden="1" outlineLevel="1" x14ac:dyDescent="0.3">
      <c r="C1660" s="283" t="str">
        <f>RES_BA!D110</f>
        <v>Supplies Category 20</v>
      </c>
      <c r="M1660" s="279">
        <f>RES_BA!R110</f>
        <v>0</v>
      </c>
      <c r="O1660" s="279">
        <f>RES_BA!S110</f>
        <v>0</v>
      </c>
      <c r="Q1660" s="279">
        <f>RES_BA!T110</f>
        <v>0</v>
      </c>
      <c r="S1660" s="279">
        <f>RES_BA!U110</f>
        <v>0</v>
      </c>
    </row>
    <row r="1661" spans="3:19" s="277" customFormat="1" hidden="1" outlineLevel="1" x14ac:dyDescent="0.3">
      <c r="C1661" s="283" t="str">
        <f>RES_BA!D111</f>
        <v>Supplies Category 21</v>
      </c>
      <c r="M1661" s="279">
        <f>RES_BA!R111</f>
        <v>0</v>
      </c>
      <c r="O1661" s="279">
        <f>RES_BA!S111</f>
        <v>0</v>
      </c>
      <c r="Q1661" s="279">
        <f>RES_BA!T111</f>
        <v>0</v>
      </c>
      <c r="S1661" s="279">
        <f>RES_BA!U111</f>
        <v>0</v>
      </c>
    </row>
    <row r="1662" spans="3:19" s="277" customFormat="1" hidden="1" outlineLevel="1" x14ac:dyDescent="0.3">
      <c r="C1662" s="283" t="str">
        <f>RES_BA!D112</f>
        <v>Supplies Category 22</v>
      </c>
      <c r="M1662" s="279">
        <f>RES_BA!R112</f>
        <v>0</v>
      </c>
      <c r="O1662" s="279">
        <f>RES_BA!S112</f>
        <v>0</v>
      </c>
      <c r="Q1662" s="279">
        <f>RES_BA!T112</f>
        <v>0</v>
      </c>
      <c r="S1662" s="279">
        <f>RES_BA!U112</f>
        <v>0</v>
      </c>
    </row>
    <row r="1663" spans="3:19" s="277" customFormat="1" hidden="1" outlineLevel="1" x14ac:dyDescent="0.3">
      <c r="C1663" s="283" t="str">
        <f>RES_BA!D113</f>
        <v>Supplies Category 23</v>
      </c>
      <c r="M1663" s="279">
        <f>RES_BA!R113</f>
        <v>0</v>
      </c>
      <c r="O1663" s="279">
        <f>RES_BA!S113</f>
        <v>0</v>
      </c>
      <c r="Q1663" s="279">
        <f>RES_BA!T113</f>
        <v>0</v>
      </c>
      <c r="S1663" s="279">
        <f>RES_BA!U113</f>
        <v>0</v>
      </c>
    </row>
    <row r="1664" spans="3:19" s="277" customFormat="1" hidden="1" outlineLevel="1" x14ac:dyDescent="0.3">
      <c r="C1664" s="283" t="str">
        <f>RES_BA!D114</f>
        <v>Supplies Category 24</v>
      </c>
      <c r="M1664" s="279">
        <f>RES_BA!R114</f>
        <v>0</v>
      </c>
      <c r="O1664" s="279">
        <f>RES_BA!S114</f>
        <v>0</v>
      </c>
      <c r="Q1664" s="279">
        <f>RES_BA!T114</f>
        <v>0</v>
      </c>
      <c r="S1664" s="279">
        <f>RES_BA!U114</f>
        <v>0</v>
      </c>
    </row>
    <row r="1665" spans="3:19" s="277" customFormat="1" hidden="1" outlineLevel="1" x14ac:dyDescent="0.3">
      <c r="C1665" s="283" t="str">
        <f>RES_BA!D115</f>
        <v>Supplies Category 25</v>
      </c>
      <c r="M1665" s="279">
        <f>RES_BA!R115</f>
        <v>0</v>
      </c>
      <c r="O1665" s="279">
        <f>RES_BA!S115</f>
        <v>0</v>
      </c>
      <c r="Q1665" s="279">
        <f>RES_BA!T115</f>
        <v>0</v>
      </c>
      <c r="S1665" s="279">
        <f>RES_BA!U115</f>
        <v>0</v>
      </c>
    </row>
    <row r="1666" spans="3:19" s="277" customFormat="1" hidden="1" outlineLevel="1" x14ac:dyDescent="0.3">
      <c r="C1666" s="283" t="str">
        <f>RES_BA!D116</f>
        <v>Supplies Category 26</v>
      </c>
      <c r="M1666" s="279">
        <f>RES_BA!R116</f>
        <v>0</v>
      </c>
      <c r="O1666" s="279">
        <f>RES_BA!S116</f>
        <v>0</v>
      </c>
      <c r="Q1666" s="279">
        <f>RES_BA!T116</f>
        <v>0</v>
      </c>
      <c r="S1666" s="279">
        <f>RES_BA!U116</f>
        <v>0</v>
      </c>
    </row>
    <row r="1667" spans="3:19" s="277" customFormat="1" hidden="1" outlineLevel="1" x14ac:dyDescent="0.3">
      <c r="C1667" s="283" t="str">
        <f>RES_BA!D117</f>
        <v>Supplies Category 27</v>
      </c>
      <c r="M1667" s="279">
        <f>RES_BA!R117</f>
        <v>0</v>
      </c>
      <c r="O1667" s="279">
        <f>RES_BA!S117</f>
        <v>0</v>
      </c>
      <c r="Q1667" s="279">
        <f>RES_BA!T117</f>
        <v>0</v>
      </c>
      <c r="S1667" s="279">
        <f>RES_BA!U117</f>
        <v>0</v>
      </c>
    </row>
    <row r="1668" spans="3:19" s="277" customFormat="1" hidden="1" outlineLevel="1" x14ac:dyDescent="0.3">
      <c r="C1668" s="283" t="str">
        <f>RES_BA!D118</f>
        <v>Supplies Category 28</v>
      </c>
      <c r="M1668" s="279">
        <f>RES_BA!R118</f>
        <v>0</v>
      </c>
      <c r="O1668" s="279">
        <f>RES_BA!S118</f>
        <v>0</v>
      </c>
      <c r="Q1668" s="279">
        <f>RES_BA!T118</f>
        <v>0</v>
      </c>
      <c r="S1668" s="279">
        <f>RES_BA!U118</f>
        <v>0</v>
      </c>
    </row>
    <row r="1669" spans="3:19" s="277" customFormat="1" hidden="1" outlineLevel="1" x14ac:dyDescent="0.3">
      <c r="C1669" s="283" t="str">
        <f>RES_BA!D119</f>
        <v>Supplies Category 29</v>
      </c>
      <c r="M1669" s="279">
        <f>RES_BA!R119</f>
        <v>0</v>
      </c>
      <c r="O1669" s="279">
        <f>RES_BA!S119</f>
        <v>0</v>
      </c>
      <c r="Q1669" s="279">
        <f>RES_BA!T119</f>
        <v>0</v>
      </c>
      <c r="S1669" s="279">
        <f>RES_BA!U119</f>
        <v>0</v>
      </c>
    </row>
    <row r="1670" spans="3:19" s="277" customFormat="1" hidden="1" outlineLevel="1" collapsed="1" x14ac:dyDescent="0.3">
      <c r="C1670" s="283" t="str">
        <f>RES_BA!D120</f>
        <v>Supplies Category 30</v>
      </c>
      <c r="M1670" s="279">
        <f>RES_BA!R120</f>
        <v>0</v>
      </c>
      <c r="O1670" s="279">
        <f>RES_BA!S120</f>
        <v>0</v>
      </c>
      <c r="Q1670" s="279">
        <f>RES_BA!T120</f>
        <v>0</v>
      </c>
      <c r="S1670" s="279">
        <f>RES_BA!U120</f>
        <v>0</v>
      </c>
    </row>
    <row r="1671" spans="3:19" s="277" customFormat="1" hidden="1" outlineLevel="1" x14ac:dyDescent="0.3">
      <c r="C1671" s="283" t="str">
        <f>RES_BA!D121</f>
        <v>Supplies Category 31</v>
      </c>
      <c r="M1671" s="279">
        <f>RES_BA!R121</f>
        <v>0</v>
      </c>
      <c r="O1671" s="279">
        <f>RES_BA!S121</f>
        <v>0</v>
      </c>
      <c r="Q1671" s="279">
        <f>RES_BA!T121</f>
        <v>0</v>
      </c>
      <c r="S1671" s="279">
        <f>RES_BA!U121</f>
        <v>0</v>
      </c>
    </row>
    <row r="1672" spans="3:19" s="277" customFormat="1" hidden="1" outlineLevel="1" x14ac:dyDescent="0.3">
      <c r="C1672" s="283" t="str">
        <f>RES_BA!D122</f>
        <v>Supplies Category 32</v>
      </c>
      <c r="M1672" s="279">
        <f>RES_BA!R122</f>
        <v>0</v>
      </c>
      <c r="O1672" s="279">
        <f>RES_BA!S122</f>
        <v>0</v>
      </c>
      <c r="Q1672" s="279">
        <f>RES_BA!T122</f>
        <v>0</v>
      </c>
      <c r="S1672" s="279">
        <f>RES_BA!U122</f>
        <v>0</v>
      </c>
    </row>
    <row r="1673" spans="3:19" s="277" customFormat="1" hidden="1" outlineLevel="1" x14ac:dyDescent="0.3">
      <c r="C1673" s="283" t="str">
        <f>RES_BA!D123</f>
        <v>Supplies Category 33</v>
      </c>
      <c r="M1673" s="279">
        <f>RES_BA!R123</f>
        <v>0</v>
      </c>
      <c r="O1673" s="279">
        <f>RES_BA!S123</f>
        <v>0</v>
      </c>
      <c r="Q1673" s="279">
        <f>RES_BA!T123</f>
        <v>0</v>
      </c>
      <c r="S1673" s="279">
        <f>RES_BA!U123</f>
        <v>0</v>
      </c>
    </row>
    <row r="1674" spans="3:19" s="277" customFormat="1" hidden="1" outlineLevel="1" x14ac:dyDescent="0.3">
      <c r="C1674" s="283" t="str">
        <f>RES_BA!D124</f>
        <v>Supplies Category 34</v>
      </c>
      <c r="M1674" s="279">
        <f>RES_BA!R124</f>
        <v>0</v>
      </c>
      <c r="O1674" s="279">
        <f>RES_BA!S124</f>
        <v>0</v>
      </c>
      <c r="Q1674" s="279">
        <f>RES_BA!T124</f>
        <v>0</v>
      </c>
      <c r="S1674" s="279">
        <f>RES_BA!U124</f>
        <v>0</v>
      </c>
    </row>
    <row r="1675" spans="3:19" s="277" customFormat="1" hidden="1" outlineLevel="1" x14ac:dyDescent="0.3">
      <c r="C1675" s="283" t="str">
        <f>RES_BA!D125</f>
        <v>Supplies Category 35</v>
      </c>
      <c r="M1675" s="279">
        <f>RES_BA!R125</f>
        <v>0</v>
      </c>
      <c r="O1675" s="279">
        <f>RES_BA!S125</f>
        <v>0</v>
      </c>
      <c r="Q1675" s="279">
        <f>RES_BA!T125</f>
        <v>0</v>
      </c>
      <c r="S1675" s="279">
        <f>RES_BA!U125</f>
        <v>0</v>
      </c>
    </row>
    <row r="1676" spans="3:19" hidden="1" outlineLevel="1" x14ac:dyDescent="0.3"/>
    <row r="1677" spans="3:19" hidden="1" outlineLevel="1" x14ac:dyDescent="0.3">
      <c r="M1677" s="40" t="str">
        <f>$D$1560</f>
        <v>USD</v>
      </c>
      <c r="O1677" s="40" t="str">
        <f>$D$1560</f>
        <v>USD</v>
      </c>
      <c r="Q1677" s="40" t="str">
        <f>$D$1561</f>
        <v>GOZ</v>
      </c>
      <c r="S1677" s="40" t="str">
        <f>$D$1561</f>
        <v>GOZ</v>
      </c>
    </row>
    <row r="1678" spans="3:19" hidden="1" outlineLevel="1" x14ac:dyDescent="0.3">
      <c r="C1678" s="89" t="str">
        <f>RES_BA!D130</f>
        <v>Equipment Category 1</v>
      </c>
      <c r="M1678" s="40">
        <f>RES_BA!R130</f>
        <v>0</v>
      </c>
      <c r="O1678" s="40">
        <f>RES_BA!S130</f>
        <v>0</v>
      </c>
      <c r="Q1678" s="40">
        <f>RES_BA!T130</f>
        <v>0</v>
      </c>
      <c r="S1678" s="40">
        <f>RES_BA!U130</f>
        <v>0</v>
      </c>
    </row>
    <row r="1679" spans="3:19" hidden="1" outlineLevel="1" x14ac:dyDescent="0.3">
      <c r="C1679" s="89" t="str">
        <f>RES_BA!D131</f>
        <v>Equipment Category 2</v>
      </c>
      <c r="M1679" s="40">
        <f>RES_BA!R131</f>
        <v>0</v>
      </c>
      <c r="O1679" s="40">
        <f>RES_BA!S131</f>
        <v>0</v>
      </c>
      <c r="Q1679" s="40">
        <f>RES_BA!T131</f>
        <v>0</v>
      </c>
      <c r="S1679" s="40">
        <f>RES_BA!U131</f>
        <v>0</v>
      </c>
    </row>
    <row r="1680" spans="3:19" hidden="1" outlineLevel="1" x14ac:dyDescent="0.3">
      <c r="C1680" s="89" t="str">
        <f>RES_BA!D132</f>
        <v>Equipment Category 3</v>
      </c>
      <c r="M1680" s="40">
        <f>RES_BA!R132</f>
        <v>0</v>
      </c>
      <c r="O1680" s="40">
        <f>RES_BA!S132</f>
        <v>0</v>
      </c>
      <c r="Q1680" s="40">
        <f>RES_BA!T132</f>
        <v>0</v>
      </c>
      <c r="S1680" s="40">
        <f>RES_BA!U132</f>
        <v>0</v>
      </c>
    </row>
    <row r="1681" spans="3:19" hidden="1" outlineLevel="1" x14ac:dyDescent="0.3">
      <c r="C1681" s="89" t="str">
        <f>RES_BA!D133</f>
        <v>Equipment Category 4</v>
      </c>
      <c r="M1681" s="40">
        <f>RES_BA!R133</f>
        <v>0</v>
      </c>
      <c r="O1681" s="40">
        <f>RES_BA!S133</f>
        <v>0</v>
      </c>
      <c r="Q1681" s="40">
        <f>RES_BA!T133</f>
        <v>0</v>
      </c>
      <c r="S1681" s="40">
        <f>RES_BA!U133</f>
        <v>0</v>
      </c>
    </row>
    <row r="1682" spans="3:19" hidden="1" outlineLevel="1" x14ac:dyDescent="0.3">
      <c r="C1682" s="89" t="str">
        <f>RES_BA!D134</f>
        <v>Equipment Category 5</v>
      </c>
      <c r="M1682" s="40">
        <f>RES_BA!R134</f>
        <v>0</v>
      </c>
      <c r="O1682" s="40">
        <f>RES_BA!S134</f>
        <v>0</v>
      </c>
      <c r="Q1682" s="40">
        <f>RES_BA!T134</f>
        <v>0</v>
      </c>
      <c r="S1682" s="40">
        <f>RES_BA!U134</f>
        <v>0</v>
      </c>
    </row>
    <row r="1683" spans="3:19" hidden="1" outlineLevel="1" x14ac:dyDescent="0.3">
      <c r="C1683" s="89" t="str">
        <f>RES_BA!D135</f>
        <v>Equipment Category 6</v>
      </c>
      <c r="M1683" s="40">
        <f>RES_BA!R135</f>
        <v>0</v>
      </c>
      <c r="O1683" s="40">
        <f>RES_BA!S135</f>
        <v>0</v>
      </c>
      <c r="Q1683" s="40">
        <f>RES_BA!T135</f>
        <v>0</v>
      </c>
      <c r="S1683" s="40">
        <f>RES_BA!U135</f>
        <v>0</v>
      </c>
    </row>
    <row r="1684" spans="3:19" s="277" customFormat="1" hidden="1" outlineLevel="1" collapsed="1" x14ac:dyDescent="0.3">
      <c r="C1684" s="283" t="str">
        <f>RES_BA!D136</f>
        <v>Equipment Category 7</v>
      </c>
      <c r="M1684" s="279">
        <f>RES_BA!R136</f>
        <v>0</v>
      </c>
      <c r="O1684" s="279">
        <f>RES_BA!S136</f>
        <v>0</v>
      </c>
      <c r="Q1684" s="279">
        <f>RES_BA!T136</f>
        <v>0</v>
      </c>
      <c r="S1684" s="279">
        <f>RES_BA!U136</f>
        <v>0</v>
      </c>
    </row>
    <row r="1685" spans="3:19" s="277" customFormat="1" hidden="1" outlineLevel="1" x14ac:dyDescent="0.3">
      <c r="C1685" s="283" t="str">
        <f>RES_BA!D137</f>
        <v>Equipment Category 8</v>
      </c>
      <c r="M1685" s="279">
        <f>RES_BA!R137</f>
        <v>0</v>
      </c>
      <c r="O1685" s="279">
        <f>RES_BA!S137</f>
        <v>0</v>
      </c>
      <c r="Q1685" s="279">
        <f>RES_BA!T137</f>
        <v>0</v>
      </c>
      <c r="S1685" s="279">
        <f>RES_BA!U137</f>
        <v>0</v>
      </c>
    </row>
    <row r="1686" spans="3:19" s="277" customFormat="1" hidden="1" outlineLevel="1" x14ac:dyDescent="0.3">
      <c r="C1686" s="283" t="str">
        <f>RES_BA!D138</f>
        <v>Equipment Category 9</v>
      </c>
      <c r="M1686" s="279">
        <f>RES_BA!R138</f>
        <v>0</v>
      </c>
      <c r="O1686" s="279">
        <f>RES_BA!S138</f>
        <v>0</v>
      </c>
      <c r="Q1686" s="279">
        <f>RES_BA!T138</f>
        <v>0</v>
      </c>
      <c r="S1686" s="279">
        <f>RES_BA!U138</f>
        <v>0</v>
      </c>
    </row>
    <row r="1687" spans="3:19" s="277" customFormat="1" hidden="1" outlineLevel="1" x14ac:dyDescent="0.3">
      <c r="C1687" s="283" t="str">
        <f>RES_BA!D139</f>
        <v>Equipment Category 10</v>
      </c>
      <c r="M1687" s="279">
        <f>RES_BA!R139</f>
        <v>0</v>
      </c>
      <c r="O1687" s="279">
        <f>RES_BA!S139</f>
        <v>0</v>
      </c>
      <c r="Q1687" s="279">
        <f>RES_BA!T139</f>
        <v>0</v>
      </c>
      <c r="S1687" s="279">
        <f>RES_BA!U139</f>
        <v>0</v>
      </c>
    </row>
    <row r="1688" spans="3:19" s="277" customFormat="1" hidden="1" outlineLevel="1" x14ac:dyDescent="0.3">
      <c r="C1688" s="283" t="str">
        <f>RES_BA!D140</f>
        <v>Equipment Category 11</v>
      </c>
      <c r="M1688" s="279">
        <f>RES_BA!R140</f>
        <v>0</v>
      </c>
      <c r="O1688" s="279">
        <f>RES_BA!S140</f>
        <v>0</v>
      </c>
      <c r="Q1688" s="279">
        <f>RES_BA!T140</f>
        <v>0</v>
      </c>
      <c r="S1688" s="279">
        <f>RES_BA!U140</f>
        <v>0</v>
      </c>
    </row>
    <row r="1689" spans="3:19" s="277" customFormat="1" hidden="1" outlineLevel="1" x14ac:dyDescent="0.3">
      <c r="C1689" s="283" t="str">
        <f>RES_BA!D141</f>
        <v>Equipment Category 12</v>
      </c>
      <c r="M1689" s="279">
        <f>RES_BA!R141</f>
        <v>0</v>
      </c>
      <c r="O1689" s="279">
        <f>RES_BA!S141</f>
        <v>0</v>
      </c>
      <c r="Q1689" s="279">
        <f>RES_BA!T141</f>
        <v>0</v>
      </c>
      <c r="S1689" s="279">
        <f>RES_BA!U141</f>
        <v>0</v>
      </c>
    </row>
    <row r="1690" spans="3:19" s="277" customFormat="1" hidden="1" outlineLevel="1" collapsed="1" x14ac:dyDescent="0.3">
      <c r="C1690" s="283" t="str">
        <f>RES_BA!D142</f>
        <v>Equipment Category 13</v>
      </c>
      <c r="M1690" s="279">
        <f>RES_BA!R142</f>
        <v>0</v>
      </c>
      <c r="O1690" s="279">
        <f>RES_BA!S142</f>
        <v>0</v>
      </c>
      <c r="Q1690" s="279">
        <f>RES_BA!T142</f>
        <v>0</v>
      </c>
      <c r="S1690" s="279">
        <f>RES_BA!U142</f>
        <v>0</v>
      </c>
    </row>
    <row r="1691" spans="3:19" s="277" customFormat="1" hidden="1" outlineLevel="1" x14ac:dyDescent="0.3">
      <c r="C1691" s="283" t="str">
        <f>RES_BA!D143</f>
        <v>Equipment Category 14</v>
      </c>
      <c r="M1691" s="279">
        <f>RES_BA!R143</f>
        <v>0</v>
      </c>
      <c r="O1691" s="279">
        <f>RES_BA!S143</f>
        <v>0</v>
      </c>
      <c r="Q1691" s="279">
        <f>RES_BA!T143</f>
        <v>0</v>
      </c>
      <c r="S1691" s="279">
        <f>RES_BA!U143</f>
        <v>0</v>
      </c>
    </row>
    <row r="1692" spans="3:19" s="277" customFormat="1" hidden="1" outlineLevel="1" x14ac:dyDescent="0.3">
      <c r="C1692" s="283" t="str">
        <f>RES_BA!D144</f>
        <v>Equipment Category 15</v>
      </c>
      <c r="M1692" s="279">
        <f>RES_BA!R144</f>
        <v>0</v>
      </c>
      <c r="O1692" s="279">
        <f>RES_BA!S144</f>
        <v>0</v>
      </c>
      <c r="Q1692" s="279">
        <f>RES_BA!T144</f>
        <v>0</v>
      </c>
      <c r="S1692" s="279">
        <f>RES_BA!U144</f>
        <v>0</v>
      </c>
    </row>
    <row r="1693" spans="3:19" s="277" customFormat="1" hidden="1" outlineLevel="1" x14ac:dyDescent="0.3">
      <c r="C1693" s="283" t="str">
        <f>RES_BA!D145</f>
        <v>Equipment Category 16</v>
      </c>
      <c r="M1693" s="279">
        <f>RES_BA!R145</f>
        <v>0</v>
      </c>
      <c r="O1693" s="279">
        <f>RES_BA!S145</f>
        <v>0</v>
      </c>
      <c r="Q1693" s="279">
        <f>RES_BA!T145</f>
        <v>0</v>
      </c>
      <c r="S1693" s="279">
        <f>RES_BA!U145</f>
        <v>0</v>
      </c>
    </row>
    <row r="1694" spans="3:19" s="277" customFormat="1" hidden="1" outlineLevel="1" x14ac:dyDescent="0.3">
      <c r="C1694" s="283" t="str">
        <f>RES_BA!D146</f>
        <v>Equipment Category 17</v>
      </c>
      <c r="M1694" s="279">
        <f>RES_BA!R146</f>
        <v>0</v>
      </c>
      <c r="O1694" s="279">
        <f>RES_BA!S146</f>
        <v>0</v>
      </c>
      <c r="Q1694" s="279">
        <f>RES_BA!T146</f>
        <v>0</v>
      </c>
      <c r="S1694" s="279">
        <f>RES_BA!U146</f>
        <v>0</v>
      </c>
    </row>
    <row r="1695" spans="3:19" s="277" customFormat="1" hidden="1" outlineLevel="1" x14ac:dyDescent="0.3">
      <c r="C1695" s="283" t="str">
        <f>RES_BA!D147</f>
        <v>Equipment Category 18</v>
      </c>
      <c r="M1695" s="279">
        <f>RES_BA!R147</f>
        <v>0</v>
      </c>
      <c r="O1695" s="279">
        <f>RES_BA!S147</f>
        <v>0</v>
      </c>
      <c r="Q1695" s="279">
        <f>RES_BA!T147</f>
        <v>0</v>
      </c>
      <c r="S1695" s="279">
        <f>RES_BA!U147</f>
        <v>0</v>
      </c>
    </row>
    <row r="1696" spans="3:19" s="277" customFormat="1" hidden="1" outlineLevel="1" x14ac:dyDescent="0.3">
      <c r="C1696" s="283" t="str">
        <f>RES_BA!D148</f>
        <v>Equipment Category 19</v>
      </c>
      <c r="M1696" s="279">
        <f>RES_BA!R148</f>
        <v>0</v>
      </c>
      <c r="O1696" s="279">
        <f>RES_BA!S148</f>
        <v>0</v>
      </c>
      <c r="Q1696" s="279">
        <f>RES_BA!T148</f>
        <v>0</v>
      </c>
      <c r="S1696" s="279">
        <f>RES_BA!U148</f>
        <v>0</v>
      </c>
    </row>
    <row r="1697" spans="3:19" s="277" customFormat="1" hidden="1" outlineLevel="1" x14ac:dyDescent="0.3">
      <c r="C1697" s="283" t="str">
        <f>RES_BA!D149</f>
        <v>Equipment Category 20</v>
      </c>
      <c r="M1697" s="279">
        <f>RES_BA!R149</f>
        <v>0</v>
      </c>
      <c r="O1697" s="279">
        <f>RES_BA!S149</f>
        <v>0</v>
      </c>
      <c r="Q1697" s="279">
        <f>RES_BA!T149</f>
        <v>0</v>
      </c>
      <c r="S1697" s="279">
        <f>RES_BA!U149</f>
        <v>0</v>
      </c>
    </row>
    <row r="1698" spans="3:19" s="277" customFormat="1" hidden="1" outlineLevel="1" x14ac:dyDescent="0.3">
      <c r="C1698" s="283" t="str">
        <f>RES_BA!D150</f>
        <v>Equipment Category 21</v>
      </c>
      <c r="M1698" s="279">
        <f>RES_BA!R150</f>
        <v>0</v>
      </c>
      <c r="O1698" s="279">
        <f>RES_BA!S150</f>
        <v>0</v>
      </c>
      <c r="Q1698" s="279">
        <f>RES_BA!T150</f>
        <v>0</v>
      </c>
      <c r="S1698" s="279">
        <f>RES_BA!U150</f>
        <v>0</v>
      </c>
    </row>
    <row r="1699" spans="3:19" s="277" customFormat="1" hidden="1" outlineLevel="1" x14ac:dyDescent="0.3">
      <c r="C1699" s="283" t="str">
        <f>RES_BA!D151</f>
        <v>Equipment Category 22</v>
      </c>
      <c r="M1699" s="279">
        <f>RES_BA!R151</f>
        <v>0</v>
      </c>
      <c r="O1699" s="279">
        <f>RES_BA!S151</f>
        <v>0</v>
      </c>
      <c r="Q1699" s="279">
        <f>RES_BA!T151</f>
        <v>0</v>
      </c>
      <c r="S1699" s="279">
        <f>RES_BA!U151</f>
        <v>0</v>
      </c>
    </row>
    <row r="1700" spans="3:19" s="277" customFormat="1" hidden="1" outlineLevel="1" x14ac:dyDescent="0.3">
      <c r="C1700" s="283" t="str">
        <f>RES_BA!D152</f>
        <v>Equipment Category 23</v>
      </c>
      <c r="M1700" s="279">
        <f>RES_BA!R152</f>
        <v>0</v>
      </c>
      <c r="O1700" s="279">
        <f>RES_BA!S152</f>
        <v>0</v>
      </c>
      <c r="Q1700" s="279">
        <f>RES_BA!T152</f>
        <v>0</v>
      </c>
      <c r="S1700" s="279">
        <f>RES_BA!U152</f>
        <v>0</v>
      </c>
    </row>
    <row r="1701" spans="3:19" s="277" customFormat="1" hidden="1" outlineLevel="1" collapsed="1" x14ac:dyDescent="0.3">
      <c r="C1701" s="283" t="str">
        <f>RES_BA!D153</f>
        <v>Equipment Category 24</v>
      </c>
      <c r="M1701" s="279">
        <f>RES_BA!R153</f>
        <v>0</v>
      </c>
      <c r="O1701" s="279">
        <f>RES_BA!S153</f>
        <v>0</v>
      </c>
      <c r="Q1701" s="279">
        <f>RES_BA!T153</f>
        <v>0</v>
      </c>
      <c r="S1701" s="279">
        <f>RES_BA!U153</f>
        <v>0</v>
      </c>
    </row>
    <row r="1702" spans="3:19" s="277" customFormat="1" hidden="1" outlineLevel="1" x14ac:dyDescent="0.3">
      <c r="C1702" s="283" t="str">
        <f>RES_BA!D154</f>
        <v>Equipment Category 25</v>
      </c>
      <c r="M1702" s="279">
        <f>RES_BA!R154</f>
        <v>0</v>
      </c>
      <c r="O1702" s="279">
        <f>RES_BA!S154</f>
        <v>0</v>
      </c>
      <c r="Q1702" s="279">
        <f>RES_BA!T154</f>
        <v>0</v>
      </c>
      <c r="S1702" s="279">
        <f>RES_BA!U154</f>
        <v>0</v>
      </c>
    </row>
    <row r="1703" spans="3:19" s="277" customFormat="1" hidden="1" outlineLevel="1" x14ac:dyDescent="0.3">
      <c r="C1703" s="283" t="str">
        <f>RES_BA!D155</f>
        <v>Equipment Category 26</v>
      </c>
      <c r="M1703" s="279">
        <f>RES_BA!R155</f>
        <v>0</v>
      </c>
      <c r="O1703" s="279">
        <f>RES_BA!S155</f>
        <v>0</v>
      </c>
      <c r="Q1703" s="279">
        <f>RES_BA!T155</f>
        <v>0</v>
      </c>
      <c r="S1703" s="279">
        <f>RES_BA!U155</f>
        <v>0</v>
      </c>
    </row>
    <row r="1704" spans="3:19" s="277" customFormat="1" hidden="1" outlineLevel="1" x14ac:dyDescent="0.3">
      <c r="C1704" s="283" t="str">
        <f>RES_BA!D156</f>
        <v>Equipment Category 27</v>
      </c>
      <c r="M1704" s="279">
        <f>RES_BA!R156</f>
        <v>0</v>
      </c>
      <c r="O1704" s="279">
        <f>RES_BA!S156</f>
        <v>0</v>
      </c>
      <c r="Q1704" s="279">
        <f>RES_BA!T156</f>
        <v>0</v>
      </c>
      <c r="S1704" s="279">
        <f>RES_BA!U156</f>
        <v>0</v>
      </c>
    </row>
    <row r="1705" spans="3:19" s="277" customFormat="1" hidden="1" outlineLevel="1" x14ac:dyDescent="0.3">
      <c r="C1705" s="283" t="str">
        <f>RES_BA!D157</f>
        <v>Equipment Category 28</v>
      </c>
      <c r="M1705" s="279">
        <f>RES_BA!R157</f>
        <v>0</v>
      </c>
      <c r="O1705" s="279">
        <f>RES_BA!S157</f>
        <v>0</v>
      </c>
      <c r="Q1705" s="279">
        <f>RES_BA!T157</f>
        <v>0</v>
      </c>
      <c r="S1705" s="279">
        <f>RES_BA!U157</f>
        <v>0</v>
      </c>
    </row>
    <row r="1706" spans="3:19" s="277" customFormat="1" hidden="1" outlineLevel="1" x14ac:dyDescent="0.3">
      <c r="C1706" s="283" t="str">
        <f>RES_BA!D158</f>
        <v>Equipment Category 29</v>
      </c>
      <c r="M1706" s="279">
        <f>RES_BA!R158</f>
        <v>0</v>
      </c>
      <c r="O1706" s="279">
        <f>RES_BA!S158</f>
        <v>0</v>
      </c>
      <c r="Q1706" s="279">
        <f>RES_BA!T158</f>
        <v>0</v>
      </c>
      <c r="S1706" s="279">
        <f>RES_BA!U158</f>
        <v>0</v>
      </c>
    </row>
    <row r="1707" spans="3:19" s="277" customFormat="1" hidden="1" outlineLevel="1" x14ac:dyDescent="0.3">
      <c r="C1707" s="283" t="str">
        <f>RES_BA!D159</f>
        <v>Equipment Category 30</v>
      </c>
      <c r="M1707" s="279">
        <f>RES_BA!R159</f>
        <v>0</v>
      </c>
      <c r="O1707" s="279">
        <f>RES_BA!S159</f>
        <v>0</v>
      </c>
      <c r="Q1707" s="279">
        <f>RES_BA!T159</f>
        <v>0</v>
      </c>
      <c r="S1707" s="279">
        <f>RES_BA!U159</f>
        <v>0</v>
      </c>
    </row>
    <row r="1708" spans="3:19" s="277" customFormat="1" hidden="1" outlineLevel="1" x14ac:dyDescent="0.3">
      <c r="C1708" s="283" t="str">
        <f>RES_BA!D160</f>
        <v>Equipment Category 31</v>
      </c>
      <c r="M1708" s="279">
        <f>RES_BA!R160</f>
        <v>0</v>
      </c>
      <c r="O1708" s="279">
        <f>RES_BA!S160</f>
        <v>0</v>
      </c>
      <c r="Q1708" s="279">
        <f>RES_BA!T160</f>
        <v>0</v>
      </c>
      <c r="S1708" s="279">
        <f>RES_BA!U160</f>
        <v>0</v>
      </c>
    </row>
    <row r="1709" spans="3:19" s="277" customFormat="1" hidden="1" outlineLevel="1" x14ac:dyDescent="0.3">
      <c r="C1709" s="283" t="str">
        <f>RES_BA!D161</f>
        <v>Equipment Category 32</v>
      </c>
      <c r="M1709" s="279">
        <f>RES_BA!R161</f>
        <v>0</v>
      </c>
      <c r="O1709" s="279">
        <f>RES_BA!S161</f>
        <v>0</v>
      </c>
      <c r="Q1709" s="279">
        <f>RES_BA!T161</f>
        <v>0</v>
      </c>
      <c r="S1709" s="279">
        <f>RES_BA!U161</f>
        <v>0</v>
      </c>
    </row>
    <row r="1710" spans="3:19" s="277" customFormat="1" hidden="1" outlineLevel="1" x14ac:dyDescent="0.3">
      <c r="C1710" s="283" t="str">
        <f>RES_BA!D162</f>
        <v>Equipment Category 33</v>
      </c>
      <c r="M1710" s="279">
        <f>RES_BA!R162</f>
        <v>0</v>
      </c>
      <c r="O1710" s="279">
        <f>RES_BA!S162</f>
        <v>0</v>
      </c>
      <c r="Q1710" s="279">
        <f>RES_BA!T162</f>
        <v>0</v>
      </c>
      <c r="S1710" s="279">
        <f>RES_BA!U162</f>
        <v>0</v>
      </c>
    </row>
    <row r="1711" spans="3:19" s="277" customFormat="1" hidden="1" outlineLevel="1" collapsed="1" x14ac:dyDescent="0.3">
      <c r="C1711" s="283" t="str">
        <f>RES_BA!D163</f>
        <v>Equipment Category 34</v>
      </c>
      <c r="M1711" s="279">
        <f>RES_BA!R163</f>
        <v>0</v>
      </c>
      <c r="O1711" s="279">
        <f>RES_BA!S163</f>
        <v>0</v>
      </c>
      <c r="Q1711" s="279">
        <f>RES_BA!T163</f>
        <v>0</v>
      </c>
      <c r="S1711" s="279">
        <f>RES_BA!U163</f>
        <v>0</v>
      </c>
    </row>
    <row r="1712" spans="3:19" s="277" customFormat="1" hidden="1" outlineLevel="1" x14ac:dyDescent="0.3">
      <c r="C1712" s="283" t="str">
        <f>RES_BA!D164</f>
        <v>Equipment Category 35</v>
      </c>
      <c r="M1712" s="279">
        <f>RES_BA!R164</f>
        <v>0</v>
      </c>
      <c r="O1712" s="279">
        <f>RES_BA!S164</f>
        <v>0</v>
      </c>
      <c r="Q1712" s="279">
        <f>RES_BA!T164</f>
        <v>0</v>
      </c>
      <c r="S1712" s="279">
        <f>RES_BA!U164</f>
        <v>0</v>
      </c>
    </row>
    <row r="1713" spans="3:19" hidden="1" outlineLevel="1" x14ac:dyDescent="0.3"/>
    <row r="1714" spans="3:19" hidden="1" outlineLevel="1" x14ac:dyDescent="0.3"/>
    <row r="1715" spans="3:19" hidden="1" outlineLevel="1" x14ac:dyDescent="0.3">
      <c r="M1715" s="40" t="str">
        <f>$D$1560</f>
        <v>USD</v>
      </c>
      <c r="O1715" s="40" t="str">
        <f>$D$1560</f>
        <v>USD</v>
      </c>
      <c r="Q1715" s="40" t="str">
        <f>$D$1561</f>
        <v>GOZ</v>
      </c>
      <c r="S1715" s="40" t="str">
        <f>$D$1561</f>
        <v>GOZ</v>
      </c>
    </row>
    <row r="1716" spans="3:19" hidden="1" outlineLevel="1" x14ac:dyDescent="0.3">
      <c r="C1716" s="89" t="str">
        <f>RES_BA!D169</f>
        <v>Other Direct Costs Category 1</v>
      </c>
      <c r="M1716" s="40">
        <f>RES_BA!R169</f>
        <v>0</v>
      </c>
      <c r="O1716" s="40">
        <f>RES_BA!S169</f>
        <v>0</v>
      </c>
      <c r="Q1716" s="40">
        <f>RES_BA!T169</f>
        <v>0</v>
      </c>
      <c r="S1716" s="40">
        <f>RES_BA!U169</f>
        <v>0</v>
      </c>
    </row>
    <row r="1717" spans="3:19" hidden="1" outlineLevel="1" x14ac:dyDescent="0.3">
      <c r="C1717" s="89" t="str">
        <f>RES_BA!D170</f>
        <v>Other Direct Costs Category 2</v>
      </c>
      <c r="M1717" s="40">
        <f>RES_BA!R170</f>
        <v>0</v>
      </c>
      <c r="O1717" s="40">
        <f>RES_BA!S170</f>
        <v>0</v>
      </c>
      <c r="Q1717" s="40">
        <f>RES_BA!T170</f>
        <v>0</v>
      </c>
      <c r="S1717" s="40">
        <f>RES_BA!U170</f>
        <v>0</v>
      </c>
    </row>
    <row r="1718" spans="3:19" hidden="1" outlineLevel="1" x14ac:dyDescent="0.3">
      <c r="C1718" s="89" t="str">
        <f>RES_BA!D171</f>
        <v>Other Direct Costs Category 3</v>
      </c>
      <c r="M1718" s="40">
        <f>RES_BA!R171</f>
        <v>0</v>
      </c>
      <c r="O1718" s="40">
        <f>RES_BA!S171</f>
        <v>0</v>
      </c>
      <c r="Q1718" s="40">
        <f>RES_BA!T171</f>
        <v>0</v>
      </c>
      <c r="S1718" s="40">
        <f>RES_BA!U171</f>
        <v>0</v>
      </c>
    </row>
    <row r="1719" spans="3:19" hidden="1" outlineLevel="1" collapsed="1" x14ac:dyDescent="0.3">
      <c r="C1719" s="289" t="str">
        <f>RES_BA!D172</f>
        <v>Other Direct Costs Category 4</v>
      </c>
      <c r="M1719" s="290">
        <f>RES_BA!R172</f>
        <v>0</v>
      </c>
      <c r="O1719" s="290">
        <f>RES_BA!S172</f>
        <v>0</v>
      </c>
      <c r="Q1719" s="290">
        <f>RES_BA!T172</f>
        <v>0</v>
      </c>
      <c r="S1719" s="290">
        <f>RES_BA!U172</f>
        <v>0</v>
      </c>
    </row>
    <row r="1720" spans="3:19" hidden="1" outlineLevel="1" x14ac:dyDescent="0.3">
      <c r="C1720" s="289" t="str">
        <f>RES_BA!D173</f>
        <v>Other Direct Costs Category 5</v>
      </c>
      <c r="M1720" s="290">
        <f>RES_BA!R173</f>
        <v>0</v>
      </c>
      <c r="O1720" s="290">
        <f>RES_BA!S173</f>
        <v>0</v>
      </c>
      <c r="Q1720" s="290">
        <f>RES_BA!T173</f>
        <v>0</v>
      </c>
      <c r="S1720" s="290">
        <f>RES_BA!U173</f>
        <v>0</v>
      </c>
    </row>
    <row r="1721" spans="3:19" hidden="1" outlineLevel="1" x14ac:dyDescent="0.3">
      <c r="C1721" s="289" t="str">
        <f>RES_BA!D174</f>
        <v>Other Direct Costs Category 6</v>
      </c>
      <c r="M1721" s="290">
        <f>RES_BA!R174</f>
        <v>0</v>
      </c>
      <c r="O1721" s="290">
        <f>RES_BA!S174</f>
        <v>0</v>
      </c>
      <c r="Q1721" s="290">
        <f>RES_BA!T174</f>
        <v>0</v>
      </c>
      <c r="S1721" s="290">
        <f>RES_BA!U174</f>
        <v>0</v>
      </c>
    </row>
    <row r="1722" spans="3:19" hidden="1" outlineLevel="1" x14ac:dyDescent="0.3">
      <c r="C1722" s="289" t="str">
        <f>RES_BA!D175</f>
        <v>Other Direct Costs Category 7</v>
      </c>
      <c r="M1722" s="290">
        <f>RES_BA!R175</f>
        <v>0</v>
      </c>
      <c r="O1722" s="290">
        <f>RES_BA!S175</f>
        <v>0</v>
      </c>
      <c r="Q1722" s="290">
        <f>RES_BA!T175</f>
        <v>0</v>
      </c>
      <c r="S1722" s="290">
        <f>RES_BA!U175</f>
        <v>0</v>
      </c>
    </row>
    <row r="1723" spans="3:19" hidden="1" outlineLevel="1" x14ac:dyDescent="0.3">
      <c r="C1723" s="289" t="str">
        <f>RES_BA!D176</f>
        <v>Other Direct Costs Category 8</v>
      </c>
      <c r="M1723" s="290">
        <f>RES_BA!R176</f>
        <v>0</v>
      </c>
      <c r="O1723" s="290">
        <f>RES_BA!S176</f>
        <v>0</v>
      </c>
      <c r="Q1723" s="290">
        <f>RES_BA!T176</f>
        <v>0</v>
      </c>
      <c r="S1723" s="290">
        <f>RES_BA!U176</f>
        <v>0</v>
      </c>
    </row>
    <row r="1724" spans="3:19" hidden="1" outlineLevel="1" x14ac:dyDescent="0.3">
      <c r="C1724" s="289" t="str">
        <f>RES_BA!D177</f>
        <v>Other Direct Costs Category 9</v>
      </c>
      <c r="M1724" s="290">
        <f>RES_BA!R177</f>
        <v>0</v>
      </c>
      <c r="O1724" s="290">
        <f>RES_BA!S177</f>
        <v>0</v>
      </c>
      <c r="Q1724" s="290">
        <f>RES_BA!T177</f>
        <v>0</v>
      </c>
      <c r="S1724" s="290">
        <f>RES_BA!U177</f>
        <v>0</v>
      </c>
    </row>
    <row r="1725" spans="3:19" hidden="1" outlineLevel="1" x14ac:dyDescent="0.3">
      <c r="C1725" s="289" t="str">
        <f>RES_BA!D178</f>
        <v>Other Direct Costs Category 10</v>
      </c>
      <c r="M1725" s="290">
        <f>RES_BA!R178</f>
        <v>0</v>
      </c>
      <c r="O1725" s="290">
        <f>RES_BA!S178</f>
        <v>0</v>
      </c>
      <c r="Q1725" s="290">
        <f>RES_BA!T178</f>
        <v>0</v>
      </c>
      <c r="S1725" s="290">
        <f>RES_BA!U178</f>
        <v>0</v>
      </c>
    </row>
    <row r="1726" spans="3:19" hidden="1" outlineLevel="1" x14ac:dyDescent="0.3">
      <c r="C1726" s="289" t="str">
        <f>RES_BA!D179</f>
        <v>Other Direct Costs Category 11</v>
      </c>
      <c r="M1726" s="290">
        <f>RES_BA!R179</f>
        <v>0</v>
      </c>
      <c r="O1726" s="290">
        <f>RES_BA!S179</f>
        <v>0</v>
      </c>
      <c r="Q1726" s="290">
        <f>RES_BA!T179</f>
        <v>0</v>
      </c>
      <c r="S1726" s="290">
        <f>RES_BA!U179</f>
        <v>0</v>
      </c>
    </row>
    <row r="1727" spans="3:19" s="277" customFormat="1" hidden="1" outlineLevel="1" collapsed="1" x14ac:dyDescent="0.3">
      <c r="C1727" s="283" t="str">
        <f>RES_BA!D180</f>
        <v>Other Direct Costs Category 12</v>
      </c>
      <c r="M1727" s="279">
        <f>RES_BA!R180</f>
        <v>0</v>
      </c>
      <c r="O1727" s="279">
        <f>RES_BA!S180</f>
        <v>0</v>
      </c>
      <c r="Q1727" s="279">
        <f>RES_BA!T180</f>
        <v>0</v>
      </c>
      <c r="S1727" s="279">
        <f>RES_BA!U180</f>
        <v>0</v>
      </c>
    </row>
    <row r="1728" spans="3:19" s="277" customFormat="1" hidden="1" outlineLevel="1" x14ac:dyDescent="0.3">
      <c r="C1728" s="283" t="str">
        <f>RES_BA!D181</f>
        <v>Other Direct Costs Category 13</v>
      </c>
      <c r="M1728" s="279">
        <f>RES_BA!R181</f>
        <v>0</v>
      </c>
      <c r="O1728" s="279">
        <f>RES_BA!S181</f>
        <v>0</v>
      </c>
      <c r="Q1728" s="279">
        <f>RES_BA!T181</f>
        <v>0</v>
      </c>
      <c r="S1728" s="279">
        <f>RES_BA!U181</f>
        <v>0</v>
      </c>
    </row>
    <row r="1729" spans="3:19" s="277" customFormat="1" hidden="1" outlineLevel="1" x14ac:dyDescent="0.3">
      <c r="C1729" s="283" t="str">
        <f>RES_BA!D182</f>
        <v>Other Direct Costs Category 14</v>
      </c>
      <c r="M1729" s="279">
        <f>RES_BA!R182</f>
        <v>0</v>
      </c>
      <c r="O1729" s="279">
        <f>RES_BA!S182</f>
        <v>0</v>
      </c>
      <c r="Q1729" s="279">
        <f>RES_BA!T182</f>
        <v>0</v>
      </c>
      <c r="S1729" s="279">
        <f>RES_BA!U182</f>
        <v>0</v>
      </c>
    </row>
    <row r="1730" spans="3:19" s="277" customFormat="1" hidden="1" outlineLevel="1" x14ac:dyDescent="0.3">
      <c r="C1730" s="283" t="str">
        <f>RES_BA!D183</f>
        <v>Other Direct Costs Category 15</v>
      </c>
      <c r="M1730" s="279">
        <f>RES_BA!R183</f>
        <v>0</v>
      </c>
      <c r="O1730" s="279">
        <f>RES_BA!S183</f>
        <v>0</v>
      </c>
      <c r="Q1730" s="279">
        <f>RES_BA!T183</f>
        <v>0</v>
      </c>
      <c r="S1730" s="279">
        <f>RES_BA!U183</f>
        <v>0</v>
      </c>
    </row>
    <row r="1731" spans="3:19" s="277" customFormat="1" hidden="1" outlineLevel="1" x14ac:dyDescent="0.3">
      <c r="C1731" s="283" t="str">
        <f>RES_BA!D184</f>
        <v>Other Direct Costs Category 16</v>
      </c>
      <c r="M1731" s="279">
        <f>RES_BA!R184</f>
        <v>0</v>
      </c>
      <c r="O1731" s="279">
        <f>RES_BA!S184</f>
        <v>0</v>
      </c>
      <c r="Q1731" s="279">
        <f>RES_BA!T184</f>
        <v>0</v>
      </c>
      <c r="S1731" s="279">
        <f>RES_BA!U184</f>
        <v>0</v>
      </c>
    </row>
    <row r="1732" spans="3:19" s="277" customFormat="1" hidden="1" outlineLevel="1" x14ac:dyDescent="0.3">
      <c r="C1732" s="283" t="str">
        <f>RES_BA!D185</f>
        <v>Other Direct Costs Category 17</v>
      </c>
      <c r="M1732" s="279">
        <f>RES_BA!R185</f>
        <v>0</v>
      </c>
      <c r="O1732" s="279">
        <f>RES_BA!S185</f>
        <v>0</v>
      </c>
      <c r="Q1732" s="279">
        <f>RES_BA!T185</f>
        <v>0</v>
      </c>
      <c r="S1732" s="279">
        <f>RES_BA!U185</f>
        <v>0</v>
      </c>
    </row>
    <row r="1733" spans="3:19" s="277" customFormat="1" hidden="1" outlineLevel="1" x14ac:dyDescent="0.3">
      <c r="C1733" s="283" t="str">
        <f>RES_BA!D186</f>
        <v>Other Direct Costs Category 18</v>
      </c>
      <c r="M1733" s="279">
        <f>RES_BA!R186</f>
        <v>0</v>
      </c>
      <c r="O1733" s="279">
        <f>RES_BA!S186</f>
        <v>0</v>
      </c>
      <c r="Q1733" s="279">
        <f>RES_BA!T186</f>
        <v>0</v>
      </c>
      <c r="S1733" s="279">
        <f>RES_BA!U186</f>
        <v>0</v>
      </c>
    </row>
    <row r="1734" spans="3:19" s="277" customFormat="1" hidden="1" outlineLevel="1" x14ac:dyDescent="0.3">
      <c r="C1734" s="283" t="str">
        <f>RES_BA!D187</f>
        <v>Other Direct Costs Category 19</v>
      </c>
      <c r="M1734" s="279">
        <f>RES_BA!R187</f>
        <v>0</v>
      </c>
      <c r="O1734" s="279">
        <f>RES_BA!S187</f>
        <v>0</v>
      </c>
      <c r="Q1734" s="279">
        <f>RES_BA!T187</f>
        <v>0</v>
      </c>
      <c r="S1734" s="279">
        <f>RES_BA!U187</f>
        <v>0</v>
      </c>
    </row>
    <row r="1735" spans="3:19" s="277" customFormat="1" hidden="1" outlineLevel="1" x14ac:dyDescent="0.3">
      <c r="C1735" s="283" t="str">
        <f>RES_BA!D188</f>
        <v>Other Direct Costs Category 20</v>
      </c>
      <c r="M1735" s="279">
        <f>RES_BA!R188</f>
        <v>0</v>
      </c>
      <c r="O1735" s="279">
        <f>RES_BA!S188</f>
        <v>0</v>
      </c>
      <c r="Q1735" s="279">
        <f>RES_BA!T188</f>
        <v>0</v>
      </c>
      <c r="S1735" s="279">
        <f>RES_BA!U188</f>
        <v>0</v>
      </c>
    </row>
    <row r="1736" spans="3:19" s="277" customFormat="1" hidden="1" outlineLevel="1" x14ac:dyDescent="0.3">
      <c r="C1736" s="283" t="str">
        <f>RES_BA!D189</f>
        <v>Other Direct Costs Category 21</v>
      </c>
      <c r="M1736" s="279">
        <f>RES_BA!R189</f>
        <v>0</v>
      </c>
      <c r="O1736" s="279">
        <f>RES_BA!S189</f>
        <v>0</v>
      </c>
      <c r="Q1736" s="279">
        <f>RES_BA!T189</f>
        <v>0</v>
      </c>
      <c r="S1736" s="279">
        <f>RES_BA!U189</f>
        <v>0</v>
      </c>
    </row>
    <row r="1737" spans="3:19" hidden="1" outlineLevel="1" x14ac:dyDescent="0.3">
      <c r="C1737" s="289" t="str">
        <f>RES_BA!D190</f>
        <v>Other Direct Costs Category 22</v>
      </c>
      <c r="M1737" s="290">
        <f>RES_BA!R190</f>
        <v>0</v>
      </c>
      <c r="O1737" s="290">
        <f>RES_BA!S190</f>
        <v>0</v>
      </c>
      <c r="Q1737" s="290">
        <f>RES_BA!T190</f>
        <v>0</v>
      </c>
      <c r="S1737" s="290">
        <f>RES_BA!U190</f>
        <v>0</v>
      </c>
    </row>
    <row r="1738" spans="3:19" hidden="1" outlineLevel="1" x14ac:dyDescent="0.3">
      <c r="C1738" s="289" t="str">
        <f>RES_BA!D191</f>
        <v>Other Direct Costs Category 23</v>
      </c>
      <c r="M1738" s="290">
        <f>RES_BA!R191</f>
        <v>0</v>
      </c>
      <c r="O1738" s="290">
        <f>RES_BA!S191</f>
        <v>0</v>
      </c>
      <c r="Q1738" s="290">
        <f>RES_BA!T191</f>
        <v>0</v>
      </c>
      <c r="S1738" s="290">
        <f>RES_BA!U191</f>
        <v>0</v>
      </c>
    </row>
    <row r="1739" spans="3:19" hidden="1" outlineLevel="1" collapsed="1" x14ac:dyDescent="0.3">
      <c r="C1739" s="289" t="str">
        <f>RES_BA!D192</f>
        <v>Other Direct Costs Category 24</v>
      </c>
      <c r="M1739" s="290">
        <f>RES_BA!R192</f>
        <v>0</v>
      </c>
      <c r="O1739" s="290">
        <f>RES_BA!S192</f>
        <v>0</v>
      </c>
      <c r="Q1739" s="290">
        <f>RES_BA!T192</f>
        <v>0</v>
      </c>
      <c r="S1739" s="290">
        <f>RES_BA!U192</f>
        <v>0</v>
      </c>
    </row>
    <row r="1740" spans="3:19" hidden="1" outlineLevel="1" x14ac:dyDescent="0.3">
      <c r="C1740" s="289" t="str">
        <f>RES_BA!D193</f>
        <v>Other Direct Costs Category 25</v>
      </c>
      <c r="M1740" s="290">
        <f>RES_BA!R193</f>
        <v>0</v>
      </c>
      <c r="O1740" s="290">
        <f>RES_BA!S193</f>
        <v>0</v>
      </c>
      <c r="Q1740" s="290">
        <f>RES_BA!T193</f>
        <v>0</v>
      </c>
      <c r="S1740" s="290">
        <f>RES_BA!U193</f>
        <v>0</v>
      </c>
    </row>
    <row r="1741" spans="3:19" hidden="1" outlineLevel="1" x14ac:dyDescent="0.3">
      <c r="C1741" s="289" t="str">
        <f>RES_BA!D194</f>
        <v>Other Direct Costs Category 26</v>
      </c>
      <c r="M1741" s="290">
        <f>RES_BA!R194</f>
        <v>0</v>
      </c>
      <c r="O1741" s="290">
        <f>RES_BA!S194</f>
        <v>0</v>
      </c>
      <c r="Q1741" s="290">
        <f>RES_BA!T194</f>
        <v>0</v>
      </c>
      <c r="S1741" s="290">
        <f>RES_BA!U194</f>
        <v>0</v>
      </c>
    </row>
    <row r="1742" spans="3:19" hidden="1" outlineLevel="1" x14ac:dyDescent="0.3">
      <c r="C1742" s="289" t="str">
        <f>RES_BA!D195</f>
        <v>Other Direct Costs Category 27</v>
      </c>
      <c r="M1742" s="290">
        <f>RES_BA!R195</f>
        <v>0</v>
      </c>
      <c r="O1742" s="290">
        <f>RES_BA!S195</f>
        <v>0</v>
      </c>
      <c r="Q1742" s="290">
        <f>RES_BA!T195</f>
        <v>0</v>
      </c>
      <c r="S1742" s="290">
        <f>RES_BA!U195</f>
        <v>0</v>
      </c>
    </row>
    <row r="1743" spans="3:19" hidden="1" outlineLevel="1" x14ac:dyDescent="0.3">
      <c r="C1743" s="289" t="str">
        <f>RES_BA!D196</f>
        <v>Other Direct Costs Category 28</v>
      </c>
      <c r="M1743" s="290">
        <f>RES_BA!R196</f>
        <v>0</v>
      </c>
      <c r="O1743" s="290">
        <f>RES_BA!S196</f>
        <v>0</v>
      </c>
      <c r="Q1743" s="290">
        <f>RES_BA!T196</f>
        <v>0</v>
      </c>
      <c r="S1743" s="290">
        <f>RES_BA!U196</f>
        <v>0</v>
      </c>
    </row>
    <row r="1744" spans="3:19" hidden="1" outlineLevel="1" x14ac:dyDescent="0.3">
      <c r="C1744" s="289" t="str">
        <f>RES_BA!D197</f>
        <v>Other Direct Costs Category 29</v>
      </c>
      <c r="M1744" s="290">
        <f>RES_BA!R197</f>
        <v>0</v>
      </c>
      <c r="O1744" s="290">
        <f>RES_BA!S197</f>
        <v>0</v>
      </c>
      <c r="Q1744" s="290">
        <f>RES_BA!T197</f>
        <v>0</v>
      </c>
      <c r="S1744" s="290">
        <f>RES_BA!U197</f>
        <v>0</v>
      </c>
    </row>
    <row r="1745" spans="3:19" hidden="1" outlineLevel="1" x14ac:dyDescent="0.3">
      <c r="C1745" s="289" t="str">
        <f>RES_BA!D198</f>
        <v>Other Direct Costs Category 30</v>
      </c>
      <c r="M1745" s="290">
        <f>RES_BA!R198</f>
        <v>0</v>
      </c>
      <c r="O1745" s="290">
        <f>RES_BA!S198</f>
        <v>0</v>
      </c>
      <c r="Q1745" s="290">
        <f>RES_BA!T198</f>
        <v>0</v>
      </c>
      <c r="S1745" s="290">
        <f>RES_BA!U198</f>
        <v>0</v>
      </c>
    </row>
    <row r="1746" spans="3:19" hidden="1" outlineLevel="1" x14ac:dyDescent="0.3">
      <c r="C1746" s="289" t="str">
        <f>RES_BA!D199</f>
        <v>Other Direct Costs Category 31</v>
      </c>
      <c r="M1746" s="290">
        <f>RES_BA!R199</f>
        <v>0</v>
      </c>
      <c r="O1746" s="290">
        <f>RES_BA!S199</f>
        <v>0</v>
      </c>
      <c r="Q1746" s="290">
        <f>RES_BA!T199</f>
        <v>0</v>
      </c>
      <c r="S1746" s="290">
        <f>RES_BA!U199</f>
        <v>0</v>
      </c>
    </row>
    <row r="1747" spans="3:19" hidden="1" outlineLevel="1" x14ac:dyDescent="0.3">
      <c r="C1747" s="289" t="str">
        <f>RES_BA!D200</f>
        <v>Other Direct Costs Category 32</v>
      </c>
      <c r="M1747" s="290">
        <f>RES_BA!R200</f>
        <v>0</v>
      </c>
      <c r="O1747" s="290">
        <f>RES_BA!S200</f>
        <v>0</v>
      </c>
      <c r="Q1747" s="290">
        <f>RES_BA!T200</f>
        <v>0</v>
      </c>
      <c r="S1747" s="290">
        <f>RES_BA!U200</f>
        <v>0</v>
      </c>
    </row>
    <row r="1748" spans="3:19" hidden="1" outlineLevel="1" x14ac:dyDescent="0.3">
      <c r="C1748" s="289" t="str">
        <f>RES_BA!D201</f>
        <v>Other Direct Costs Category 33</v>
      </c>
      <c r="M1748" s="290">
        <f>RES_BA!R201</f>
        <v>0</v>
      </c>
      <c r="O1748" s="290">
        <f>RES_BA!S201</f>
        <v>0</v>
      </c>
      <c r="Q1748" s="290">
        <f>RES_BA!T201</f>
        <v>0</v>
      </c>
      <c r="S1748" s="290">
        <f>RES_BA!U201</f>
        <v>0</v>
      </c>
    </row>
    <row r="1749" spans="3:19" hidden="1" outlineLevel="1" x14ac:dyDescent="0.3">
      <c r="C1749" s="289" t="str">
        <f>RES_BA!D202</f>
        <v>Other Direct Costs Category 34</v>
      </c>
      <c r="M1749" s="290">
        <f>RES_BA!R202</f>
        <v>0</v>
      </c>
      <c r="O1749" s="290">
        <f>RES_BA!S202</f>
        <v>0</v>
      </c>
      <c r="Q1749" s="290">
        <f>RES_BA!T202</f>
        <v>0</v>
      </c>
      <c r="S1749" s="290">
        <f>RES_BA!U202</f>
        <v>0</v>
      </c>
    </row>
    <row r="1750" spans="3:19" hidden="1" outlineLevel="1" x14ac:dyDescent="0.3">
      <c r="C1750" s="289" t="str">
        <f>RES_BA!D203</f>
        <v>Other Direct Costs Category 35</v>
      </c>
      <c r="M1750" s="290">
        <f>RES_BA!R203</f>
        <v>0</v>
      </c>
      <c r="O1750" s="290">
        <f>RES_BA!S203</f>
        <v>0</v>
      </c>
      <c r="Q1750" s="290">
        <f>RES_BA!T203</f>
        <v>0</v>
      </c>
      <c r="S1750" s="290">
        <f>RES_BA!U203</f>
        <v>0</v>
      </c>
    </row>
    <row r="1751" spans="3:19" collapsed="1" x14ac:dyDescent="0.3"/>
  </sheetData>
  <sheetProtection algorithmName="SHA-512" hashValue="ro+Em3dlWdnCBQkZjVLxuLtvmogjIwBDhm5jlgINcThv5lWV3TeGVIv5sb3vII3RCOAg1nBGUWlWViOQuSrGCg==" saltValue="u6q7m8Sh3tRAS0echOQ7ag==" spinCount="100000" sheet="1" objects="1" scenarios="1" formatColumns="0" formatRows="0"/>
  <mergeCells count="1316">
    <mergeCell ref="D1549:G1549"/>
    <mergeCell ref="D1550:G1550"/>
    <mergeCell ref="D1551:G1551"/>
    <mergeCell ref="D1552:G1552"/>
    <mergeCell ref="U1533:X1533"/>
    <mergeCell ref="U1534:X1534"/>
    <mergeCell ref="U1535:X1535"/>
    <mergeCell ref="U1536:X1536"/>
    <mergeCell ref="U1537:X1537"/>
    <mergeCell ref="U1538:X1538"/>
    <mergeCell ref="U1539:X1539"/>
    <mergeCell ref="U1540:X1540"/>
    <mergeCell ref="U1541:X1541"/>
    <mergeCell ref="U1542:X1542"/>
    <mergeCell ref="U1543:X1543"/>
    <mergeCell ref="U1544:X1544"/>
    <mergeCell ref="U1545:X1545"/>
    <mergeCell ref="U1546:X1546"/>
    <mergeCell ref="U1547:X1547"/>
    <mergeCell ref="U1548:X1548"/>
    <mergeCell ref="U1549:X1549"/>
    <mergeCell ref="U1550:X1550"/>
    <mergeCell ref="U1551:X1551"/>
    <mergeCell ref="U1552:X1552"/>
    <mergeCell ref="D1540:G1540"/>
    <mergeCell ref="D1541:G1541"/>
    <mergeCell ref="D1542:G1542"/>
    <mergeCell ref="D1543:G1543"/>
    <mergeCell ref="D1544:G1544"/>
    <mergeCell ref="D1545:G1545"/>
    <mergeCell ref="D1500:G1500"/>
    <mergeCell ref="D1501:G1501"/>
    <mergeCell ref="D1502:G1502"/>
    <mergeCell ref="U1471:X1471"/>
    <mergeCell ref="U1472:X1472"/>
    <mergeCell ref="U1473:X1473"/>
    <mergeCell ref="U1474:X1474"/>
    <mergeCell ref="U1475:X1475"/>
    <mergeCell ref="U1476:X1476"/>
    <mergeCell ref="U1477:X1477"/>
    <mergeCell ref="U1478:X1478"/>
    <mergeCell ref="U1479:X1479"/>
    <mergeCell ref="U1480:X1480"/>
    <mergeCell ref="U1481:X1481"/>
    <mergeCell ref="U1482:X1482"/>
    <mergeCell ref="U1483:X1483"/>
    <mergeCell ref="U1484:X1484"/>
    <mergeCell ref="U1485:X1485"/>
    <mergeCell ref="U1486:X1486"/>
    <mergeCell ref="U1487:X1487"/>
    <mergeCell ref="U1488:X1488"/>
    <mergeCell ref="U1489:X1489"/>
    <mergeCell ref="U1498:X1498"/>
    <mergeCell ref="D1494:G1494"/>
    <mergeCell ref="U1497:X1497"/>
    <mergeCell ref="D1498:G1498"/>
    <mergeCell ref="D1491:G1491"/>
    <mergeCell ref="U1518:X1518"/>
    <mergeCell ref="D1509:G1509"/>
    <mergeCell ref="D1510:G1510"/>
    <mergeCell ref="D1511:G1511"/>
    <mergeCell ref="D1520:G1520"/>
    <mergeCell ref="D1521:G1521"/>
    <mergeCell ref="D1522:G1522"/>
    <mergeCell ref="U1500:X1500"/>
    <mergeCell ref="D1548:G1548"/>
    <mergeCell ref="U1492:X1492"/>
    <mergeCell ref="U1493:X1493"/>
    <mergeCell ref="D1533:G1533"/>
    <mergeCell ref="D1534:G1534"/>
    <mergeCell ref="D1535:G1535"/>
    <mergeCell ref="D1536:G1536"/>
    <mergeCell ref="D1537:G1537"/>
    <mergeCell ref="D1538:G1538"/>
    <mergeCell ref="D1539:G1539"/>
    <mergeCell ref="D1492:G1492"/>
    <mergeCell ref="D1493:G1493"/>
    <mergeCell ref="D1546:G1546"/>
    <mergeCell ref="D1547:G1547"/>
    <mergeCell ref="U1514:X1514"/>
    <mergeCell ref="U1515:X1515"/>
    <mergeCell ref="U1516:X1516"/>
    <mergeCell ref="U1517:X1517"/>
    <mergeCell ref="D1512:G1512"/>
    <mergeCell ref="D1513:G1513"/>
    <mergeCell ref="D1514:G1514"/>
    <mergeCell ref="D1515:G1515"/>
    <mergeCell ref="D1516:G1516"/>
    <mergeCell ref="D1517:G1517"/>
    <mergeCell ref="U1508:X1508"/>
    <mergeCell ref="U1509:X1509"/>
    <mergeCell ref="U1510:X1510"/>
    <mergeCell ref="U1511:X1511"/>
    <mergeCell ref="U1490:X1490"/>
    <mergeCell ref="U1491:X1491"/>
    <mergeCell ref="U1519:X1519"/>
    <mergeCell ref="U1520:X1520"/>
    <mergeCell ref="U1521:X1521"/>
    <mergeCell ref="U1522:X1522"/>
    <mergeCell ref="D1471:G1471"/>
    <mergeCell ref="D1472:G1472"/>
    <mergeCell ref="D1473:G1473"/>
    <mergeCell ref="D1474:G1474"/>
    <mergeCell ref="D1475:G1475"/>
    <mergeCell ref="D1476:G1476"/>
    <mergeCell ref="D1477:G1477"/>
    <mergeCell ref="D1478:G1478"/>
    <mergeCell ref="D1479:G1479"/>
    <mergeCell ref="D1480:G1480"/>
    <mergeCell ref="D1481:G1481"/>
    <mergeCell ref="D1482:G1482"/>
    <mergeCell ref="D1483:G1483"/>
    <mergeCell ref="D1484:G1484"/>
    <mergeCell ref="D1485:G1485"/>
    <mergeCell ref="D1486:G1486"/>
    <mergeCell ref="D1487:G1487"/>
    <mergeCell ref="D1488:G1488"/>
    <mergeCell ref="D1489:G1489"/>
    <mergeCell ref="D1490:G1490"/>
    <mergeCell ref="D1518:G1518"/>
    <mergeCell ref="D1519:G1519"/>
    <mergeCell ref="D1413:G1413"/>
    <mergeCell ref="U1413:X1413"/>
    <mergeCell ref="D1414:G1414"/>
    <mergeCell ref="U1414:X1414"/>
    <mergeCell ref="D1462:G1462"/>
    <mergeCell ref="U1446:X1446"/>
    <mergeCell ref="U1447:X1447"/>
    <mergeCell ref="U1448:X1448"/>
    <mergeCell ref="U1449:X1449"/>
    <mergeCell ref="U1450:X1450"/>
    <mergeCell ref="U1451:X1451"/>
    <mergeCell ref="U1452:X1452"/>
    <mergeCell ref="U1453:X1453"/>
    <mergeCell ref="U1454:X1454"/>
    <mergeCell ref="U1455:X1455"/>
    <mergeCell ref="U1456:X1456"/>
    <mergeCell ref="U1457:X1457"/>
    <mergeCell ref="U1458:X1458"/>
    <mergeCell ref="U1459:X1459"/>
    <mergeCell ref="U1460:X1460"/>
    <mergeCell ref="U1461:X1461"/>
    <mergeCell ref="U1462:X1462"/>
    <mergeCell ref="D1442:G1442"/>
    <mergeCell ref="U1442:X1442"/>
    <mergeCell ref="D1443:G1443"/>
    <mergeCell ref="U1443:X1443"/>
    <mergeCell ref="D1444:G1444"/>
    <mergeCell ref="U1437:X1437"/>
    <mergeCell ref="D1438:G1438"/>
    <mergeCell ref="U1438:X1438"/>
    <mergeCell ref="D1439:G1439"/>
    <mergeCell ref="U1439:X1439"/>
    <mergeCell ref="U1170:X1170"/>
    <mergeCell ref="U1171:X1171"/>
    <mergeCell ref="U1172:X1172"/>
    <mergeCell ref="U1173:X1173"/>
    <mergeCell ref="U1151:X1151"/>
    <mergeCell ref="U1152:X1152"/>
    <mergeCell ref="U1153:X1153"/>
    <mergeCell ref="U1429:X1429"/>
    <mergeCell ref="U1430:X1430"/>
    <mergeCell ref="U1431:X1431"/>
    <mergeCell ref="U1432:X1432"/>
    <mergeCell ref="U1433:X1433"/>
    <mergeCell ref="D1446:G1446"/>
    <mergeCell ref="D1447:G1447"/>
    <mergeCell ref="D1448:G1448"/>
    <mergeCell ref="D1449:G1449"/>
    <mergeCell ref="U1202:X1202"/>
    <mergeCell ref="U1203:X1203"/>
    <mergeCell ref="D1417:G1417"/>
    <mergeCell ref="D1418:G1418"/>
    <mergeCell ref="D1419:G1419"/>
    <mergeCell ref="D1420:G1420"/>
    <mergeCell ref="D1421:G1421"/>
    <mergeCell ref="D1422:G1422"/>
    <mergeCell ref="D1423:G1423"/>
    <mergeCell ref="U1417:X1417"/>
    <mergeCell ref="U1418:X1418"/>
    <mergeCell ref="U1419:X1419"/>
    <mergeCell ref="U1420:X1420"/>
    <mergeCell ref="U1421:X1421"/>
    <mergeCell ref="U1422:X1422"/>
    <mergeCell ref="U1423:X1423"/>
    <mergeCell ref="U1139:X1139"/>
    <mergeCell ref="U1140:X1140"/>
    <mergeCell ref="U1141:X1141"/>
    <mergeCell ref="U1142:X1142"/>
    <mergeCell ref="D1122:G1122"/>
    <mergeCell ref="D1123:G1123"/>
    <mergeCell ref="D1124:G1124"/>
    <mergeCell ref="D1125:G1125"/>
    <mergeCell ref="D1126:G1126"/>
    <mergeCell ref="D1127:G1127"/>
    <mergeCell ref="D1128:G1128"/>
    <mergeCell ref="D1129:G1129"/>
    <mergeCell ref="U1193:X1193"/>
    <mergeCell ref="U1194:X1194"/>
    <mergeCell ref="U1195:X1195"/>
    <mergeCell ref="U1196:X1196"/>
    <mergeCell ref="U1197:X1197"/>
    <mergeCell ref="U1143:X1143"/>
    <mergeCell ref="U1144:X1144"/>
    <mergeCell ref="D1184:G1184"/>
    <mergeCell ref="D1185:G1185"/>
    <mergeCell ref="D1186:G1186"/>
    <mergeCell ref="D1187:G1187"/>
    <mergeCell ref="D1188:G1188"/>
    <mergeCell ref="D1189:G1189"/>
    <mergeCell ref="D1190:G1190"/>
    <mergeCell ref="U1184:X1184"/>
    <mergeCell ref="U1185:X1185"/>
    <mergeCell ref="U1186:X1186"/>
    <mergeCell ref="U1187:X1187"/>
    <mergeCell ref="U1188:X1188"/>
    <mergeCell ref="U1189:X1189"/>
    <mergeCell ref="U1122:X1122"/>
    <mergeCell ref="U1123:X1123"/>
    <mergeCell ref="U1124:X1124"/>
    <mergeCell ref="U1125:X1125"/>
    <mergeCell ref="U1126:X1126"/>
    <mergeCell ref="U1127:X1127"/>
    <mergeCell ref="U1128:X1128"/>
    <mergeCell ref="U1129:X1129"/>
    <mergeCell ref="U1130:X1130"/>
    <mergeCell ref="U1131:X1131"/>
    <mergeCell ref="U1132:X1132"/>
    <mergeCell ref="U1133:X1133"/>
    <mergeCell ref="U1134:X1134"/>
    <mergeCell ref="U1135:X1135"/>
    <mergeCell ref="U1136:X1136"/>
    <mergeCell ref="U1137:X1137"/>
    <mergeCell ref="U1138:X1138"/>
    <mergeCell ref="D1130:G1130"/>
    <mergeCell ref="D1131:G1131"/>
    <mergeCell ref="D1132:G1132"/>
    <mergeCell ref="D1133:G1133"/>
    <mergeCell ref="D1134:G1134"/>
    <mergeCell ref="D1135:G1135"/>
    <mergeCell ref="D1136:G1136"/>
    <mergeCell ref="D1137:G1137"/>
    <mergeCell ref="D1138:G1138"/>
    <mergeCell ref="D1139:G1139"/>
    <mergeCell ref="D1140:G1140"/>
    <mergeCell ref="D1141:G1141"/>
    <mergeCell ref="D1169:G1169"/>
    <mergeCell ref="D1170:G1170"/>
    <mergeCell ref="D1171:G1171"/>
    <mergeCell ref="D1172:G1172"/>
    <mergeCell ref="D1173:G1173"/>
    <mergeCell ref="D1151:G1151"/>
    <mergeCell ref="D1152:G1152"/>
    <mergeCell ref="D1153:G1153"/>
    <mergeCell ref="D1150:G1150"/>
    <mergeCell ref="D1142:G1142"/>
    <mergeCell ref="D1143:G1143"/>
    <mergeCell ref="D1144:G1144"/>
    <mergeCell ref="U1154:X1154"/>
    <mergeCell ref="U1155:X1155"/>
    <mergeCell ref="U1156:X1156"/>
    <mergeCell ref="U1157:X1157"/>
    <mergeCell ref="U1158:X1158"/>
    <mergeCell ref="U1159:X1159"/>
    <mergeCell ref="U1160:X1160"/>
    <mergeCell ref="U1161:X1161"/>
    <mergeCell ref="U1162:X1162"/>
    <mergeCell ref="U1163:X1163"/>
    <mergeCell ref="U1164:X1164"/>
    <mergeCell ref="U1165:X1165"/>
    <mergeCell ref="U1166:X1166"/>
    <mergeCell ref="U1167:X1167"/>
    <mergeCell ref="U1168:X1168"/>
    <mergeCell ref="U1169:X1169"/>
    <mergeCell ref="D1160:G1160"/>
    <mergeCell ref="D1161:G1161"/>
    <mergeCell ref="D1162:G1162"/>
    <mergeCell ref="D1163:G1163"/>
    <mergeCell ref="D1164:G1164"/>
    <mergeCell ref="D1165:G1165"/>
    <mergeCell ref="D1166:G1166"/>
    <mergeCell ref="D1167:G1167"/>
    <mergeCell ref="D1168:G1168"/>
    <mergeCell ref="D1154:G1154"/>
    <mergeCell ref="D1155:G1155"/>
    <mergeCell ref="D1156:G1156"/>
    <mergeCell ref="D1157:G1157"/>
    <mergeCell ref="D1158:G1158"/>
    <mergeCell ref="D1159:G1159"/>
    <mergeCell ref="D1113:G1113"/>
    <mergeCell ref="U1097:X1097"/>
    <mergeCell ref="U1098:X1098"/>
    <mergeCell ref="U1099:X1099"/>
    <mergeCell ref="U1100:X1100"/>
    <mergeCell ref="U1101:X1101"/>
    <mergeCell ref="U1102:X1102"/>
    <mergeCell ref="U1103:X1103"/>
    <mergeCell ref="U1104:X1104"/>
    <mergeCell ref="U1105:X1105"/>
    <mergeCell ref="U1106:X1106"/>
    <mergeCell ref="U1107:X1107"/>
    <mergeCell ref="U1108:X1108"/>
    <mergeCell ref="U1109:X1109"/>
    <mergeCell ref="U1110:X1110"/>
    <mergeCell ref="U1111:X1111"/>
    <mergeCell ref="U1112:X1112"/>
    <mergeCell ref="U1113:X1113"/>
    <mergeCell ref="D853:G853"/>
    <mergeCell ref="D854:G854"/>
    <mergeCell ref="U835:X835"/>
    <mergeCell ref="U836:X836"/>
    <mergeCell ref="U837:X837"/>
    <mergeCell ref="U838:X838"/>
    <mergeCell ref="U839:X839"/>
    <mergeCell ref="U840:X840"/>
    <mergeCell ref="U841:X841"/>
    <mergeCell ref="U842:X842"/>
    <mergeCell ref="U843:X843"/>
    <mergeCell ref="U844:X844"/>
    <mergeCell ref="U845:X845"/>
    <mergeCell ref="U846:X846"/>
    <mergeCell ref="U847:X847"/>
    <mergeCell ref="U848:X848"/>
    <mergeCell ref="U849:X849"/>
    <mergeCell ref="U850:X850"/>
    <mergeCell ref="U851:X851"/>
    <mergeCell ref="U852:X852"/>
    <mergeCell ref="U853:X853"/>
    <mergeCell ref="U854:X854"/>
    <mergeCell ref="D844:G844"/>
    <mergeCell ref="D845:G845"/>
    <mergeCell ref="D846:G846"/>
    <mergeCell ref="D847:G847"/>
    <mergeCell ref="D848:G848"/>
    <mergeCell ref="D849:G849"/>
    <mergeCell ref="D850:G850"/>
    <mergeCell ref="D851:G851"/>
    <mergeCell ref="D852:G852"/>
    <mergeCell ref="D835:G835"/>
    <mergeCell ref="D836:G836"/>
    <mergeCell ref="D837:G837"/>
    <mergeCell ref="D838:G838"/>
    <mergeCell ref="D839:G839"/>
    <mergeCell ref="D840:G840"/>
    <mergeCell ref="D841:G841"/>
    <mergeCell ref="D842:G842"/>
    <mergeCell ref="D843:G843"/>
    <mergeCell ref="D773:G773"/>
    <mergeCell ref="D774:G774"/>
    <mergeCell ref="D775:G775"/>
    <mergeCell ref="D776:G776"/>
    <mergeCell ref="D777:G777"/>
    <mergeCell ref="D778:G778"/>
    <mergeCell ref="D779:G779"/>
    <mergeCell ref="D780:G780"/>
    <mergeCell ref="D781:G781"/>
    <mergeCell ref="D782:G782"/>
    <mergeCell ref="D783:G783"/>
    <mergeCell ref="D784:G784"/>
    <mergeCell ref="D785:G785"/>
    <mergeCell ref="D786:G786"/>
    <mergeCell ref="D787:G787"/>
    <mergeCell ref="D788:G788"/>
    <mergeCell ref="D789:G789"/>
    <mergeCell ref="D832:G832"/>
    <mergeCell ref="D790:G790"/>
    <mergeCell ref="D791:G791"/>
    <mergeCell ref="D792:G792"/>
    <mergeCell ref="D793:G793"/>
    <mergeCell ref="D794:G794"/>
    <mergeCell ref="D795:G795"/>
    <mergeCell ref="U821:X821"/>
    <mergeCell ref="U822:X822"/>
    <mergeCell ref="U823:X823"/>
    <mergeCell ref="U799:X799"/>
    <mergeCell ref="U800:X800"/>
    <mergeCell ref="U782:X782"/>
    <mergeCell ref="U783:X783"/>
    <mergeCell ref="U802:X802"/>
    <mergeCell ref="U803:X803"/>
    <mergeCell ref="U804:X804"/>
    <mergeCell ref="U805:X805"/>
    <mergeCell ref="U806:X806"/>
    <mergeCell ref="U807:X807"/>
    <mergeCell ref="U808:X808"/>
    <mergeCell ref="U809:X809"/>
    <mergeCell ref="U810:X810"/>
    <mergeCell ref="U811:X811"/>
    <mergeCell ref="U812:X812"/>
    <mergeCell ref="U818:X818"/>
    <mergeCell ref="U819:X819"/>
    <mergeCell ref="U820:X820"/>
    <mergeCell ref="U773:X773"/>
    <mergeCell ref="U774:X774"/>
    <mergeCell ref="U775:X775"/>
    <mergeCell ref="U776:X776"/>
    <mergeCell ref="U777:X777"/>
    <mergeCell ref="U778:X778"/>
    <mergeCell ref="U779:X779"/>
    <mergeCell ref="U780:X780"/>
    <mergeCell ref="U781:X781"/>
    <mergeCell ref="U792:X792"/>
    <mergeCell ref="U793:X793"/>
    <mergeCell ref="U794:X794"/>
    <mergeCell ref="U795:X795"/>
    <mergeCell ref="U784:X784"/>
    <mergeCell ref="U785:X785"/>
    <mergeCell ref="U786:X786"/>
    <mergeCell ref="U787:X787"/>
    <mergeCell ref="U788:X788"/>
    <mergeCell ref="U789:X789"/>
    <mergeCell ref="U790:X790"/>
    <mergeCell ref="U791:X791"/>
    <mergeCell ref="U748:X748"/>
    <mergeCell ref="U749:X749"/>
    <mergeCell ref="U750:X750"/>
    <mergeCell ref="U751:X751"/>
    <mergeCell ref="U752:X752"/>
    <mergeCell ref="U753:X753"/>
    <mergeCell ref="U754:X754"/>
    <mergeCell ref="U755:X755"/>
    <mergeCell ref="U756:X756"/>
    <mergeCell ref="U770:X770"/>
    <mergeCell ref="U771:X771"/>
    <mergeCell ref="U772:X772"/>
    <mergeCell ref="U757:X757"/>
    <mergeCell ref="U758:X758"/>
    <mergeCell ref="U759:X759"/>
    <mergeCell ref="U760:X760"/>
    <mergeCell ref="U761:X761"/>
    <mergeCell ref="U762:X762"/>
    <mergeCell ref="U763:X763"/>
    <mergeCell ref="U764:X764"/>
    <mergeCell ref="U503:X503"/>
    <mergeCell ref="U504:X504"/>
    <mergeCell ref="U505:X505"/>
    <mergeCell ref="D733:G733"/>
    <mergeCell ref="D734:G734"/>
    <mergeCell ref="D735:G735"/>
    <mergeCell ref="U719:X719"/>
    <mergeCell ref="U720:X720"/>
    <mergeCell ref="U721:X721"/>
    <mergeCell ref="U722:X722"/>
    <mergeCell ref="U723:X723"/>
    <mergeCell ref="U724:X724"/>
    <mergeCell ref="U725:X725"/>
    <mergeCell ref="U726:X726"/>
    <mergeCell ref="U727:X727"/>
    <mergeCell ref="U728:X728"/>
    <mergeCell ref="U729:X729"/>
    <mergeCell ref="U730:X730"/>
    <mergeCell ref="U731:X731"/>
    <mergeCell ref="U732:X732"/>
    <mergeCell ref="U733:X733"/>
    <mergeCell ref="U734:X734"/>
    <mergeCell ref="U735:X735"/>
    <mergeCell ref="I707:S707"/>
    <mergeCell ref="U486:X486"/>
    <mergeCell ref="U487:X487"/>
    <mergeCell ref="U488:X488"/>
    <mergeCell ref="U489:X489"/>
    <mergeCell ref="U490:X490"/>
    <mergeCell ref="U491:X491"/>
    <mergeCell ref="U492:X492"/>
    <mergeCell ref="U493:X493"/>
    <mergeCell ref="U494:X494"/>
    <mergeCell ref="U495:X495"/>
    <mergeCell ref="U496:X496"/>
    <mergeCell ref="U497:X497"/>
    <mergeCell ref="U498:X498"/>
    <mergeCell ref="U499:X499"/>
    <mergeCell ref="U500:X500"/>
    <mergeCell ref="U501:X501"/>
    <mergeCell ref="U502:X502"/>
    <mergeCell ref="U442:X442"/>
    <mergeCell ref="U443:X443"/>
    <mergeCell ref="U444:X444"/>
    <mergeCell ref="U445:X445"/>
    <mergeCell ref="U446:X446"/>
    <mergeCell ref="D495:G495"/>
    <mergeCell ref="D496:G496"/>
    <mergeCell ref="D497:G497"/>
    <mergeCell ref="D498:G498"/>
    <mergeCell ref="U433:X433"/>
    <mergeCell ref="U434:X434"/>
    <mergeCell ref="U435:X435"/>
    <mergeCell ref="U436:X436"/>
    <mergeCell ref="U437:X437"/>
    <mergeCell ref="U438:X438"/>
    <mergeCell ref="U439:X439"/>
    <mergeCell ref="U440:X440"/>
    <mergeCell ref="U441:X441"/>
    <mergeCell ref="D442:G442"/>
    <mergeCell ref="U462:X462"/>
    <mergeCell ref="U463:X463"/>
    <mergeCell ref="U464:X464"/>
    <mergeCell ref="U465:X465"/>
    <mergeCell ref="U466:X466"/>
    <mergeCell ref="U467:X467"/>
    <mergeCell ref="U468:X468"/>
    <mergeCell ref="U469:X469"/>
    <mergeCell ref="U470:X470"/>
    <mergeCell ref="U453:X453"/>
    <mergeCell ref="U454:X454"/>
    <mergeCell ref="U455:X455"/>
    <mergeCell ref="U456:X456"/>
    <mergeCell ref="U424:X424"/>
    <mergeCell ref="U425:X425"/>
    <mergeCell ref="U426:X426"/>
    <mergeCell ref="U427:X427"/>
    <mergeCell ref="U428:X428"/>
    <mergeCell ref="U429:X429"/>
    <mergeCell ref="U430:X430"/>
    <mergeCell ref="U431:X431"/>
    <mergeCell ref="U432:X432"/>
    <mergeCell ref="U471:X471"/>
    <mergeCell ref="U472:X472"/>
    <mergeCell ref="U473:X473"/>
    <mergeCell ref="U474:X474"/>
    <mergeCell ref="U475:X475"/>
    <mergeCell ref="D424:G424"/>
    <mergeCell ref="D425:G425"/>
    <mergeCell ref="D426:G426"/>
    <mergeCell ref="D427:G427"/>
    <mergeCell ref="D428:G428"/>
    <mergeCell ref="D429:G429"/>
    <mergeCell ref="D430:G430"/>
    <mergeCell ref="D431:G431"/>
    <mergeCell ref="D432:G432"/>
    <mergeCell ref="D433:G433"/>
    <mergeCell ref="D434:G434"/>
    <mergeCell ref="D435:G435"/>
    <mergeCell ref="D436:G436"/>
    <mergeCell ref="D437:G437"/>
    <mergeCell ref="D438:G438"/>
    <mergeCell ref="D439:G439"/>
    <mergeCell ref="D440:G440"/>
    <mergeCell ref="D441:G441"/>
    <mergeCell ref="U457:X457"/>
    <mergeCell ref="U458:X458"/>
    <mergeCell ref="U459:X459"/>
    <mergeCell ref="U460:X460"/>
    <mergeCell ref="U461:X461"/>
    <mergeCell ref="D453:G453"/>
    <mergeCell ref="D454:G454"/>
    <mergeCell ref="D455:G455"/>
    <mergeCell ref="D456:G456"/>
    <mergeCell ref="D457:G457"/>
    <mergeCell ref="D458:G458"/>
    <mergeCell ref="D459:G459"/>
    <mergeCell ref="D460:G460"/>
    <mergeCell ref="D461:G461"/>
    <mergeCell ref="D462:G462"/>
    <mergeCell ref="D463:G463"/>
    <mergeCell ref="D464:G464"/>
    <mergeCell ref="D750:G750"/>
    <mergeCell ref="D751:G751"/>
    <mergeCell ref="D765:G765"/>
    <mergeCell ref="D771:G771"/>
    <mergeCell ref="D772:G772"/>
    <mergeCell ref="D796:G796"/>
    <mergeCell ref="D800:G800"/>
    <mergeCell ref="D1064:G1064"/>
    <mergeCell ref="D465:G465"/>
    <mergeCell ref="D466:G466"/>
    <mergeCell ref="D467:G467"/>
    <mergeCell ref="D468:G468"/>
    <mergeCell ref="D469:G469"/>
    <mergeCell ref="D1068:G1068"/>
    <mergeCell ref="D1069:G1069"/>
    <mergeCell ref="D1070:G1070"/>
    <mergeCell ref="D1071:G1071"/>
    <mergeCell ref="D470:G470"/>
    <mergeCell ref="D471:G471"/>
    <mergeCell ref="D472:G472"/>
    <mergeCell ref="D473:G473"/>
    <mergeCell ref="D474:G474"/>
    <mergeCell ref="D475:G475"/>
    <mergeCell ref="D727:G727"/>
    <mergeCell ref="D728:G728"/>
    <mergeCell ref="D729:G729"/>
    <mergeCell ref="D730:G730"/>
    <mergeCell ref="D731:G731"/>
    <mergeCell ref="D732:G732"/>
    <mergeCell ref="D504:G504"/>
    <mergeCell ref="D505:G505"/>
    <mergeCell ref="D802:G802"/>
    <mergeCell ref="D445:G445"/>
    <mergeCell ref="D446:G446"/>
    <mergeCell ref="D499:G499"/>
    <mergeCell ref="D500:G500"/>
    <mergeCell ref="D501:G501"/>
    <mergeCell ref="D502:G502"/>
    <mergeCell ref="D503:G503"/>
    <mergeCell ref="D493:G493"/>
    <mergeCell ref="D494:G494"/>
    <mergeCell ref="D486:G486"/>
    <mergeCell ref="D487:G487"/>
    <mergeCell ref="D488:G488"/>
    <mergeCell ref="D489:G489"/>
    <mergeCell ref="D490:G490"/>
    <mergeCell ref="D491:G491"/>
    <mergeCell ref="D492:G492"/>
    <mergeCell ref="D1080:G1080"/>
    <mergeCell ref="D761:G761"/>
    <mergeCell ref="D762:G762"/>
    <mergeCell ref="D763:G763"/>
    <mergeCell ref="D764:G764"/>
    <mergeCell ref="D752:G752"/>
    <mergeCell ref="D753:G753"/>
    <mergeCell ref="D754:G754"/>
    <mergeCell ref="D755:G755"/>
    <mergeCell ref="D756:G756"/>
    <mergeCell ref="D757:G757"/>
    <mergeCell ref="D758:G758"/>
    <mergeCell ref="D759:G759"/>
    <mergeCell ref="D760:G760"/>
    <mergeCell ref="D748:G748"/>
    <mergeCell ref="D749:G749"/>
    <mergeCell ref="U386:X386"/>
    <mergeCell ref="D399:G399"/>
    <mergeCell ref="D400:G400"/>
    <mergeCell ref="D401:G401"/>
    <mergeCell ref="D402:G402"/>
    <mergeCell ref="D403:G403"/>
    <mergeCell ref="D404:G404"/>
    <mergeCell ref="D405:G405"/>
    <mergeCell ref="D406:G406"/>
    <mergeCell ref="U399:X399"/>
    <mergeCell ref="U400:X400"/>
    <mergeCell ref="U401:X401"/>
    <mergeCell ref="U402:X402"/>
    <mergeCell ref="U403:X403"/>
    <mergeCell ref="U404:X404"/>
    <mergeCell ref="U405:X405"/>
    <mergeCell ref="U406:X406"/>
    <mergeCell ref="D387:G387"/>
    <mergeCell ref="U390:X390"/>
    <mergeCell ref="D391:G391"/>
    <mergeCell ref="U391:X391"/>
    <mergeCell ref="D392:G392"/>
    <mergeCell ref="U392:X392"/>
    <mergeCell ref="D393:G393"/>
    <mergeCell ref="U393:X393"/>
    <mergeCell ref="D394:G394"/>
    <mergeCell ref="U394:X394"/>
    <mergeCell ref="D379:G379"/>
    <mergeCell ref="D380:G380"/>
    <mergeCell ref="D381:G381"/>
    <mergeCell ref="D382:G382"/>
    <mergeCell ref="D383:G383"/>
    <mergeCell ref="D384:G384"/>
    <mergeCell ref="D385:G385"/>
    <mergeCell ref="D386:G386"/>
    <mergeCell ref="U370:X370"/>
    <mergeCell ref="U371:X371"/>
    <mergeCell ref="U372:X372"/>
    <mergeCell ref="U373:X373"/>
    <mergeCell ref="U374:X374"/>
    <mergeCell ref="U375:X375"/>
    <mergeCell ref="U376:X376"/>
    <mergeCell ref="U377:X377"/>
    <mergeCell ref="U378:X378"/>
    <mergeCell ref="U379:X379"/>
    <mergeCell ref="U380:X380"/>
    <mergeCell ref="U381:X381"/>
    <mergeCell ref="U382:X382"/>
    <mergeCell ref="U383:X383"/>
    <mergeCell ref="U384:X384"/>
    <mergeCell ref="U385:X385"/>
    <mergeCell ref="D370:G370"/>
    <mergeCell ref="D371:G371"/>
    <mergeCell ref="D372:G372"/>
    <mergeCell ref="D373:G373"/>
    <mergeCell ref="D374:G374"/>
    <mergeCell ref="D375:G375"/>
    <mergeCell ref="D376:G376"/>
    <mergeCell ref="D377:G377"/>
    <mergeCell ref="D378:G378"/>
    <mergeCell ref="D153:G153"/>
    <mergeCell ref="D154:G154"/>
    <mergeCell ref="D155:G155"/>
    <mergeCell ref="D156:G156"/>
    <mergeCell ref="U137:X137"/>
    <mergeCell ref="U138:X138"/>
    <mergeCell ref="U139:X139"/>
    <mergeCell ref="U140:X140"/>
    <mergeCell ref="U141:X141"/>
    <mergeCell ref="U142:X142"/>
    <mergeCell ref="U143:X143"/>
    <mergeCell ref="U144:X144"/>
    <mergeCell ref="U145:X145"/>
    <mergeCell ref="U146:X146"/>
    <mergeCell ref="U147:X147"/>
    <mergeCell ref="U148:X148"/>
    <mergeCell ref="U149:X149"/>
    <mergeCell ref="U150:X150"/>
    <mergeCell ref="U151:X151"/>
    <mergeCell ref="U152:X152"/>
    <mergeCell ref="U153:X153"/>
    <mergeCell ref="U154:X154"/>
    <mergeCell ref="U155:X155"/>
    <mergeCell ref="U156:X156"/>
    <mergeCell ref="D144:G144"/>
    <mergeCell ref="D145:G145"/>
    <mergeCell ref="D146:G146"/>
    <mergeCell ref="D147:G147"/>
    <mergeCell ref="D148:G148"/>
    <mergeCell ref="D149:G149"/>
    <mergeCell ref="D165:G165"/>
    <mergeCell ref="U75:X75"/>
    <mergeCell ref="U76:X76"/>
    <mergeCell ref="U77:X77"/>
    <mergeCell ref="U78:X78"/>
    <mergeCell ref="U79:X79"/>
    <mergeCell ref="U80:X80"/>
    <mergeCell ref="U81:X81"/>
    <mergeCell ref="U82:X82"/>
    <mergeCell ref="U83:X83"/>
    <mergeCell ref="U84:X84"/>
    <mergeCell ref="U85:X85"/>
    <mergeCell ref="U86:X86"/>
    <mergeCell ref="U87:X87"/>
    <mergeCell ref="U88:X88"/>
    <mergeCell ref="U89:X89"/>
    <mergeCell ref="U90:X90"/>
    <mergeCell ref="U91:X91"/>
    <mergeCell ref="D152:G152"/>
    <mergeCell ref="U96:X96"/>
    <mergeCell ref="U97:X97"/>
    <mergeCell ref="D137:G137"/>
    <mergeCell ref="D138:G138"/>
    <mergeCell ref="D139:G139"/>
    <mergeCell ref="D140:G140"/>
    <mergeCell ref="D141:G141"/>
    <mergeCell ref="D142:G142"/>
    <mergeCell ref="D143:G143"/>
    <mergeCell ref="D96:G96"/>
    <mergeCell ref="D97:G97"/>
    <mergeCell ref="D150:G150"/>
    <mergeCell ref="U116:X116"/>
    <mergeCell ref="U117:X117"/>
    <mergeCell ref="U118:X118"/>
    <mergeCell ref="U119:X119"/>
    <mergeCell ref="U120:X120"/>
    <mergeCell ref="D116:G116"/>
    <mergeCell ref="U107:X107"/>
    <mergeCell ref="U108:X108"/>
    <mergeCell ref="U109:X109"/>
    <mergeCell ref="D117:G117"/>
    <mergeCell ref="D118:G118"/>
    <mergeCell ref="D119:G119"/>
    <mergeCell ref="D120:G120"/>
    <mergeCell ref="D121:G121"/>
    <mergeCell ref="D104:G104"/>
    <mergeCell ref="U121:X121"/>
    <mergeCell ref="U110:X110"/>
    <mergeCell ref="U111:X111"/>
    <mergeCell ref="U112:X112"/>
    <mergeCell ref="U114:X114"/>
    <mergeCell ref="U115:X115"/>
    <mergeCell ref="D105:G105"/>
    <mergeCell ref="D106:G106"/>
    <mergeCell ref="D107:G107"/>
    <mergeCell ref="D108:G108"/>
    <mergeCell ref="D109:G109"/>
    <mergeCell ref="U122:X122"/>
    <mergeCell ref="D113:G113"/>
    <mergeCell ref="D114:G114"/>
    <mergeCell ref="D115:G115"/>
    <mergeCell ref="D122:G122"/>
    <mergeCell ref="D123:G123"/>
    <mergeCell ref="D124:G124"/>
    <mergeCell ref="D125:G125"/>
    <mergeCell ref="D126:G126"/>
    <mergeCell ref="D151:G151"/>
    <mergeCell ref="D134:G134"/>
    <mergeCell ref="U134:X134"/>
    <mergeCell ref="D135:G135"/>
    <mergeCell ref="U135:X135"/>
    <mergeCell ref="D136:G136"/>
    <mergeCell ref="U136:X136"/>
    <mergeCell ref="U123:X123"/>
    <mergeCell ref="U124:X124"/>
    <mergeCell ref="U125:X125"/>
    <mergeCell ref="U126:X126"/>
    <mergeCell ref="D78:G78"/>
    <mergeCell ref="D79:G79"/>
    <mergeCell ref="D80:G80"/>
    <mergeCell ref="D81:G81"/>
    <mergeCell ref="D82:G82"/>
    <mergeCell ref="D83:G83"/>
    <mergeCell ref="D84:G84"/>
    <mergeCell ref="D85:G85"/>
    <mergeCell ref="D86:G86"/>
    <mergeCell ref="D87:G87"/>
    <mergeCell ref="D88:G88"/>
    <mergeCell ref="D89:G89"/>
    <mergeCell ref="D90:G90"/>
    <mergeCell ref="D91:G91"/>
    <mergeCell ref="D92:G92"/>
    <mergeCell ref="D93:G93"/>
    <mergeCell ref="U113:X113"/>
    <mergeCell ref="U92:X92"/>
    <mergeCell ref="D94:G94"/>
    <mergeCell ref="D95:G95"/>
    <mergeCell ref="U93:X93"/>
    <mergeCell ref="U94:X94"/>
    <mergeCell ref="U95:X95"/>
    <mergeCell ref="U51:X51"/>
    <mergeCell ref="U57:X57"/>
    <mergeCell ref="U58:X58"/>
    <mergeCell ref="U59:X59"/>
    <mergeCell ref="U60:X60"/>
    <mergeCell ref="U61:X61"/>
    <mergeCell ref="U62:X62"/>
    <mergeCell ref="U63:X63"/>
    <mergeCell ref="U64:X64"/>
    <mergeCell ref="U65:X65"/>
    <mergeCell ref="U66:X66"/>
    <mergeCell ref="D56:G56"/>
    <mergeCell ref="D57:G57"/>
    <mergeCell ref="D58:G58"/>
    <mergeCell ref="D59:G59"/>
    <mergeCell ref="D60:G60"/>
    <mergeCell ref="D61:G61"/>
    <mergeCell ref="D62:G62"/>
    <mergeCell ref="D63:G63"/>
    <mergeCell ref="U25:X25"/>
    <mergeCell ref="U26:X26"/>
    <mergeCell ref="U27:X27"/>
    <mergeCell ref="U28:X28"/>
    <mergeCell ref="U29:X29"/>
    <mergeCell ref="U30:X30"/>
    <mergeCell ref="U31:X31"/>
    <mergeCell ref="U32:X32"/>
    <mergeCell ref="D110:G110"/>
    <mergeCell ref="D111:G111"/>
    <mergeCell ref="D112:G112"/>
    <mergeCell ref="U104:X104"/>
    <mergeCell ref="U105:X105"/>
    <mergeCell ref="U106:X106"/>
    <mergeCell ref="U36:X36"/>
    <mergeCell ref="U37:X37"/>
    <mergeCell ref="D45:G45"/>
    <mergeCell ref="D46:G46"/>
    <mergeCell ref="D47:G47"/>
    <mergeCell ref="D48:G48"/>
    <mergeCell ref="D49:G49"/>
    <mergeCell ref="D50:G50"/>
    <mergeCell ref="D51:G51"/>
    <mergeCell ref="D34:G34"/>
    <mergeCell ref="D35:G35"/>
    <mergeCell ref="D36:G36"/>
    <mergeCell ref="D37:G37"/>
    <mergeCell ref="U46:X46"/>
    <mergeCell ref="U47:X47"/>
    <mergeCell ref="U48:X48"/>
    <mergeCell ref="U49:X49"/>
    <mergeCell ref="U50:X50"/>
    <mergeCell ref="U33:X33"/>
    <mergeCell ref="U45:X45"/>
    <mergeCell ref="U34:X34"/>
    <mergeCell ref="U35:X35"/>
    <mergeCell ref="D25:G25"/>
    <mergeCell ref="D26:G26"/>
    <mergeCell ref="D27:G27"/>
    <mergeCell ref="D28:G28"/>
    <mergeCell ref="D29:G29"/>
    <mergeCell ref="D30:G30"/>
    <mergeCell ref="D31:G31"/>
    <mergeCell ref="D32:G32"/>
    <mergeCell ref="D33:G33"/>
    <mergeCell ref="D16:G16"/>
    <mergeCell ref="D17:G17"/>
    <mergeCell ref="D18:G18"/>
    <mergeCell ref="D19:G19"/>
    <mergeCell ref="D20:G20"/>
    <mergeCell ref="D21:G21"/>
    <mergeCell ref="D22:G22"/>
    <mergeCell ref="D23:G23"/>
    <mergeCell ref="D24:G24"/>
    <mergeCell ref="D44:G44"/>
    <mergeCell ref="U16:X16"/>
    <mergeCell ref="U17:X17"/>
    <mergeCell ref="U18:X18"/>
    <mergeCell ref="U19:X19"/>
    <mergeCell ref="U20:X20"/>
    <mergeCell ref="U21:X21"/>
    <mergeCell ref="U22:X22"/>
    <mergeCell ref="U23:X23"/>
    <mergeCell ref="U24:X24"/>
    <mergeCell ref="D1531:G1531"/>
    <mergeCell ref="U1531:X1531"/>
    <mergeCell ref="D1532:G1532"/>
    <mergeCell ref="U1532:X1532"/>
    <mergeCell ref="D1553:G1553"/>
    <mergeCell ref="D1560:G1560"/>
    <mergeCell ref="D1561:G1561"/>
    <mergeCell ref="D1499:G1499"/>
    <mergeCell ref="U1499:X1499"/>
    <mergeCell ref="D1523:G1523"/>
    <mergeCell ref="U1527:X1527"/>
    <mergeCell ref="D1528:G1528"/>
    <mergeCell ref="U1528:X1528"/>
    <mergeCell ref="D1529:G1529"/>
    <mergeCell ref="U1529:X1529"/>
    <mergeCell ref="D1530:G1530"/>
    <mergeCell ref="U1530:X1530"/>
    <mergeCell ref="U1512:X1512"/>
    <mergeCell ref="U1513:X1513"/>
    <mergeCell ref="D1503:G1503"/>
    <mergeCell ref="D1504:G1504"/>
    <mergeCell ref="D1505:G1505"/>
    <mergeCell ref="D1506:G1506"/>
    <mergeCell ref="D1507:G1507"/>
    <mergeCell ref="D1508:G1508"/>
    <mergeCell ref="U1501:X1501"/>
    <mergeCell ref="U1502:X1502"/>
    <mergeCell ref="U1503:X1503"/>
    <mergeCell ref="U1504:X1504"/>
    <mergeCell ref="U1505:X1505"/>
    <mergeCell ref="U1506:X1506"/>
    <mergeCell ref="U1507:X1507"/>
    <mergeCell ref="D1463:G1463"/>
    <mergeCell ref="D1450:G1450"/>
    <mergeCell ref="D1451:G1451"/>
    <mergeCell ref="D1452:G1452"/>
    <mergeCell ref="D1453:G1453"/>
    <mergeCell ref="D1454:G1454"/>
    <mergeCell ref="D1455:G1455"/>
    <mergeCell ref="D1456:G1456"/>
    <mergeCell ref="D1457:G1457"/>
    <mergeCell ref="D1458:G1458"/>
    <mergeCell ref="D1459:G1459"/>
    <mergeCell ref="D1460:G1460"/>
    <mergeCell ref="D1461:G1461"/>
    <mergeCell ref="U1468:X1468"/>
    <mergeCell ref="D1469:G1469"/>
    <mergeCell ref="U1469:X1469"/>
    <mergeCell ref="D1470:G1470"/>
    <mergeCell ref="U1470:X1470"/>
    <mergeCell ref="D1440:G1440"/>
    <mergeCell ref="U1440:X1440"/>
    <mergeCell ref="D1441:G1441"/>
    <mergeCell ref="U1441:X1441"/>
    <mergeCell ref="U1444:X1444"/>
    <mergeCell ref="D1445:G1445"/>
    <mergeCell ref="U1445:X1445"/>
    <mergeCell ref="D1415:G1415"/>
    <mergeCell ref="U1415:X1415"/>
    <mergeCell ref="D1416:G1416"/>
    <mergeCell ref="U1416:X1416"/>
    <mergeCell ref="D1434:G1434"/>
    <mergeCell ref="D1424:G1424"/>
    <mergeCell ref="D1425:G1425"/>
    <mergeCell ref="D1426:G1426"/>
    <mergeCell ref="D1427:G1427"/>
    <mergeCell ref="D1428:G1428"/>
    <mergeCell ref="D1429:G1429"/>
    <mergeCell ref="D1430:G1430"/>
    <mergeCell ref="D1431:G1431"/>
    <mergeCell ref="D1432:G1432"/>
    <mergeCell ref="D1433:G1433"/>
    <mergeCell ref="U1424:X1424"/>
    <mergeCell ref="U1425:X1425"/>
    <mergeCell ref="U1426:X1426"/>
    <mergeCell ref="U1427:X1427"/>
    <mergeCell ref="U1428:X1428"/>
    <mergeCell ref="I1405:M1405"/>
    <mergeCell ref="U1408:X1408"/>
    <mergeCell ref="D1409:G1409"/>
    <mergeCell ref="U1409:X1409"/>
    <mergeCell ref="D1410:G1410"/>
    <mergeCell ref="U1410:X1410"/>
    <mergeCell ref="D1411:G1411"/>
    <mergeCell ref="U1411:X1411"/>
    <mergeCell ref="D1412:G1412"/>
    <mergeCell ref="U1412:X1412"/>
    <mergeCell ref="B3:F3"/>
    <mergeCell ref="D157:G157"/>
    <mergeCell ref="D164:G164"/>
    <mergeCell ref="D127:G127"/>
    <mergeCell ref="U131:X131"/>
    <mergeCell ref="D132:G132"/>
    <mergeCell ref="U132:X132"/>
    <mergeCell ref="D133:G133"/>
    <mergeCell ref="U133:X133"/>
    <mergeCell ref="D98:G98"/>
    <mergeCell ref="U101:X101"/>
    <mergeCell ref="D102:G102"/>
    <mergeCell ref="U102:X102"/>
    <mergeCell ref="D103:G103"/>
    <mergeCell ref="U44:X44"/>
    <mergeCell ref="I8:M8"/>
    <mergeCell ref="U12:X12"/>
    <mergeCell ref="D13:G13"/>
    <mergeCell ref="U13:X13"/>
    <mergeCell ref="D14:G14"/>
    <mergeCell ref="U14:X14"/>
    <mergeCell ref="D15:G15"/>
    <mergeCell ref="U15:X15"/>
    <mergeCell ref="U103:X103"/>
    <mergeCell ref="D506:G506"/>
    <mergeCell ref="D513:G513"/>
    <mergeCell ref="D514:G514"/>
    <mergeCell ref="D482:G482"/>
    <mergeCell ref="U482:X482"/>
    <mergeCell ref="D483:G483"/>
    <mergeCell ref="U483:X483"/>
    <mergeCell ref="D484:G484"/>
    <mergeCell ref="I358:Q358"/>
    <mergeCell ref="U484:X484"/>
    <mergeCell ref="D452:G452"/>
    <mergeCell ref="U452:X452"/>
    <mergeCell ref="D476:G476"/>
    <mergeCell ref="U480:X480"/>
    <mergeCell ref="D481:G481"/>
    <mergeCell ref="U481:X481"/>
    <mergeCell ref="D485:G485"/>
    <mergeCell ref="U485:X485"/>
    <mergeCell ref="U421:X421"/>
    <mergeCell ref="D422:G422"/>
    <mergeCell ref="U422:X422"/>
    <mergeCell ref="D423:G423"/>
    <mergeCell ref="U423:X423"/>
    <mergeCell ref="D447:G447"/>
    <mergeCell ref="D38:G38"/>
    <mergeCell ref="U41:X41"/>
    <mergeCell ref="D42:G42"/>
    <mergeCell ref="U42:X42"/>
    <mergeCell ref="D43:G43"/>
    <mergeCell ref="U43:X43"/>
    <mergeCell ref="D67:G67"/>
    <mergeCell ref="U72:X72"/>
    <mergeCell ref="D73:G73"/>
    <mergeCell ref="U73:X73"/>
    <mergeCell ref="D74:G74"/>
    <mergeCell ref="U74:X74"/>
    <mergeCell ref="D52:G52"/>
    <mergeCell ref="D53:G53"/>
    <mergeCell ref="D54:G54"/>
    <mergeCell ref="D55:G55"/>
    <mergeCell ref="D64:G64"/>
    <mergeCell ref="D65:G65"/>
    <mergeCell ref="D66:G66"/>
    <mergeCell ref="U52:X52"/>
    <mergeCell ref="U53:X53"/>
    <mergeCell ref="U54:X54"/>
    <mergeCell ref="U55:X55"/>
    <mergeCell ref="U56:X56"/>
    <mergeCell ref="D75:G75"/>
    <mergeCell ref="D76:G76"/>
    <mergeCell ref="D77:G77"/>
    <mergeCell ref="U450:X450"/>
    <mergeCell ref="D451:G451"/>
    <mergeCell ref="U451:X451"/>
    <mergeCell ref="D395:G395"/>
    <mergeCell ref="U395:X395"/>
    <mergeCell ref="D396:G396"/>
    <mergeCell ref="U396:X396"/>
    <mergeCell ref="D397:G397"/>
    <mergeCell ref="U397:X397"/>
    <mergeCell ref="D398:G398"/>
    <mergeCell ref="U398:X398"/>
    <mergeCell ref="D416:G416"/>
    <mergeCell ref="D407:G407"/>
    <mergeCell ref="D408:G408"/>
    <mergeCell ref="D409:G409"/>
    <mergeCell ref="D410:G410"/>
    <mergeCell ref="D411:G411"/>
    <mergeCell ref="D412:G412"/>
    <mergeCell ref="D413:G413"/>
    <mergeCell ref="D414:G414"/>
    <mergeCell ref="D415:G415"/>
    <mergeCell ref="U407:X407"/>
    <mergeCell ref="U408:X408"/>
    <mergeCell ref="U409:X409"/>
    <mergeCell ref="U410:X410"/>
    <mergeCell ref="U411:X411"/>
    <mergeCell ref="U412:X412"/>
    <mergeCell ref="U413:X413"/>
    <mergeCell ref="U414:X414"/>
    <mergeCell ref="U415:X415"/>
    <mergeCell ref="D443:G443"/>
    <mergeCell ref="D444:G444"/>
    <mergeCell ref="U361:X361"/>
    <mergeCell ref="D362:G362"/>
    <mergeCell ref="U362:X362"/>
    <mergeCell ref="D863:G863"/>
    <mergeCell ref="D833:G833"/>
    <mergeCell ref="U833:X833"/>
    <mergeCell ref="D834:G834"/>
    <mergeCell ref="U834:X834"/>
    <mergeCell ref="D855:G855"/>
    <mergeCell ref="D363:G363"/>
    <mergeCell ref="U363:X363"/>
    <mergeCell ref="D364:G364"/>
    <mergeCell ref="U364:X364"/>
    <mergeCell ref="D365:G365"/>
    <mergeCell ref="U365:X365"/>
    <mergeCell ref="D366:G366"/>
    <mergeCell ref="U366:X366"/>
    <mergeCell ref="D367:G367"/>
    <mergeCell ref="U367:X367"/>
    <mergeCell ref="D368:G368"/>
    <mergeCell ref="U368:X368"/>
    <mergeCell ref="D369:G369"/>
    <mergeCell ref="U369:X369"/>
    <mergeCell ref="D801:G801"/>
    <mergeCell ref="U801:X801"/>
    <mergeCell ref="D825:G825"/>
    <mergeCell ref="U829:X829"/>
    <mergeCell ref="D862:G862"/>
    <mergeCell ref="D830:G830"/>
    <mergeCell ref="U830:X830"/>
    <mergeCell ref="D831:G831"/>
    <mergeCell ref="U831:X831"/>
    <mergeCell ref="U832:X832"/>
    <mergeCell ref="D803:G803"/>
    <mergeCell ref="D804:G804"/>
    <mergeCell ref="D805:G805"/>
    <mergeCell ref="D806:G806"/>
    <mergeCell ref="D807:G807"/>
    <mergeCell ref="D808:G808"/>
    <mergeCell ref="D809:G809"/>
    <mergeCell ref="D810:G810"/>
    <mergeCell ref="D811:G811"/>
    <mergeCell ref="D812:G812"/>
    <mergeCell ref="D813:G813"/>
    <mergeCell ref="D814:G814"/>
    <mergeCell ref="D815:G815"/>
    <mergeCell ref="D816:G816"/>
    <mergeCell ref="U815:X815"/>
    <mergeCell ref="U816:X816"/>
    <mergeCell ref="U817:X817"/>
    <mergeCell ref="U824:X824"/>
    <mergeCell ref="D817:G817"/>
    <mergeCell ref="D818:G818"/>
    <mergeCell ref="D819:G819"/>
    <mergeCell ref="D820:G820"/>
    <mergeCell ref="D821:G821"/>
    <mergeCell ref="D822:G822"/>
    <mergeCell ref="D823:G823"/>
    <mergeCell ref="D824:G824"/>
    <mergeCell ref="U813:X813"/>
    <mergeCell ref="U814:X814"/>
    <mergeCell ref="D743:G743"/>
    <mergeCell ref="U743:X743"/>
    <mergeCell ref="D744:G744"/>
    <mergeCell ref="U744:X744"/>
    <mergeCell ref="D745:G745"/>
    <mergeCell ref="U745:X745"/>
    <mergeCell ref="D746:G746"/>
    <mergeCell ref="U746:X746"/>
    <mergeCell ref="D747:G747"/>
    <mergeCell ref="U747:X747"/>
    <mergeCell ref="D718:G718"/>
    <mergeCell ref="U718:X718"/>
    <mergeCell ref="D736:G736"/>
    <mergeCell ref="U739:X739"/>
    <mergeCell ref="D740:G740"/>
    <mergeCell ref="U740:X740"/>
    <mergeCell ref="D741:G741"/>
    <mergeCell ref="U741:X741"/>
    <mergeCell ref="D742:G742"/>
    <mergeCell ref="U742:X742"/>
    <mergeCell ref="D719:G719"/>
    <mergeCell ref="D720:G720"/>
    <mergeCell ref="D721:G721"/>
    <mergeCell ref="D722:G722"/>
    <mergeCell ref="D723:G723"/>
    <mergeCell ref="D724:G724"/>
    <mergeCell ref="D725:G725"/>
    <mergeCell ref="D726:G726"/>
    <mergeCell ref="D1204:G1204"/>
    <mergeCell ref="D1211:G1211"/>
    <mergeCell ref="D1212:G1212"/>
    <mergeCell ref="D1181:G1181"/>
    <mergeCell ref="U1181:X1181"/>
    <mergeCell ref="D1182:G1182"/>
    <mergeCell ref="U1182:X1182"/>
    <mergeCell ref="D1183:G1183"/>
    <mergeCell ref="U1183:X1183"/>
    <mergeCell ref="D1191:G1191"/>
    <mergeCell ref="D1192:G1192"/>
    <mergeCell ref="D1193:G1193"/>
    <mergeCell ref="D1194:G1194"/>
    <mergeCell ref="D1195:G1195"/>
    <mergeCell ref="D1196:G1196"/>
    <mergeCell ref="D1197:G1197"/>
    <mergeCell ref="D1198:G1198"/>
    <mergeCell ref="D1199:G1199"/>
    <mergeCell ref="D1200:G1200"/>
    <mergeCell ref="D1201:G1201"/>
    <mergeCell ref="D1202:G1202"/>
    <mergeCell ref="D1203:G1203"/>
    <mergeCell ref="U1191:X1191"/>
    <mergeCell ref="U1192:X1192"/>
    <mergeCell ref="U1198:X1198"/>
    <mergeCell ref="U1199:X1199"/>
    <mergeCell ref="U1200:X1200"/>
    <mergeCell ref="U1201:X1201"/>
    <mergeCell ref="U1190:X1190"/>
    <mergeCell ref="U1150:X1150"/>
    <mergeCell ref="D1174:G1174"/>
    <mergeCell ref="U1178:X1178"/>
    <mergeCell ref="D1179:G1179"/>
    <mergeCell ref="U1179:X1179"/>
    <mergeCell ref="D1180:G1180"/>
    <mergeCell ref="U1180:X1180"/>
    <mergeCell ref="U710:X710"/>
    <mergeCell ref="D711:G711"/>
    <mergeCell ref="U711:X711"/>
    <mergeCell ref="D712:G712"/>
    <mergeCell ref="U712:X712"/>
    <mergeCell ref="D713:G713"/>
    <mergeCell ref="U713:X713"/>
    <mergeCell ref="D714:G714"/>
    <mergeCell ref="U714:X714"/>
    <mergeCell ref="D715:G715"/>
    <mergeCell ref="U715:X715"/>
    <mergeCell ref="D716:G716"/>
    <mergeCell ref="U716:X716"/>
    <mergeCell ref="D717:G717"/>
    <mergeCell ref="U717:X717"/>
    <mergeCell ref="U1119:X1119"/>
    <mergeCell ref="D1120:G1120"/>
    <mergeCell ref="U1120:X1120"/>
    <mergeCell ref="D1121:G1121"/>
    <mergeCell ref="U1121:X1121"/>
    <mergeCell ref="D1145:G1145"/>
    <mergeCell ref="U1148:X1148"/>
    <mergeCell ref="D1149:G1149"/>
    <mergeCell ref="U1149:X1149"/>
    <mergeCell ref="D1093:G1093"/>
    <mergeCell ref="D1094:G1094"/>
    <mergeCell ref="U1094:X1094"/>
    <mergeCell ref="D1095:G1095"/>
    <mergeCell ref="U1095:X1095"/>
    <mergeCell ref="D1096:G1096"/>
    <mergeCell ref="U1096:X1096"/>
    <mergeCell ref="D1114:G1114"/>
    <mergeCell ref="D1102:G1102"/>
    <mergeCell ref="D1103:G1103"/>
    <mergeCell ref="D1104:G1104"/>
    <mergeCell ref="D1105:G1105"/>
    <mergeCell ref="D1106:G1106"/>
    <mergeCell ref="D1107:G1107"/>
    <mergeCell ref="D1108:G1108"/>
    <mergeCell ref="U1088:X1088"/>
    <mergeCell ref="D1089:G1089"/>
    <mergeCell ref="U1089:X1089"/>
    <mergeCell ref="D1090:G1090"/>
    <mergeCell ref="U1090:X1090"/>
    <mergeCell ref="D1091:G1091"/>
    <mergeCell ref="U1091:X1091"/>
    <mergeCell ref="D1092:G1092"/>
    <mergeCell ref="U1092:X1092"/>
    <mergeCell ref="D1097:G1097"/>
    <mergeCell ref="D1098:G1098"/>
    <mergeCell ref="D1099:G1099"/>
    <mergeCell ref="D1100:G1100"/>
    <mergeCell ref="D1101:G1101"/>
    <mergeCell ref="D1109:G1109"/>
    <mergeCell ref="D1110:G1110"/>
    <mergeCell ref="D1111:G1111"/>
    <mergeCell ref="D1112:G1112"/>
    <mergeCell ref="D1085:G1085"/>
    <mergeCell ref="D1083:G1083"/>
    <mergeCell ref="D1084:G1084"/>
    <mergeCell ref="U1068:X1068"/>
    <mergeCell ref="U1069:X1069"/>
    <mergeCell ref="U1070:X1070"/>
    <mergeCell ref="U1071:X1071"/>
    <mergeCell ref="U1072:X1072"/>
    <mergeCell ref="U1073:X1073"/>
    <mergeCell ref="U1074:X1074"/>
    <mergeCell ref="U1075:X1075"/>
    <mergeCell ref="U1076:X1076"/>
    <mergeCell ref="U1077:X1077"/>
    <mergeCell ref="U1078:X1078"/>
    <mergeCell ref="U1079:X1079"/>
    <mergeCell ref="U1080:X1080"/>
    <mergeCell ref="U1093:X1093"/>
    <mergeCell ref="D1081:G1081"/>
    <mergeCell ref="D1082:G1082"/>
    <mergeCell ref="D1072:G1072"/>
    <mergeCell ref="D1073:G1073"/>
    <mergeCell ref="D1074:G1074"/>
    <mergeCell ref="D1075:G1075"/>
    <mergeCell ref="D1076:G1076"/>
    <mergeCell ref="D1077:G1077"/>
    <mergeCell ref="D1078:G1078"/>
    <mergeCell ref="D1079:G1079"/>
    <mergeCell ref="U1081:X1081"/>
    <mergeCell ref="U1082:X1082"/>
    <mergeCell ref="U1083:X1083"/>
    <mergeCell ref="U1084:X1084"/>
    <mergeCell ref="I1056:M1056"/>
    <mergeCell ref="U1059:X1059"/>
    <mergeCell ref="D1060:G1060"/>
    <mergeCell ref="U1060:X1060"/>
    <mergeCell ref="D1061:G1061"/>
    <mergeCell ref="U1061:X1061"/>
    <mergeCell ref="D1062:G1062"/>
    <mergeCell ref="U1062:X1062"/>
    <mergeCell ref="D1063:G1063"/>
    <mergeCell ref="U1063:X1063"/>
    <mergeCell ref="U1064:X1064"/>
    <mergeCell ref="D1065:G1065"/>
    <mergeCell ref="U1065:X1065"/>
    <mergeCell ref="D1066:G1066"/>
    <mergeCell ref="U1066:X1066"/>
    <mergeCell ref="D1067:G1067"/>
    <mergeCell ref="U1067:X1067"/>
  </mergeCells>
  <dataValidations count="30">
    <dataValidation type="list" allowBlank="1" showInputMessage="1" showErrorMessage="1" sqref="D132:G136 D137:G156" xr:uid="{00000000-0002-0000-1000-000000000000}">
      <formula1>LU_ACT_17_ODCS</formula1>
    </dataValidation>
    <dataValidation type="list" allowBlank="1" showInputMessage="1" showErrorMessage="1" sqref="D102:G103 D104:G126" xr:uid="{00000000-0002-0000-1000-000001000000}">
      <formula1>LU_ACT_17_Equipment</formula1>
    </dataValidation>
    <dataValidation type="list" allowBlank="1" showInputMessage="1" showErrorMessage="1" sqref="D73:G74 D75:G97" xr:uid="{00000000-0002-0000-1000-000002000000}">
      <formula1>LU_ACT_17_Supplies</formula1>
    </dataValidation>
    <dataValidation type="list" allowBlank="1" showInputMessage="1" showErrorMessage="1" sqref="D42:G44 D45:G66" xr:uid="{00000000-0002-0000-1000-000003000000}">
      <formula1>LU_ACT_17_Allowances</formula1>
    </dataValidation>
    <dataValidation type="list" allowBlank="1" showInputMessage="1" showErrorMessage="1" sqref="D13:G15 D16:G37" xr:uid="{00000000-0002-0000-1000-000004000000}">
      <formula1>LU_ACT_17_Pers_Res</formula1>
    </dataValidation>
    <dataValidation type="list" allowBlank="1" showInputMessage="1" showErrorMessage="1" sqref="D481:G485 D486:G505" xr:uid="{00000000-0002-0000-1000-000006000000}">
      <formula1>LU_ACT_18_ODCS</formula1>
    </dataValidation>
    <dataValidation type="list" allowBlank="1" showInputMessage="1" showErrorMessage="1" sqref="D451:G452 D453:G475" xr:uid="{00000000-0002-0000-1000-000007000000}">
      <formula1>LU_ACT_18_Equipment</formula1>
    </dataValidation>
    <dataValidation type="list" allowBlank="1" showInputMessage="1" showErrorMessage="1" sqref="D422:G423 D424:G446" xr:uid="{00000000-0002-0000-1000-000008000000}">
      <formula1>LU_ACT_18_Supplies</formula1>
    </dataValidation>
    <dataValidation type="list" allowBlank="1" showInputMessage="1" showErrorMessage="1" sqref="D391:G398 D399:G415" xr:uid="{00000000-0002-0000-1000-000009000000}">
      <formula1>LU_ACT_18_Allowances</formula1>
    </dataValidation>
    <dataValidation type="list" allowBlank="1" showInputMessage="1" showErrorMessage="1" sqref="D362:G369 D370:G386" xr:uid="{00000000-0002-0000-1000-00000A000000}">
      <formula1>LU_ACT_18_Pers_Res</formula1>
    </dataValidation>
    <dataValidation type="list" allowBlank="1" showInputMessage="1" showErrorMessage="1" sqref="D830:G834 D835:G854" xr:uid="{00000000-0002-0000-1000-00000C000000}">
      <formula1>LU_ACT_19_ODCS</formula1>
    </dataValidation>
    <dataValidation type="list" allowBlank="1" showInputMessage="1" showErrorMessage="1" sqref="D800:G801 D802:G824" xr:uid="{00000000-0002-0000-1000-00000D000000}">
      <formula1>LU_ACT_19_Equipment</formula1>
    </dataValidation>
    <dataValidation type="list" allowBlank="1" showInputMessage="1" showErrorMessage="1" sqref="D771:G772 D773:G795" xr:uid="{00000000-0002-0000-1000-00000E000000}">
      <formula1>LU_ACT_19_Supplies</formula1>
    </dataValidation>
    <dataValidation type="list" allowBlank="1" showInputMessage="1" showErrorMessage="1" sqref="D740:G747 D748:G764" xr:uid="{00000000-0002-0000-1000-00000F000000}">
      <formula1>LU_ACT_19_Allowances</formula1>
    </dataValidation>
    <dataValidation type="list" allowBlank="1" showInputMessage="1" showErrorMessage="1" sqref="D711:G718 D719:G735" xr:uid="{00000000-0002-0000-1000-000010000000}">
      <formula1>LU_ACT_19_Pers_Res</formula1>
    </dataValidation>
    <dataValidation type="list" allowBlank="1" showInputMessage="1" showErrorMessage="1" sqref="D1179:G1183 D1184:G1203" xr:uid="{00000000-0002-0000-1000-000012000000}">
      <formula1>LU_ACT_20_ODCS</formula1>
    </dataValidation>
    <dataValidation type="list" allowBlank="1" showInputMessage="1" showErrorMessage="1" sqref="D1149:G1150 D1151:G1173" xr:uid="{00000000-0002-0000-1000-000013000000}">
      <formula1>LU_ACT_20_Equipment</formula1>
    </dataValidation>
    <dataValidation type="list" allowBlank="1" showInputMessage="1" showErrorMessage="1" sqref="D1120:G1121 D1122:G1144" xr:uid="{00000000-0002-0000-1000-000014000000}">
      <formula1>LU_ACT_20_Supplies</formula1>
    </dataValidation>
    <dataValidation type="list" allowBlank="1" showInputMessage="1" showErrorMessage="1" sqref="D1089:G1096 D1097:G1113" xr:uid="{00000000-0002-0000-1000-000015000000}">
      <formula1>LU_ACT_20_Allowances</formula1>
    </dataValidation>
    <dataValidation type="list" allowBlank="1" showInputMessage="1" showErrorMessage="1" sqref="D1060:G1067 D1068:G1084" xr:uid="{00000000-0002-0000-1000-000016000000}">
      <formula1>LU_ACT_20_Pers_Res</formula1>
    </dataValidation>
    <dataValidation type="list" allowBlank="1" showInputMessage="1" showErrorMessage="1" sqref="D1409:G1416 D1417:G1433" xr:uid="{00000000-0002-0000-1000-000018000000}">
      <formula1>LU_ACT_25_Pers_Res</formula1>
    </dataValidation>
    <dataValidation type="list" allowBlank="1" showInputMessage="1" showErrorMessage="1" sqref="D1438:G1445 D1446:G1462" xr:uid="{00000000-0002-0000-1000-000019000000}">
      <formula1>LU_ACT_25_Allowances</formula1>
    </dataValidation>
    <dataValidation type="list" allowBlank="1" showInputMessage="1" showErrorMessage="1" sqref="D1469:G1470 D1471:G1493" xr:uid="{00000000-0002-0000-1000-00001A000000}">
      <formula1>LU_ACT_25_Supplies</formula1>
    </dataValidation>
    <dataValidation type="list" allowBlank="1" showInputMessage="1" showErrorMessage="1" sqref="D1498:G1499 D1500:G1522" xr:uid="{00000000-0002-0000-1000-00001B000000}">
      <formula1>LU_ACT_25_Equipment</formula1>
    </dataValidation>
    <dataValidation type="list" allowBlank="1" showInputMessage="1" showErrorMessage="1" sqref="D1528:G1532 D1533:G1552" xr:uid="{00000000-0002-0000-1000-00001C000000}">
      <formula1>LU_ACT_25_ODCS</formula1>
    </dataValidation>
    <dataValidation type="whole" showDropDown="1" showErrorMessage="1" errorTitle="Drop Down Box Cell Link" error="The value in a drop down box cell link must be a whole number within the control's lookup range rows." sqref="I359" xr:uid="{E987B41A-E5F7-4BC6-A21D-6A9C7CCC9701}">
      <formula1>1</formula1>
      <formula2>ROWS(LU_ACT_18_Meet_Curr)</formula2>
    </dataValidation>
    <dataValidation type="whole" showDropDown="1" showErrorMessage="1" errorTitle="Drop Down Box Cell Link" error="The value in a drop down box cell link must be a whole number within the control's lookup range rows." sqref="I9" xr:uid="{F626548E-F5C5-4693-AB8E-820B60D08F93}">
      <formula1>1</formula1>
      <formula2>ROWS(LU_ACT_17_Meet_Curr)</formula2>
    </dataValidation>
    <dataValidation type="whole" showDropDown="1" showErrorMessage="1" errorTitle="Drop Down Box Cell Link" error="The value in a drop down box cell link must be a whole number within the control's lookup range rows." sqref="I708" xr:uid="{1A964922-B7EA-4023-B6C6-F9FFD9945611}">
      <formula1>1</formula1>
      <formula2>ROWS(LU_ACT_19_Meet_Curr)</formula2>
    </dataValidation>
    <dataValidation type="whole" showDropDown="1" showErrorMessage="1" errorTitle="Drop Down Box Cell Link" error="The value in a drop down box cell link must be a whole number within the control's lookup range rows." sqref="I1057" xr:uid="{FAB2E67F-9823-444B-99A9-1BBFC0A1872E}">
      <formula1>1</formula1>
      <formula2>ROWS(LU_ACT_20_Meet_Curr)</formula2>
    </dataValidation>
    <dataValidation type="whole" showDropDown="1" showErrorMessage="1" errorTitle="Drop Down Box Cell Link" error="The value in a drop down box cell link must be a whole number within the control's lookup range rows." sqref="I1406" xr:uid="{909D1F84-02FD-4B8B-B1E1-804518868D3F}">
      <formula1>1</formula1>
      <formula2>ROWS(LU_ACT_25_Meet_Curr)</formula2>
    </dataValidation>
  </dataValidations>
  <hyperlinks>
    <hyperlink ref="A4" location="$B$5" tooltip="Go to Top of Sheet" display="$B$5" xr:uid="{00000000-0004-0000-1000-000000000000}"/>
    <hyperlink ref="C4" location="HL_Sheet_Main_16" tooltip="Go to Next Sheet" display="HL_Sheet_Main_16" xr:uid="{00000000-0004-0000-1000-000001000000}"/>
    <hyperlink ref="B4" location="HL_Sheet_Main_41" tooltip="Go to Previous Sheet" display="HL_Sheet_Main_41" xr:uid="{00000000-0004-0000-1000-000002000000}"/>
    <hyperlink ref="B3" location="HL_Home" tooltip="Go to Table of Contents" display="HL_Home" xr:uid="{00000000-0004-0000-1000-000003000000}"/>
    <hyperlink ref="D4" location="HL_Err_Chk" tooltip="Go to Error Checks" display="HL_Err_Chk" xr:uid="{00000000-0004-0000-1000-000004000000}"/>
    <hyperlink ref="F4" location="HL_Alt_Chk" tooltip="Go to Alert Checks" display="HL_Alt_Chk" xr:uid="{00000000-0004-0000-10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29" r:id="rId4" name="bpmDropDownACT_17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73730" r:id="rId5" name="bpmDropDownACT_181">
              <controlPr defaultSize="0" autoFill="0" autoPict="0">
                <anchor moveWithCells="1">
                  <from>
                    <xdr:col>8</xdr:col>
                    <xdr:colOff>0</xdr:colOff>
                    <xdr:row>358</xdr:row>
                    <xdr:rowOff>0</xdr:rowOff>
                  </from>
                  <to>
                    <xdr:col>9</xdr:col>
                    <xdr:colOff>0</xdr:colOff>
                    <xdr:row>359</xdr:row>
                    <xdr:rowOff>0</xdr:rowOff>
                  </to>
                </anchor>
              </controlPr>
            </control>
          </mc:Choice>
        </mc:AlternateContent>
        <mc:AlternateContent xmlns:mc="http://schemas.openxmlformats.org/markup-compatibility/2006">
          <mc:Choice Requires="x14">
            <control shapeId="73731" r:id="rId6" name="bpmDropDownACT_191">
              <controlPr defaultSize="0" autoFill="0" autoPict="0">
                <anchor moveWithCells="1">
                  <from>
                    <xdr:col>8</xdr:col>
                    <xdr:colOff>0</xdr:colOff>
                    <xdr:row>707</xdr:row>
                    <xdr:rowOff>0</xdr:rowOff>
                  </from>
                  <to>
                    <xdr:col>9</xdr:col>
                    <xdr:colOff>0</xdr:colOff>
                    <xdr:row>708</xdr:row>
                    <xdr:rowOff>0</xdr:rowOff>
                  </to>
                </anchor>
              </controlPr>
            </control>
          </mc:Choice>
        </mc:AlternateContent>
        <mc:AlternateContent xmlns:mc="http://schemas.openxmlformats.org/markup-compatibility/2006">
          <mc:Choice Requires="x14">
            <control shapeId="73732" r:id="rId7" name="bpmDropDownACT_201">
              <controlPr defaultSize="0" autoFill="0" autoPict="0">
                <anchor moveWithCells="1">
                  <from>
                    <xdr:col>8</xdr:col>
                    <xdr:colOff>0</xdr:colOff>
                    <xdr:row>1056</xdr:row>
                    <xdr:rowOff>0</xdr:rowOff>
                  </from>
                  <to>
                    <xdr:col>9</xdr:col>
                    <xdr:colOff>0</xdr:colOff>
                    <xdr:row>1057</xdr:row>
                    <xdr:rowOff>0</xdr:rowOff>
                  </to>
                </anchor>
              </controlPr>
            </control>
          </mc:Choice>
        </mc:AlternateContent>
        <mc:AlternateContent xmlns:mc="http://schemas.openxmlformats.org/markup-compatibility/2006">
          <mc:Choice Requires="x14">
            <control shapeId="73733" r:id="rId8" name="bpmDropDownACT_251">
              <controlPr defaultSize="0" autoFill="0" autoPict="0">
                <anchor moveWithCells="1">
                  <from>
                    <xdr:col>8</xdr:col>
                    <xdr:colOff>0</xdr:colOff>
                    <xdr:row>1405</xdr:row>
                    <xdr:rowOff>0</xdr:rowOff>
                  </from>
                  <to>
                    <xdr:col>9</xdr:col>
                    <xdr:colOff>0</xdr:colOff>
                    <xdr:row>1406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autoPageBreaks="0"/>
  </sheetPr>
  <dimension ref="A1:X1052"/>
  <sheetViews>
    <sheetView showGridLines="0" zoomScaleNormal="100" workbookViewId="0">
      <pane xSplit="1" ySplit="4" topLeftCell="B5" activePane="bottomRight" state="frozen"/>
      <selection pane="topRight" activeCell="B1" sqref="B1"/>
      <selection pane="bottomLeft" activeCell="A5" sqref="A5"/>
      <selection pane="bottomRight" activeCell="W857" sqref="W857"/>
    </sheetView>
  </sheetViews>
  <sheetFormatPr defaultColWidth="11.6640625" defaultRowHeight="13.8" outlineLevelRow="1" x14ac:dyDescent="0.3"/>
  <cols>
    <col min="1" max="5" width="3.6640625" style="22" customWidth="1"/>
    <col min="6" max="7" width="11.6640625" style="22"/>
    <col min="8" max="8" width="3.6640625" style="22" customWidth="1"/>
    <col min="9" max="9" width="11.6640625" style="22"/>
    <col min="10" max="10" width="3.6640625" style="22" customWidth="1"/>
    <col min="11" max="11" width="11.6640625" style="22"/>
    <col min="12" max="12" width="3.44140625" style="22" customWidth="1"/>
    <col min="13" max="13" width="11.6640625" style="22"/>
    <col min="14" max="14" width="3.33203125" style="22" customWidth="1"/>
    <col min="15" max="15" width="11.6640625" style="22"/>
    <col min="16" max="16" width="3.109375" style="22" customWidth="1"/>
    <col min="17" max="17" width="11.6640625" style="22"/>
    <col min="18" max="18" width="2.88671875" style="22" customWidth="1"/>
    <col min="19" max="19" width="11.6640625" style="22"/>
    <col min="20" max="20" width="2.33203125" style="22" customWidth="1"/>
    <col min="21" max="16384" width="11.6640625" style="22"/>
  </cols>
  <sheetData>
    <row r="1" spans="1:24" ht="23.4" x14ac:dyDescent="0.3">
      <c r="B1" s="24" t="s">
        <v>364</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row>
    <row r="7" spans="1:24" ht="18" x14ac:dyDescent="0.3">
      <c r="B7" s="31" t="str">
        <f>I8</f>
        <v>Sensitisation Activity #1 [not in use]</v>
      </c>
    </row>
    <row r="8" spans="1:24" x14ac:dyDescent="0.3">
      <c r="G8" s="41" t="s">
        <v>119</v>
      </c>
      <c r="I8" s="356" t="s">
        <v>998</v>
      </c>
      <c r="J8" s="356"/>
      <c r="K8" s="356"/>
      <c r="L8" s="356"/>
      <c r="M8" s="356"/>
    </row>
    <row r="9" spans="1:24" ht="10.5" customHeight="1" x14ac:dyDescent="0.3">
      <c r="G9" s="41" t="s">
        <v>76</v>
      </c>
      <c r="I9" s="32">
        <v>2</v>
      </c>
    </row>
    <row r="10" spans="1:24" ht="15.6" x14ac:dyDescent="0.3">
      <c r="C10" s="92" t="s">
        <v>77</v>
      </c>
      <c r="M10" s="40" t="str">
        <f>IF(DD_ACT_3_Meet1_Curr=1,$D$163,$D$164)</f>
        <v>GOZ</v>
      </c>
      <c r="O10" s="40" t="str">
        <f>IF(DD_ACT_3_Meet1_Curr=1,$D$163,$D$164)</f>
        <v>GOZ</v>
      </c>
      <c r="Q10" s="40" t="str">
        <f>IF(DD_ACT_3_Meet1_Curr=1,$D$163,$D$164)</f>
        <v>GOZ</v>
      </c>
      <c r="S10" s="40" t="str">
        <f>IF(DD_ACT_3_Meet1_Curr=1,$D$163,$D$164)</f>
        <v>GOZ</v>
      </c>
    </row>
    <row r="11" spans="1:24" ht="27.6" x14ac:dyDescent="0.3">
      <c r="D11" s="90" t="s">
        <v>77</v>
      </c>
      <c r="I11" s="88" t="s">
        <v>80</v>
      </c>
      <c r="K11" s="91" t="s">
        <v>432</v>
      </c>
      <c r="M11" s="42" t="s">
        <v>103</v>
      </c>
      <c r="O11" s="42" t="s">
        <v>104</v>
      </c>
      <c r="Q11" s="42" t="s">
        <v>105</v>
      </c>
      <c r="S11" s="42" t="s">
        <v>106</v>
      </c>
      <c r="U11" s="350" t="s">
        <v>185</v>
      </c>
      <c r="V11" s="351"/>
      <c r="W11" s="351"/>
      <c r="X11" s="351"/>
    </row>
    <row r="12" spans="1:24" x14ac:dyDescent="0.3">
      <c r="D12" s="356" t="s">
        <v>188</v>
      </c>
      <c r="E12" s="356"/>
      <c r="F12" s="356"/>
      <c r="G12" s="356"/>
      <c r="I12" s="48">
        <v>0</v>
      </c>
      <c r="K12" s="48">
        <v>0</v>
      </c>
      <c r="M12" s="40">
        <f t="shared" ref="M12:M36" si="0">IFERROR(IF(DD_ACT_3_Meet1_Curr=1,INDEX($M$169:$M$203,MATCH(D12,LU_ACT_3_Pers_Res,0)),INDEX($Q$169:$Q$203,MATCH(D12,LU_ACT_3_Pers_Res,0))),0)</f>
        <v>0</v>
      </c>
      <c r="O12" s="40">
        <f t="shared" ref="O12:O36" si="1">IFERROR(IF(DD_ACT_3_Meet1_Curr=1,INDEX($O$169:$O$203,MATCH(D12,LU_ACT_3_Pers_Res,0)),INDEX($S$169:$S$203,MATCH(D12,LU_ACT_3_Pers_Res,0))),0)</f>
        <v>0</v>
      </c>
      <c r="Q12" s="293">
        <f t="shared" ref="Q12:Q36" si="2">I12*K12*M12</f>
        <v>0</v>
      </c>
      <c r="S12" s="293">
        <f t="shared" ref="S12:S36" si="3">I12*K12*O12</f>
        <v>0</v>
      </c>
      <c r="U12" s="356"/>
      <c r="V12" s="356"/>
      <c r="W12" s="356"/>
      <c r="X12" s="356"/>
    </row>
    <row r="13" spans="1:24" x14ac:dyDescent="0.3">
      <c r="D13" s="356" t="s">
        <v>189</v>
      </c>
      <c r="E13" s="356"/>
      <c r="F13" s="356"/>
      <c r="G13" s="356"/>
      <c r="I13" s="48">
        <v>0</v>
      </c>
      <c r="K13" s="48">
        <v>0</v>
      </c>
      <c r="M13" s="40">
        <f t="shared" si="0"/>
        <v>0</v>
      </c>
      <c r="O13" s="40">
        <f t="shared" si="1"/>
        <v>0</v>
      </c>
      <c r="Q13" s="293">
        <f t="shared" si="2"/>
        <v>0</v>
      </c>
      <c r="S13" s="293">
        <f t="shared" si="3"/>
        <v>0</v>
      </c>
      <c r="U13" s="356"/>
      <c r="V13" s="356"/>
      <c r="W13" s="356"/>
      <c r="X13" s="356"/>
    </row>
    <row r="14" spans="1:24" x14ac:dyDescent="0.3">
      <c r="D14" s="356" t="s">
        <v>190</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191</v>
      </c>
      <c r="E15" s="356"/>
      <c r="F15" s="356"/>
      <c r="G15" s="356"/>
      <c r="I15" s="48">
        <v>0</v>
      </c>
      <c r="K15" s="48">
        <v>0</v>
      </c>
      <c r="M15" s="40">
        <f t="shared" si="0"/>
        <v>0</v>
      </c>
      <c r="O15" s="40">
        <f t="shared" si="1"/>
        <v>0</v>
      </c>
      <c r="Q15" s="293">
        <f t="shared" si="2"/>
        <v>0</v>
      </c>
      <c r="S15" s="293">
        <f t="shared" si="3"/>
        <v>0</v>
      </c>
      <c r="U15" s="356"/>
      <c r="V15" s="356"/>
      <c r="W15" s="356"/>
      <c r="X15" s="356"/>
    </row>
    <row r="16" spans="1:24" x14ac:dyDescent="0.3">
      <c r="D16" s="356" t="s">
        <v>192</v>
      </c>
      <c r="E16" s="356"/>
      <c r="F16" s="356"/>
      <c r="G16" s="356"/>
      <c r="I16" s="48">
        <v>0</v>
      </c>
      <c r="K16" s="48">
        <v>0</v>
      </c>
      <c r="M16" s="40">
        <f t="shared" si="0"/>
        <v>0</v>
      </c>
      <c r="O16" s="40">
        <f t="shared" si="1"/>
        <v>0</v>
      </c>
      <c r="Q16" s="293">
        <f t="shared" si="2"/>
        <v>0</v>
      </c>
      <c r="S16" s="293">
        <f t="shared" si="3"/>
        <v>0</v>
      </c>
      <c r="U16" s="356"/>
      <c r="V16" s="356"/>
      <c r="W16" s="356"/>
      <c r="X16" s="356"/>
    </row>
    <row r="17" spans="4:24" x14ac:dyDescent="0.3">
      <c r="D17" s="356" t="s">
        <v>193</v>
      </c>
      <c r="E17" s="356"/>
      <c r="F17" s="356"/>
      <c r="G17" s="356"/>
      <c r="I17" s="48">
        <v>0</v>
      </c>
      <c r="K17" s="48">
        <v>0</v>
      </c>
      <c r="M17" s="40">
        <f t="shared" si="0"/>
        <v>0</v>
      </c>
      <c r="O17" s="40">
        <f t="shared" si="1"/>
        <v>0</v>
      </c>
      <c r="Q17" s="293">
        <f t="shared" si="2"/>
        <v>0</v>
      </c>
      <c r="S17" s="293">
        <f t="shared" si="3"/>
        <v>0</v>
      </c>
      <c r="U17" s="356"/>
      <c r="V17" s="356"/>
      <c r="W17" s="356"/>
      <c r="X17" s="356"/>
    </row>
    <row r="18" spans="4:24" x14ac:dyDescent="0.3">
      <c r="D18" s="356" t="s">
        <v>120</v>
      </c>
      <c r="E18" s="356"/>
      <c r="F18" s="356"/>
      <c r="G18" s="356"/>
      <c r="I18" s="48">
        <v>0</v>
      </c>
      <c r="K18" s="48">
        <v>0</v>
      </c>
      <c r="M18" s="40">
        <f t="shared" si="0"/>
        <v>0</v>
      </c>
      <c r="O18" s="40">
        <f t="shared" si="1"/>
        <v>0</v>
      </c>
      <c r="Q18" s="293">
        <f t="shared" si="2"/>
        <v>0</v>
      </c>
      <c r="S18" s="293">
        <f t="shared" si="3"/>
        <v>0</v>
      </c>
      <c r="U18" s="356"/>
      <c r="V18" s="356"/>
      <c r="W18" s="356"/>
      <c r="X18" s="356"/>
    </row>
    <row r="19" spans="4:24" x14ac:dyDescent="0.3">
      <c r="D19" s="356" t="s">
        <v>121</v>
      </c>
      <c r="E19" s="356"/>
      <c r="F19" s="356"/>
      <c r="G19" s="356"/>
      <c r="I19" s="48">
        <v>0</v>
      </c>
      <c r="K19" s="48">
        <v>0</v>
      </c>
      <c r="M19" s="40">
        <f t="shared" si="0"/>
        <v>0</v>
      </c>
      <c r="O19" s="40">
        <f t="shared" si="1"/>
        <v>0</v>
      </c>
      <c r="Q19" s="293">
        <f t="shared" si="2"/>
        <v>0</v>
      </c>
      <c r="S19" s="293">
        <f t="shared" si="3"/>
        <v>0</v>
      </c>
      <c r="U19" s="356"/>
      <c r="V19" s="356"/>
      <c r="W19" s="356"/>
      <c r="X19" s="356"/>
    </row>
    <row r="20" spans="4:24" s="277" customFormat="1" x14ac:dyDescent="0.3">
      <c r="D20" s="356" t="s">
        <v>830</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831</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832</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833</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834</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835</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836</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837</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846</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847</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848</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849</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971</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973</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974</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975</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976</v>
      </c>
      <c r="E36" s="356"/>
      <c r="F36" s="356"/>
      <c r="G36" s="356"/>
      <c r="I36" s="48">
        <v>0</v>
      </c>
      <c r="K36" s="48">
        <v>0</v>
      </c>
      <c r="M36" s="279">
        <f t="shared" si="0"/>
        <v>0</v>
      </c>
      <c r="O36" s="279">
        <f t="shared" si="1"/>
        <v>0</v>
      </c>
      <c r="Q36" s="293">
        <f t="shared" si="2"/>
        <v>0</v>
      </c>
      <c r="S36" s="293">
        <f t="shared" si="3"/>
        <v>0</v>
      </c>
      <c r="U36" s="385"/>
      <c r="V36" s="385"/>
      <c r="W36" s="385"/>
      <c r="X36" s="385"/>
    </row>
    <row r="37" spans="3:24" ht="14.4" x14ac:dyDescent="0.3">
      <c r="D37" s="420" t="s">
        <v>79</v>
      </c>
      <c r="E37" s="421"/>
      <c r="F37" s="421"/>
      <c r="G37" s="421"/>
      <c r="I37" s="43"/>
      <c r="K37" s="43"/>
      <c r="M37" s="43"/>
      <c r="O37" s="43"/>
      <c r="Q37" s="294">
        <f>SUM(Q12:Q36)</f>
        <v>0</v>
      </c>
      <c r="S37" s="294">
        <f>SUM(S12:S36)</f>
        <v>0</v>
      </c>
    </row>
    <row r="39" spans="3:24" ht="15.6" x14ac:dyDescent="0.3">
      <c r="C39" s="92" t="s">
        <v>164</v>
      </c>
    </row>
    <row r="40" spans="3:24" ht="27.6" x14ac:dyDescent="0.3">
      <c r="D40" s="90" t="s">
        <v>102</v>
      </c>
      <c r="I40" s="91" t="s">
        <v>80</v>
      </c>
      <c r="K40" s="91" t="s">
        <v>432</v>
      </c>
      <c r="M40" s="42" t="s">
        <v>103</v>
      </c>
      <c r="O40" s="42" t="s">
        <v>104</v>
      </c>
      <c r="Q40" s="42" t="s">
        <v>105</v>
      </c>
      <c r="S40" s="42" t="s">
        <v>106</v>
      </c>
      <c r="U40" s="350" t="s">
        <v>185</v>
      </c>
      <c r="V40" s="351"/>
      <c r="W40" s="351"/>
      <c r="X40" s="351"/>
    </row>
    <row r="41" spans="3:24" x14ac:dyDescent="0.3">
      <c r="D41" s="356" t="s">
        <v>109</v>
      </c>
      <c r="E41" s="356"/>
      <c r="F41" s="356"/>
      <c r="G41" s="356"/>
      <c r="I41" s="48">
        <v>0</v>
      </c>
      <c r="K41" s="48">
        <v>0</v>
      </c>
      <c r="M41" s="40">
        <f t="shared" ref="M41:M65" si="4">IFERROR(IF(DD_ACT_3_Meet1_Curr=1,INDEX($M$206:$M$240,MATCH(D41,LU_ACT_3_Allowances,0)),INDEX($Q$206:$Q$240,MATCH(D41,LU_ACT_3_Allowances,0))),0)</f>
        <v>0</v>
      </c>
      <c r="O41" s="40">
        <f t="shared" ref="O41:O65" si="5">IFERROR(IF(DD_ACT_3_Meet1_Curr=1,INDEX($O$206:$O$240,MATCH(D41,LU_ACT_3_Allowances,0)),INDEX($S$206:$S$240,MATCH(D41,LU_ACT_3_Allowances,0))),0)</f>
        <v>0</v>
      </c>
      <c r="Q41" s="293">
        <f t="shared" ref="Q41:Q65" si="6">I41*K41*M41</f>
        <v>0</v>
      </c>
      <c r="S41" s="293">
        <f t="shared" ref="S41:S65" si="7">I41*K41*O41</f>
        <v>0</v>
      </c>
      <c r="U41" s="356"/>
      <c r="V41" s="356"/>
      <c r="W41" s="356"/>
      <c r="X41" s="356"/>
    </row>
    <row r="42" spans="3:24" x14ac:dyDescent="0.3">
      <c r="D42" s="356" t="s">
        <v>110</v>
      </c>
      <c r="E42" s="356"/>
      <c r="F42" s="356"/>
      <c r="G42" s="356"/>
      <c r="I42" s="48">
        <v>0</v>
      </c>
      <c r="K42" s="48">
        <v>0</v>
      </c>
      <c r="M42" s="40">
        <f t="shared" si="4"/>
        <v>0</v>
      </c>
      <c r="O42" s="40">
        <f t="shared" si="5"/>
        <v>0</v>
      </c>
      <c r="Q42" s="293">
        <f t="shared" si="6"/>
        <v>0</v>
      </c>
      <c r="S42" s="293">
        <f t="shared" si="7"/>
        <v>0</v>
      </c>
      <c r="U42" s="356"/>
      <c r="V42" s="356"/>
      <c r="W42" s="356"/>
      <c r="X42" s="356"/>
    </row>
    <row r="43" spans="3:24" x14ac:dyDescent="0.3">
      <c r="D43" s="356" t="s">
        <v>111</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112</v>
      </c>
      <c r="E44" s="356"/>
      <c r="F44" s="356"/>
      <c r="G44" s="356"/>
      <c r="I44" s="48">
        <v>0</v>
      </c>
      <c r="K44" s="48">
        <v>0</v>
      </c>
      <c r="M44" s="40">
        <f t="shared" si="4"/>
        <v>0</v>
      </c>
      <c r="O44" s="40">
        <f t="shared" si="5"/>
        <v>0</v>
      </c>
      <c r="Q44" s="293">
        <f t="shared" si="6"/>
        <v>0</v>
      </c>
      <c r="S44" s="293">
        <f t="shared" si="7"/>
        <v>0</v>
      </c>
      <c r="U44" s="356"/>
      <c r="V44" s="356"/>
      <c r="W44" s="356"/>
      <c r="X44" s="356"/>
    </row>
    <row r="45" spans="3:24" x14ac:dyDescent="0.3">
      <c r="D45" s="356" t="s">
        <v>113</v>
      </c>
      <c r="E45" s="356"/>
      <c r="F45" s="356"/>
      <c r="G45" s="356"/>
      <c r="I45" s="48">
        <v>0</v>
      </c>
      <c r="K45" s="48">
        <v>0</v>
      </c>
      <c r="M45" s="40">
        <f t="shared" si="4"/>
        <v>0</v>
      </c>
      <c r="O45" s="40">
        <f t="shared" si="5"/>
        <v>0</v>
      </c>
      <c r="Q45" s="293">
        <f t="shared" si="6"/>
        <v>0</v>
      </c>
      <c r="S45" s="293">
        <f t="shared" si="7"/>
        <v>0</v>
      </c>
      <c r="U45" s="356"/>
      <c r="V45" s="356"/>
      <c r="W45" s="356"/>
      <c r="X45" s="356"/>
    </row>
    <row r="46" spans="3:24" x14ac:dyDescent="0.3">
      <c r="D46" s="356" t="s">
        <v>114</v>
      </c>
      <c r="E46" s="356"/>
      <c r="F46" s="356"/>
      <c r="G46" s="356"/>
      <c r="I46" s="48">
        <v>0</v>
      </c>
      <c r="K46" s="48">
        <v>0</v>
      </c>
      <c r="M46" s="40">
        <f t="shared" si="4"/>
        <v>0</v>
      </c>
      <c r="O46" s="40">
        <f t="shared" si="5"/>
        <v>0</v>
      </c>
      <c r="Q46" s="293">
        <f t="shared" si="6"/>
        <v>0</v>
      </c>
      <c r="S46" s="293">
        <f t="shared" si="7"/>
        <v>0</v>
      </c>
      <c r="U46" s="356"/>
      <c r="V46" s="356"/>
      <c r="W46" s="356"/>
      <c r="X46" s="356"/>
    </row>
    <row r="47" spans="3:24" x14ac:dyDescent="0.3">
      <c r="D47" s="356" t="s">
        <v>115</v>
      </c>
      <c r="E47" s="356"/>
      <c r="F47" s="356"/>
      <c r="G47" s="356"/>
      <c r="I47" s="48">
        <v>0</v>
      </c>
      <c r="K47" s="48">
        <v>0</v>
      </c>
      <c r="M47" s="40">
        <f t="shared" si="4"/>
        <v>0</v>
      </c>
      <c r="O47" s="40">
        <f t="shared" si="5"/>
        <v>0</v>
      </c>
      <c r="Q47" s="293">
        <f t="shared" si="6"/>
        <v>0</v>
      </c>
      <c r="S47" s="293">
        <f t="shared" si="7"/>
        <v>0</v>
      </c>
      <c r="U47" s="356"/>
      <c r="V47" s="356"/>
      <c r="W47" s="356"/>
      <c r="X47" s="356"/>
    </row>
    <row r="48" spans="3:24" x14ac:dyDescent="0.3">
      <c r="D48" s="356" t="s">
        <v>116</v>
      </c>
      <c r="E48" s="356"/>
      <c r="F48" s="356"/>
      <c r="G48" s="356"/>
      <c r="I48" s="48">
        <v>0</v>
      </c>
      <c r="K48" s="48">
        <v>0</v>
      </c>
      <c r="M48" s="40">
        <f t="shared" si="4"/>
        <v>0</v>
      </c>
      <c r="O48" s="40">
        <f t="shared" si="5"/>
        <v>0</v>
      </c>
      <c r="Q48" s="293">
        <f t="shared" si="6"/>
        <v>0</v>
      </c>
      <c r="S48" s="293">
        <f t="shared" si="7"/>
        <v>0</v>
      </c>
      <c r="U48" s="356"/>
      <c r="V48" s="356"/>
      <c r="W48" s="356"/>
      <c r="X48" s="356"/>
    </row>
    <row r="49" spans="4:24" s="277" customFormat="1" x14ac:dyDescent="0.3">
      <c r="D49" s="356" t="s">
        <v>838</v>
      </c>
      <c r="E49" s="356"/>
      <c r="F49" s="356"/>
      <c r="G49" s="356"/>
      <c r="I49" s="48">
        <v>0</v>
      </c>
      <c r="K49" s="48">
        <v>0</v>
      </c>
      <c r="M49" s="279">
        <f t="shared" si="4"/>
        <v>0</v>
      </c>
      <c r="O49" s="279">
        <f t="shared" si="5"/>
        <v>0</v>
      </c>
      <c r="Q49" s="293">
        <f t="shared" si="6"/>
        <v>0</v>
      </c>
      <c r="S49" s="293">
        <f t="shared" si="7"/>
        <v>0</v>
      </c>
      <c r="U49" s="385"/>
      <c r="V49" s="385"/>
      <c r="W49" s="385"/>
      <c r="X49" s="385"/>
    </row>
    <row r="50" spans="4:24" s="277" customFormat="1" x14ac:dyDescent="0.3">
      <c r="D50" s="356" t="s">
        <v>839</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840</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841</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842</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843</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844</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845</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850</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851</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852</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853</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972</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977</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978</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979</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980</v>
      </c>
      <c r="E65" s="356"/>
      <c r="F65" s="356"/>
      <c r="G65" s="356"/>
      <c r="I65" s="48">
        <v>0</v>
      </c>
      <c r="K65" s="48">
        <v>0</v>
      </c>
      <c r="M65" s="279">
        <f t="shared" si="4"/>
        <v>0</v>
      </c>
      <c r="O65" s="279">
        <f t="shared" si="5"/>
        <v>0</v>
      </c>
      <c r="Q65" s="293">
        <f t="shared" si="6"/>
        <v>0</v>
      </c>
      <c r="S65" s="293">
        <f t="shared" si="7"/>
        <v>0</v>
      </c>
      <c r="U65" s="385"/>
      <c r="V65" s="385"/>
      <c r="W65" s="385"/>
      <c r="X65" s="385"/>
    </row>
    <row r="66" spans="3:24" ht="14.4" x14ac:dyDescent="0.3">
      <c r="D66" s="420" t="s">
        <v>82</v>
      </c>
      <c r="E66" s="421"/>
      <c r="F66" s="421"/>
      <c r="G66" s="421"/>
      <c r="I66" s="43"/>
      <c r="K66" s="43"/>
      <c r="M66" s="43"/>
      <c r="O66" s="43"/>
      <c r="Q66" s="294">
        <f>SUM(Q41:Q65)</f>
        <v>0</v>
      </c>
      <c r="S66" s="294">
        <f>SUM(S41:S65)</f>
        <v>0</v>
      </c>
    </row>
    <row r="70" spans="3:24" ht="15.6" x14ac:dyDescent="0.3">
      <c r="C70" s="92" t="s">
        <v>84</v>
      </c>
    </row>
    <row r="71" spans="3:24" ht="27.6" x14ac:dyDescent="0.3">
      <c r="D71" s="90" t="s">
        <v>102</v>
      </c>
      <c r="I71" s="91" t="s">
        <v>87</v>
      </c>
      <c r="K71" s="91" t="s">
        <v>432</v>
      </c>
      <c r="M71" s="42" t="s">
        <v>107</v>
      </c>
      <c r="O71" s="42" t="s">
        <v>108</v>
      </c>
      <c r="Q71" s="42" t="s">
        <v>105</v>
      </c>
      <c r="S71" s="42" t="s">
        <v>106</v>
      </c>
      <c r="U71" s="350" t="s">
        <v>185</v>
      </c>
      <c r="V71" s="351"/>
      <c r="W71" s="351"/>
      <c r="X71" s="351"/>
    </row>
    <row r="72" spans="3:24" x14ac:dyDescent="0.3">
      <c r="D72" s="356" t="s">
        <v>892</v>
      </c>
      <c r="E72" s="356"/>
      <c r="F72" s="356"/>
      <c r="G72" s="356"/>
      <c r="I72" s="48">
        <v>0</v>
      </c>
      <c r="K72" s="48">
        <v>0</v>
      </c>
      <c r="M72" s="40">
        <f t="shared" ref="M72:M96" si="8">IFERROR(IF(DD_ACT_3_Meet1_Curr=1,INDEX($M$244:$M$278,MATCH(D72,LU_ACT_3_Supplies,0)),INDEX($Q$244:$Q$278,MATCH(D72,LU_ACT_3_Supplies,0))),0)</f>
        <v>0</v>
      </c>
      <c r="O72" s="40">
        <f t="shared" ref="O72:O96" si="9">IFERROR(IF(DD_ACT_3_Meet1_Curr=1,INDEX($O$244:$O$278,MATCH(D72,LU_ACT_3_Supplies,0)),INDEX($S$244:$S$278,MATCH(D72,LU_ACT_3_Supplies,0))),0)</f>
        <v>0</v>
      </c>
      <c r="Q72" s="295">
        <f t="shared" ref="Q72:Q96" si="10">I72*K72*M72</f>
        <v>0</v>
      </c>
      <c r="S72" s="293">
        <f t="shared" ref="S72:S96" si="11">I72*K72*O72</f>
        <v>0</v>
      </c>
      <c r="U72" s="356"/>
      <c r="V72" s="356"/>
      <c r="W72" s="356"/>
      <c r="X72" s="356"/>
    </row>
    <row r="73" spans="3:24" x14ac:dyDescent="0.3">
      <c r="D73" s="356" t="s">
        <v>893</v>
      </c>
      <c r="E73" s="356"/>
      <c r="F73" s="356"/>
      <c r="G73" s="356"/>
      <c r="I73" s="48">
        <v>0</v>
      </c>
      <c r="K73" s="48">
        <v>0</v>
      </c>
      <c r="M73" s="40">
        <f t="shared" si="8"/>
        <v>0</v>
      </c>
      <c r="O73" s="40">
        <f t="shared" si="9"/>
        <v>0</v>
      </c>
      <c r="Q73" s="295">
        <f t="shared" si="10"/>
        <v>0</v>
      </c>
      <c r="S73" s="293">
        <f t="shared" si="11"/>
        <v>0</v>
      </c>
      <c r="U73" s="356"/>
      <c r="V73" s="356"/>
      <c r="W73" s="356"/>
      <c r="X73" s="356"/>
    </row>
    <row r="74" spans="3:24" s="277" customFormat="1" x14ac:dyDescent="0.3">
      <c r="D74" s="356" t="s">
        <v>854</v>
      </c>
      <c r="E74" s="356"/>
      <c r="F74" s="356"/>
      <c r="G74" s="356"/>
      <c r="I74" s="48">
        <v>0</v>
      </c>
      <c r="K74" s="48">
        <v>0</v>
      </c>
      <c r="M74" s="279">
        <f t="shared" si="8"/>
        <v>0</v>
      </c>
      <c r="O74" s="279">
        <f t="shared" si="9"/>
        <v>0</v>
      </c>
      <c r="Q74" s="295">
        <f t="shared" si="10"/>
        <v>0</v>
      </c>
      <c r="S74" s="293">
        <f t="shared" si="11"/>
        <v>0</v>
      </c>
      <c r="U74" s="385"/>
      <c r="V74" s="385"/>
      <c r="W74" s="385"/>
      <c r="X74" s="385"/>
    </row>
    <row r="75" spans="3:24" s="277" customFormat="1" x14ac:dyDescent="0.3">
      <c r="D75" s="356" t="s">
        <v>855</v>
      </c>
      <c r="E75" s="356"/>
      <c r="F75" s="356"/>
      <c r="G75" s="356"/>
      <c r="I75" s="48">
        <v>0</v>
      </c>
      <c r="K75" s="48">
        <v>0</v>
      </c>
      <c r="M75" s="279">
        <f t="shared" si="8"/>
        <v>0</v>
      </c>
      <c r="O75" s="279">
        <f t="shared" si="9"/>
        <v>0</v>
      </c>
      <c r="Q75" s="295">
        <f t="shared" si="10"/>
        <v>0</v>
      </c>
      <c r="S75" s="293">
        <f t="shared" si="11"/>
        <v>0</v>
      </c>
      <c r="U75" s="385"/>
      <c r="V75" s="385"/>
      <c r="W75" s="385"/>
      <c r="X75" s="385"/>
    </row>
    <row r="76" spans="3:24" s="277" customFormat="1" x14ac:dyDescent="0.3">
      <c r="D76" s="356" t="s">
        <v>856</v>
      </c>
      <c r="E76" s="356"/>
      <c r="F76" s="356"/>
      <c r="G76" s="356"/>
      <c r="I76" s="48">
        <v>0</v>
      </c>
      <c r="K76" s="48">
        <v>0</v>
      </c>
      <c r="M76" s="279">
        <f t="shared" si="8"/>
        <v>0</v>
      </c>
      <c r="O76" s="279">
        <f t="shared" si="9"/>
        <v>0</v>
      </c>
      <c r="Q76" s="295">
        <f t="shared" si="10"/>
        <v>0</v>
      </c>
      <c r="S76" s="293">
        <f t="shared" si="11"/>
        <v>0</v>
      </c>
      <c r="U76" s="385"/>
      <c r="V76" s="385"/>
      <c r="W76" s="385"/>
      <c r="X76" s="385"/>
    </row>
    <row r="77" spans="3:24" s="277" customFormat="1" x14ac:dyDescent="0.3">
      <c r="D77" s="356" t="s">
        <v>857</v>
      </c>
      <c r="E77" s="356"/>
      <c r="F77" s="356"/>
      <c r="G77" s="356"/>
      <c r="I77" s="48">
        <v>0</v>
      </c>
      <c r="K77" s="48">
        <v>0</v>
      </c>
      <c r="M77" s="279">
        <f t="shared" si="8"/>
        <v>0</v>
      </c>
      <c r="O77" s="279">
        <f t="shared" si="9"/>
        <v>0</v>
      </c>
      <c r="Q77" s="295">
        <f t="shared" si="10"/>
        <v>0</v>
      </c>
      <c r="S77" s="293">
        <f t="shared" si="11"/>
        <v>0</v>
      </c>
      <c r="U77" s="385"/>
      <c r="V77" s="385"/>
      <c r="W77" s="385"/>
      <c r="X77" s="385"/>
    </row>
    <row r="78" spans="3:24" s="277" customFormat="1" x14ac:dyDescent="0.3">
      <c r="D78" s="356" t="s">
        <v>858</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859</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860</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861</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862</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863</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864</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865</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866</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867</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868</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869</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870</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871</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981</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982</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983</v>
      </c>
      <c r="E94" s="356"/>
      <c r="F94" s="356"/>
      <c r="G94" s="356"/>
      <c r="I94" s="48">
        <v>0</v>
      </c>
      <c r="K94" s="48">
        <v>0</v>
      </c>
      <c r="M94" s="279">
        <f t="shared" si="8"/>
        <v>0</v>
      </c>
      <c r="O94" s="279">
        <f t="shared" si="9"/>
        <v>0</v>
      </c>
      <c r="Q94" s="295">
        <f t="shared" si="10"/>
        <v>0</v>
      </c>
      <c r="S94" s="293">
        <f t="shared" si="11"/>
        <v>0</v>
      </c>
      <c r="U94" s="385"/>
      <c r="V94" s="385"/>
      <c r="W94" s="385"/>
      <c r="X94" s="385"/>
    </row>
    <row r="95" spans="4:24" s="277" customFormat="1" x14ac:dyDescent="0.3">
      <c r="D95" s="356" t="s">
        <v>984</v>
      </c>
      <c r="E95" s="356"/>
      <c r="F95" s="356"/>
      <c r="G95" s="356"/>
      <c r="I95" s="48">
        <v>0</v>
      </c>
      <c r="K95" s="48">
        <v>0</v>
      </c>
      <c r="M95" s="279">
        <f t="shared" si="8"/>
        <v>0</v>
      </c>
      <c r="O95" s="279">
        <f t="shared" si="9"/>
        <v>0</v>
      </c>
      <c r="Q95" s="295">
        <f t="shared" si="10"/>
        <v>0</v>
      </c>
      <c r="S95" s="293">
        <f t="shared" si="11"/>
        <v>0</v>
      </c>
      <c r="U95" s="385"/>
      <c r="V95" s="385"/>
      <c r="W95" s="385"/>
      <c r="X95" s="385"/>
    </row>
    <row r="96" spans="4:24" s="277" customFormat="1" x14ac:dyDescent="0.3">
      <c r="D96" s="356" t="s">
        <v>985</v>
      </c>
      <c r="E96" s="356"/>
      <c r="F96" s="356"/>
      <c r="G96" s="356"/>
      <c r="I96" s="48">
        <v>0</v>
      </c>
      <c r="K96" s="48">
        <v>0</v>
      </c>
      <c r="M96" s="279">
        <f t="shared" si="8"/>
        <v>0</v>
      </c>
      <c r="O96" s="279">
        <f t="shared" si="9"/>
        <v>0</v>
      </c>
      <c r="Q96" s="295">
        <f t="shared" si="10"/>
        <v>0</v>
      </c>
      <c r="S96" s="293">
        <f t="shared" si="11"/>
        <v>0</v>
      </c>
      <c r="U96" s="385"/>
      <c r="V96" s="385"/>
      <c r="W96" s="385"/>
      <c r="X96" s="385"/>
    </row>
    <row r="97" spans="3:24" ht="14.4" x14ac:dyDescent="0.3">
      <c r="D97" s="420" t="s">
        <v>85</v>
      </c>
      <c r="E97" s="421"/>
      <c r="F97" s="421"/>
      <c r="G97" s="421"/>
      <c r="I97" s="43"/>
      <c r="K97" s="43"/>
      <c r="M97" s="43"/>
      <c r="O97" s="43"/>
      <c r="Q97" s="296">
        <f>SUM(Q72:Q96)</f>
        <v>0</v>
      </c>
      <c r="S97" s="294">
        <f>SUM(S72:S96)</f>
        <v>0</v>
      </c>
      <c r="U97" s="43"/>
      <c r="V97" s="43"/>
      <c r="W97" s="43"/>
      <c r="X97" s="43"/>
    </row>
    <row r="99" spans="3:24" ht="27.6" x14ac:dyDescent="0.3">
      <c r="C99" s="92" t="s">
        <v>130</v>
      </c>
      <c r="Q99" s="44" t="str">
        <f>"FINANCIAL COST ("&amp;INDEX(LU_ACT_3_Meet_Curr,DD_ACT_3_Meet1_Curr)&amp;")"</f>
        <v>FINANCIAL COST (GOZ)</v>
      </c>
      <c r="S99" s="44" t="str">
        <f>"ECONOMIC COST ("&amp;INDEX(LU_ACT_3_Meet_Curr,DD_ACT_3_Meet1_Curr)&amp;")"</f>
        <v>ECONOMIC COST (GOZ)</v>
      </c>
    </row>
    <row r="100" spans="3:24" ht="14.4" x14ac:dyDescent="0.3">
      <c r="D100" s="90" t="s">
        <v>86</v>
      </c>
      <c r="I100" s="91" t="s">
        <v>186</v>
      </c>
      <c r="M100" s="91" t="s">
        <v>81</v>
      </c>
      <c r="O100" s="91" t="s">
        <v>83</v>
      </c>
      <c r="U100" s="350" t="s">
        <v>185</v>
      </c>
      <c r="V100" s="351"/>
      <c r="W100" s="351"/>
      <c r="X100" s="351"/>
    </row>
    <row r="101" spans="3:24" x14ac:dyDescent="0.3">
      <c r="D101" s="356" t="s">
        <v>70</v>
      </c>
      <c r="E101" s="356"/>
      <c r="F101" s="356"/>
      <c r="G101" s="356"/>
      <c r="I101" s="48">
        <v>0</v>
      </c>
      <c r="M101" s="40">
        <f t="shared" ref="M101:M125" si="12">IFERROR(IF(DD_ACT_3_Meet1_Curr=1,INDEX($M$281:$M$315,MATCH(D101,LU_ACT_3_Equipment,0)),INDEX($Q$281:$Q$315,MATCH(D101,LU_ACT_3_Equipment,0))),0)</f>
        <v>0</v>
      </c>
      <c r="O101" s="40">
        <f t="shared" ref="O101:O125" si="13">IFERROR(IF(DD_ACT_3_Meet1_Curr=1,INDEX($O$281:$O$315,MATCH(D101,LU_ACT_3_Equipment,0)),INDEX($S$281:$S$315,MATCH(D101,LU_ACT_3_Equipment,0))),0)</f>
        <v>0</v>
      </c>
      <c r="Q101" s="279">
        <f t="shared" ref="Q101:Q125" si="14">I101*M101</f>
        <v>0</v>
      </c>
      <c r="S101" s="279">
        <f t="shared" ref="S101:S125" si="15">I101*O101</f>
        <v>0</v>
      </c>
      <c r="U101" s="356"/>
      <c r="V101" s="356"/>
      <c r="W101" s="356"/>
      <c r="X101" s="356"/>
    </row>
    <row r="102" spans="3:24" x14ac:dyDescent="0.3">
      <c r="D102" s="356" t="s">
        <v>122</v>
      </c>
      <c r="E102" s="356"/>
      <c r="F102" s="356"/>
      <c r="G102" s="356"/>
      <c r="I102" s="48">
        <v>0</v>
      </c>
      <c r="M102" s="40">
        <f t="shared" si="12"/>
        <v>0</v>
      </c>
      <c r="O102" s="40">
        <f t="shared" si="13"/>
        <v>0</v>
      </c>
      <c r="Q102" s="279">
        <f t="shared" si="14"/>
        <v>0</v>
      </c>
      <c r="S102" s="279">
        <f t="shared" si="15"/>
        <v>0</v>
      </c>
      <c r="U102" s="356"/>
      <c r="V102" s="356"/>
      <c r="W102" s="356"/>
      <c r="X102" s="356"/>
    </row>
    <row r="103" spans="3:24" s="277" customFormat="1" x14ac:dyDescent="0.3">
      <c r="D103" s="356" t="s">
        <v>872</v>
      </c>
      <c r="E103" s="356"/>
      <c r="F103" s="356"/>
      <c r="G103" s="356"/>
      <c r="I103" s="48">
        <v>0</v>
      </c>
      <c r="M103" s="279">
        <f t="shared" si="12"/>
        <v>0</v>
      </c>
      <c r="O103" s="279">
        <f t="shared" si="13"/>
        <v>0</v>
      </c>
      <c r="Q103" s="279">
        <f t="shared" si="14"/>
        <v>0</v>
      </c>
      <c r="S103" s="279">
        <f t="shared" si="15"/>
        <v>0</v>
      </c>
      <c r="U103" s="385"/>
      <c r="V103" s="385"/>
      <c r="W103" s="385"/>
      <c r="X103" s="385"/>
    </row>
    <row r="104" spans="3:24" s="277" customFormat="1" x14ac:dyDescent="0.3">
      <c r="D104" s="356" t="s">
        <v>873</v>
      </c>
      <c r="E104" s="356"/>
      <c r="F104" s="356"/>
      <c r="G104" s="356"/>
      <c r="I104" s="48">
        <v>0</v>
      </c>
      <c r="M104" s="279">
        <f t="shared" si="12"/>
        <v>0</v>
      </c>
      <c r="O104" s="279">
        <f t="shared" si="13"/>
        <v>0</v>
      </c>
      <c r="Q104" s="279">
        <f t="shared" si="14"/>
        <v>0</v>
      </c>
      <c r="S104" s="279">
        <f t="shared" si="15"/>
        <v>0</v>
      </c>
      <c r="U104" s="385"/>
      <c r="V104" s="385"/>
      <c r="W104" s="385"/>
      <c r="X104" s="385"/>
    </row>
    <row r="105" spans="3:24" s="277" customFormat="1" x14ac:dyDescent="0.3">
      <c r="D105" s="356" t="s">
        <v>874</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875</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778</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779</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780</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781</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782</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783</v>
      </c>
      <c r="E112" s="356"/>
      <c r="F112" s="356"/>
      <c r="G112" s="356"/>
      <c r="I112" s="48">
        <v>0</v>
      </c>
      <c r="M112" s="279">
        <f t="shared" si="12"/>
        <v>0</v>
      </c>
      <c r="O112" s="279">
        <f t="shared" si="13"/>
        <v>0</v>
      </c>
      <c r="Q112" s="279">
        <f t="shared" si="14"/>
        <v>0</v>
      </c>
      <c r="S112" s="279">
        <f t="shared" si="15"/>
        <v>0</v>
      </c>
      <c r="U112" s="385"/>
      <c r="V112" s="385"/>
      <c r="W112" s="385"/>
      <c r="X112" s="385"/>
    </row>
    <row r="113" spans="3:24" s="277" customFormat="1" x14ac:dyDescent="0.3">
      <c r="D113" s="356" t="s">
        <v>784</v>
      </c>
      <c r="E113" s="356"/>
      <c r="F113" s="356"/>
      <c r="G113" s="356"/>
      <c r="I113" s="48">
        <v>0</v>
      </c>
      <c r="M113" s="279">
        <f t="shared" si="12"/>
        <v>0</v>
      </c>
      <c r="O113" s="279">
        <f t="shared" si="13"/>
        <v>0</v>
      </c>
      <c r="Q113" s="279">
        <f t="shared" si="14"/>
        <v>0</v>
      </c>
      <c r="S113" s="279">
        <f t="shared" si="15"/>
        <v>0</v>
      </c>
      <c r="U113" s="385"/>
      <c r="V113" s="385"/>
      <c r="W113" s="385"/>
      <c r="X113" s="385"/>
    </row>
    <row r="114" spans="3:24" s="277" customFormat="1" x14ac:dyDescent="0.3">
      <c r="D114" s="356" t="s">
        <v>785</v>
      </c>
      <c r="E114" s="356"/>
      <c r="F114" s="356"/>
      <c r="G114" s="356"/>
      <c r="I114" s="48">
        <v>0</v>
      </c>
      <c r="M114" s="279">
        <f t="shared" si="12"/>
        <v>0</v>
      </c>
      <c r="O114" s="279">
        <f t="shared" si="13"/>
        <v>0</v>
      </c>
      <c r="Q114" s="279">
        <f t="shared" si="14"/>
        <v>0</v>
      </c>
      <c r="S114" s="279">
        <f t="shared" si="15"/>
        <v>0</v>
      </c>
      <c r="U114" s="385"/>
      <c r="V114" s="385"/>
      <c r="W114" s="385"/>
      <c r="X114" s="385"/>
    </row>
    <row r="115" spans="3:24" s="277" customFormat="1" x14ac:dyDescent="0.3">
      <c r="D115" s="356" t="s">
        <v>786</v>
      </c>
      <c r="E115" s="356"/>
      <c r="F115" s="356"/>
      <c r="G115" s="356"/>
      <c r="I115" s="48">
        <v>0</v>
      </c>
      <c r="M115" s="279">
        <f t="shared" si="12"/>
        <v>0</v>
      </c>
      <c r="O115" s="279">
        <f t="shared" si="13"/>
        <v>0</v>
      </c>
      <c r="Q115" s="279">
        <f t="shared" si="14"/>
        <v>0</v>
      </c>
      <c r="S115" s="279">
        <f t="shared" si="15"/>
        <v>0</v>
      </c>
      <c r="U115" s="385"/>
      <c r="V115" s="385"/>
      <c r="W115" s="385"/>
      <c r="X115" s="385"/>
    </row>
    <row r="116" spans="3:24" s="277" customFormat="1" x14ac:dyDescent="0.3">
      <c r="D116" s="356" t="s">
        <v>787</v>
      </c>
      <c r="E116" s="356"/>
      <c r="F116" s="356"/>
      <c r="G116" s="356"/>
      <c r="I116" s="48">
        <v>0</v>
      </c>
      <c r="M116" s="279">
        <f t="shared" si="12"/>
        <v>0</v>
      </c>
      <c r="O116" s="279">
        <f t="shared" si="13"/>
        <v>0</v>
      </c>
      <c r="Q116" s="279">
        <f t="shared" si="14"/>
        <v>0</v>
      </c>
      <c r="S116" s="279">
        <f t="shared" si="15"/>
        <v>0</v>
      </c>
      <c r="U116" s="385"/>
      <c r="V116" s="385"/>
      <c r="W116" s="385"/>
      <c r="X116" s="385"/>
    </row>
    <row r="117" spans="3:24" s="277" customFormat="1" x14ac:dyDescent="0.3">
      <c r="D117" s="356" t="s">
        <v>788</v>
      </c>
      <c r="E117" s="356"/>
      <c r="F117" s="356"/>
      <c r="G117" s="356"/>
      <c r="I117" s="48">
        <v>0</v>
      </c>
      <c r="M117" s="279">
        <f t="shared" si="12"/>
        <v>0</v>
      </c>
      <c r="O117" s="279">
        <f t="shared" si="13"/>
        <v>0</v>
      </c>
      <c r="Q117" s="279">
        <f t="shared" si="14"/>
        <v>0</v>
      </c>
      <c r="S117" s="279">
        <f t="shared" si="15"/>
        <v>0</v>
      </c>
      <c r="U117" s="385"/>
      <c r="V117" s="385"/>
      <c r="W117" s="385"/>
      <c r="X117" s="385"/>
    </row>
    <row r="118" spans="3:24" s="277" customFormat="1" x14ac:dyDescent="0.3">
      <c r="D118" s="356" t="s">
        <v>789</v>
      </c>
      <c r="E118" s="356"/>
      <c r="F118" s="356"/>
      <c r="G118" s="356"/>
      <c r="I118" s="48">
        <v>0</v>
      </c>
      <c r="M118" s="279">
        <f t="shared" si="12"/>
        <v>0</v>
      </c>
      <c r="O118" s="279">
        <f t="shared" si="13"/>
        <v>0</v>
      </c>
      <c r="Q118" s="279">
        <f t="shared" si="14"/>
        <v>0</v>
      </c>
      <c r="S118" s="279">
        <f t="shared" si="15"/>
        <v>0</v>
      </c>
      <c r="U118" s="385"/>
      <c r="V118" s="385"/>
      <c r="W118" s="385"/>
      <c r="X118" s="385"/>
    </row>
    <row r="119" spans="3:24" s="277" customFormat="1" x14ac:dyDescent="0.3">
      <c r="D119" s="356" t="s">
        <v>790</v>
      </c>
      <c r="E119" s="356"/>
      <c r="F119" s="356"/>
      <c r="G119" s="356"/>
      <c r="I119" s="48">
        <v>0</v>
      </c>
      <c r="M119" s="279">
        <f t="shared" si="12"/>
        <v>0</v>
      </c>
      <c r="O119" s="279">
        <f t="shared" si="13"/>
        <v>0</v>
      </c>
      <c r="Q119" s="279">
        <f t="shared" si="14"/>
        <v>0</v>
      </c>
      <c r="S119" s="279">
        <f t="shared" si="15"/>
        <v>0</v>
      </c>
      <c r="U119" s="385"/>
      <c r="V119" s="385"/>
      <c r="W119" s="385"/>
      <c r="X119" s="385"/>
    </row>
    <row r="120" spans="3:24" s="277" customFormat="1" x14ac:dyDescent="0.3">
      <c r="D120" s="356" t="s">
        <v>791</v>
      </c>
      <c r="E120" s="356"/>
      <c r="F120" s="356"/>
      <c r="G120" s="356"/>
      <c r="I120" s="48">
        <v>0</v>
      </c>
      <c r="M120" s="279">
        <f t="shared" si="12"/>
        <v>0</v>
      </c>
      <c r="O120" s="279">
        <f t="shared" si="13"/>
        <v>0</v>
      </c>
      <c r="Q120" s="279">
        <f t="shared" si="14"/>
        <v>0</v>
      </c>
      <c r="S120" s="279">
        <f t="shared" si="15"/>
        <v>0</v>
      </c>
      <c r="U120" s="385"/>
      <c r="V120" s="385"/>
      <c r="W120" s="385"/>
      <c r="X120" s="385"/>
    </row>
    <row r="121" spans="3:24" s="277" customFormat="1" x14ac:dyDescent="0.3">
      <c r="D121" s="356" t="s">
        <v>792</v>
      </c>
      <c r="E121" s="356"/>
      <c r="F121" s="356"/>
      <c r="G121" s="356"/>
      <c r="I121" s="48">
        <v>0</v>
      </c>
      <c r="M121" s="279">
        <f t="shared" si="12"/>
        <v>0</v>
      </c>
      <c r="O121" s="279">
        <f t="shared" si="13"/>
        <v>0</v>
      </c>
      <c r="Q121" s="279">
        <f t="shared" si="14"/>
        <v>0</v>
      </c>
      <c r="S121" s="279">
        <f t="shared" si="15"/>
        <v>0</v>
      </c>
      <c r="U121" s="385"/>
      <c r="V121" s="385"/>
      <c r="W121" s="385"/>
      <c r="X121" s="385"/>
    </row>
    <row r="122" spans="3:24" s="277" customFormat="1" x14ac:dyDescent="0.3">
      <c r="D122" s="356" t="s">
        <v>793</v>
      </c>
      <c r="E122" s="356"/>
      <c r="F122" s="356"/>
      <c r="G122" s="356"/>
      <c r="I122" s="48">
        <v>0</v>
      </c>
      <c r="M122" s="279">
        <f t="shared" si="12"/>
        <v>0</v>
      </c>
      <c r="O122" s="279">
        <f t="shared" si="13"/>
        <v>0</v>
      </c>
      <c r="Q122" s="279">
        <f t="shared" si="14"/>
        <v>0</v>
      </c>
      <c r="S122" s="279">
        <f t="shared" si="15"/>
        <v>0</v>
      </c>
      <c r="U122" s="385"/>
      <c r="V122" s="385"/>
      <c r="W122" s="385"/>
      <c r="X122" s="385"/>
    </row>
    <row r="123" spans="3:24" s="277" customFormat="1" x14ac:dyDescent="0.3">
      <c r="D123" s="356" t="s">
        <v>794</v>
      </c>
      <c r="E123" s="356"/>
      <c r="F123" s="356"/>
      <c r="G123" s="356"/>
      <c r="I123" s="48">
        <v>0</v>
      </c>
      <c r="M123" s="279">
        <f t="shared" si="12"/>
        <v>0</v>
      </c>
      <c r="O123" s="279">
        <f t="shared" si="13"/>
        <v>0</v>
      </c>
      <c r="Q123" s="279">
        <f t="shared" si="14"/>
        <v>0</v>
      </c>
      <c r="S123" s="279">
        <f t="shared" si="15"/>
        <v>0</v>
      </c>
      <c r="U123" s="385"/>
      <c r="V123" s="385"/>
      <c r="W123" s="385"/>
      <c r="X123" s="385"/>
    </row>
    <row r="124" spans="3:24" s="277" customFormat="1" x14ac:dyDescent="0.3">
      <c r="D124" s="356" t="s">
        <v>795</v>
      </c>
      <c r="E124" s="356"/>
      <c r="F124" s="356"/>
      <c r="G124" s="356"/>
      <c r="I124" s="48">
        <v>0</v>
      </c>
      <c r="M124" s="279">
        <f t="shared" si="12"/>
        <v>0</v>
      </c>
      <c r="O124" s="279">
        <f t="shared" si="13"/>
        <v>0</v>
      </c>
      <c r="Q124" s="279">
        <f t="shared" si="14"/>
        <v>0</v>
      </c>
      <c r="S124" s="279">
        <f t="shared" si="15"/>
        <v>0</v>
      </c>
      <c r="U124" s="385"/>
      <c r="V124" s="385"/>
      <c r="W124" s="385"/>
      <c r="X124" s="385"/>
    </row>
    <row r="125" spans="3:24" s="277" customFormat="1" x14ac:dyDescent="0.3">
      <c r="D125" s="356" t="s">
        <v>796</v>
      </c>
      <c r="E125" s="356"/>
      <c r="F125" s="356"/>
      <c r="G125" s="356"/>
      <c r="I125" s="48">
        <v>0</v>
      </c>
      <c r="M125" s="279">
        <f t="shared" si="12"/>
        <v>0</v>
      </c>
      <c r="O125" s="279">
        <f t="shared" si="13"/>
        <v>0</v>
      </c>
      <c r="Q125" s="279">
        <f t="shared" si="14"/>
        <v>0</v>
      </c>
      <c r="S125" s="279">
        <f t="shared" si="15"/>
        <v>0</v>
      </c>
      <c r="U125" s="385"/>
      <c r="V125" s="385"/>
      <c r="W125" s="385"/>
      <c r="X125" s="385"/>
    </row>
    <row r="126" spans="3:24" ht="14.4" x14ac:dyDescent="0.3">
      <c r="D126" s="420" t="s">
        <v>88</v>
      </c>
      <c r="E126" s="421"/>
      <c r="F126" s="421"/>
      <c r="G126" s="421"/>
      <c r="I126" s="40"/>
      <c r="M126" s="40"/>
      <c r="O126" s="40"/>
      <c r="Q126" s="294">
        <f>SUM(Q101:Q125)</f>
        <v>0</v>
      </c>
      <c r="S126" s="294">
        <f>SUM(S101:S125)</f>
        <v>0</v>
      </c>
    </row>
    <row r="128" spans="3:24" ht="15.6" x14ac:dyDescent="0.3">
      <c r="C128" s="92" t="s">
        <v>89</v>
      </c>
    </row>
    <row r="129" spans="4:24" ht="27.6" x14ac:dyDescent="0.3">
      <c r="Q129" s="44" t="str">
        <f>"FINANCIAL COST ("&amp;INDEX(LU_ACT_3_Meet_Curr,DD_ACT_3_Meet1_Curr)&amp;")"</f>
        <v>FINANCIAL COST (GOZ)</v>
      </c>
      <c r="S129" s="44" t="str">
        <f>"ECONOMIC COST ("&amp;INDEX(LU_ACT_3_Meet_Curr,DD_ACT_3_Meet1_Curr)&amp;")"</f>
        <v>ECONOMIC COST (GOZ)</v>
      </c>
    </row>
    <row r="130" spans="4:24" ht="27.6" x14ac:dyDescent="0.3">
      <c r="D130" s="90" t="s">
        <v>86</v>
      </c>
      <c r="I130" s="91" t="s">
        <v>186</v>
      </c>
      <c r="K130" s="91" t="s">
        <v>432</v>
      </c>
      <c r="M130" s="42" t="s">
        <v>81</v>
      </c>
      <c r="O130" s="42" t="s">
        <v>83</v>
      </c>
      <c r="U130" s="350" t="s">
        <v>185</v>
      </c>
      <c r="V130" s="351"/>
      <c r="W130" s="351"/>
      <c r="X130" s="351"/>
    </row>
    <row r="131" spans="4:24" x14ac:dyDescent="0.3">
      <c r="D131" s="356" t="s">
        <v>71</v>
      </c>
      <c r="E131" s="356"/>
      <c r="F131" s="356"/>
      <c r="G131" s="356"/>
      <c r="I131" s="48">
        <v>0</v>
      </c>
      <c r="K131" s="48">
        <v>0</v>
      </c>
      <c r="M131" s="40">
        <f t="shared" ref="M131:M155" si="16">IFERROR(IF(DD_ACT_3_Meet1_Curr=1,INDEX($M$319:$M$353,MATCH(D131,LU_ACT_3_ODCS,0)),INDEX($Q$319:$Q$353,MATCH(D131,LU_ACT_3_ODCS,0))),0)</f>
        <v>0</v>
      </c>
      <c r="O131" s="40">
        <f t="shared" ref="O131:O155" si="17">IFERROR(IF(DD_ACT_3_Meet1_Curr=1,INDEX($O$319:$O$353,MATCH(D131,LU_ACT_3_ODCS,0)),INDEX($S$319:$S$353,MATCH(D131,LU_ACT_3_ODCS,0))),0)</f>
        <v>0</v>
      </c>
      <c r="Q131" s="279">
        <f t="shared" ref="Q131:Q155" si="18">I131*K131*M131</f>
        <v>0</v>
      </c>
      <c r="S131" s="279">
        <f t="shared" ref="S131:S155" si="19">I131*K131*O131</f>
        <v>0</v>
      </c>
      <c r="U131" s="356"/>
      <c r="V131" s="356"/>
      <c r="W131" s="356"/>
      <c r="X131" s="356"/>
    </row>
    <row r="132" spans="4:24" x14ac:dyDescent="0.3">
      <c r="D132" s="356" t="s">
        <v>72</v>
      </c>
      <c r="E132" s="356"/>
      <c r="F132" s="356"/>
      <c r="G132" s="356"/>
      <c r="I132" s="48">
        <v>0</v>
      </c>
      <c r="K132" s="48">
        <v>0</v>
      </c>
      <c r="M132" s="40">
        <f t="shared" si="16"/>
        <v>0</v>
      </c>
      <c r="O132" s="40">
        <f t="shared" si="17"/>
        <v>0</v>
      </c>
      <c r="Q132" s="279">
        <f t="shared" si="18"/>
        <v>0</v>
      </c>
      <c r="S132" s="279">
        <f t="shared" si="19"/>
        <v>0</v>
      </c>
      <c r="U132" s="356"/>
      <c r="V132" s="356"/>
      <c r="W132" s="356"/>
      <c r="X132" s="356"/>
    </row>
    <row r="133" spans="4:24" x14ac:dyDescent="0.3">
      <c r="D133" s="356" t="s">
        <v>73</v>
      </c>
      <c r="E133" s="356"/>
      <c r="F133" s="356"/>
      <c r="G133" s="356"/>
      <c r="I133" s="48">
        <v>0</v>
      </c>
      <c r="K133" s="48">
        <v>0</v>
      </c>
      <c r="M133" s="40">
        <f t="shared" si="16"/>
        <v>0</v>
      </c>
      <c r="O133" s="40">
        <f t="shared" si="17"/>
        <v>0</v>
      </c>
      <c r="Q133" s="279">
        <f t="shared" si="18"/>
        <v>0</v>
      </c>
      <c r="S133" s="279">
        <f t="shared" si="19"/>
        <v>0</v>
      </c>
      <c r="U133" s="356"/>
      <c r="V133" s="356"/>
      <c r="W133" s="356"/>
      <c r="X133" s="356"/>
    </row>
    <row r="134" spans="4:24" x14ac:dyDescent="0.3">
      <c r="D134" s="356" t="s">
        <v>74</v>
      </c>
      <c r="E134" s="356"/>
      <c r="F134" s="356"/>
      <c r="G134" s="356"/>
      <c r="I134" s="48">
        <v>0</v>
      </c>
      <c r="K134" s="48">
        <v>0</v>
      </c>
      <c r="M134" s="40">
        <f t="shared" si="16"/>
        <v>0</v>
      </c>
      <c r="O134" s="40">
        <f t="shared" si="17"/>
        <v>0</v>
      </c>
      <c r="Q134" s="279">
        <f t="shared" si="18"/>
        <v>0</v>
      </c>
      <c r="S134" s="279">
        <f t="shared" si="19"/>
        <v>0</v>
      </c>
      <c r="U134" s="356"/>
      <c r="V134" s="356"/>
      <c r="W134" s="356"/>
      <c r="X134" s="356"/>
    </row>
    <row r="135" spans="4:24" x14ac:dyDescent="0.3">
      <c r="D135" s="356" t="s">
        <v>75</v>
      </c>
      <c r="E135" s="356"/>
      <c r="F135" s="356"/>
      <c r="G135" s="356"/>
      <c r="I135" s="48">
        <v>0</v>
      </c>
      <c r="K135" s="48">
        <v>0</v>
      </c>
      <c r="M135" s="40">
        <f t="shared" si="16"/>
        <v>0</v>
      </c>
      <c r="O135" s="40">
        <f t="shared" si="17"/>
        <v>0</v>
      </c>
      <c r="Q135" s="279">
        <f t="shared" si="18"/>
        <v>0</v>
      </c>
      <c r="S135" s="279">
        <f t="shared" si="19"/>
        <v>0</v>
      </c>
      <c r="U135" s="356"/>
      <c r="V135" s="356"/>
      <c r="W135" s="356"/>
      <c r="X135" s="356"/>
    </row>
    <row r="136" spans="4:24" s="277" customFormat="1" x14ac:dyDescent="0.3">
      <c r="D136" s="356" t="s">
        <v>876</v>
      </c>
      <c r="E136" s="356"/>
      <c r="F136" s="356"/>
      <c r="G136" s="356"/>
      <c r="I136" s="48">
        <v>0</v>
      </c>
      <c r="K136" s="48">
        <v>0</v>
      </c>
      <c r="M136" s="279">
        <f t="shared" si="16"/>
        <v>0</v>
      </c>
      <c r="O136" s="279">
        <f t="shared" si="17"/>
        <v>0</v>
      </c>
      <c r="Q136" s="279">
        <f t="shared" si="18"/>
        <v>0</v>
      </c>
      <c r="S136" s="279">
        <f t="shared" si="19"/>
        <v>0</v>
      </c>
      <c r="U136" s="385"/>
      <c r="V136" s="385"/>
      <c r="W136" s="385"/>
      <c r="X136" s="385"/>
    </row>
    <row r="137" spans="4:24" s="277" customFormat="1" x14ac:dyDescent="0.3">
      <c r="D137" s="356" t="s">
        <v>877</v>
      </c>
      <c r="E137" s="356"/>
      <c r="F137" s="356"/>
      <c r="G137" s="356"/>
      <c r="I137" s="48">
        <v>0</v>
      </c>
      <c r="K137" s="48">
        <v>0</v>
      </c>
      <c r="M137" s="279">
        <f t="shared" si="16"/>
        <v>0</v>
      </c>
      <c r="O137" s="279">
        <f t="shared" si="17"/>
        <v>0</v>
      </c>
      <c r="Q137" s="279">
        <f t="shared" si="18"/>
        <v>0</v>
      </c>
      <c r="S137" s="279">
        <f t="shared" si="19"/>
        <v>0</v>
      </c>
      <c r="U137" s="385"/>
      <c r="V137" s="385"/>
      <c r="W137" s="385"/>
      <c r="X137" s="385"/>
    </row>
    <row r="138" spans="4:24" s="277" customFormat="1" x14ac:dyDescent="0.3">
      <c r="D138" s="356" t="s">
        <v>878</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4:24" s="277" customFormat="1" x14ac:dyDescent="0.3">
      <c r="D139" s="356" t="s">
        <v>879</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4:24" s="277" customFormat="1" x14ac:dyDescent="0.3">
      <c r="D140" s="356" t="s">
        <v>880</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4:24" s="277" customFormat="1" x14ac:dyDescent="0.3">
      <c r="D141" s="356" t="s">
        <v>881</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4:24" s="277" customFormat="1" x14ac:dyDescent="0.3">
      <c r="D142" s="356" t="s">
        <v>882</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4:24" s="277" customFormat="1" x14ac:dyDescent="0.3">
      <c r="D143" s="356" t="s">
        <v>883</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4:24" s="277" customFormat="1" x14ac:dyDescent="0.3">
      <c r="D144" s="356" t="s">
        <v>884</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2:24" s="277" customFormat="1" x14ac:dyDescent="0.3">
      <c r="D145" s="356" t="s">
        <v>885</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2:24" s="277" customFormat="1" x14ac:dyDescent="0.3">
      <c r="D146" s="356" t="s">
        <v>886</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2:24" s="277" customFormat="1" x14ac:dyDescent="0.3">
      <c r="D147" s="356" t="s">
        <v>887</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2:24" s="277" customFormat="1" x14ac:dyDescent="0.3">
      <c r="D148" s="356" t="s">
        <v>888</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2:24" s="277" customFormat="1" x14ac:dyDescent="0.3">
      <c r="D149" s="356" t="s">
        <v>889</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2:24" s="277" customFormat="1" x14ac:dyDescent="0.3">
      <c r="D150" s="356" t="s">
        <v>890</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2:24" s="277" customFormat="1" x14ac:dyDescent="0.3">
      <c r="D151" s="356" t="s">
        <v>986</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2:24" s="277" customFormat="1" x14ac:dyDescent="0.3">
      <c r="D152" s="356" t="s">
        <v>987</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2:24" s="277" customFormat="1" x14ac:dyDescent="0.3">
      <c r="D153" s="356" t="s">
        <v>988</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2:24" s="277" customFormat="1" x14ac:dyDescent="0.3">
      <c r="D154" s="356" t="s">
        <v>989</v>
      </c>
      <c r="E154" s="356"/>
      <c r="F154" s="356"/>
      <c r="G154" s="356"/>
      <c r="I154" s="48">
        <v>0</v>
      </c>
      <c r="K154" s="48">
        <v>0</v>
      </c>
      <c r="M154" s="279">
        <f t="shared" si="16"/>
        <v>0</v>
      </c>
      <c r="O154" s="279">
        <f t="shared" si="17"/>
        <v>0</v>
      </c>
      <c r="Q154" s="279">
        <f t="shared" si="18"/>
        <v>0</v>
      </c>
      <c r="S154" s="279">
        <f t="shared" si="19"/>
        <v>0</v>
      </c>
      <c r="U154" s="385"/>
      <c r="V154" s="385"/>
      <c r="W154" s="385"/>
      <c r="X154" s="385"/>
    </row>
    <row r="155" spans="2:24" s="277" customFormat="1" x14ac:dyDescent="0.3">
      <c r="D155" s="356" t="s">
        <v>990</v>
      </c>
      <c r="E155" s="356"/>
      <c r="F155" s="356"/>
      <c r="G155" s="356"/>
      <c r="I155" s="48">
        <v>0</v>
      </c>
      <c r="K155" s="48">
        <v>0</v>
      </c>
      <c r="M155" s="279">
        <f t="shared" si="16"/>
        <v>0</v>
      </c>
      <c r="O155" s="279">
        <f t="shared" si="17"/>
        <v>0</v>
      </c>
      <c r="Q155" s="279">
        <f t="shared" si="18"/>
        <v>0</v>
      </c>
      <c r="S155" s="279">
        <f t="shared" si="19"/>
        <v>0</v>
      </c>
      <c r="U155" s="385"/>
      <c r="V155" s="385"/>
      <c r="W155" s="385"/>
      <c r="X155" s="385"/>
    </row>
    <row r="156" spans="2:24" ht="14.4" x14ac:dyDescent="0.3">
      <c r="D156" s="420" t="s">
        <v>90</v>
      </c>
      <c r="E156" s="421"/>
      <c r="F156" s="421"/>
      <c r="G156" s="421"/>
      <c r="I156" s="40"/>
      <c r="K156" s="40">
        <f>SUM(K131:K155)</f>
        <v>0</v>
      </c>
      <c r="M156" s="40"/>
      <c r="O156" s="40"/>
      <c r="Q156" s="294">
        <f>SUM(Q131:Q155)</f>
        <v>0</v>
      </c>
      <c r="S156" s="294">
        <f>SUM(S131:S155)</f>
        <v>0</v>
      </c>
    </row>
    <row r="158" spans="2:24" ht="27.6" x14ac:dyDescent="0.3">
      <c r="Q158" s="44" t="str">
        <f>"FINANCIAL COST ("&amp;INDEX(LU_ACT_3_Meet_Curr,DD_ACT_3_Meet1_Curr)&amp;")"</f>
        <v>FINANCIAL COST (GOZ)</v>
      </c>
      <c r="S158" s="44" t="str">
        <f>"ECONOMIC COST ("&amp;INDEX(LU_ACT_3_Meet_Curr,DD_ACT_3_Meet1_Curr)&amp;")"</f>
        <v>ECONOMIC COST (GOZ)</v>
      </c>
      <c r="U158" s="44" t="str">
        <f>"FINANCIAL COST ("&amp;IF(DD_ACT_3_Meet1_Curr=2,$D$163,$D$164)&amp;")"</f>
        <v>FINANCIAL COST (USD)</v>
      </c>
      <c r="W158" s="44" t="str">
        <f>"ECONOMIC COST ("&amp;IF(DD_ACT_3_Meet1_Curr=2,$D$163,$D$164)&amp;")"</f>
        <v>ECONOMIC COST (USD)</v>
      </c>
    </row>
    <row r="159" spans="2:24" ht="15" thickBot="1" x14ac:dyDescent="0.35">
      <c r="B159" s="228" t="str">
        <f>"Total Estimated Costs - "&amp;B7</f>
        <v>Total Estimated Costs - Sensitisation Activity #1 [not in use]</v>
      </c>
      <c r="Q159" s="46">
        <f>SUM(Q37,Q66,Q97,Q126,Q156)</f>
        <v>0</v>
      </c>
      <c r="S159" s="46">
        <f>SUM(S37,S66,S97,S126,S156)</f>
        <v>0</v>
      </c>
      <c r="U159" s="47">
        <f>IFERROR(IF(DD_ACT_3_Meet1_Curr=2,$Q159/$I$164,$Q159*$I$164), 0)</f>
        <v>0</v>
      </c>
      <c r="W159" s="47">
        <f>IFERROR(IF(DD_ACT_3_Meet1_Curr=2,$S159/$I$164,$S159*$I$164), 0)</f>
        <v>0</v>
      </c>
    </row>
    <row r="160" spans="2:24" ht="14.4" thickTop="1" x14ac:dyDescent="0.3"/>
    <row r="161" spans="3:19" x14ac:dyDescent="0.3">
      <c r="C161" s="91" t="s">
        <v>589</v>
      </c>
    </row>
    <row r="162" spans="3:19" hidden="1" outlineLevel="1" x14ac:dyDescent="0.3"/>
    <row r="163" spans="3:19" ht="12.9" hidden="1" customHeight="1" outlineLevel="1" x14ac:dyDescent="0.3">
      <c r="D163" s="422" t="str">
        <f>CURR_TA!D13</f>
        <v>USD</v>
      </c>
      <c r="E163" s="423"/>
      <c r="F163" s="423"/>
      <c r="G163" s="423"/>
      <c r="I163" s="279">
        <f>CURR_TA!J13</f>
        <v>1</v>
      </c>
      <c r="J163" s="279">
        <f>CURR_TA!K13</f>
        <v>0</v>
      </c>
      <c r="K163" s="279">
        <f>CURR_TA!L13</f>
        <v>0</v>
      </c>
      <c r="L163" s="279">
        <f>CURR_TA!M13</f>
        <v>0</v>
      </c>
    </row>
    <row r="164" spans="3:19" ht="12.9" hidden="1" customHeight="1" outlineLevel="1" x14ac:dyDescent="0.3">
      <c r="D164" s="422" t="str">
        <f>CURR_TA!D14</f>
        <v>GOZ</v>
      </c>
      <c r="E164" s="423"/>
      <c r="F164" s="423"/>
      <c r="G164" s="423"/>
      <c r="I164" s="279">
        <f>CURR_TA!J14</f>
        <v>0</v>
      </c>
      <c r="J164" s="279">
        <f>CURR_TA!K14</f>
        <v>0</v>
      </c>
      <c r="K164" s="279">
        <f>CURR_TA!L14</f>
        <v>0</v>
      </c>
      <c r="L164" s="279">
        <f>CURR_TA!M14</f>
        <v>0</v>
      </c>
    </row>
    <row r="165" spans="3:19" collapsed="1" x14ac:dyDescent="0.3"/>
    <row r="167" spans="3:19" x14ac:dyDescent="0.3">
      <c r="C167" s="91" t="s">
        <v>590</v>
      </c>
    </row>
    <row r="168" spans="3:19" hidden="1" outlineLevel="1" x14ac:dyDescent="0.3">
      <c r="M168" s="40" t="str">
        <f>$D$163</f>
        <v>USD</v>
      </c>
      <c r="O168" s="40" t="str">
        <f>$D$163</f>
        <v>USD</v>
      </c>
      <c r="Q168" s="40" t="str">
        <f>$D$164</f>
        <v>GOZ</v>
      </c>
      <c r="S168" s="40" t="str">
        <f>$D$164</f>
        <v>GOZ</v>
      </c>
    </row>
    <row r="169" spans="3:19" hidden="1" outlineLevel="1" x14ac:dyDescent="0.3">
      <c r="C169" s="89" t="str">
        <f>RES_BA!D14</f>
        <v>Personnel Cadre - Other 1</v>
      </c>
      <c r="M169" s="40">
        <f>RES_BA!R14</f>
        <v>0</v>
      </c>
      <c r="O169" s="40">
        <f>RES_BA!S14</f>
        <v>0</v>
      </c>
      <c r="Q169" s="40">
        <f>RES_BA!T14</f>
        <v>0</v>
      </c>
      <c r="S169" s="40">
        <f>RES_BA!U14</f>
        <v>0</v>
      </c>
    </row>
    <row r="170" spans="3:19" hidden="1" outlineLevel="1" x14ac:dyDescent="0.3">
      <c r="C170" s="89" t="str">
        <f>RES_BA!D15</f>
        <v>Personnel Cadre - Other 2</v>
      </c>
      <c r="M170" s="40">
        <f>RES_BA!R15</f>
        <v>0</v>
      </c>
      <c r="O170" s="40">
        <f>RES_BA!S15</f>
        <v>0</v>
      </c>
      <c r="Q170" s="40">
        <f>RES_BA!T15</f>
        <v>0</v>
      </c>
      <c r="S170" s="40">
        <f>RES_BA!U15</f>
        <v>0</v>
      </c>
    </row>
    <row r="171" spans="3:19" hidden="1" outlineLevel="1" x14ac:dyDescent="0.3">
      <c r="C171" s="89" t="str">
        <f>RES_BA!D16</f>
        <v>Personnel Cadre - Other 3</v>
      </c>
      <c r="M171" s="40">
        <f>RES_BA!R16</f>
        <v>0</v>
      </c>
      <c r="O171" s="40">
        <f>RES_BA!S16</f>
        <v>0</v>
      </c>
      <c r="Q171" s="40">
        <f>RES_BA!T16</f>
        <v>0</v>
      </c>
      <c r="S171" s="40">
        <f>RES_BA!U16</f>
        <v>0</v>
      </c>
    </row>
    <row r="172" spans="3:19" hidden="1" outlineLevel="1" x14ac:dyDescent="0.3">
      <c r="C172" s="89" t="str">
        <f>RES_BA!D17</f>
        <v>Personnel Cadre - Other 4</v>
      </c>
      <c r="M172" s="40">
        <f>RES_BA!R17</f>
        <v>0</v>
      </c>
      <c r="O172" s="40">
        <f>RES_BA!S17</f>
        <v>0</v>
      </c>
      <c r="Q172" s="40">
        <f>RES_BA!T17</f>
        <v>0</v>
      </c>
      <c r="S172" s="40">
        <f>RES_BA!U17</f>
        <v>0</v>
      </c>
    </row>
    <row r="173" spans="3:19" hidden="1" outlineLevel="1" x14ac:dyDescent="0.3">
      <c r="C173" s="89" t="str">
        <f>RES_BA!D18</f>
        <v>Personnel Cadre - Other 5</v>
      </c>
      <c r="M173" s="40">
        <f>RES_BA!R18</f>
        <v>0</v>
      </c>
      <c r="O173" s="40">
        <f>RES_BA!S18</f>
        <v>0</v>
      </c>
      <c r="Q173" s="40">
        <f>RES_BA!T18</f>
        <v>0</v>
      </c>
      <c r="S173" s="40">
        <f>RES_BA!U18</f>
        <v>0</v>
      </c>
    </row>
    <row r="174" spans="3:19" hidden="1" outlineLevel="1" x14ac:dyDescent="0.3">
      <c r="C174" s="89" t="str">
        <f>RES_BA!D19</f>
        <v>Personnel Cadre - Other 6</v>
      </c>
      <c r="M174" s="40">
        <f>RES_BA!R19</f>
        <v>0</v>
      </c>
      <c r="O174" s="40">
        <f>RES_BA!S19</f>
        <v>0</v>
      </c>
      <c r="Q174" s="40">
        <f>RES_BA!T19</f>
        <v>0</v>
      </c>
      <c r="S174" s="40">
        <f>RES_BA!U19</f>
        <v>0</v>
      </c>
    </row>
    <row r="175" spans="3:19" hidden="1" outlineLevel="1" x14ac:dyDescent="0.3">
      <c r="C175" s="89" t="str">
        <f>RES_BA!D20</f>
        <v>Personnel Cadre - Other 7</v>
      </c>
      <c r="M175" s="40">
        <f>RES_BA!R20</f>
        <v>0</v>
      </c>
      <c r="O175" s="40">
        <f>RES_BA!S20</f>
        <v>0</v>
      </c>
      <c r="Q175" s="40">
        <f>RES_BA!T20</f>
        <v>0</v>
      </c>
      <c r="S175" s="40">
        <f>RES_BA!U20</f>
        <v>0</v>
      </c>
    </row>
    <row r="176" spans="3:19" hidden="1" outlineLevel="1" x14ac:dyDescent="0.3">
      <c r="C176" s="89" t="str">
        <f>RES_BA!D21</f>
        <v>Personnel Cadre - Other 8</v>
      </c>
      <c r="M176" s="40">
        <f>RES_BA!R21</f>
        <v>0</v>
      </c>
      <c r="O176" s="40">
        <f>RES_BA!S21</f>
        <v>0</v>
      </c>
      <c r="Q176" s="40">
        <f>RES_BA!T21</f>
        <v>0</v>
      </c>
      <c r="S176" s="40">
        <f>RES_BA!U21</f>
        <v>0</v>
      </c>
    </row>
    <row r="177" spans="3:19" hidden="1" outlineLevel="1" x14ac:dyDescent="0.3">
      <c r="C177" s="89" t="str">
        <f>RES_BA!D22</f>
        <v>Personnel Cadre - Other 9</v>
      </c>
      <c r="M177" s="40">
        <f>RES_BA!R22</f>
        <v>0</v>
      </c>
      <c r="O177" s="40">
        <f>RES_BA!S22</f>
        <v>0</v>
      </c>
      <c r="Q177" s="40">
        <f>RES_BA!T22</f>
        <v>0</v>
      </c>
      <c r="S177" s="40">
        <f>RES_BA!U22</f>
        <v>0</v>
      </c>
    </row>
    <row r="178" spans="3:19" hidden="1" outlineLevel="1" x14ac:dyDescent="0.3">
      <c r="C178" s="89" t="str">
        <f>RES_BA!D23</f>
        <v>Personnel Cadre - Other 10</v>
      </c>
      <c r="M178" s="40">
        <f>RES_BA!R23</f>
        <v>0</v>
      </c>
      <c r="O178" s="40">
        <f>RES_BA!S23</f>
        <v>0</v>
      </c>
      <c r="Q178" s="40">
        <f>RES_BA!T23</f>
        <v>0</v>
      </c>
      <c r="S178" s="40">
        <f>RES_BA!U23</f>
        <v>0</v>
      </c>
    </row>
    <row r="179" spans="3:19" hidden="1" outlineLevel="1" x14ac:dyDescent="0.3">
      <c r="C179" s="89" t="str">
        <f>RES_BA!D24</f>
        <v>Personnel Cadre - Other 11</v>
      </c>
      <c r="M179" s="40">
        <f>RES_BA!R24</f>
        <v>0</v>
      </c>
      <c r="O179" s="40">
        <f>RES_BA!S24</f>
        <v>0</v>
      </c>
      <c r="Q179" s="40">
        <f>RES_BA!T24</f>
        <v>0</v>
      </c>
      <c r="S179" s="40">
        <f>RES_BA!U24</f>
        <v>0</v>
      </c>
    </row>
    <row r="180" spans="3:19" hidden="1" outlineLevel="1" x14ac:dyDescent="0.3">
      <c r="C180" s="89" t="str">
        <f>RES_BA!D25</f>
        <v>Personnel Cadre - Other 12</v>
      </c>
      <c r="M180" s="40">
        <f>RES_BA!R25</f>
        <v>0</v>
      </c>
      <c r="O180" s="40">
        <f>RES_BA!S25</f>
        <v>0</v>
      </c>
      <c r="Q180" s="40">
        <f>RES_BA!T25</f>
        <v>0</v>
      </c>
      <c r="S180" s="40">
        <f>RES_BA!U25</f>
        <v>0</v>
      </c>
    </row>
    <row r="181" spans="3:19" hidden="1" outlineLevel="1" x14ac:dyDescent="0.3">
      <c r="C181" s="89" t="str">
        <f>RES_BA!D26</f>
        <v>Personnel Cadre - Other 13</v>
      </c>
      <c r="M181" s="40">
        <f>RES_BA!R26</f>
        <v>0</v>
      </c>
      <c r="O181" s="40">
        <f>RES_BA!S26</f>
        <v>0</v>
      </c>
      <c r="Q181" s="40">
        <f>RES_BA!T26</f>
        <v>0</v>
      </c>
      <c r="S181" s="40">
        <f>RES_BA!U26</f>
        <v>0</v>
      </c>
    </row>
    <row r="182" spans="3:19" hidden="1" outlineLevel="1" x14ac:dyDescent="0.3">
      <c r="C182" s="89" t="str">
        <f>RES_BA!D27</f>
        <v>Personnel Cadre - Other 14</v>
      </c>
      <c r="M182" s="40">
        <f>RES_BA!R27</f>
        <v>0</v>
      </c>
      <c r="O182" s="40">
        <f>RES_BA!S27</f>
        <v>0</v>
      </c>
      <c r="Q182" s="40">
        <f>RES_BA!T27</f>
        <v>0</v>
      </c>
      <c r="S182" s="40">
        <f>RES_BA!U27</f>
        <v>0</v>
      </c>
    </row>
    <row r="183" spans="3:19" hidden="1" outlineLevel="1" x14ac:dyDescent="0.3">
      <c r="C183" s="89" t="str">
        <f>RES_BA!D28</f>
        <v>Personnel Cadre - Other 15</v>
      </c>
      <c r="M183" s="40">
        <f>RES_BA!R28</f>
        <v>0</v>
      </c>
      <c r="O183" s="40">
        <f>RES_BA!S28</f>
        <v>0</v>
      </c>
      <c r="Q183" s="40">
        <f>RES_BA!T28</f>
        <v>0</v>
      </c>
      <c r="S183" s="40">
        <f>RES_BA!U28</f>
        <v>0</v>
      </c>
    </row>
    <row r="184" spans="3:19" s="277" customFormat="1" hidden="1" outlineLevel="1" collapsed="1" x14ac:dyDescent="0.3">
      <c r="C184" s="283" t="str">
        <f>RES_BA!D29</f>
        <v>Personnel Cadre - Other 16</v>
      </c>
      <c r="M184" s="279">
        <f>RES_BA!R29</f>
        <v>0</v>
      </c>
      <c r="O184" s="279">
        <f>RES_BA!S29</f>
        <v>0</v>
      </c>
      <c r="Q184" s="279">
        <f>RES_BA!T29</f>
        <v>0</v>
      </c>
      <c r="S184" s="279">
        <f>RES_BA!U29</f>
        <v>0</v>
      </c>
    </row>
    <row r="185" spans="3:19" s="277" customFormat="1" hidden="1" outlineLevel="1" collapsed="1" x14ac:dyDescent="0.3">
      <c r="C185" s="283" t="str">
        <f>RES_BA!D30</f>
        <v>Personnel Cadre - Other 17</v>
      </c>
      <c r="M185" s="279">
        <f>RES_BA!R30</f>
        <v>0</v>
      </c>
      <c r="O185" s="279">
        <f>RES_BA!S30</f>
        <v>0</v>
      </c>
      <c r="Q185" s="279">
        <f>RES_BA!T30</f>
        <v>0</v>
      </c>
      <c r="S185" s="279">
        <f>RES_BA!U30</f>
        <v>0</v>
      </c>
    </row>
    <row r="186" spans="3:19" s="277" customFormat="1" hidden="1" outlineLevel="1" collapsed="1" x14ac:dyDescent="0.3">
      <c r="C186" s="283" t="str">
        <f>RES_BA!D31</f>
        <v>Personnel Cadre - Other 18</v>
      </c>
      <c r="M186" s="279">
        <f>RES_BA!R31</f>
        <v>0</v>
      </c>
      <c r="O186" s="279">
        <f>RES_BA!S31</f>
        <v>0</v>
      </c>
      <c r="Q186" s="279">
        <f>RES_BA!T31</f>
        <v>0</v>
      </c>
      <c r="S186" s="279">
        <f>RES_BA!U31</f>
        <v>0</v>
      </c>
    </row>
    <row r="187" spans="3:19" s="277" customFormat="1" hidden="1" outlineLevel="1" x14ac:dyDescent="0.3">
      <c r="C187" s="283" t="str">
        <f>RES_BA!D32</f>
        <v>Personnel Cadre - Other 19</v>
      </c>
      <c r="M187" s="279">
        <f>RES_BA!R32</f>
        <v>0</v>
      </c>
      <c r="O187" s="279">
        <f>RES_BA!S32</f>
        <v>0</v>
      </c>
      <c r="Q187" s="279">
        <f>RES_BA!T32</f>
        <v>0</v>
      </c>
      <c r="S187" s="279">
        <f>RES_BA!U32</f>
        <v>0</v>
      </c>
    </row>
    <row r="188" spans="3:19" s="277" customFormat="1" hidden="1" outlineLevel="1" x14ac:dyDescent="0.3">
      <c r="C188" s="283" t="str">
        <f>RES_BA!D33</f>
        <v>Personnel Cadre - Other 20</v>
      </c>
      <c r="M188" s="279">
        <f>RES_BA!R33</f>
        <v>0</v>
      </c>
      <c r="O188" s="279">
        <f>RES_BA!S33</f>
        <v>0</v>
      </c>
      <c r="Q188" s="279">
        <f>RES_BA!T33</f>
        <v>0</v>
      </c>
      <c r="S188" s="279">
        <f>RES_BA!U33</f>
        <v>0</v>
      </c>
    </row>
    <row r="189" spans="3:19" s="277" customFormat="1" hidden="1" outlineLevel="1" collapsed="1" x14ac:dyDescent="0.3">
      <c r="C189" s="283" t="str">
        <f>RES_BA!D34</f>
        <v>Personnel Cadre - Other 21</v>
      </c>
      <c r="M189" s="279">
        <f>RES_BA!R34</f>
        <v>0</v>
      </c>
      <c r="O189" s="279">
        <f>RES_BA!S34</f>
        <v>0</v>
      </c>
      <c r="Q189" s="279">
        <f>RES_BA!T34</f>
        <v>0</v>
      </c>
      <c r="S189" s="279">
        <f>RES_BA!U34</f>
        <v>0</v>
      </c>
    </row>
    <row r="190" spans="3:19" s="277" customFormat="1" hidden="1" outlineLevel="1" x14ac:dyDescent="0.3">
      <c r="C190" s="283" t="str">
        <f>RES_BA!D35</f>
        <v>Personnel Cadre - Other 22</v>
      </c>
      <c r="M190" s="279">
        <f>RES_BA!R35</f>
        <v>0</v>
      </c>
      <c r="O190" s="279">
        <f>RES_BA!S35</f>
        <v>0</v>
      </c>
      <c r="Q190" s="279">
        <f>RES_BA!T35</f>
        <v>0</v>
      </c>
      <c r="S190" s="279">
        <f>RES_BA!U35</f>
        <v>0</v>
      </c>
    </row>
    <row r="191" spans="3:19" s="277" customFormat="1" hidden="1" outlineLevel="1" x14ac:dyDescent="0.3">
      <c r="C191" s="283" t="str">
        <f>RES_BA!D36</f>
        <v>Personnel Cadre - Other 23</v>
      </c>
      <c r="M191" s="279">
        <f>RES_BA!R36</f>
        <v>0</v>
      </c>
      <c r="O191" s="279">
        <f>RES_BA!S36</f>
        <v>0</v>
      </c>
      <c r="Q191" s="279">
        <f>RES_BA!T36</f>
        <v>0</v>
      </c>
      <c r="S191" s="279">
        <f>RES_BA!U36</f>
        <v>0</v>
      </c>
    </row>
    <row r="192" spans="3:19" s="277" customFormat="1" hidden="1" outlineLevel="1" x14ac:dyDescent="0.3">
      <c r="C192" s="283" t="str">
        <f>RES_BA!D37</f>
        <v>Personnel Cadre - Other 24</v>
      </c>
      <c r="M192" s="279">
        <f>RES_BA!R37</f>
        <v>0</v>
      </c>
      <c r="O192" s="279">
        <f>RES_BA!S37</f>
        <v>0</v>
      </c>
      <c r="Q192" s="279">
        <f>RES_BA!T37</f>
        <v>0</v>
      </c>
      <c r="S192" s="279">
        <f>RES_BA!U37</f>
        <v>0</v>
      </c>
    </row>
    <row r="193" spans="3:19" s="277" customFormat="1" hidden="1" outlineLevel="1" x14ac:dyDescent="0.3">
      <c r="C193" s="283" t="str">
        <f>RES_BA!D38</f>
        <v>Personnel Cadre - Other 25</v>
      </c>
      <c r="M193" s="279">
        <f>RES_BA!R38</f>
        <v>0</v>
      </c>
      <c r="O193" s="279">
        <f>RES_BA!S38</f>
        <v>0</v>
      </c>
      <c r="Q193" s="279">
        <f>RES_BA!T38</f>
        <v>0</v>
      </c>
      <c r="S193" s="279">
        <f>RES_BA!U38</f>
        <v>0</v>
      </c>
    </row>
    <row r="194" spans="3:19" s="277" customFormat="1" hidden="1" outlineLevel="1" x14ac:dyDescent="0.3">
      <c r="C194" s="283" t="str">
        <f>RES_BA!D39</f>
        <v>Personnel Cadre - Other 26</v>
      </c>
      <c r="M194" s="279">
        <f>RES_BA!R39</f>
        <v>0</v>
      </c>
      <c r="O194" s="279">
        <f>RES_BA!S39</f>
        <v>0</v>
      </c>
      <c r="Q194" s="279">
        <f>RES_BA!T39</f>
        <v>0</v>
      </c>
      <c r="S194" s="279">
        <f>RES_BA!U39</f>
        <v>0</v>
      </c>
    </row>
    <row r="195" spans="3:19" s="277" customFormat="1" hidden="1" outlineLevel="1" x14ac:dyDescent="0.3">
      <c r="C195" s="283" t="str">
        <f>RES_BA!D40</f>
        <v>Personnel Cadre - Other 27</v>
      </c>
      <c r="M195" s="279">
        <f>RES_BA!R40</f>
        <v>0</v>
      </c>
      <c r="O195" s="279">
        <f>RES_BA!S40</f>
        <v>0</v>
      </c>
      <c r="Q195" s="279">
        <f>RES_BA!T40</f>
        <v>0</v>
      </c>
      <c r="S195" s="279">
        <f>RES_BA!U40</f>
        <v>0</v>
      </c>
    </row>
    <row r="196" spans="3:19" s="277" customFormat="1" hidden="1" outlineLevel="1" x14ac:dyDescent="0.3">
      <c r="C196" s="283" t="str">
        <f>RES_BA!D41</f>
        <v>Personnel Cadre - Other 28</v>
      </c>
      <c r="M196" s="279">
        <f>RES_BA!R41</f>
        <v>0</v>
      </c>
      <c r="O196" s="279">
        <f>RES_BA!S41</f>
        <v>0</v>
      </c>
      <c r="Q196" s="279">
        <f>RES_BA!T41</f>
        <v>0</v>
      </c>
      <c r="S196" s="279">
        <f>RES_BA!U41</f>
        <v>0</v>
      </c>
    </row>
    <row r="197" spans="3:19" s="277" customFormat="1" hidden="1" outlineLevel="1" x14ac:dyDescent="0.3">
      <c r="C197" s="283" t="str">
        <f>RES_BA!D42</f>
        <v>Personnel Cadre - Other 29</v>
      </c>
      <c r="M197" s="279">
        <f>RES_BA!R42</f>
        <v>0</v>
      </c>
      <c r="O197" s="279">
        <f>RES_BA!S42</f>
        <v>0</v>
      </c>
      <c r="Q197" s="279">
        <f>RES_BA!T42</f>
        <v>0</v>
      </c>
      <c r="S197" s="279">
        <f>RES_BA!U42</f>
        <v>0</v>
      </c>
    </row>
    <row r="198" spans="3:19" s="277" customFormat="1" hidden="1" outlineLevel="1" x14ac:dyDescent="0.3">
      <c r="C198" s="283" t="str">
        <f>RES_BA!D43</f>
        <v>Personnel Cadre - Other 30</v>
      </c>
      <c r="M198" s="279">
        <f>RES_BA!R43</f>
        <v>0</v>
      </c>
      <c r="O198" s="279">
        <f>RES_BA!S43</f>
        <v>0</v>
      </c>
      <c r="Q198" s="279">
        <f>RES_BA!T43</f>
        <v>0</v>
      </c>
      <c r="S198" s="279">
        <f>RES_BA!U43</f>
        <v>0</v>
      </c>
    </row>
    <row r="199" spans="3:19" s="277" customFormat="1" hidden="1" outlineLevel="1" x14ac:dyDescent="0.3">
      <c r="C199" s="283" t="str">
        <f>RES_BA!D44</f>
        <v>Personnel Cadre - Other 31</v>
      </c>
      <c r="M199" s="279">
        <f>RES_BA!R44</f>
        <v>0</v>
      </c>
      <c r="O199" s="279">
        <f>RES_BA!S44</f>
        <v>0</v>
      </c>
      <c r="Q199" s="279">
        <f>RES_BA!T44</f>
        <v>0</v>
      </c>
      <c r="S199" s="279">
        <f>RES_BA!U44</f>
        <v>0</v>
      </c>
    </row>
    <row r="200" spans="3:19" s="277" customFormat="1" hidden="1" outlineLevel="1" x14ac:dyDescent="0.3">
      <c r="C200" s="283" t="str">
        <f>RES_BA!D45</f>
        <v>Personnel Cadre - Other 32</v>
      </c>
      <c r="M200" s="279">
        <f>RES_BA!R45</f>
        <v>0</v>
      </c>
      <c r="O200" s="279">
        <f>RES_BA!S45</f>
        <v>0</v>
      </c>
      <c r="Q200" s="279">
        <f>RES_BA!T45</f>
        <v>0</v>
      </c>
      <c r="S200" s="279">
        <f>RES_BA!U45</f>
        <v>0</v>
      </c>
    </row>
    <row r="201" spans="3:19" s="277" customFormat="1" hidden="1" outlineLevel="1" x14ac:dyDescent="0.3">
      <c r="C201" s="283" t="str">
        <f>RES_BA!D46</f>
        <v>Personnel Cadre - Other 33</v>
      </c>
      <c r="M201" s="279">
        <f>RES_BA!R46</f>
        <v>0</v>
      </c>
      <c r="O201" s="279">
        <f>RES_BA!S46</f>
        <v>0</v>
      </c>
      <c r="Q201" s="279">
        <f>RES_BA!T46</f>
        <v>0</v>
      </c>
      <c r="S201" s="279">
        <f>RES_BA!U46</f>
        <v>0</v>
      </c>
    </row>
    <row r="202" spans="3:19" s="277" customFormat="1" hidden="1" outlineLevel="1" x14ac:dyDescent="0.3">
      <c r="C202" s="283" t="str">
        <f>RES_BA!D47</f>
        <v>Personnel Cadre - Other 34</v>
      </c>
      <c r="M202" s="279">
        <f>RES_BA!R47</f>
        <v>0</v>
      </c>
      <c r="O202" s="279">
        <f>RES_BA!S47</f>
        <v>0</v>
      </c>
      <c r="Q202" s="279">
        <f>RES_BA!T47</f>
        <v>0</v>
      </c>
      <c r="S202" s="279">
        <f>RES_BA!U47</f>
        <v>0</v>
      </c>
    </row>
    <row r="203" spans="3:19" s="277" customFormat="1" hidden="1" outlineLevel="1" x14ac:dyDescent="0.3">
      <c r="C203" s="283" t="str">
        <f>RES_BA!D48</f>
        <v>Personnel Cadre - Other 35</v>
      </c>
      <c r="M203" s="279">
        <f>RES_BA!R48</f>
        <v>0</v>
      </c>
      <c r="O203" s="279">
        <f>RES_BA!S48</f>
        <v>0</v>
      </c>
      <c r="Q203" s="279">
        <f>RES_BA!T48</f>
        <v>0</v>
      </c>
      <c r="S203" s="279">
        <f>RES_BA!U48</f>
        <v>0</v>
      </c>
    </row>
    <row r="204" spans="3:19" hidden="1" outlineLevel="1" x14ac:dyDescent="0.3"/>
    <row r="205" spans="3:19" hidden="1" outlineLevel="1" x14ac:dyDescent="0.3">
      <c r="M205" s="40" t="str">
        <f>$D$163</f>
        <v>USD</v>
      </c>
      <c r="O205" s="40" t="str">
        <f>$D$163</f>
        <v>USD</v>
      </c>
      <c r="Q205" s="40" t="str">
        <f>$D$164</f>
        <v>GOZ</v>
      </c>
      <c r="S205" s="40" t="str">
        <f>$D$164</f>
        <v>GOZ</v>
      </c>
    </row>
    <row r="206" spans="3:19" hidden="1" outlineLevel="1" x14ac:dyDescent="0.3">
      <c r="C206" s="89" t="str">
        <f>RES_BA!D53</f>
        <v>Allowances Category 1</v>
      </c>
      <c r="M206" s="40">
        <f>RES_BA!R53</f>
        <v>0</v>
      </c>
      <c r="O206" s="40">
        <f>RES_BA!S53</f>
        <v>0</v>
      </c>
      <c r="Q206" s="40">
        <f>RES_BA!T53</f>
        <v>0</v>
      </c>
      <c r="S206" s="40">
        <f>RES_BA!U53</f>
        <v>0</v>
      </c>
    </row>
    <row r="207" spans="3:19" hidden="1" outlineLevel="1" x14ac:dyDescent="0.3">
      <c r="C207" s="89" t="str">
        <f>RES_BA!D54</f>
        <v>Allowances Category 2</v>
      </c>
      <c r="M207" s="40">
        <f>RES_BA!R54</f>
        <v>0</v>
      </c>
      <c r="O207" s="40">
        <f>RES_BA!S54</f>
        <v>0</v>
      </c>
      <c r="Q207" s="40">
        <f>RES_BA!T54</f>
        <v>0</v>
      </c>
      <c r="S207" s="40">
        <f>RES_BA!U54</f>
        <v>0</v>
      </c>
    </row>
    <row r="208" spans="3:19" hidden="1" outlineLevel="1" x14ac:dyDescent="0.3">
      <c r="C208" s="89" t="str">
        <f>RES_BA!D55</f>
        <v>Allowances Category 3</v>
      </c>
      <c r="M208" s="40">
        <f>RES_BA!R55</f>
        <v>0</v>
      </c>
      <c r="O208" s="40">
        <f>RES_BA!S55</f>
        <v>0</v>
      </c>
      <c r="Q208" s="40">
        <f>RES_BA!T55</f>
        <v>0</v>
      </c>
      <c r="S208" s="40">
        <f>RES_BA!U55</f>
        <v>0</v>
      </c>
    </row>
    <row r="209" spans="3:19" hidden="1" outlineLevel="1" x14ac:dyDescent="0.3">
      <c r="C209" s="89" t="str">
        <f>RES_BA!D56</f>
        <v>Allowances Category 4</v>
      </c>
      <c r="M209" s="40">
        <f>RES_BA!R56</f>
        <v>0</v>
      </c>
      <c r="O209" s="40">
        <f>RES_BA!S56</f>
        <v>0</v>
      </c>
      <c r="Q209" s="40">
        <f>RES_BA!T56</f>
        <v>0</v>
      </c>
      <c r="S209" s="40">
        <f>RES_BA!U56</f>
        <v>0</v>
      </c>
    </row>
    <row r="210" spans="3:19" hidden="1" outlineLevel="1" x14ac:dyDescent="0.3">
      <c r="C210" s="89" t="str">
        <f>RES_BA!D57</f>
        <v>Allowances Category 5</v>
      </c>
      <c r="M210" s="40">
        <f>RES_BA!R57</f>
        <v>0</v>
      </c>
      <c r="O210" s="40">
        <f>RES_BA!S57</f>
        <v>0</v>
      </c>
      <c r="Q210" s="40">
        <f>RES_BA!T57</f>
        <v>0</v>
      </c>
      <c r="S210" s="40">
        <f>RES_BA!U57</f>
        <v>0</v>
      </c>
    </row>
    <row r="211" spans="3:19" s="277" customFormat="1" hidden="1" outlineLevel="1" collapsed="1" x14ac:dyDescent="0.3">
      <c r="C211" s="283" t="str">
        <f>RES_BA!D58</f>
        <v>Allowances Category 6</v>
      </c>
      <c r="M211" s="279">
        <f>RES_BA!R58</f>
        <v>0</v>
      </c>
      <c r="O211" s="279">
        <f>RES_BA!S58</f>
        <v>0</v>
      </c>
      <c r="Q211" s="279">
        <f>RES_BA!T58</f>
        <v>0</v>
      </c>
      <c r="S211" s="279">
        <f>RES_BA!U58</f>
        <v>0</v>
      </c>
    </row>
    <row r="212" spans="3:19" s="277" customFormat="1" hidden="1" outlineLevel="1" x14ac:dyDescent="0.3">
      <c r="C212" s="283" t="str">
        <f>RES_BA!D59</f>
        <v>Allowances Category 7</v>
      </c>
      <c r="M212" s="279">
        <f>RES_BA!R59</f>
        <v>0</v>
      </c>
      <c r="O212" s="279">
        <f>RES_BA!S59</f>
        <v>0</v>
      </c>
      <c r="Q212" s="279">
        <f>RES_BA!T59</f>
        <v>0</v>
      </c>
      <c r="S212" s="279">
        <f>RES_BA!U59</f>
        <v>0</v>
      </c>
    </row>
    <row r="213" spans="3:19" s="277" customFormat="1" hidden="1" outlineLevel="1" x14ac:dyDescent="0.3">
      <c r="C213" s="283" t="str">
        <f>RES_BA!D60</f>
        <v>Allowances Category 8</v>
      </c>
      <c r="M213" s="279">
        <f>RES_BA!R60</f>
        <v>0</v>
      </c>
      <c r="O213" s="279">
        <f>RES_BA!S60</f>
        <v>0</v>
      </c>
      <c r="Q213" s="279">
        <f>RES_BA!T60</f>
        <v>0</v>
      </c>
      <c r="S213" s="279">
        <f>RES_BA!U60</f>
        <v>0</v>
      </c>
    </row>
    <row r="214" spans="3:19" s="277" customFormat="1" hidden="1" outlineLevel="1" x14ac:dyDescent="0.3">
      <c r="C214" s="283" t="str">
        <f>RES_BA!D61</f>
        <v>Allowances Category 9</v>
      </c>
      <c r="M214" s="279">
        <f>RES_BA!R61</f>
        <v>0</v>
      </c>
      <c r="O214" s="279">
        <f>RES_BA!S61</f>
        <v>0</v>
      </c>
      <c r="Q214" s="279">
        <f>RES_BA!T61</f>
        <v>0</v>
      </c>
      <c r="S214" s="279">
        <f>RES_BA!U61</f>
        <v>0</v>
      </c>
    </row>
    <row r="215" spans="3:19" s="277" customFormat="1" hidden="1" outlineLevel="1" x14ac:dyDescent="0.3">
      <c r="C215" s="283" t="str">
        <f>RES_BA!D62</f>
        <v>Allowances Category 10</v>
      </c>
      <c r="M215" s="279">
        <f>RES_BA!R62</f>
        <v>0</v>
      </c>
      <c r="O215" s="279">
        <f>RES_BA!S62</f>
        <v>0</v>
      </c>
      <c r="Q215" s="279">
        <f>RES_BA!T62</f>
        <v>0</v>
      </c>
      <c r="S215" s="279">
        <f>RES_BA!U62</f>
        <v>0</v>
      </c>
    </row>
    <row r="216" spans="3:19" s="277" customFormat="1" hidden="1" outlineLevel="1" x14ac:dyDescent="0.3">
      <c r="C216" s="283" t="str">
        <f>RES_BA!D63</f>
        <v>Allowances Category 11</v>
      </c>
      <c r="M216" s="279">
        <f>RES_BA!R63</f>
        <v>0</v>
      </c>
      <c r="O216" s="279">
        <f>RES_BA!S63</f>
        <v>0</v>
      </c>
      <c r="Q216" s="279">
        <f>RES_BA!T63</f>
        <v>0</v>
      </c>
      <c r="S216" s="279">
        <f>RES_BA!U63</f>
        <v>0</v>
      </c>
    </row>
    <row r="217" spans="3:19" s="277" customFormat="1" hidden="1" outlineLevel="1" x14ac:dyDescent="0.3">
      <c r="C217" s="283" t="str">
        <f>RES_BA!D64</f>
        <v>Allowances Category 12</v>
      </c>
      <c r="M217" s="279">
        <f>RES_BA!R64</f>
        <v>0</v>
      </c>
      <c r="O217" s="279">
        <f>RES_BA!S64</f>
        <v>0</v>
      </c>
      <c r="Q217" s="279">
        <f>RES_BA!T64</f>
        <v>0</v>
      </c>
      <c r="S217" s="279">
        <f>RES_BA!U64</f>
        <v>0</v>
      </c>
    </row>
    <row r="218" spans="3:19" s="277" customFormat="1" hidden="1" outlineLevel="1" x14ac:dyDescent="0.3">
      <c r="C218" s="283" t="str">
        <f>RES_BA!D65</f>
        <v>Allowances Category 13</v>
      </c>
      <c r="M218" s="279">
        <f>RES_BA!R65</f>
        <v>0</v>
      </c>
      <c r="O218" s="279">
        <f>RES_BA!S65</f>
        <v>0</v>
      </c>
      <c r="Q218" s="279">
        <f>RES_BA!T65</f>
        <v>0</v>
      </c>
      <c r="S218" s="279">
        <f>RES_BA!U65</f>
        <v>0</v>
      </c>
    </row>
    <row r="219" spans="3:19" s="277" customFormat="1" hidden="1" outlineLevel="1" x14ac:dyDescent="0.3">
      <c r="C219" s="283" t="str">
        <f>RES_BA!D66</f>
        <v>Allowances Category 14</v>
      </c>
      <c r="M219" s="279">
        <f>RES_BA!R66</f>
        <v>0</v>
      </c>
      <c r="O219" s="279">
        <f>RES_BA!S66</f>
        <v>0</v>
      </c>
      <c r="Q219" s="279">
        <f>RES_BA!T66</f>
        <v>0</v>
      </c>
      <c r="S219" s="279">
        <f>RES_BA!U66</f>
        <v>0</v>
      </c>
    </row>
    <row r="220" spans="3:19" s="277" customFormat="1" hidden="1" outlineLevel="1" x14ac:dyDescent="0.3">
      <c r="C220" s="283" t="str">
        <f>RES_BA!D67</f>
        <v>Allowances Category 15</v>
      </c>
      <c r="M220" s="279">
        <f>RES_BA!R67</f>
        <v>0</v>
      </c>
      <c r="O220" s="279">
        <f>RES_BA!S67</f>
        <v>0</v>
      </c>
      <c r="Q220" s="279">
        <f>RES_BA!T67</f>
        <v>0</v>
      </c>
      <c r="S220" s="279">
        <f>RES_BA!U67</f>
        <v>0</v>
      </c>
    </row>
    <row r="221" spans="3:19" s="277" customFormat="1" hidden="1" outlineLevel="1" x14ac:dyDescent="0.3">
      <c r="C221" s="283" t="str">
        <f>RES_BA!D68</f>
        <v>Allowances Category 16</v>
      </c>
      <c r="M221" s="279">
        <f>RES_BA!R68</f>
        <v>0</v>
      </c>
      <c r="O221" s="279">
        <f>RES_BA!S68</f>
        <v>0</v>
      </c>
      <c r="Q221" s="279">
        <f>RES_BA!T68</f>
        <v>0</v>
      </c>
      <c r="S221" s="279">
        <f>RES_BA!U68</f>
        <v>0</v>
      </c>
    </row>
    <row r="222" spans="3:19" hidden="1" outlineLevel="1" x14ac:dyDescent="0.3">
      <c r="C222" s="89" t="str">
        <f>RES_BA!D69</f>
        <v>Allowances Category 17</v>
      </c>
      <c r="M222" s="40">
        <f>RES_BA!R69</f>
        <v>0</v>
      </c>
      <c r="O222" s="40">
        <f>RES_BA!S69</f>
        <v>0</v>
      </c>
      <c r="Q222" s="40">
        <f>RES_BA!T69</f>
        <v>0</v>
      </c>
      <c r="S222" s="40">
        <f>RES_BA!U69</f>
        <v>0</v>
      </c>
    </row>
    <row r="223" spans="3:19" hidden="1" outlineLevel="1" x14ac:dyDescent="0.3">
      <c r="C223" s="89" t="str">
        <f>RES_BA!D70</f>
        <v>Allowances Category 18</v>
      </c>
      <c r="M223" s="40">
        <f>RES_BA!R70</f>
        <v>0</v>
      </c>
      <c r="O223" s="40">
        <f>RES_BA!S70</f>
        <v>0</v>
      </c>
      <c r="Q223" s="40">
        <f>RES_BA!T70</f>
        <v>0</v>
      </c>
      <c r="S223" s="40">
        <f>RES_BA!U70</f>
        <v>0</v>
      </c>
    </row>
    <row r="224" spans="3:19" hidden="1" outlineLevel="1" x14ac:dyDescent="0.3">
      <c r="C224" s="89" t="str">
        <f>RES_BA!D71</f>
        <v>Allowances Category 19</v>
      </c>
      <c r="M224" s="40">
        <f>RES_BA!R71</f>
        <v>0</v>
      </c>
      <c r="O224" s="40">
        <f>RES_BA!S71</f>
        <v>0</v>
      </c>
      <c r="Q224" s="40">
        <f>RES_BA!T71</f>
        <v>0</v>
      </c>
      <c r="S224" s="40">
        <f>RES_BA!U71</f>
        <v>0</v>
      </c>
    </row>
    <row r="225" spans="3:19" hidden="1" outlineLevel="1" x14ac:dyDescent="0.3">
      <c r="C225" s="89" t="str">
        <f>RES_BA!D72</f>
        <v>Allowances Category 20</v>
      </c>
      <c r="M225" s="40">
        <f>RES_BA!R72</f>
        <v>0</v>
      </c>
      <c r="O225" s="40">
        <f>RES_BA!S72</f>
        <v>0</v>
      </c>
      <c r="Q225" s="40">
        <f>RES_BA!T72</f>
        <v>0</v>
      </c>
      <c r="S225" s="40">
        <f>RES_BA!U72</f>
        <v>0</v>
      </c>
    </row>
    <row r="226" spans="3:19" hidden="1" outlineLevel="1" x14ac:dyDescent="0.3">
      <c r="C226" s="89" t="str">
        <f>RES_BA!D73</f>
        <v>Allowances Category 21</v>
      </c>
      <c r="M226" s="40">
        <f>RES_BA!R73</f>
        <v>0</v>
      </c>
      <c r="O226" s="40">
        <f>RES_BA!S73</f>
        <v>0</v>
      </c>
      <c r="Q226" s="40">
        <f>RES_BA!T73</f>
        <v>0</v>
      </c>
      <c r="S226" s="40">
        <f>RES_BA!U73</f>
        <v>0</v>
      </c>
    </row>
    <row r="227" spans="3:19" hidden="1" outlineLevel="1" x14ac:dyDescent="0.3">
      <c r="C227" s="89" t="str">
        <f>RES_BA!D74</f>
        <v>Allowances Category 22</v>
      </c>
      <c r="M227" s="40">
        <f>RES_BA!R74</f>
        <v>0</v>
      </c>
      <c r="O227" s="40">
        <f>RES_BA!S74</f>
        <v>0</v>
      </c>
      <c r="Q227" s="40">
        <f>RES_BA!T74</f>
        <v>0</v>
      </c>
      <c r="S227" s="40">
        <f>RES_BA!U74</f>
        <v>0</v>
      </c>
    </row>
    <row r="228" spans="3:19" hidden="1" outlineLevel="1" x14ac:dyDescent="0.3">
      <c r="C228" s="89" t="str">
        <f>RES_BA!D75</f>
        <v>Allowances Category 23</v>
      </c>
      <c r="M228" s="40">
        <f>RES_BA!R75</f>
        <v>0</v>
      </c>
      <c r="O228" s="40">
        <f>RES_BA!S75</f>
        <v>0</v>
      </c>
      <c r="Q228" s="40">
        <f>RES_BA!T75</f>
        <v>0</v>
      </c>
      <c r="S228" s="40">
        <f>RES_BA!U75</f>
        <v>0</v>
      </c>
    </row>
    <row r="229" spans="3:19" s="277" customFormat="1" hidden="1" outlineLevel="1" collapsed="1" x14ac:dyDescent="0.3">
      <c r="C229" s="283" t="str">
        <f>RES_BA!D76</f>
        <v>Allowances Category 24</v>
      </c>
      <c r="M229" s="279">
        <f>RES_BA!R76</f>
        <v>0</v>
      </c>
      <c r="O229" s="279">
        <f>RES_BA!S76</f>
        <v>0</v>
      </c>
      <c r="Q229" s="279">
        <f>RES_BA!T76</f>
        <v>0</v>
      </c>
      <c r="S229" s="279">
        <f>RES_BA!U76</f>
        <v>0</v>
      </c>
    </row>
    <row r="230" spans="3:19" s="277" customFormat="1" hidden="1" outlineLevel="1" x14ac:dyDescent="0.3">
      <c r="C230" s="283" t="str">
        <f>RES_BA!D77</f>
        <v>Allowances Category 25</v>
      </c>
      <c r="M230" s="279">
        <f>RES_BA!R77</f>
        <v>0</v>
      </c>
      <c r="O230" s="279">
        <f>RES_BA!S77</f>
        <v>0</v>
      </c>
      <c r="Q230" s="279">
        <f>RES_BA!T77</f>
        <v>0</v>
      </c>
      <c r="S230" s="279">
        <f>RES_BA!U77</f>
        <v>0</v>
      </c>
    </row>
    <row r="231" spans="3:19" s="277" customFormat="1" hidden="1" outlineLevel="1" x14ac:dyDescent="0.3">
      <c r="C231" s="283" t="str">
        <f>RES_BA!D78</f>
        <v>Allowances Category 26</v>
      </c>
      <c r="M231" s="279">
        <f>RES_BA!R78</f>
        <v>0</v>
      </c>
      <c r="O231" s="279">
        <f>RES_BA!S78</f>
        <v>0</v>
      </c>
      <c r="Q231" s="279">
        <f>RES_BA!T78</f>
        <v>0</v>
      </c>
      <c r="S231" s="279">
        <f>RES_BA!U78</f>
        <v>0</v>
      </c>
    </row>
    <row r="232" spans="3:19" s="277" customFormat="1" hidden="1" outlineLevel="1" x14ac:dyDescent="0.3">
      <c r="C232" s="283" t="str">
        <f>RES_BA!D79</f>
        <v>Allowances Category 27</v>
      </c>
      <c r="M232" s="279">
        <f>RES_BA!R79</f>
        <v>0</v>
      </c>
      <c r="O232" s="279">
        <f>RES_BA!S79</f>
        <v>0</v>
      </c>
      <c r="Q232" s="279">
        <f>RES_BA!T79</f>
        <v>0</v>
      </c>
      <c r="S232" s="279">
        <f>RES_BA!U79</f>
        <v>0</v>
      </c>
    </row>
    <row r="233" spans="3:19" s="277" customFormat="1" hidden="1" outlineLevel="1" x14ac:dyDescent="0.3">
      <c r="C233" s="283" t="str">
        <f>RES_BA!D80</f>
        <v>Allowances Category 28</v>
      </c>
      <c r="M233" s="279">
        <f>RES_BA!R80</f>
        <v>0</v>
      </c>
      <c r="O233" s="279">
        <f>RES_BA!S80</f>
        <v>0</v>
      </c>
      <c r="Q233" s="279">
        <f>RES_BA!T80</f>
        <v>0</v>
      </c>
      <c r="S233" s="279">
        <f>RES_BA!U80</f>
        <v>0</v>
      </c>
    </row>
    <row r="234" spans="3:19" s="277" customFormat="1" hidden="1" outlineLevel="1" x14ac:dyDescent="0.3">
      <c r="C234" s="283" t="str">
        <f>RES_BA!D81</f>
        <v>Allowances Category 29</v>
      </c>
      <c r="M234" s="279">
        <f>RES_BA!R81</f>
        <v>0</v>
      </c>
      <c r="O234" s="279">
        <f>RES_BA!S81</f>
        <v>0</v>
      </c>
      <c r="Q234" s="279">
        <f>RES_BA!T81</f>
        <v>0</v>
      </c>
      <c r="S234" s="279">
        <f>RES_BA!U81</f>
        <v>0</v>
      </c>
    </row>
    <row r="235" spans="3:19" s="277" customFormat="1" hidden="1" outlineLevel="1" x14ac:dyDescent="0.3">
      <c r="C235" s="283" t="str">
        <f>RES_BA!D82</f>
        <v>Allowances Category 30</v>
      </c>
      <c r="M235" s="279">
        <f>RES_BA!R82</f>
        <v>0</v>
      </c>
      <c r="O235" s="279">
        <f>RES_BA!S82</f>
        <v>0</v>
      </c>
      <c r="Q235" s="279">
        <f>RES_BA!T82</f>
        <v>0</v>
      </c>
      <c r="S235" s="279">
        <f>RES_BA!U82</f>
        <v>0</v>
      </c>
    </row>
    <row r="236" spans="3:19" hidden="1" outlineLevel="1" x14ac:dyDescent="0.3">
      <c r="C236" s="89" t="str">
        <f>RES_BA!D83</f>
        <v>Allowances Category 31</v>
      </c>
      <c r="M236" s="40">
        <f>RES_BA!R83</f>
        <v>0</v>
      </c>
      <c r="O236" s="40">
        <f>RES_BA!S83</f>
        <v>0</v>
      </c>
      <c r="Q236" s="40">
        <f>RES_BA!T83</f>
        <v>0</v>
      </c>
      <c r="S236" s="40">
        <f>RES_BA!U83</f>
        <v>0</v>
      </c>
    </row>
    <row r="237" spans="3:19" hidden="1" outlineLevel="1" x14ac:dyDescent="0.3">
      <c r="C237" s="89" t="str">
        <f>RES_BA!D84</f>
        <v>Allowances Category 32</v>
      </c>
      <c r="M237" s="40">
        <f>RES_BA!R84</f>
        <v>0</v>
      </c>
      <c r="O237" s="40">
        <f>RES_BA!S84</f>
        <v>0</v>
      </c>
      <c r="Q237" s="40">
        <f>RES_BA!T84</f>
        <v>0</v>
      </c>
      <c r="S237" s="40">
        <f>RES_BA!U84</f>
        <v>0</v>
      </c>
    </row>
    <row r="238" spans="3:19" hidden="1" outlineLevel="1" x14ac:dyDescent="0.3">
      <c r="C238" s="89" t="str">
        <f>RES_BA!D85</f>
        <v>Allowances Category 33</v>
      </c>
      <c r="M238" s="40">
        <f>RES_BA!R85</f>
        <v>0</v>
      </c>
      <c r="O238" s="40">
        <f>RES_BA!S85</f>
        <v>0</v>
      </c>
      <c r="Q238" s="40">
        <f>RES_BA!T85</f>
        <v>0</v>
      </c>
      <c r="S238" s="40">
        <f>RES_BA!U85</f>
        <v>0</v>
      </c>
    </row>
    <row r="239" spans="3:19" hidden="1" outlineLevel="1" x14ac:dyDescent="0.3">
      <c r="C239" s="89" t="str">
        <f>RES_BA!D86</f>
        <v>Allowances Category 34</v>
      </c>
      <c r="M239" s="40">
        <f>RES_BA!R86</f>
        <v>0</v>
      </c>
      <c r="O239" s="40">
        <f>RES_BA!S86</f>
        <v>0</v>
      </c>
      <c r="Q239" s="40">
        <f>RES_BA!T86</f>
        <v>0</v>
      </c>
      <c r="S239" s="40">
        <f>RES_BA!U86</f>
        <v>0</v>
      </c>
    </row>
    <row r="240" spans="3:19" hidden="1" outlineLevel="1" x14ac:dyDescent="0.3">
      <c r="C240" s="89" t="str">
        <f>RES_BA!D87</f>
        <v>Allowances Category 35</v>
      </c>
      <c r="M240" s="40">
        <f>RES_BA!R87</f>
        <v>0</v>
      </c>
      <c r="O240" s="40">
        <f>RES_BA!S87</f>
        <v>0</v>
      </c>
      <c r="Q240" s="40">
        <f>RES_BA!T87</f>
        <v>0</v>
      </c>
      <c r="S240" s="40">
        <f>RES_BA!U87</f>
        <v>0</v>
      </c>
    </row>
    <row r="241" spans="3:19" hidden="1" outlineLevel="1" x14ac:dyDescent="0.3"/>
    <row r="242" spans="3:19" hidden="1" outlineLevel="1" x14ac:dyDescent="0.3"/>
    <row r="243" spans="3:19" hidden="1" outlineLevel="1" x14ac:dyDescent="0.3">
      <c r="M243" s="40" t="str">
        <f>$D$163</f>
        <v>USD</v>
      </c>
      <c r="O243" s="40" t="str">
        <f>$D$163</f>
        <v>USD</v>
      </c>
      <c r="Q243" s="40" t="str">
        <f>$D$164</f>
        <v>GOZ</v>
      </c>
      <c r="S243" s="40" t="str">
        <f>$D$164</f>
        <v>GOZ</v>
      </c>
    </row>
    <row r="244" spans="3:19" hidden="1" outlineLevel="1" x14ac:dyDescent="0.3">
      <c r="C244" s="89" t="str">
        <f>RES_BA!D91</f>
        <v>Supplies Category 1</v>
      </c>
      <c r="M244" s="40">
        <f>RES_BA!R91</f>
        <v>0</v>
      </c>
      <c r="O244" s="40">
        <f>RES_BA!S91</f>
        <v>0</v>
      </c>
      <c r="Q244" s="40">
        <f>RES_BA!T91</f>
        <v>0</v>
      </c>
      <c r="S244" s="40">
        <f>RES_BA!U91</f>
        <v>0</v>
      </c>
    </row>
    <row r="245" spans="3:19" hidden="1" outlineLevel="1" x14ac:dyDescent="0.3">
      <c r="C245" s="89" t="str">
        <f>RES_BA!D92</f>
        <v>Supplies Category 2</v>
      </c>
      <c r="M245" s="40">
        <f>RES_BA!R92</f>
        <v>0</v>
      </c>
      <c r="O245" s="40">
        <f>RES_BA!S92</f>
        <v>0</v>
      </c>
      <c r="Q245" s="40">
        <f>RES_BA!T92</f>
        <v>0</v>
      </c>
      <c r="S245" s="40">
        <f>RES_BA!U92</f>
        <v>0</v>
      </c>
    </row>
    <row r="246" spans="3:19" hidden="1" outlineLevel="1" x14ac:dyDescent="0.3">
      <c r="C246" s="89" t="str">
        <f>RES_BA!D93</f>
        <v>Supplies Category 3</v>
      </c>
      <c r="M246" s="40">
        <f>RES_BA!R93</f>
        <v>0</v>
      </c>
      <c r="O246" s="40">
        <f>RES_BA!S93</f>
        <v>0</v>
      </c>
      <c r="Q246" s="40">
        <f>RES_BA!T93</f>
        <v>0</v>
      </c>
      <c r="S246" s="40">
        <f>RES_BA!U93</f>
        <v>0</v>
      </c>
    </row>
    <row r="247" spans="3:19" hidden="1" outlineLevel="1" x14ac:dyDescent="0.3">
      <c r="C247" s="89" t="str">
        <f>RES_BA!D94</f>
        <v>Supplies Category 4</v>
      </c>
      <c r="M247" s="40">
        <f>RES_BA!R94</f>
        <v>0</v>
      </c>
      <c r="O247" s="40">
        <f>RES_BA!S94</f>
        <v>0</v>
      </c>
      <c r="Q247" s="40">
        <f>RES_BA!T94</f>
        <v>0</v>
      </c>
      <c r="S247" s="40">
        <f>RES_BA!U94</f>
        <v>0</v>
      </c>
    </row>
    <row r="248" spans="3:19" hidden="1" outlineLevel="1" x14ac:dyDescent="0.3">
      <c r="C248" s="89" t="str">
        <f>RES_BA!D95</f>
        <v>Supplies Category 5</v>
      </c>
      <c r="M248" s="40">
        <f>RES_BA!R95</f>
        <v>0</v>
      </c>
      <c r="O248" s="40">
        <f>RES_BA!S95</f>
        <v>0</v>
      </c>
      <c r="Q248" s="40">
        <f>RES_BA!T95</f>
        <v>0</v>
      </c>
      <c r="S248" s="40">
        <f>RES_BA!U95</f>
        <v>0</v>
      </c>
    </row>
    <row r="249" spans="3:19" hidden="1" outlineLevel="1" x14ac:dyDescent="0.3">
      <c r="C249" s="89" t="str">
        <f>RES_BA!D96</f>
        <v>Supplies Category 6</v>
      </c>
      <c r="M249" s="40">
        <f>RES_BA!R96</f>
        <v>0</v>
      </c>
      <c r="O249" s="40">
        <f>RES_BA!S96</f>
        <v>0</v>
      </c>
      <c r="Q249" s="40">
        <f>RES_BA!T96</f>
        <v>0</v>
      </c>
      <c r="S249" s="40">
        <f>RES_BA!U96</f>
        <v>0</v>
      </c>
    </row>
    <row r="250" spans="3:19" hidden="1" outlineLevel="1" x14ac:dyDescent="0.3">
      <c r="C250" s="89" t="str">
        <f>RES_BA!D97</f>
        <v>Supplies Category 7</v>
      </c>
      <c r="M250" s="40">
        <f>RES_BA!R97</f>
        <v>0</v>
      </c>
      <c r="O250" s="40">
        <f>RES_BA!S97</f>
        <v>0</v>
      </c>
      <c r="Q250" s="40">
        <f>RES_BA!T97</f>
        <v>0</v>
      </c>
      <c r="S250" s="40">
        <f>RES_BA!U97</f>
        <v>0</v>
      </c>
    </row>
    <row r="251" spans="3:19" hidden="1" outlineLevel="1" x14ac:dyDescent="0.3">
      <c r="C251" s="89" t="str">
        <f>RES_BA!D98</f>
        <v>Supplies Category 8</v>
      </c>
      <c r="M251" s="40">
        <f>RES_BA!R98</f>
        <v>0</v>
      </c>
      <c r="O251" s="40">
        <f>RES_BA!S98</f>
        <v>0</v>
      </c>
      <c r="Q251" s="40">
        <f>RES_BA!T98</f>
        <v>0</v>
      </c>
      <c r="S251" s="40">
        <f>RES_BA!U98</f>
        <v>0</v>
      </c>
    </row>
    <row r="252" spans="3:19" hidden="1" outlineLevel="1" x14ac:dyDescent="0.3">
      <c r="C252" s="89" t="str">
        <f>RES_BA!D99</f>
        <v>Supplies Category 9</v>
      </c>
      <c r="M252" s="40">
        <f>RES_BA!R99</f>
        <v>0</v>
      </c>
      <c r="O252" s="40">
        <f>RES_BA!S99</f>
        <v>0</v>
      </c>
      <c r="Q252" s="40">
        <f>RES_BA!T99</f>
        <v>0</v>
      </c>
      <c r="S252" s="40">
        <f>RES_BA!U99</f>
        <v>0</v>
      </c>
    </row>
    <row r="253" spans="3:19" hidden="1" outlineLevel="1" x14ac:dyDescent="0.3">
      <c r="C253" s="89" t="str">
        <f>RES_BA!D100</f>
        <v>Supplies Category 10</v>
      </c>
      <c r="M253" s="40">
        <f>RES_BA!R100</f>
        <v>0</v>
      </c>
      <c r="O253" s="40">
        <f>RES_BA!S100</f>
        <v>0</v>
      </c>
      <c r="Q253" s="40">
        <f>RES_BA!T100</f>
        <v>0</v>
      </c>
      <c r="S253" s="40">
        <f>RES_BA!U100</f>
        <v>0</v>
      </c>
    </row>
    <row r="254" spans="3:19" hidden="1" outlineLevel="1" x14ac:dyDescent="0.3">
      <c r="C254" s="89" t="str">
        <f>RES_BA!D101</f>
        <v>Supplies Category 11</v>
      </c>
      <c r="M254" s="40">
        <f>RES_BA!R101</f>
        <v>0</v>
      </c>
      <c r="O254" s="40">
        <f>RES_BA!S101</f>
        <v>0</v>
      </c>
      <c r="Q254" s="40">
        <f>RES_BA!T101</f>
        <v>0</v>
      </c>
      <c r="S254" s="40">
        <f>RES_BA!U101</f>
        <v>0</v>
      </c>
    </row>
    <row r="255" spans="3:19" hidden="1" outlineLevel="1" x14ac:dyDescent="0.3">
      <c r="C255" s="89" t="str">
        <f>RES_BA!D102</f>
        <v>Supplies Category 12</v>
      </c>
      <c r="M255" s="40">
        <f>RES_BA!R102</f>
        <v>0</v>
      </c>
      <c r="O255" s="40">
        <f>RES_BA!S102</f>
        <v>0</v>
      </c>
      <c r="Q255" s="40">
        <f>RES_BA!T102</f>
        <v>0</v>
      </c>
      <c r="S255" s="40">
        <f>RES_BA!U102</f>
        <v>0</v>
      </c>
    </row>
    <row r="256" spans="3:19" hidden="1" outlineLevel="1" x14ac:dyDescent="0.3">
      <c r="C256" s="89" t="str">
        <f>RES_BA!D103</f>
        <v>Supplies Category 13</v>
      </c>
      <c r="M256" s="40">
        <f>RES_BA!R103</f>
        <v>0</v>
      </c>
      <c r="O256" s="40">
        <f>RES_BA!S103</f>
        <v>0</v>
      </c>
      <c r="Q256" s="40">
        <f>RES_BA!T103</f>
        <v>0</v>
      </c>
      <c r="S256" s="40">
        <f>RES_BA!U103</f>
        <v>0</v>
      </c>
    </row>
    <row r="257" spans="3:19" hidden="1" outlineLevel="1" x14ac:dyDescent="0.3">
      <c r="C257" s="89" t="str">
        <f>RES_BA!D104</f>
        <v>Supplies Category 14</v>
      </c>
      <c r="M257" s="40">
        <f>RES_BA!R104</f>
        <v>0</v>
      </c>
      <c r="O257" s="40">
        <f>RES_BA!S104</f>
        <v>0</v>
      </c>
      <c r="Q257" s="40">
        <f>RES_BA!T104</f>
        <v>0</v>
      </c>
      <c r="S257" s="40">
        <f>RES_BA!U104</f>
        <v>0</v>
      </c>
    </row>
    <row r="258" spans="3:19" hidden="1" outlineLevel="1" x14ac:dyDescent="0.3">
      <c r="C258" s="89" t="str">
        <f>RES_BA!D105</f>
        <v>Supplies Category 15</v>
      </c>
      <c r="M258" s="40">
        <f>RES_BA!R105</f>
        <v>0</v>
      </c>
      <c r="O258" s="40">
        <f>RES_BA!S105</f>
        <v>0</v>
      </c>
      <c r="Q258" s="40">
        <f>RES_BA!T105</f>
        <v>0</v>
      </c>
      <c r="S258" s="40">
        <f>RES_BA!U105</f>
        <v>0</v>
      </c>
    </row>
    <row r="259" spans="3:19" hidden="1" outlineLevel="1" x14ac:dyDescent="0.3">
      <c r="C259" s="89" t="str">
        <f>RES_BA!D106</f>
        <v>Supplies Category 16</v>
      </c>
      <c r="M259" s="40">
        <f>RES_BA!R106</f>
        <v>0</v>
      </c>
      <c r="O259" s="40">
        <f>RES_BA!S106</f>
        <v>0</v>
      </c>
      <c r="Q259" s="40">
        <f>RES_BA!T106</f>
        <v>0</v>
      </c>
      <c r="S259" s="40">
        <f>RES_BA!U106</f>
        <v>0</v>
      </c>
    </row>
    <row r="260" spans="3:19" s="277" customFormat="1" hidden="1" outlineLevel="1" collapsed="1" x14ac:dyDescent="0.3">
      <c r="C260" s="283" t="str">
        <f>RES_BA!D107</f>
        <v>Supplies Category 17</v>
      </c>
      <c r="M260" s="279">
        <f>RES_BA!R107</f>
        <v>0</v>
      </c>
      <c r="O260" s="279">
        <f>RES_BA!S107</f>
        <v>0</v>
      </c>
      <c r="Q260" s="279">
        <f>RES_BA!T107</f>
        <v>0</v>
      </c>
      <c r="S260" s="279">
        <f>RES_BA!U107</f>
        <v>0</v>
      </c>
    </row>
    <row r="261" spans="3:19" s="277" customFormat="1" hidden="1" outlineLevel="1" x14ac:dyDescent="0.3">
      <c r="C261" s="283" t="str">
        <f>RES_BA!D108</f>
        <v>Supplies Category 18</v>
      </c>
      <c r="M261" s="279">
        <f>RES_BA!R108</f>
        <v>0</v>
      </c>
      <c r="O261" s="279">
        <f>RES_BA!S108</f>
        <v>0</v>
      </c>
      <c r="Q261" s="279">
        <f>RES_BA!T108</f>
        <v>0</v>
      </c>
      <c r="S261" s="279">
        <f>RES_BA!U108</f>
        <v>0</v>
      </c>
    </row>
    <row r="262" spans="3:19" s="277" customFormat="1" hidden="1" outlineLevel="1" x14ac:dyDescent="0.3">
      <c r="C262" s="283" t="str">
        <f>RES_BA!D109</f>
        <v>Supplies Category 19</v>
      </c>
      <c r="M262" s="279">
        <f>RES_BA!R109</f>
        <v>0</v>
      </c>
      <c r="O262" s="279">
        <f>RES_BA!S109</f>
        <v>0</v>
      </c>
      <c r="Q262" s="279">
        <f>RES_BA!T109</f>
        <v>0</v>
      </c>
      <c r="S262" s="279">
        <f>RES_BA!U109</f>
        <v>0</v>
      </c>
    </row>
    <row r="263" spans="3:19" s="277" customFormat="1" hidden="1" outlineLevel="1" x14ac:dyDescent="0.3">
      <c r="C263" s="283" t="str">
        <f>RES_BA!D110</f>
        <v>Supplies Category 20</v>
      </c>
      <c r="M263" s="279">
        <f>RES_BA!R110</f>
        <v>0</v>
      </c>
      <c r="O263" s="279">
        <f>RES_BA!S110</f>
        <v>0</v>
      </c>
      <c r="Q263" s="279">
        <f>RES_BA!T110</f>
        <v>0</v>
      </c>
      <c r="S263" s="279">
        <f>RES_BA!U110</f>
        <v>0</v>
      </c>
    </row>
    <row r="264" spans="3:19" s="277" customFormat="1" hidden="1" outlineLevel="1" x14ac:dyDescent="0.3">
      <c r="C264" s="283" t="str">
        <f>RES_BA!D111</f>
        <v>Supplies Category 21</v>
      </c>
      <c r="M264" s="279">
        <f>RES_BA!R111</f>
        <v>0</v>
      </c>
      <c r="O264" s="279">
        <f>RES_BA!S111</f>
        <v>0</v>
      </c>
      <c r="Q264" s="279">
        <f>RES_BA!T111</f>
        <v>0</v>
      </c>
      <c r="S264" s="279">
        <f>RES_BA!U111</f>
        <v>0</v>
      </c>
    </row>
    <row r="265" spans="3:19" s="277" customFormat="1" hidden="1" outlineLevel="1" x14ac:dyDescent="0.3">
      <c r="C265" s="283" t="str">
        <f>RES_BA!D112</f>
        <v>Supplies Category 22</v>
      </c>
      <c r="M265" s="279">
        <f>RES_BA!R112</f>
        <v>0</v>
      </c>
      <c r="O265" s="279">
        <f>RES_BA!S112</f>
        <v>0</v>
      </c>
      <c r="Q265" s="279">
        <f>RES_BA!T112</f>
        <v>0</v>
      </c>
      <c r="S265" s="279">
        <f>RES_BA!U112</f>
        <v>0</v>
      </c>
    </row>
    <row r="266" spans="3:19" s="277" customFormat="1" hidden="1" outlineLevel="1" x14ac:dyDescent="0.3">
      <c r="C266" s="283" t="str">
        <f>RES_BA!D113</f>
        <v>Supplies Category 23</v>
      </c>
      <c r="M266" s="279">
        <f>RES_BA!R113</f>
        <v>0</v>
      </c>
      <c r="O266" s="279">
        <f>RES_BA!S113</f>
        <v>0</v>
      </c>
      <c r="Q266" s="279">
        <f>RES_BA!T113</f>
        <v>0</v>
      </c>
      <c r="S266" s="279">
        <f>RES_BA!U113</f>
        <v>0</v>
      </c>
    </row>
    <row r="267" spans="3:19" s="277" customFormat="1" hidden="1" outlineLevel="1" x14ac:dyDescent="0.3">
      <c r="C267" s="283" t="str">
        <f>RES_BA!D114</f>
        <v>Supplies Category 24</v>
      </c>
      <c r="M267" s="279">
        <f>RES_BA!R114</f>
        <v>0</v>
      </c>
      <c r="O267" s="279">
        <f>RES_BA!S114</f>
        <v>0</v>
      </c>
      <c r="Q267" s="279">
        <f>RES_BA!T114</f>
        <v>0</v>
      </c>
      <c r="S267" s="279">
        <f>RES_BA!U114</f>
        <v>0</v>
      </c>
    </row>
    <row r="268" spans="3:19" s="277" customFormat="1" hidden="1" outlineLevel="1" x14ac:dyDescent="0.3">
      <c r="C268" s="283" t="str">
        <f>RES_BA!D115</f>
        <v>Supplies Category 25</v>
      </c>
      <c r="M268" s="279">
        <f>RES_BA!R115</f>
        <v>0</v>
      </c>
      <c r="O268" s="279">
        <f>RES_BA!S115</f>
        <v>0</v>
      </c>
      <c r="Q268" s="279">
        <f>RES_BA!T115</f>
        <v>0</v>
      </c>
      <c r="S268" s="279">
        <f>RES_BA!U115</f>
        <v>0</v>
      </c>
    </row>
    <row r="269" spans="3:19" s="277" customFormat="1" hidden="1" outlineLevel="1" x14ac:dyDescent="0.3">
      <c r="C269" s="283" t="str">
        <f>RES_BA!D116</f>
        <v>Supplies Category 26</v>
      </c>
      <c r="M269" s="279">
        <f>RES_BA!R116</f>
        <v>0</v>
      </c>
      <c r="O269" s="279">
        <f>RES_BA!S116</f>
        <v>0</v>
      </c>
      <c r="Q269" s="279">
        <f>RES_BA!T116</f>
        <v>0</v>
      </c>
      <c r="S269" s="279">
        <f>RES_BA!U116</f>
        <v>0</v>
      </c>
    </row>
    <row r="270" spans="3:19" s="277" customFormat="1" hidden="1" outlineLevel="1" x14ac:dyDescent="0.3">
      <c r="C270" s="283" t="str">
        <f>RES_BA!D117</f>
        <v>Supplies Category 27</v>
      </c>
      <c r="M270" s="279">
        <f>RES_BA!R117</f>
        <v>0</v>
      </c>
      <c r="O270" s="279">
        <f>RES_BA!S117</f>
        <v>0</v>
      </c>
      <c r="Q270" s="279">
        <f>RES_BA!T117</f>
        <v>0</v>
      </c>
      <c r="S270" s="279">
        <f>RES_BA!U117</f>
        <v>0</v>
      </c>
    </row>
    <row r="271" spans="3:19" s="277" customFormat="1" hidden="1" outlineLevel="1" x14ac:dyDescent="0.3">
      <c r="C271" s="283" t="str">
        <f>RES_BA!D118</f>
        <v>Supplies Category 28</v>
      </c>
      <c r="M271" s="279">
        <f>RES_BA!R118</f>
        <v>0</v>
      </c>
      <c r="O271" s="279">
        <f>RES_BA!S118</f>
        <v>0</v>
      </c>
      <c r="Q271" s="279">
        <f>RES_BA!T118</f>
        <v>0</v>
      </c>
      <c r="S271" s="279">
        <f>RES_BA!U118</f>
        <v>0</v>
      </c>
    </row>
    <row r="272" spans="3:19" s="277" customFormat="1" hidden="1" outlineLevel="1" x14ac:dyDescent="0.3">
      <c r="C272" s="283" t="str">
        <f>RES_BA!D119</f>
        <v>Supplies Category 29</v>
      </c>
      <c r="M272" s="279">
        <f>RES_BA!R119</f>
        <v>0</v>
      </c>
      <c r="O272" s="279">
        <f>RES_BA!S119</f>
        <v>0</v>
      </c>
      <c r="Q272" s="279">
        <f>RES_BA!T119</f>
        <v>0</v>
      </c>
      <c r="S272" s="279">
        <f>RES_BA!U119</f>
        <v>0</v>
      </c>
    </row>
    <row r="273" spans="3:19" s="277" customFormat="1" hidden="1" outlineLevel="1" collapsed="1" x14ac:dyDescent="0.3">
      <c r="C273" s="283" t="str">
        <f>RES_BA!D120</f>
        <v>Supplies Category 30</v>
      </c>
      <c r="M273" s="279">
        <f>RES_BA!R120</f>
        <v>0</v>
      </c>
      <c r="O273" s="279">
        <f>RES_BA!S120</f>
        <v>0</v>
      </c>
      <c r="Q273" s="279">
        <f>RES_BA!T120</f>
        <v>0</v>
      </c>
      <c r="S273" s="279">
        <f>RES_BA!U120</f>
        <v>0</v>
      </c>
    </row>
    <row r="274" spans="3:19" s="277" customFormat="1" hidden="1" outlineLevel="1" x14ac:dyDescent="0.3">
      <c r="C274" s="283" t="str">
        <f>RES_BA!D121</f>
        <v>Supplies Category 31</v>
      </c>
      <c r="M274" s="279">
        <f>RES_BA!R121</f>
        <v>0</v>
      </c>
      <c r="O274" s="279">
        <f>RES_BA!S121</f>
        <v>0</v>
      </c>
      <c r="Q274" s="279">
        <f>RES_BA!T121</f>
        <v>0</v>
      </c>
      <c r="S274" s="279">
        <f>RES_BA!U121</f>
        <v>0</v>
      </c>
    </row>
    <row r="275" spans="3:19" s="277" customFormat="1" hidden="1" outlineLevel="1" x14ac:dyDescent="0.3">
      <c r="C275" s="283" t="str">
        <f>RES_BA!D122</f>
        <v>Supplies Category 32</v>
      </c>
      <c r="M275" s="279">
        <f>RES_BA!R122</f>
        <v>0</v>
      </c>
      <c r="O275" s="279">
        <f>RES_BA!S122</f>
        <v>0</v>
      </c>
      <c r="Q275" s="279">
        <f>RES_BA!T122</f>
        <v>0</v>
      </c>
      <c r="S275" s="279">
        <f>RES_BA!U122</f>
        <v>0</v>
      </c>
    </row>
    <row r="276" spans="3:19" s="277" customFormat="1" hidden="1" outlineLevel="1" x14ac:dyDescent="0.3">
      <c r="C276" s="283" t="str">
        <f>RES_BA!D123</f>
        <v>Supplies Category 33</v>
      </c>
      <c r="M276" s="279">
        <f>RES_BA!R123</f>
        <v>0</v>
      </c>
      <c r="O276" s="279">
        <f>RES_BA!S123</f>
        <v>0</v>
      </c>
      <c r="Q276" s="279">
        <f>RES_BA!T123</f>
        <v>0</v>
      </c>
      <c r="S276" s="279">
        <f>RES_BA!U123</f>
        <v>0</v>
      </c>
    </row>
    <row r="277" spans="3:19" s="277" customFormat="1" hidden="1" outlineLevel="1" x14ac:dyDescent="0.3">
      <c r="C277" s="283" t="str">
        <f>RES_BA!D124</f>
        <v>Supplies Category 34</v>
      </c>
      <c r="M277" s="279">
        <f>RES_BA!R124</f>
        <v>0</v>
      </c>
      <c r="O277" s="279">
        <f>RES_BA!S124</f>
        <v>0</v>
      </c>
      <c r="Q277" s="279">
        <f>RES_BA!T124</f>
        <v>0</v>
      </c>
      <c r="S277" s="279">
        <f>RES_BA!U124</f>
        <v>0</v>
      </c>
    </row>
    <row r="278" spans="3:19" s="277" customFormat="1" hidden="1" outlineLevel="1" x14ac:dyDescent="0.3">
      <c r="C278" s="283" t="str">
        <f>RES_BA!D125</f>
        <v>Supplies Category 35</v>
      </c>
      <c r="M278" s="279">
        <f>RES_BA!R125</f>
        <v>0</v>
      </c>
      <c r="O278" s="279">
        <f>RES_BA!S125</f>
        <v>0</v>
      </c>
      <c r="Q278" s="279">
        <f>RES_BA!T125</f>
        <v>0</v>
      </c>
      <c r="S278" s="279">
        <f>RES_BA!U125</f>
        <v>0</v>
      </c>
    </row>
    <row r="279" spans="3:19" hidden="1" outlineLevel="1" x14ac:dyDescent="0.3"/>
    <row r="280" spans="3:19" hidden="1" outlineLevel="1" x14ac:dyDescent="0.3">
      <c r="M280" s="40" t="str">
        <f>$D$163</f>
        <v>USD</v>
      </c>
      <c r="O280" s="40" t="str">
        <f>$D$163</f>
        <v>USD</v>
      </c>
      <c r="Q280" s="40" t="str">
        <f>$D$164</f>
        <v>GOZ</v>
      </c>
      <c r="S280" s="40" t="str">
        <f>$D$164</f>
        <v>GOZ</v>
      </c>
    </row>
    <row r="281" spans="3:19" hidden="1" outlineLevel="1" x14ac:dyDescent="0.3">
      <c r="C281" s="89" t="str">
        <f>RES_BA!D130</f>
        <v>Equipment Category 1</v>
      </c>
      <c r="M281" s="40">
        <f>RES_BA!R130</f>
        <v>0</v>
      </c>
      <c r="O281" s="40">
        <f>RES_BA!S130</f>
        <v>0</v>
      </c>
      <c r="Q281" s="40">
        <f>RES_BA!T130</f>
        <v>0</v>
      </c>
      <c r="S281" s="40">
        <f>RES_BA!U130</f>
        <v>0</v>
      </c>
    </row>
    <row r="282" spans="3:19" hidden="1" outlineLevel="1" x14ac:dyDescent="0.3">
      <c r="C282" s="89" t="str">
        <f>RES_BA!D131</f>
        <v>Equipment Category 2</v>
      </c>
      <c r="M282" s="40">
        <f>RES_BA!R131</f>
        <v>0</v>
      </c>
      <c r="O282" s="40">
        <f>RES_BA!S131</f>
        <v>0</v>
      </c>
      <c r="Q282" s="40">
        <f>RES_BA!T131</f>
        <v>0</v>
      </c>
      <c r="S282" s="40">
        <f>RES_BA!U131</f>
        <v>0</v>
      </c>
    </row>
    <row r="283" spans="3:19" hidden="1" outlineLevel="1" x14ac:dyDescent="0.3">
      <c r="C283" s="89" t="str">
        <f>RES_BA!D132</f>
        <v>Equipment Category 3</v>
      </c>
      <c r="M283" s="40">
        <f>RES_BA!R132</f>
        <v>0</v>
      </c>
      <c r="O283" s="40">
        <f>RES_BA!S132</f>
        <v>0</v>
      </c>
      <c r="Q283" s="40">
        <f>RES_BA!T132</f>
        <v>0</v>
      </c>
      <c r="S283" s="40">
        <f>RES_BA!U132</f>
        <v>0</v>
      </c>
    </row>
    <row r="284" spans="3:19" hidden="1" outlineLevel="1" x14ac:dyDescent="0.3">
      <c r="C284" s="89" t="str">
        <f>RES_BA!D133</f>
        <v>Equipment Category 4</v>
      </c>
      <c r="M284" s="40">
        <f>RES_BA!R133</f>
        <v>0</v>
      </c>
      <c r="O284" s="40">
        <f>RES_BA!S133</f>
        <v>0</v>
      </c>
      <c r="Q284" s="40">
        <f>RES_BA!T133</f>
        <v>0</v>
      </c>
      <c r="S284" s="40">
        <f>RES_BA!U133</f>
        <v>0</v>
      </c>
    </row>
    <row r="285" spans="3:19" hidden="1" outlineLevel="1" x14ac:dyDescent="0.3">
      <c r="C285" s="89" t="str">
        <f>RES_BA!D134</f>
        <v>Equipment Category 5</v>
      </c>
      <c r="M285" s="40">
        <f>RES_BA!R134</f>
        <v>0</v>
      </c>
      <c r="O285" s="40">
        <f>RES_BA!S134</f>
        <v>0</v>
      </c>
      <c r="Q285" s="40">
        <f>RES_BA!T134</f>
        <v>0</v>
      </c>
      <c r="S285" s="40">
        <f>RES_BA!U134</f>
        <v>0</v>
      </c>
    </row>
    <row r="286" spans="3:19" hidden="1" outlineLevel="1" x14ac:dyDescent="0.3">
      <c r="C286" s="89" t="str">
        <f>RES_BA!D135</f>
        <v>Equipment Category 6</v>
      </c>
      <c r="M286" s="40">
        <f>RES_BA!R135</f>
        <v>0</v>
      </c>
      <c r="O286" s="40">
        <f>RES_BA!S135</f>
        <v>0</v>
      </c>
      <c r="Q286" s="40">
        <f>RES_BA!T135</f>
        <v>0</v>
      </c>
      <c r="S286" s="40">
        <f>RES_BA!U135</f>
        <v>0</v>
      </c>
    </row>
    <row r="287" spans="3:19" s="277" customFormat="1" hidden="1" outlineLevel="1" collapsed="1" x14ac:dyDescent="0.3">
      <c r="C287" s="283" t="str">
        <f>RES_BA!D136</f>
        <v>Equipment Category 7</v>
      </c>
      <c r="M287" s="279">
        <f>RES_BA!R136</f>
        <v>0</v>
      </c>
      <c r="O287" s="279">
        <f>RES_BA!S136</f>
        <v>0</v>
      </c>
      <c r="Q287" s="279">
        <f>RES_BA!T136</f>
        <v>0</v>
      </c>
      <c r="S287" s="279">
        <f>RES_BA!U136</f>
        <v>0</v>
      </c>
    </row>
    <row r="288" spans="3:19" s="277" customFormat="1" hidden="1" outlineLevel="1" x14ac:dyDescent="0.3">
      <c r="C288" s="283" t="str">
        <f>RES_BA!D137</f>
        <v>Equipment Category 8</v>
      </c>
      <c r="M288" s="279">
        <f>RES_BA!R137</f>
        <v>0</v>
      </c>
      <c r="O288" s="279">
        <f>RES_BA!S137</f>
        <v>0</v>
      </c>
      <c r="Q288" s="279">
        <f>RES_BA!T137</f>
        <v>0</v>
      </c>
      <c r="S288" s="279">
        <f>RES_BA!U137</f>
        <v>0</v>
      </c>
    </row>
    <row r="289" spans="3:19" s="277" customFormat="1" hidden="1" outlineLevel="1" x14ac:dyDescent="0.3">
      <c r="C289" s="283" t="str">
        <f>RES_BA!D138</f>
        <v>Equipment Category 9</v>
      </c>
      <c r="M289" s="279">
        <f>RES_BA!R138</f>
        <v>0</v>
      </c>
      <c r="O289" s="279">
        <f>RES_BA!S138</f>
        <v>0</v>
      </c>
      <c r="Q289" s="279">
        <f>RES_BA!T138</f>
        <v>0</v>
      </c>
      <c r="S289" s="279">
        <f>RES_BA!U138</f>
        <v>0</v>
      </c>
    </row>
    <row r="290" spans="3:19" s="277" customFormat="1" hidden="1" outlineLevel="1" x14ac:dyDescent="0.3">
      <c r="C290" s="283" t="str">
        <f>RES_BA!D139</f>
        <v>Equipment Category 10</v>
      </c>
      <c r="M290" s="279">
        <f>RES_BA!R139</f>
        <v>0</v>
      </c>
      <c r="O290" s="279">
        <f>RES_BA!S139</f>
        <v>0</v>
      </c>
      <c r="Q290" s="279">
        <f>RES_BA!T139</f>
        <v>0</v>
      </c>
      <c r="S290" s="279">
        <f>RES_BA!U139</f>
        <v>0</v>
      </c>
    </row>
    <row r="291" spans="3:19" s="277" customFormat="1" hidden="1" outlineLevel="1" x14ac:dyDescent="0.3">
      <c r="C291" s="283" t="str">
        <f>RES_BA!D140</f>
        <v>Equipment Category 11</v>
      </c>
      <c r="M291" s="279">
        <f>RES_BA!R140</f>
        <v>0</v>
      </c>
      <c r="O291" s="279">
        <f>RES_BA!S140</f>
        <v>0</v>
      </c>
      <c r="Q291" s="279">
        <f>RES_BA!T140</f>
        <v>0</v>
      </c>
      <c r="S291" s="279">
        <f>RES_BA!U140</f>
        <v>0</v>
      </c>
    </row>
    <row r="292" spans="3:19" s="277" customFormat="1" hidden="1" outlineLevel="1" x14ac:dyDescent="0.3">
      <c r="C292" s="283" t="str">
        <f>RES_BA!D141</f>
        <v>Equipment Category 12</v>
      </c>
      <c r="M292" s="279">
        <f>RES_BA!R141</f>
        <v>0</v>
      </c>
      <c r="O292" s="279">
        <f>RES_BA!S141</f>
        <v>0</v>
      </c>
      <c r="Q292" s="279">
        <f>RES_BA!T141</f>
        <v>0</v>
      </c>
      <c r="S292" s="279">
        <f>RES_BA!U141</f>
        <v>0</v>
      </c>
    </row>
    <row r="293" spans="3:19" s="277" customFormat="1" hidden="1" outlineLevel="1" collapsed="1" x14ac:dyDescent="0.3">
      <c r="C293" s="283" t="str">
        <f>RES_BA!D142</f>
        <v>Equipment Category 13</v>
      </c>
      <c r="M293" s="279">
        <f>RES_BA!R142</f>
        <v>0</v>
      </c>
      <c r="O293" s="279">
        <f>RES_BA!S142</f>
        <v>0</v>
      </c>
      <c r="Q293" s="279">
        <f>RES_BA!T142</f>
        <v>0</v>
      </c>
      <c r="S293" s="279">
        <f>RES_BA!U142</f>
        <v>0</v>
      </c>
    </row>
    <row r="294" spans="3:19" s="277" customFormat="1" hidden="1" outlineLevel="1" x14ac:dyDescent="0.3">
      <c r="C294" s="283" t="str">
        <f>RES_BA!D143</f>
        <v>Equipment Category 14</v>
      </c>
      <c r="M294" s="279">
        <f>RES_BA!R143</f>
        <v>0</v>
      </c>
      <c r="O294" s="279">
        <f>RES_BA!S143</f>
        <v>0</v>
      </c>
      <c r="Q294" s="279">
        <f>RES_BA!T143</f>
        <v>0</v>
      </c>
      <c r="S294" s="279">
        <f>RES_BA!U143</f>
        <v>0</v>
      </c>
    </row>
    <row r="295" spans="3:19" s="277" customFormat="1" hidden="1" outlineLevel="1" x14ac:dyDescent="0.3">
      <c r="C295" s="283" t="str">
        <f>RES_BA!D144</f>
        <v>Equipment Category 15</v>
      </c>
      <c r="M295" s="279">
        <f>RES_BA!R144</f>
        <v>0</v>
      </c>
      <c r="O295" s="279">
        <f>RES_BA!S144</f>
        <v>0</v>
      </c>
      <c r="Q295" s="279">
        <f>RES_BA!T144</f>
        <v>0</v>
      </c>
      <c r="S295" s="279">
        <f>RES_BA!U144</f>
        <v>0</v>
      </c>
    </row>
    <row r="296" spans="3:19" s="277" customFormat="1" hidden="1" outlineLevel="1" x14ac:dyDescent="0.3">
      <c r="C296" s="283" t="str">
        <f>RES_BA!D145</f>
        <v>Equipment Category 16</v>
      </c>
      <c r="M296" s="279">
        <f>RES_BA!R145</f>
        <v>0</v>
      </c>
      <c r="O296" s="279">
        <f>RES_BA!S145</f>
        <v>0</v>
      </c>
      <c r="Q296" s="279">
        <f>RES_BA!T145</f>
        <v>0</v>
      </c>
      <c r="S296" s="279">
        <f>RES_BA!U145</f>
        <v>0</v>
      </c>
    </row>
    <row r="297" spans="3:19" s="277" customFormat="1" hidden="1" outlineLevel="1" x14ac:dyDescent="0.3">
      <c r="C297" s="283" t="str">
        <f>RES_BA!D146</f>
        <v>Equipment Category 17</v>
      </c>
      <c r="M297" s="279">
        <f>RES_BA!R146</f>
        <v>0</v>
      </c>
      <c r="O297" s="279">
        <f>RES_BA!S146</f>
        <v>0</v>
      </c>
      <c r="Q297" s="279">
        <f>RES_BA!T146</f>
        <v>0</v>
      </c>
      <c r="S297" s="279">
        <f>RES_BA!U146</f>
        <v>0</v>
      </c>
    </row>
    <row r="298" spans="3:19" s="277" customFormat="1" hidden="1" outlineLevel="1" x14ac:dyDescent="0.3">
      <c r="C298" s="283" t="str">
        <f>RES_BA!D147</f>
        <v>Equipment Category 18</v>
      </c>
      <c r="M298" s="279">
        <f>RES_BA!R147</f>
        <v>0</v>
      </c>
      <c r="O298" s="279">
        <f>RES_BA!S147</f>
        <v>0</v>
      </c>
      <c r="Q298" s="279">
        <f>RES_BA!T147</f>
        <v>0</v>
      </c>
      <c r="S298" s="279">
        <f>RES_BA!U147</f>
        <v>0</v>
      </c>
    </row>
    <row r="299" spans="3:19" s="277" customFormat="1" hidden="1" outlineLevel="1" x14ac:dyDescent="0.3">
      <c r="C299" s="283" t="str">
        <f>RES_BA!D148</f>
        <v>Equipment Category 19</v>
      </c>
      <c r="M299" s="279">
        <f>RES_BA!R148</f>
        <v>0</v>
      </c>
      <c r="O299" s="279">
        <f>RES_BA!S148</f>
        <v>0</v>
      </c>
      <c r="Q299" s="279">
        <f>RES_BA!T148</f>
        <v>0</v>
      </c>
      <c r="S299" s="279">
        <f>RES_BA!U148</f>
        <v>0</v>
      </c>
    </row>
    <row r="300" spans="3:19" s="277" customFormat="1" hidden="1" outlineLevel="1" x14ac:dyDescent="0.3">
      <c r="C300" s="283" t="str">
        <f>RES_BA!D149</f>
        <v>Equipment Category 20</v>
      </c>
      <c r="M300" s="279">
        <f>RES_BA!R149</f>
        <v>0</v>
      </c>
      <c r="O300" s="279">
        <f>RES_BA!S149</f>
        <v>0</v>
      </c>
      <c r="Q300" s="279">
        <f>RES_BA!T149</f>
        <v>0</v>
      </c>
      <c r="S300" s="279">
        <f>RES_BA!U149</f>
        <v>0</v>
      </c>
    </row>
    <row r="301" spans="3:19" s="277" customFormat="1" hidden="1" outlineLevel="1" x14ac:dyDescent="0.3">
      <c r="C301" s="283" t="str">
        <f>RES_BA!D150</f>
        <v>Equipment Category 21</v>
      </c>
      <c r="M301" s="279">
        <f>RES_BA!R150</f>
        <v>0</v>
      </c>
      <c r="O301" s="279">
        <f>RES_BA!S150</f>
        <v>0</v>
      </c>
      <c r="Q301" s="279">
        <f>RES_BA!T150</f>
        <v>0</v>
      </c>
      <c r="S301" s="279">
        <f>RES_BA!U150</f>
        <v>0</v>
      </c>
    </row>
    <row r="302" spans="3:19" s="277" customFormat="1" hidden="1" outlineLevel="1" x14ac:dyDescent="0.3">
      <c r="C302" s="283" t="str">
        <f>RES_BA!D151</f>
        <v>Equipment Category 22</v>
      </c>
      <c r="M302" s="279">
        <f>RES_BA!R151</f>
        <v>0</v>
      </c>
      <c r="O302" s="279">
        <f>RES_BA!S151</f>
        <v>0</v>
      </c>
      <c r="Q302" s="279">
        <f>RES_BA!T151</f>
        <v>0</v>
      </c>
      <c r="S302" s="279">
        <f>RES_BA!U151</f>
        <v>0</v>
      </c>
    </row>
    <row r="303" spans="3:19" s="277" customFormat="1" hidden="1" outlineLevel="1" x14ac:dyDescent="0.3">
      <c r="C303" s="283" t="str">
        <f>RES_BA!D152</f>
        <v>Equipment Category 23</v>
      </c>
      <c r="M303" s="279">
        <f>RES_BA!R152</f>
        <v>0</v>
      </c>
      <c r="O303" s="279">
        <f>RES_BA!S152</f>
        <v>0</v>
      </c>
      <c r="Q303" s="279">
        <f>RES_BA!T152</f>
        <v>0</v>
      </c>
      <c r="S303" s="279">
        <f>RES_BA!U152</f>
        <v>0</v>
      </c>
    </row>
    <row r="304" spans="3:19" s="277" customFormat="1" hidden="1" outlineLevel="1" collapsed="1" x14ac:dyDescent="0.3">
      <c r="C304" s="283" t="str">
        <f>RES_BA!D153</f>
        <v>Equipment Category 24</v>
      </c>
      <c r="M304" s="279">
        <f>RES_BA!R153</f>
        <v>0</v>
      </c>
      <c r="O304" s="279">
        <f>RES_BA!S153</f>
        <v>0</v>
      </c>
      <c r="Q304" s="279">
        <f>RES_BA!T153</f>
        <v>0</v>
      </c>
      <c r="S304" s="279">
        <f>RES_BA!U153</f>
        <v>0</v>
      </c>
    </row>
    <row r="305" spans="3:19" s="277" customFormat="1" hidden="1" outlineLevel="1" x14ac:dyDescent="0.3">
      <c r="C305" s="283" t="str">
        <f>RES_BA!D154</f>
        <v>Equipment Category 25</v>
      </c>
      <c r="M305" s="279">
        <f>RES_BA!R154</f>
        <v>0</v>
      </c>
      <c r="O305" s="279">
        <f>RES_BA!S154</f>
        <v>0</v>
      </c>
      <c r="Q305" s="279">
        <f>RES_BA!T154</f>
        <v>0</v>
      </c>
      <c r="S305" s="279">
        <f>RES_BA!U154</f>
        <v>0</v>
      </c>
    </row>
    <row r="306" spans="3:19" s="277" customFormat="1" hidden="1" outlineLevel="1" x14ac:dyDescent="0.3">
      <c r="C306" s="283" t="str">
        <f>RES_BA!D155</f>
        <v>Equipment Category 26</v>
      </c>
      <c r="M306" s="279">
        <f>RES_BA!R155</f>
        <v>0</v>
      </c>
      <c r="O306" s="279">
        <f>RES_BA!S155</f>
        <v>0</v>
      </c>
      <c r="Q306" s="279">
        <f>RES_BA!T155</f>
        <v>0</v>
      </c>
      <c r="S306" s="279">
        <f>RES_BA!U155</f>
        <v>0</v>
      </c>
    </row>
    <row r="307" spans="3:19" s="277" customFormat="1" hidden="1" outlineLevel="1" x14ac:dyDescent="0.3">
      <c r="C307" s="283" t="str">
        <f>RES_BA!D156</f>
        <v>Equipment Category 27</v>
      </c>
      <c r="M307" s="279">
        <f>RES_BA!R156</f>
        <v>0</v>
      </c>
      <c r="O307" s="279">
        <f>RES_BA!S156</f>
        <v>0</v>
      </c>
      <c r="Q307" s="279">
        <f>RES_BA!T156</f>
        <v>0</v>
      </c>
      <c r="S307" s="279">
        <f>RES_BA!U156</f>
        <v>0</v>
      </c>
    </row>
    <row r="308" spans="3:19" s="277" customFormat="1" hidden="1" outlineLevel="1" x14ac:dyDescent="0.3">
      <c r="C308" s="283" t="str">
        <f>RES_BA!D157</f>
        <v>Equipment Category 28</v>
      </c>
      <c r="M308" s="279">
        <f>RES_BA!R157</f>
        <v>0</v>
      </c>
      <c r="O308" s="279">
        <f>RES_BA!S157</f>
        <v>0</v>
      </c>
      <c r="Q308" s="279">
        <f>RES_BA!T157</f>
        <v>0</v>
      </c>
      <c r="S308" s="279">
        <f>RES_BA!U157</f>
        <v>0</v>
      </c>
    </row>
    <row r="309" spans="3:19" s="277" customFormat="1" hidden="1" outlineLevel="1" x14ac:dyDescent="0.3">
      <c r="C309" s="283" t="str">
        <f>RES_BA!D158</f>
        <v>Equipment Category 29</v>
      </c>
      <c r="M309" s="279">
        <f>RES_BA!R158</f>
        <v>0</v>
      </c>
      <c r="O309" s="279">
        <f>RES_BA!S158</f>
        <v>0</v>
      </c>
      <c r="Q309" s="279">
        <f>RES_BA!T158</f>
        <v>0</v>
      </c>
      <c r="S309" s="279">
        <f>RES_BA!U158</f>
        <v>0</v>
      </c>
    </row>
    <row r="310" spans="3:19" s="277" customFormat="1" hidden="1" outlineLevel="1" x14ac:dyDescent="0.3">
      <c r="C310" s="283" t="str">
        <f>RES_BA!D159</f>
        <v>Equipment Category 30</v>
      </c>
      <c r="M310" s="279">
        <f>RES_BA!R159</f>
        <v>0</v>
      </c>
      <c r="O310" s="279">
        <f>RES_BA!S159</f>
        <v>0</v>
      </c>
      <c r="Q310" s="279">
        <f>RES_BA!T159</f>
        <v>0</v>
      </c>
      <c r="S310" s="279">
        <f>RES_BA!U159</f>
        <v>0</v>
      </c>
    </row>
    <row r="311" spans="3:19" s="277" customFormat="1" hidden="1" outlineLevel="1" x14ac:dyDescent="0.3">
      <c r="C311" s="283" t="str">
        <f>RES_BA!D160</f>
        <v>Equipment Category 31</v>
      </c>
      <c r="M311" s="279">
        <f>RES_BA!R160</f>
        <v>0</v>
      </c>
      <c r="O311" s="279">
        <f>RES_BA!S160</f>
        <v>0</v>
      </c>
      <c r="Q311" s="279">
        <f>RES_BA!T160</f>
        <v>0</v>
      </c>
      <c r="S311" s="279">
        <f>RES_BA!U160</f>
        <v>0</v>
      </c>
    </row>
    <row r="312" spans="3:19" s="277" customFormat="1" hidden="1" outlineLevel="1" x14ac:dyDescent="0.3">
      <c r="C312" s="283" t="str">
        <f>RES_BA!D161</f>
        <v>Equipment Category 32</v>
      </c>
      <c r="M312" s="279">
        <f>RES_BA!R161</f>
        <v>0</v>
      </c>
      <c r="O312" s="279">
        <f>RES_BA!S161</f>
        <v>0</v>
      </c>
      <c r="Q312" s="279">
        <f>RES_BA!T161</f>
        <v>0</v>
      </c>
      <c r="S312" s="279">
        <f>RES_BA!U161</f>
        <v>0</v>
      </c>
    </row>
    <row r="313" spans="3:19" s="277" customFormat="1" hidden="1" outlineLevel="1" x14ac:dyDescent="0.3">
      <c r="C313" s="283" t="str">
        <f>RES_BA!D162</f>
        <v>Equipment Category 33</v>
      </c>
      <c r="M313" s="279">
        <f>RES_BA!R162</f>
        <v>0</v>
      </c>
      <c r="O313" s="279">
        <f>RES_BA!S162</f>
        <v>0</v>
      </c>
      <c r="Q313" s="279">
        <f>RES_BA!T162</f>
        <v>0</v>
      </c>
      <c r="S313" s="279">
        <f>RES_BA!U162</f>
        <v>0</v>
      </c>
    </row>
    <row r="314" spans="3:19" s="277" customFormat="1" hidden="1" outlineLevel="1" collapsed="1" x14ac:dyDescent="0.3">
      <c r="C314" s="283" t="str">
        <f>RES_BA!D163</f>
        <v>Equipment Category 34</v>
      </c>
      <c r="M314" s="279">
        <f>RES_BA!R163</f>
        <v>0</v>
      </c>
      <c r="O314" s="279">
        <f>RES_BA!S163</f>
        <v>0</v>
      </c>
      <c r="Q314" s="279">
        <f>RES_BA!T163</f>
        <v>0</v>
      </c>
      <c r="S314" s="279">
        <f>RES_BA!U163</f>
        <v>0</v>
      </c>
    </row>
    <row r="315" spans="3:19" s="277" customFormat="1" hidden="1" outlineLevel="1" x14ac:dyDescent="0.3">
      <c r="C315" s="283" t="str">
        <f>RES_BA!D164</f>
        <v>Equipment Category 35</v>
      </c>
      <c r="M315" s="279">
        <f>RES_BA!R164</f>
        <v>0</v>
      </c>
      <c r="O315" s="279">
        <f>RES_BA!S164</f>
        <v>0</v>
      </c>
      <c r="Q315" s="279">
        <f>RES_BA!T164</f>
        <v>0</v>
      </c>
      <c r="S315" s="279">
        <f>RES_BA!U164</f>
        <v>0</v>
      </c>
    </row>
    <row r="316" spans="3:19" hidden="1" outlineLevel="1" x14ac:dyDescent="0.3"/>
    <row r="317" spans="3:19" hidden="1" outlineLevel="1" x14ac:dyDescent="0.3"/>
    <row r="318" spans="3:19" hidden="1" outlineLevel="1" x14ac:dyDescent="0.3">
      <c r="M318" s="40" t="str">
        <f>$D$163</f>
        <v>USD</v>
      </c>
      <c r="O318" s="40" t="str">
        <f>$D$163</f>
        <v>USD</v>
      </c>
      <c r="Q318" s="40" t="str">
        <f>$D$164</f>
        <v>GOZ</v>
      </c>
      <c r="S318" s="40" t="str">
        <f>$D$164</f>
        <v>GOZ</v>
      </c>
    </row>
    <row r="319" spans="3:19" hidden="1" outlineLevel="1" x14ac:dyDescent="0.3">
      <c r="C319" s="89" t="str">
        <f>RES_BA!D169</f>
        <v>Other Direct Costs Category 1</v>
      </c>
      <c r="M319" s="40">
        <f>RES_BA!R169</f>
        <v>0</v>
      </c>
      <c r="O319" s="40">
        <f>RES_BA!S169</f>
        <v>0</v>
      </c>
      <c r="Q319" s="40">
        <f>RES_BA!T169</f>
        <v>0</v>
      </c>
      <c r="S319" s="40">
        <f>RES_BA!U169</f>
        <v>0</v>
      </c>
    </row>
    <row r="320" spans="3:19" hidden="1" outlineLevel="1" x14ac:dyDescent="0.3">
      <c r="C320" s="89" t="str">
        <f>RES_BA!D170</f>
        <v>Other Direct Costs Category 2</v>
      </c>
      <c r="M320" s="40">
        <f>RES_BA!R170</f>
        <v>0</v>
      </c>
      <c r="O320" s="40">
        <f>RES_BA!S170</f>
        <v>0</v>
      </c>
      <c r="Q320" s="40">
        <f>RES_BA!T170</f>
        <v>0</v>
      </c>
      <c r="S320" s="40">
        <f>RES_BA!U170</f>
        <v>0</v>
      </c>
    </row>
    <row r="321" spans="3:19" hidden="1" outlineLevel="1" x14ac:dyDescent="0.3">
      <c r="C321" s="89" t="str">
        <f>RES_BA!D171</f>
        <v>Other Direct Costs Category 3</v>
      </c>
      <c r="M321" s="40">
        <f>RES_BA!R171</f>
        <v>0</v>
      </c>
      <c r="O321" s="40">
        <f>RES_BA!S171</f>
        <v>0</v>
      </c>
      <c r="Q321" s="40">
        <f>RES_BA!T171</f>
        <v>0</v>
      </c>
      <c r="S321" s="40">
        <f>RES_BA!U171</f>
        <v>0</v>
      </c>
    </row>
    <row r="322" spans="3:19" s="277" customFormat="1" hidden="1" outlineLevel="1" collapsed="1" x14ac:dyDescent="0.3">
      <c r="C322" s="283" t="str">
        <f>RES_BA!D172</f>
        <v>Other Direct Costs Category 4</v>
      </c>
      <c r="M322" s="279">
        <f>RES_BA!R172</f>
        <v>0</v>
      </c>
      <c r="O322" s="279">
        <f>RES_BA!S172</f>
        <v>0</v>
      </c>
      <c r="Q322" s="279">
        <f>RES_BA!T172</f>
        <v>0</v>
      </c>
      <c r="S322" s="279">
        <f>RES_BA!U172</f>
        <v>0</v>
      </c>
    </row>
    <row r="323" spans="3:19" s="277" customFormat="1" hidden="1" outlineLevel="1" x14ac:dyDescent="0.3">
      <c r="C323" s="283" t="str">
        <f>RES_BA!D173</f>
        <v>Other Direct Costs Category 5</v>
      </c>
      <c r="M323" s="279">
        <f>RES_BA!R173</f>
        <v>0</v>
      </c>
      <c r="O323" s="279">
        <f>RES_BA!S173</f>
        <v>0</v>
      </c>
      <c r="Q323" s="279">
        <f>RES_BA!T173</f>
        <v>0</v>
      </c>
      <c r="S323" s="279">
        <f>RES_BA!U173</f>
        <v>0</v>
      </c>
    </row>
    <row r="324" spans="3:19" s="277" customFormat="1" hidden="1" outlineLevel="1" x14ac:dyDescent="0.3">
      <c r="C324" s="283" t="str">
        <f>RES_BA!D174</f>
        <v>Other Direct Costs Category 6</v>
      </c>
      <c r="M324" s="279">
        <f>RES_BA!R174</f>
        <v>0</v>
      </c>
      <c r="O324" s="279">
        <f>RES_BA!S174</f>
        <v>0</v>
      </c>
      <c r="Q324" s="279">
        <f>RES_BA!T174</f>
        <v>0</v>
      </c>
      <c r="S324" s="279">
        <f>RES_BA!U174</f>
        <v>0</v>
      </c>
    </row>
    <row r="325" spans="3:19" s="277" customFormat="1" hidden="1" outlineLevel="1" x14ac:dyDescent="0.3">
      <c r="C325" s="283" t="str">
        <f>RES_BA!D175</f>
        <v>Other Direct Costs Category 7</v>
      </c>
      <c r="M325" s="279">
        <f>RES_BA!R175</f>
        <v>0</v>
      </c>
      <c r="O325" s="279">
        <f>RES_BA!S175</f>
        <v>0</v>
      </c>
      <c r="Q325" s="279">
        <f>RES_BA!T175</f>
        <v>0</v>
      </c>
      <c r="S325" s="279">
        <f>RES_BA!U175</f>
        <v>0</v>
      </c>
    </row>
    <row r="326" spans="3:19" s="277" customFormat="1" hidden="1" outlineLevel="1" x14ac:dyDescent="0.3">
      <c r="C326" s="283" t="str">
        <f>RES_BA!D176</f>
        <v>Other Direct Costs Category 8</v>
      </c>
      <c r="M326" s="279">
        <f>RES_BA!R176</f>
        <v>0</v>
      </c>
      <c r="O326" s="279">
        <f>RES_BA!S176</f>
        <v>0</v>
      </c>
      <c r="Q326" s="279">
        <f>RES_BA!T176</f>
        <v>0</v>
      </c>
      <c r="S326" s="279">
        <f>RES_BA!U176</f>
        <v>0</v>
      </c>
    </row>
    <row r="327" spans="3:19" s="277" customFormat="1" hidden="1" outlineLevel="1" x14ac:dyDescent="0.3">
      <c r="C327" s="283" t="str">
        <f>RES_BA!D177</f>
        <v>Other Direct Costs Category 9</v>
      </c>
      <c r="M327" s="279">
        <f>RES_BA!R177</f>
        <v>0</v>
      </c>
      <c r="O327" s="279">
        <f>RES_BA!S177</f>
        <v>0</v>
      </c>
      <c r="Q327" s="279">
        <f>RES_BA!T177</f>
        <v>0</v>
      </c>
      <c r="S327" s="279">
        <f>RES_BA!U177</f>
        <v>0</v>
      </c>
    </row>
    <row r="328" spans="3:19" s="277" customFormat="1" hidden="1" outlineLevel="1" x14ac:dyDescent="0.3">
      <c r="C328" s="283" t="str">
        <f>RES_BA!D178</f>
        <v>Other Direct Costs Category 10</v>
      </c>
      <c r="M328" s="279">
        <f>RES_BA!R178</f>
        <v>0</v>
      </c>
      <c r="O328" s="279">
        <f>RES_BA!S178</f>
        <v>0</v>
      </c>
      <c r="Q328" s="279">
        <f>RES_BA!T178</f>
        <v>0</v>
      </c>
      <c r="S328" s="279">
        <f>RES_BA!U178</f>
        <v>0</v>
      </c>
    </row>
    <row r="329" spans="3:19" s="277" customFormat="1" hidden="1" outlineLevel="1" x14ac:dyDescent="0.3">
      <c r="C329" s="283" t="str">
        <f>RES_BA!D179</f>
        <v>Other Direct Costs Category 11</v>
      </c>
      <c r="M329" s="279">
        <f>RES_BA!R179</f>
        <v>0</v>
      </c>
      <c r="O329" s="279">
        <f>RES_BA!S179</f>
        <v>0</v>
      </c>
      <c r="Q329" s="279">
        <f>RES_BA!T179</f>
        <v>0</v>
      </c>
      <c r="S329" s="279">
        <f>RES_BA!U179</f>
        <v>0</v>
      </c>
    </row>
    <row r="330" spans="3:19" s="277" customFormat="1" hidden="1" outlineLevel="1" collapsed="1" x14ac:dyDescent="0.3">
      <c r="C330" s="283" t="str">
        <f>RES_BA!D180</f>
        <v>Other Direct Costs Category 12</v>
      </c>
      <c r="M330" s="279">
        <f>RES_BA!R180</f>
        <v>0</v>
      </c>
      <c r="O330" s="279">
        <f>RES_BA!S180</f>
        <v>0</v>
      </c>
      <c r="Q330" s="279">
        <f>RES_BA!T180</f>
        <v>0</v>
      </c>
      <c r="S330" s="279">
        <f>RES_BA!U180</f>
        <v>0</v>
      </c>
    </row>
    <row r="331" spans="3:19" s="277" customFormat="1" hidden="1" outlineLevel="1" x14ac:dyDescent="0.3">
      <c r="C331" s="283" t="str">
        <f>RES_BA!D181</f>
        <v>Other Direct Costs Category 13</v>
      </c>
      <c r="M331" s="279">
        <f>RES_BA!R181</f>
        <v>0</v>
      </c>
      <c r="O331" s="279">
        <f>RES_BA!S181</f>
        <v>0</v>
      </c>
      <c r="Q331" s="279">
        <f>RES_BA!T181</f>
        <v>0</v>
      </c>
      <c r="S331" s="279">
        <f>RES_BA!U181</f>
        <v>0</v>
      </c>
    </row>
    <row r="332" spans="3:19" s="277" customFormat="1" hidden="1" outlineLevel="1" x14ac:dyDescent="0.3">
      <c r="C332" s="283" t="str">
        <f>RES_BA!D182</f>
        <v>Other Direct Costs Category 14</v>
      </c>
      <c r="M332" s="279">
        <f>RES_BA!R182</f>
        <v>0</v>
      </c>
      <c r="O332" s="279">
        <f>RES_BA!S182</f>
        <v>0</v>
      </c>
      <c r="Q332" s="279">
        <f>RES_BA!T182</f>
        <v>0</v>
      </c>
      <c r="S332" s="279">
        <f>RES_BA!U182</f>
        <v>0</v>
      </c>
    </row>
    <row r="333" spans="3:19" s="277" customFormat="1" hidden="1" outlineLevel="1" x14ac:dyDescent="0.3">
      <c r="C333" s="283" t="str">
        <f>RES_BA!D183</f>
        <v>Other Direct Costs Category 15</v>
      </c>
      <c r="M333" s="279">
        <f>RES_BA!R183</f>
        <v>0</v>
      </c>
      <c r="O333" s="279">
        <f>RES_BA!S183</f>
        <v>0</v>
      </c>
      <c r="Q333" s="279">
        <f>RES_BA!T183</f>
        <v>0</v>
      </c>
      <c r="S333" s="279">
        <f>RES_BA!U183</f>
        <v>0</v>
      </c>
    </row>
    <row r="334" spans="3:19" s="277" customFormat="1" hidden="1" outlineLevel="1" x14ac:dyDescent="0.3">
      <c r="C334" s="283" t="str">
        <f>RES_BA!D184</f>
        <v>Other Direct Costs Category 16</v>
      </c>
      <c r="M334" s="279">
        <f>RES_BA!R184</f>
        <v>0</v>
      </c>
      <c r="O334" s="279">
        <f>RES_BA!S184</f>
        <v>0</v>
      </c>
      <c r="Q334" s="279">
        <f>RES_BA!T184</f>
        <v>0</v>
      </c>
      <c r="S334" s="279">
        <f>RES_BA!U184</f>
        <v>0</v>
      </c>
    </row>
    <row r="335" spans="3:19" s="277" customFormat="1" hidden="1" outlineLevel="1" x14ac:dyDescent="0.3">
      <c r="C335" s="283" t="str">
        <f>RES_BA!D185</f>
        <v>Other Direct Costs Category 17</v>
      </c>
      <c r="M335" s="279">
        <f>RES_BA!R185</f>
        <v>0</v>
      </c>
      <c r="O335" s="279">
        <f>RES_BA!S185</f>
        <v>0</v>
      </c>
      <c r="Q335" s="279">
        <f>RES_BA!T185</f>
        <v>0</v>
      </c>
      <c r="S335" s="279">
        <f>RES_BA!U185</f>
        <v>0</v>
      </c>
    </row>
    <row r="336" spans="3:19" s="277" customFormat="1" hidden="1" outlineLevel="1" x14ac:dyDescent="0.3">
      <c r="C336" s="283" t="str">
        <f>RES_BA!D186</f>
        <v>Other Direct Costs Category 18</v>
      </c>
      <c r="M336" s="279">
        <f>RES_BA!R186</f>
        <v>0</v>
      </c>
      <c r="O336" s="279">
        <f>RES_BA!S186</f>
        <v>0</v>
      </c>
      <c r="Q336" s="279">
        <f>RES_BA!T186</f>
        <v>0</v>
      </c>
      <c r="S336" s="279">
        <f>RES_BA!U186</f>
        <v>0</v>
      </c>
    </row>
    <row r="337" spans="3:19" s="277" customFormat="1" hidden="1" outlineLevel="1" x14ac:dyDescent="0.3">
      <c r="C337" s="283" t="str">
        <f>RES_BA!D187</f>
        <v>Other Direct Costs Category 19</v>
      </c>
      <c r="M337" s="279">
        <f>RES_BA!R187</f>
        <v>0</v>
      </c>
      <c r="O337" s="279">
        <f>RES_BA!S187</f>
        <v>0</v>
      </c>
      <c r="Q337" s="279">
        <f>RES_BA!T187</f>
        <v>0</v>
      </c>
      <c r="S337" s="279">
        <f>RES_BA!U187</f>
        <v>0</v>
      </c>
    </row>
    <row r="338" spans="3:19" s="277" customFormat="1" hidden="1" outlineLevel="1" x14ac:dyDescent="0.3">
      <c r="C338" s="283" t="str">
        <f>RES_BA!D188</f>
        <v>Other Direct Costs Category 20</v>
      </c>
      <c r="M338" s="279">
        <f>RES_BA!R188</f>
        <v>0</v>
      </c>
      <c r="O338" s="279">
        <f>RES_BA!S188</f>
        <v>0</v>
      </c>
      <c r="Q338" s="279">
        <f>RES_BA!T188</f>
        <v>0</v>
      </c>
      <c r="S338" s="279">
        <f>RES_BA!U188</f>
        <v>0</v>
      </c>
    </row>
    <row r="339" spans="3:19" s="277" customFormat="1" hidden="1" outlineLevel="1" x14ac:dyDescent="0.3">
      <c r="C339" s="283" t="str">
        <f>RES_BA!D189</f>
        <v>Other Direct Costs Category 21</v>
      </c>
      <c r="M339" s="279">
        <f>RES_BA!R189</f>
        <v>0</v>
      </c>
      <c r="O339" s="279">
        <f>RES_BA!S189</f>
        <v>0</v>
      </c>
      <c r="Q339" s="279">
        <f>RES_BA!T189</f>
        <v>0</v>
      </c>
      <c r="S339" s="279">
        <f>RES_BA!U189</f>
        <v>0</v>
      </c>
    </row>
    <row r="340" spans="3:19" s="277" customFormat="1" hidden="1" outlineLevel="1" x14ac:dyDescent="0.3">
      <c r="C340" s="283" t="str">
        <f>RES_BA!D190</f>
        <v>Other Direct Costs Category 22</v>
      </c>
      <c r="M340" s="279">
        <f>RES_BA!R190</f>
        <v>0</v>
      </c>
      <c r="O340" s="279">
        <f>RES_BA!S190</f>
        <v>0</v>
      </c>
      <c r="Q340" s="279">
        <f>RES_BA!T190</f>
        <v>0</v>
      </c>
      <c r="S340" s="279">
        <f>RES_BA!U190</f>
        <v>0</v>
      </c>
    </row>
    <row r="341" spans="3:19" s="277" customFormat="1" hidden="1" outlineLevel="1" x14ac:dyDescent="0.3">
      <c r="C341" s="283" t="str">
        <f>RES_BA!D191</f>
        <v>Other Direct Costs Category 23</v>
      </c>
      <c r="M341" s="279">
        <f>RES_BA!R191</f>
        <v>0</v>
      </c>
      <c r="O341" s="279">
        <f>RES_BA!S191</f>
        <v>0</v>
      </c>
      <c r="Q341" s="279">
        <f>RES_BA!T191</f>
        <v>0</v>
      </c>
      <c r="S341" s="279">
        <f>RES_BA!U191</f>
        <v>0</v>
      </c>
    </row>
    <row r="342" spans="3:19" s="277" customFormat="1" hidden="1" outlineLevel="1" collapsed="1" x14ac:dyDescent="0.3">
      <c r="C342" s="283" t="str">
        <f>RES_BA!D192</f>
        <v>Other Direct Costs Category 24</v>
      </c>
      <c r="M342" s="279">
        <f>RES_BA!R192</f>
        <v>0</v>
      </c>
      <c r="O342" s="279">
        <f>RES_BA!S192</f>
        <v>0</v>
      </c>
      <c r="Q342" s="279">
        <f>RES_BA!T192</f>
        <v>0</v>
      </c>
      <c r="S342" s="279">
        <f>RES_BA!U192</f>
        <v>0</v>
      </c>
    </row>
    <row r="343" spans="3:19" s="277" customFormat="1" hidden="1" outlineLevel="1" x14ac:dyDescent="0.3">
      <c r="C343" s="283" t="str">
        <f>RES_BA!D193</f>
        <v>Other Direct Costs Category 25</v>
      </c>
      <c r="M343" s="279">
        <f>RES_BA!R193</f>
        <v>0</v>
      </c>
      <c r="O343" s="279">
        <f>RES_BA!S193</f>
        <v>0</v>
      </c>
      <c r="Q343" s="279">
        <f>RES_BA!T193</f>
        <v>0</v>
      </c>
      <c r="S343" s="279">
        <f>RES_BA!U193</f>
        <v>0</v>
      </c>
    </row>
    <row r="344" spans="3:19" s="277" customFormat="1" hidden="1" outlineLevel="1" x14ac:dyDescent="0.3">
      <c r="C344" s="283" t="str">
        <f>RES_BA!D194</f>
        <v>Other Direct Costs Category 26</v>
      </c>
      <c r="M344" s="279">
        <f>RES_BA!R194</f>
        <v>0</v>
      </c>
      <c r="O344" s="279">
        <f>RES_BA!S194</f>
        <v>0</v>
      </c>
      <c r="Q344" s="279">
        <f>RES_BA!T194</f>
        <v>0</v>
      </c>
      <c r="S344" s="279">
        <f>RES_BA!U194</f>
        <v>0</v>
      </c>
    </row>
    <row r="345" spans="3:19" s="277" customFormat="1" hidden="1" outlineLevel="1" x14ac:dyDescent="0.3">
      <c r="C345" s="283" t="str">
        <f>RES_BA!D195</f>
        <v>Other Direct Costs Category 27</v>
      </c>
      <c r="M345" s="279">
        <f>RES_BA!R195</f>
        <v>0</v>
      </c>
      <c r="O345" s="279">
        <f>RES_BA!S195</f>
        <v>0</v>
      </c>
      <c r="Q345" s="279">
        <f>RES_BA!T195</f>
        <v>0</v>
      </c>
      <c r="S345" s="279">
        <f>RES_BA!U195</f>
        <v>0</v>
      </c>
    </row>
    <row r="346" spans="3:19" s="277" customFormat="1" hidden="1" outlineLevel="1" x14ac:dyDescent="0.3">
      <c r="C346" s="283" t="str">
        <f>RES_BA!D196</f>
        <v>Other Direct Costs Category 28</v>
      </c>
      <c r="M346" s="279">
        <f>RES_BA!R196</f>
        <v>0</v>
      </c>
      <c r="O346" s="279">
        <f>RES_BA!S196</f>
        <v>0</v>
      </c>
      <c r="Q346" s="279">
        <f>RES_BA!T196</f>
        <v>0</v>
      </c>
      <c r="S346" s="279">
        <f>RES_BA!U196</f>
        <v>0</v>
      </c>
    </row>
    <row r="347" spans="3:19" s="277" customFormat="1" hidden="1" outlineLevel="1" x14ac:dyDescent="0.3">
      <c r="C347" s="283" t="str">
        <f>RES_BA!D197</f>
        <v>Other Direct Costs Category 29</v>
      </c>
      <c r="M347" s="279">
        <f>RES_BA!R197</f>
        <v>0</v>
      </c>
      <c r="O347" s="279">
        <f>RES_BA!S197</f>
        <v>0</v>
      </c>
      <c r="Q347" s="279">
        <f>RES_BA!T197</f>
        <v>0</v>
      </c>
      <c r="S347" s="279">
        <f>RES_BA!U197</f>
        <v>0</v>
      </c>
    </row>
    <row r="348" spans="3:19" s="277" customFormat="1" hidden="1" outlineLevel="1" x14ac:dyDescent="0.3">
      <c r="C348" s="283" t="str">
        <f>RES_BA!D198</f>
        <v>Other Direct Costs Category 30</v>
      </c>
      <c r="M348" s="279">
        <f>RES_BA!R198</f>
        <v>0</v>
      </c>
      <c r="O348" s="279">
        <f>RES_BA!S198</f>
        <v>0</v>
      </c>
      <c r="Q348" s="279">
        <f>RES_BA!T198</f>
        <v>0</v>
      </c>
      <c r="S348" s="279">
        <f>RES_BA!U198</f>
        <v>0</v>
      </c>
    </row>
    <row r="349" spans="3:19" s="277" customFormat="1" hidden="1" outlineLevel="1" x14ac:dyDescent="0.3">
      <c r="C349" s="283" t="str">
        <f>RES_BA!D199</f>
        <v>Other Direct Costs Category 31</v>
      </c>
      <c r="M349" s="279">
        <f>RES_BA!R199</f>
        <v>0</v>
      </c>
      <c r="O349" s="279">
        <f>RES_BA!S199</f>
        <v>0</v>
      </c>
      <c r="Q349" s="279">
        <f>RES_BA!T199</f>
        <v>0</v>
      </c>
      <c r="S349" s="279">
        <f>RES_BA!U199</f>
        <v>0</v>
      </c>
    </row>
    <row r="350" spans="3:19" s="277" customFormat="1" hidden="1" outlineLevel="1" x14ac:dyDescent="0.3">
      <c r="C350" s="283" t="str">
        <f>RES_BA!D200</f>
        <v>Other Direct Costs Category 32</v>
      </c>
      <c r="M350" s="279">
        <f>RES_BA!R200</f>
        <v>0</v>
      </c>
      <c r="O350" s="279">
        <f>RES_BA!S200</f>
        <v>0</v>
      </c>
      <c r="Q350" s="279">
        <f>RES_BA!T200</f>
        <v>0</v>
      </c>
      <c r="S350" s="279">
        <f>RES_BA!U200</f>
        <v>0</v>
      </c>
    </row>
    <row r="351" spans="3:19" s="277" customFormat="1" hidden="1" outlineLevel="1" x14ac:dyDescent="0.3">
      <c r="C351" s="283" t="str">
        <f>RES_BA!D201</f>
        <v>Other Direct Costs Category 33</v>
      </c>
      <c r="M351" s="279">
        <f>RES_BA!R201</f>
        <v>0</v>
      </c>
      <c r="O351" s="279">
        <f>RES_BA!S201</f>
        <v>0</v>
      </c>
      <c r="Q351" s="279">
        <f>RES_BA!T201</f>
        <v>0</v>
      </c>
      <c r="S351" s="279">
        <f>RES_BA!U201</f>
        <v>0</v>
      </c>
    </row>
    <row r="352" spans="3:19" s="277" customFormat="1" hidden="1" outlineLevel="1" x14ac:dyDescent="0.3">
      <c r="C352" s="283" t="str">
        <f>RES_BA!D202</f>
        <v>Other Direct Costs Category 34</v>
      </c>
      <c r="M352" s="279">
        <f>RES_BA!R202</f>
        <v>0</v>
      </c>
      <c r="O352" s="279">
        <f>RES_BA!S202</f>
        <v>0</v>
      </c>
      <c r="Q352" s="279">
        <f>RES_BA!T202</f>
        <v>0</v>
      </c>
      <c r="S352" s="279">
        <f>RES_BA!U202</f>
        <v>0</v>
      </c>
    </row>
    <row r="353" spans="2:24" s="277" customFormat="1" hidden="1" outlineLevel="1" x14ac:dyDescent="0.3">
      <c r="C353" s="283" t="str">
        <f>RES_BA!D203</f>
        <v>Other Direct Costs Category 35</v>
      </c>
      <c r="M353" s="279">
        <f>RES_BA!R203</f>
        <v>0</v>
      </c>
      <c r="O353" s="279">
        <f>RES_BA!S203</f>
        <v>0</v>
      </c>
      <c r="Q353" s="279">
        <f>RES_BA!T203</f>
        <v>0</v>
      </c>
      <c r="S353" s="279">
        <f>RES_BA!U203</f>
        <v>0</v>
      </c>
    </row>
    <row r="354" spans="2:24" collapsed="1" x14ac:dyDescent="0.3"/>
    <row r="356" spans="2:24" ht="18" x14ac:dyDescent="0.3">
      <c r="B356" s="31" t="str">
        <f>I357</f>
        <v>Sensitisation Activity #2 [not in use]</v>
      </c>
    </row>
    <row r="357" spans="2:24" x14ac:dyDescent="0.3">
      <c r="G357" s="41" t="s">
        <v>119</v>
      </c>
      <c r="I357" s="356" t="s">
        <v>999</v>
      </c>
      <c r="J357" s="356"/>
      <c r="K357" s="356"/>
      <c r="L357" s="356"/>
      <c r="M357" s="356"/>
    </row>
    <row r="358" spans="2:24" ht="10.5" customHeight="1" x14ac:dyDescent="0.3">
      <c r="G358" s="41" t="s">
        <v>644</v>
      </c>
      <c r="I358" s="32">
        <v>2</v>
      </c>
    </row>
    <row r="359" spans="2:24" ht="15.6" x14ac:dyDescent="0.3">
      <c r="C359" s="92" t="s">
        <v>77</v>
      </c>
      <c r="M359" s="40" t="str">
        <f>IF(DD_ACT_4_Meet1_Curr=1,$D$512,$D$513)</f>
        <v>GOZ</v>
      </c>
      <c r="O359" s="40" t="str">
        <f>IF(DD_ACT_4_Meet1_Curr=1,$D$512,$D$513)</f>
        <v>GOZ</v>
      </c>
      <c r="Q359" s="40" t="str">
        <f>IF(DD_ACT_4_Meet1_Curr=1,$D$512,$D$513)</f>
        <v>GOZ</v>
      </c>
      <c r="S359" s="40" t="str">
        <f>IF(DD_ACT_4_Meet1_Curr=1,$D$512,$D$513)</f>
        <v>GOZ</v>
      </c>
    </row>
    <row r="360" spans="2:24" ht="27.6" x14ac:dyDescent="0.3">
      <c r="D360" s="90" t="s">
        <v>77</v>
      </c>
      <c r="I360" s="88" t="s">
        <v>80</v>
      </c>
      <c r="K360" s="91" t="s">
        <v>432</v>
      </c>
      <c r="M360" s="42" t="s">
        <v>103</v>
      </c>
      <c r="O360" s="42" t="s">
        <v>104</v>
      </c>
      <c r="Q360" s="42" t="s">
        <v>105</v>
      </c>
      <c r="S360" s="42" t="s">
        <v>106</v>
      </c>
      <c r="U360" s="350" t="s">
        <v>185</v>
      </c>
      <c r="V360" s="351"/>
      <c r="W360" s="351"/>
      <c r="X360" s="351"/>
    </row>
    <row r="361" spans="2:24" x14ac:dyDescent="0.3">
      <c r="D361" s="356" t="s">
        <v>188</v>
      </c>
      <c r="E361" s="356"/>
      <c r="F361" s="356"/>
      <c r="G361" s="356"/>
      <c r="I361" s="48">
        <v>0</v>
      </c>
      <c r="K361" s="48">
        <v>0</v>
      </c>
      <c r="M361" s="40">
        <f t="shared" ref="M361:M385" si="20">IFERROR(IF(DD_ACT_4_Meet1_Curr=1,INDEX($M$518:$M$552,MATCH(D361,LU_ACT_4_Pers_Res,0)),INDEX($Q$518:$Q$552,MATCH(D361,LU_ACT_4_Pers_Res,0))),0)</f>
        <v>0</v>
      </c>
      <c r="O361" s="40">
        <f t="shared" ref="O361:O385" si="21">IFERROR(IF(DD_ACT_4_Meet1_Curr=1,INDEX($O$518:$O$552,MATCH(D361,LU_ACT_4_Pers_Res,0)),INDEX($S$518:$S$552,MATCH(D361,LU_ACT_4_Pers_Res,0))),0)</f>
        <v>0</v>
      </c>
      <c r="Q361" s="293">
        <f t="shared" ref="Q361:Q385" si="22">I361*K361*M361</f>
        <v>0</v>
      </c>
      <c r="S361" s="293">
        <f t="shared" ref="S361:S385" si="23">I361*K361*O361</f>
        <v>0</v>
      </c>
      <c r="U361" s="356"/>
      <c r="V361" s="356"/>
      <c r="W361" s="356"/>
      <c r="X361" s="356"/>
    </row>
    <row r="362" spans="2:24" x14ac:dyDescent="0.3">
      <c r="D362" s="356" t="s">
        <v>189</v>
      </c>
      <c r="E362" s="356"/>
      <c r="F362" s="356"/>
      <c r="G362" s="356"/>
      <c r="I362" s="48">
        <v>0</v>
      </c>
      <c r="K362" s="48">
        <v>0</v>
      </c>
      <c r="M362" s="40">
        <f t="shared" si="20"/>
        <v>0</v>
      </c>
      <c r="O362" s="40">
        <f t="shared" si="21"/>
        <v>0</v>
      </c>
      <c r="Q362" s="293">
        <f t="shared" si="22"/>
        <v>0</v>
      </c>
      <c r="S362" s="293">
        <f t="shared" si="23"/>
        <v>0</v>
      </c>
      <c r="U362" s="356"/>
      <c r="V362" s="356"/>
      <c r="W362" s="356"/>
      <c r="X362" s="356"/>
    </row>
    <row r="363" spans="2:24" x14ac:dyDescent="0.3">
      <c r="D363" s="356" t="s">
        <v>190</v>
      </c>
      <c r="E363" s="356"/>
      <c r="F363" s="356"/>
      <c r="G363" s="356"/>
      <c r="I363" s="48">
        <v>0</v>
      </c>
      <c r="K363" s="48">
        <v>0</v>
      </c>
      <c r="M363" s="40">
        <f t="shared" si="20"/>
        <v>0</v>
      </c>
      <c r="O363" s="40">
        <f t="shared" si="21"/>
        <v>0</v>
      </c>
      <c r="Q363" s="293">
        <f t="shared" si="22"/>
        <v>0</v>
      </c>
      <c r="S363" s="293">
        <f t="shared" si="23"/>
        <v>0</v>
      </c>
      <c r="U363" s="356"/>
      <c r="V363" s="356"/>
      <c r="W363" s="356"/>
      <c r="X363" s="356"/>
    </row>
    <row r="364" spans="2:24" x14ac:dyDescent="0.3">
      <c r="D364" s="356" t="s">
        <v>191</v>
      </c>
      <c r="E364" s="356"/>
      <c r="F364" s="356"/>
      <c r="G364" s="356"/>
      <c r="I364" s="48">
        <v>0</v>
      </c>
      <c r="K364" s="48">
        <v>0</v>
      </c>
      <c r="M364" s="40">
        <f t="shared" si="20"/>
        <v>0</v>
      </c>
      <c r="O364" s="40">
        <f t="shared" si="21"/>
        <v>0</v>
      </c>
      <c r="Q364" s="293">
        <f t="shared" si="22"/>
        <v>0</v>
      </c>
      <c r="S364" s="293">
        <f t="shared" si="23"/>
        <v>0</v>
      </c>
      <c r="U364" s="356"/>
      <c r="V364" s="356"/>
      <c r="W364" s="356"/>
      <c r="X364" s="356"/>
    </row>
    <row r="365" spans="2:24" x14ac:dyDescent="0.3">
      <c r="D365" s="356" t="s">
        <v>192</v>
      </c>
      <c r="E365" s="356"/>
      <c r="F365" s="356"/>
      <c r="G365" s="356"/>
      <c r="I365" s="48">
        <v>0</v>
      </c>
      <c r="K365" s="48">
        <v>0</v>
      </c>
      <c r="M365" s="40">
        <f t="shared" si="20"/>
        <v>0</v>
      </c>
      <c r="O365" s="40">
        <f t="shared" si="21"/>
        <v>0</v>
      </c>
      <c r="Q365" s="293">
        <f t="shared" si="22"/>
        <v>0</v>
      </c>
      <c r="S365" s="293">
        <f t="shared" si="23"/>
        <v>0</v>
      </c>
      <c r="U365" s="356"/>
      <c r="V365" s="356"/>
      <c r="W365" s="356"/>
      <c r="X365" s="356"/>
    </row>
    <row r="366" spans="2:24" x14ac:dyDescent="0.3">
      <c r="D366" s="356" t="s">
        <v>193</v>
      </c>
      <c r="E366" s="356"/>
      <c r="F366" s="356"/>
      <c r="G366" s="356"/>
      <c r="I366" s="48">
        <v>0</v>
      </c>
      <c r="K366" s="48">
        <v>0</v>
      </c>
      <c r="M366" s="40">
        <f t="shared" si="20"/>
        <v>0</v>
      </c>
      <c r="O366" s="40">
        <f t="shared" si="21"/>
        <v>0</v>
      </c>
      <c r="Q366" s="293">
        <f t="shared" si="22"/>
        <v>0</v>
      </c>
      <c r="S366" s="293">
        <f t="shared" si="23"/>
        <v>0</v>
      </c>
      <c r="U366" s="356"/>
      <c r="V366" s="356"/>
      <c r="W366" s="356"/>
      <c r="X366" s="356"/>
    </row>
    <row r="367" spans="2:24" x14ac:dyDescent="0.3">
      <c r="D367" s="356" t="s">
        <v>120</v>
      </c>
      <c r="E367" s="356"/>
      <c r="F367" s="356"/>
      <c r="G367" s="356"/>
      <c r="I367" s="48">
        <v>0</v>
      </c>
      <c r="K367" s="48">
        <v>0</v>
      </c>
      <c r="M367" s="40">
        <f t="shared" si="20"/>
        <v>0</v>
      </c>
      <c r="O367" s="40">
        <f t="shared" si="21"/>
        <v>0</v>
      </c>
      <c r="Q367" s="293">
        <f t="shared" si="22"/>
        <v>0</v>
      </c>
      <c r="S367" s="293">
        <f t="shared" si="23"/>
        <v>0</v>
      </c>
      <c r="U367" s="356"/>
      <c r="V367" s="356"/>
      <c r="W367" s="356"/>
      <c r="X367" s="356"/>
    </row>
    <row r="368" spans="2:24" x14ac:dyDescent="0.3">
      <c r="D368" s="356" t="s">
        <v>121</v>
      </c>
      <c r="E368" s="356"/>
      <c r="F368" s="356"/>
      <c r="G368" s="356"/>
      <c r="I368" s="48">
        <v>0</v>
      </c>
      <c r="K368" s="48">
        <v>0</v>
      </c>
      <c r="M368" s="40">
        <f t="shared" si="20"/>
        <v>0</v>
      </c>
      <c r="O368" s="40">
        <f t="shared" si="21"/>
        <v>0</v>
      </c>
      <c r="Q368" s="293">
        <f t="shared" si="22"/>
        <v>0</v>
      </c>
      <c r="S368" s="293">
        <f t="shared" si="23"/>
        <v>0</v>
      </c>
      <c r="U368" s="356"/>
      <c r="V368" s="356"/>
      <c r="W368" s="356"/>
      <c r="X368" s="356"/>
    </row>
    <row r="369" spans="4:24" s="277" customFormat="1" x14ac:dyDescent="0.3">
      <c r="D369" s="356" t="s">
        <v>830</v>
      </c>
      <c r="E369" s="356"/>
      <c r="F369" s="356"/>
      <c r="G369" s="356"/>
      <c r="I369" s="48">
        <v>0</v>
      </c>
      <c r="K369" s="48">
        <v>0</v>
      </c>
      <c r="M369" s="279">
        <f t="shared" si="20"/>
        <v>0</v>
      </c>
      <c r="O369" s="279">
        <f t="shared" si="21"/>
        <v>0</v>
      </c>
      <c r="Q369" s="293">
        <f t="shared" si="22"/>
        <v>0</v>
      </c>
      <c r="S369" s="293">
        <f t="shared" si="23"/>
        <v>0</v>
      </c>
      <c r="U369" s="385"/>
      <c r="V369" s="385"/>
      <c r="W369" s="385"/>
      <c r="X369" s="385"/>
    </row>
    <row r="370" spans="4:24" s="277" customFormat="1" x14ac:dyDescent="0.3">
      <c r="D370" s="356" t="s">
        <v>831</v>
      </c>
      <c r="E370" s="356"/>
      <c r="F370" s="356"/>
      <c r="G370" s="356"/>
      <c r="I370" s="48">
        <v>0</v>
      </c>
      <c r="K370" s="48">
        <v>0</v>
      </c>
      <c r="M370" s="279">
        <f t="shared" si="20"/>
        <v>0</v>
      </c>
      <c r="O370" s="279">
        <f t="shared" si="21"/>
        <v>0</v>
      </c>
      <c r="Q370" s="293">
        <f t="shared" si="22"/>
        <v>0</v>
      </c>
      <c r="S370" s="293">
        <f t="shared" si="23"/>
        <v>0</v>
      </c>
      <c r="U370" s="385"/>
      <c r="V370" s="385"/>
      <c r="W370" s="385"/>
      <c r="X370" s="385"/>
    </row>
    <row r="371" spans="4:24" s="277" customFormat="1" x14ac:dyDescent="0.3">
      <c r="D371" s="356" t="s">
        <v>832</v>
      </c>
      <c r="E371" s="356"/>
      <c r="F371" s="356"/>
      <c r="G371" s="356"/>
      <c r="I371" s="48">
        <v>0</v>
      </c>
      <c r="K371" s="48">
        <v>0</v>
      </c>
      <c r="M371" s="279">
        <f t="shared" si="20"/>
        <v>0</v>
      </c>
      <c r="O371" s="279">
        <f t="shared" si="21"/>
        <v>0</v>
      </c>
      <c r="Q371" s="293">
        <f t="shared" si="22"/>
        <v>0</v>
      </c>
      <c r="S371" s="293">
        <f t="shared" si="23"/>
        <v>0</v>
      </c>
      <c r="U371" s="385"/>
      <c r="V371" s="385"/>
      <c r="W371" s="385"/>
      <c r="X371" s="385"/>
    </row>
    <row r="372" spans="4:24" s="277" customFormat="1" x14ac:dyDescent="0.3">
      <c r="D372" s="356" t="s">
        <v>833</v>
      </c>
      <c r="E372" s="356"/>
      <c r="F372" s="356"/>
      <c r="G372" s="356"/>
      <c r="I372" s="48">
        <v>0</v>
      </c>
      <c r="K372" s="48">
        <v>0</v>
      </c>
      <c r="M372" s="279">
        <f t="shared" si="20"/>
        <v>0</v>
      </c>
      <c r="O372" s="279">
        <f t="shared" si="21"/>
        <v>0</v>
      </c>
      <c r="Q372" s="293">
        <f t="shared" si="22"/>
        <v>0</v>
      </c>
      <c r="S372" s="293">
        <f t="shared" si="23"/>
        <v>0</v>
      </c>
      <c r="U372" s="385"/>
      <c r="V372" s="385"/>
      <c r="W372" s="385"/>
      <c r="X372" s="385"/>
    </row>
    <row r="373" spans="4:24" s="277" customFormat="1" x14ac:dyDescent="0.3">
      <c r="D373" s="356" t="s">
        <v>834</v>
      </c>
      <c r="E373" s="356"/>
      <c r="F373" s="356"/>
      <c r="G373" s="356"/>
      <c r="I373" s="48">
        <v>0</v>
      </c>
      <c r="K373" s="48">
        <v>0</v>
      </c>
      <c r="M373" s="279">
        <f t="shared" si="20"/>
        <v>0</v>
      </c>
      <c r="O373" s="279">
        <f t="shared" si="21"/>
        <v>0</v>
      </c>
      <c r="Q373" s="293">
        <f t="shared" si="22"/>
        <v>0</v>
      </c>
      <c r="S373" s="293">
        <f t="shared" si="23"/>
        <v>0</v>
      </c>
      <c r="U373" s="385"/>
      <c r="V373" s="385"/>
      <c r="W373" s="385"/>
      <c r="X373" s="385"/>
    </row>
    <row r="374" spans="4:24" s="277" customFormat="1" x14ac:dyDescent="0.3">
      <c r="D374" s="356" t="s">
        <v>835</v>
      </c>
      <c r="E374" s="356"/>
      <c r="F374" s="356"/>
      <c r="G374" s="356"/>
      <c r="I374" s="48">
        <v>0</v>
      </c>
      <c r="K374" s="48">
        <v>0</v>
      </c>
      <c r="M374" s="279">
        <f t="shared" si="20"/>
        <v>0</v>
      </c>
      <c r="O374" s="279">
        <f t="shared" si="21"/>
        <v>0</v>
      </c>
      <c r="Q374" s="293">
        <f t="shared" si="22"/>
        <v>0</v>
      </c>
      <c r="S374" s="293">
        <f t="shared" si="23"/>
        <v>0</v>
      </c>
      <c r="U374" s="385"/>
      <c r="V374" s="385"/>
      <c r="W374" s="385"/>
      <c r="X374" s="385"/>
    </row>
    <row r="375" spans="4:24" s="277" customFormat="1" x14ac:dyDescent="0.3">
      <c r="D375" s="356" t="s">
        <v>836</v>
      </c>
      <c r="E375" s="356"/>
      <c r="F375" s="356"/>
      <c r="G375" s="356"/>
      <c r="I375" s="48">
        <v>0</v>
      </c>
      <c r="K375" s="48">
        <v>0</v>
      </c>
      <c r="M375" s="279">
        <f t="shared" si="20"/>
        <v>0</v>
      </c>
      <c r="O375" s="279">
        <f t="shared" si="21"/>
        <v>0</v>
      </c>
      <c r="Q375" s="293">
        <f t="shared" si="22"/>
        <v>0</v>
      </c>
      <c r="S375" s="293">
        <f t="shared" si="23"/>
        <v>0</v>
      </c>
      <c r="U375" s="385"/>
      <c r="V375" s="385"/>
      <c r="W375" s="385"/>
      <c r="X375" s="385"/>
    </row>
    <row r="376" spans="4:24" s="277" customFormat="1" x14ac:dyDescent="0.3">
      <c r="D376" s="356" t="s">
        <v>837</v>
      </c>
      <c r="E376" s="356"/>
      <c r="F376" s="356"/>
      <c r="G376" s="356"/>
      <c r="I376" s="48">
        <v>0</v>
      </c>
      <c r="K376" s="48">
        <v>0</v>
      </c>
      <c r="M376" s="279">
        <f t="shared" si="20"/>
        <v>0</v>
      </c>
      <c r="O376" s="279">
        <f t="shared" si="21"/>
        <v>0</v>
      </c>
      <c r="Q376" s="293">
        <f t="shared" si="22"/>
        <v>0</v>
      </c>
      <c r="S376" s="293">
        <f t="shared" si="23"/>
        <v>0</v>
      </c>
      <c r="U376" s="385"/>
      <c r="V376" s="385"/>
      <c r="W376" s="385"/>
      <c r="X376" s="385"/>
    </row>
    <row r="377" spans="4:24" s="277" customFormat="1" x14ac:dyDescent="0.3">
      <c r="D377" s="356" t="s">
        <v>846</v>
      </c>
      <c r="E377" s="356"/>
      <c r="F377" s="356"/>
      <c r="G377" s="356"/>
      <c r="I377" s="48">
        <v>0</v>
      </c>
      <c r="K377" s="48">
        <v>0</v>
      </c>
      <c r="M377" s="279">
        <f t="shared" si="20"/>
        <v>0</v>
      </c>
      <c r="O377" s="279">
        <f t="shared" si="21"/>
        <v>0</v>
      </c>
      <c r="Q377" s="293">
        <f t="shared" si="22"/>
        <v>0</v>
      </c>
      <c r="S377" s="293">
        <f t="shared" si="23"/>
        <v>0</v>
      </c>
      <c r="U377" s="385"/>
      <c r="V377" s="385"/>
      <c r="W377" s="385"/>
      <c r="X377" s="385"/>
    </row>
    <row r="378" spans="4:24" s="277" customFormat="1" x14ac:dyDescent="0.3">
      <c r="D378" s="356" t="s">
        <v>847</v>
      </c>
      <c r="E378" s="356"/>
      <c r="F378" s="356"/>
      <c r="G378" s="356"/>
      <c r="I378" s="48">
        <v>0</v>
      </c>
      <c r="K378" s="48">
        <v>0</v>
      </c>
      <c r="M378" s="279">
        <f t="shared" si="20"/>
        <v>0</v>
      </c>
      <c r="O378" s="279">
        <f t="shared" si="21"/>
        <v>0</v>
      </c>
      <c r="Q378" s="293">
        <f t="shared" si="22"/>
        <v>0</v>
      </c>
      <c r="S378" s="293">
        <f t="shared" si="23"/>
        <v>0</v>
      </c>
      <c r="U378" s="385"/>
      <c r="V378" s="385"/>
      <c r="W378" s="385"/>
      <c r="X378" s="385"/>
    </row>
    <row r="379" spans="4:24" s="277" customFormat="1" x14ac:dyDescent="0.3">
      <c r="D379" s="356" t="s">
        <v>848</v>
      </c>
      <c r="E379" s="356"/>
      <c r="F379" s="356"/>
      <c r="G379" s="356"/>
      <c r="I379" s="48">
        <v>0</v>
      </c>
      <c r="K379" s="48">
        <v>0</v>
      </c>
      <c r="M379" s="279">
        <f t="shared" si="20"/>
        <v>0</v>
      </c>
      <c r="O379" s="279">
        <f t="shared" si="21"/>
        <v>0</v>
      </c>
      <c r="Q379" s="293">
        <f t="shared" si="22"/>
        <v>0</v>
      </c>
      <c r="S379" s="293">
        <f t="shared" si="23"/>
        <v>0</v>
      </c>
      <c r="U379" s="385"/>
      <c r="V379" s="385"/>
      <c r="W379" s="385"/>
      <c r="X379" s="385"/>
    </row>
    <row r="380" spans="4:24" s="277" customFormat="1" x14ac:dyDescent="0.3">
      <c r="D380" s="356" t="s">
        <v>849</v>
      </c>
      <c r="E380" s="356"/>
      <c r="F380" s="356"/>
      <c r="G380" s="356"/>
      <c r="I380" s="48">
        <v>0</v>
      </c>
      <c r="K380" s="48">
        <v>0</v>
      </c>
      <c r="M380" s="279">
        <f t="shared" si="20"/>
        <v>0</v>
      </c>
      <c r="O380" s="279">
        <f t="shared" si="21"/>
        <v>0</v>
      </c>
      <c r="Q380" s="293">
        <f t="shared" si="22"/>
        <v>0</v>
      </c>
      <c r="S380" s="293">
        <f t="shared" si="23"/>
        <v>0</v>
      </c>
      <c r="U380" s="385"/>
      <c r="V380" s="385"/>
      <c r="W380" s="385"/>
      <c r="X380" s="385"/>
    </row>
    <row r="381" spans="4:24" s="277" customFormat="1" x14ac:dyDescent="0.3">
      <c r="D381" s="356" t="s">
        <v>971</v>
      </c>
      <c r="E381" s="356"/>
      <c r="F381" s="356"/>
      <c r="G381" s="356"/>
      <c r="I381" s="48">
        <v>0</v>
      </c>
      <c r="K381" s="48">
        <v>0</v>
      </c>
      <c r="M381" s="279">
        <f t="shared" si="20"/>
        <v>0</v>
      </c>
      <c r="O381" s="279">
        <f t="shared" si="21"/>
        <v>0</v>
      </c>
      <c r="Q381" s="293">
        <f t="shared" si="22"/>
        <v>0</v>
      </c>
      <c r="S381" s="293">
        <f t="shared" si="23"/>
        <v>0</v>
      </c>
      <c r="U381" s="385"/>
      <c r="V381" s="385"/>
      <c r="W381" s="385"/>
      <c r="X381" s="385"/>
    </row>
    <row r="382" spans="4:24" s="277" customFormat="1" x14ac:dyDescent="0.3">
      <c r="D382" s="356" t="s">
        <v>973</v>
      </c>
      <c r="E382" s="356"/>
      <c r="F382" s="356"/>
      <c r="G382" s="356"/>
      <c r="I382" s="48">
        <v>0</v>
      </c>
      <c r="K382" s="48">
        <v>0</v>
      </c>
      <c r="M382" s="279">
        <f t="shared" si="20"/>
        <v>0</v>
      </c>
      <c r="O382" s="279">
        <f t="shared" si="21"/>
        <v>0</v>
      </c>
      <c r="Q382" s="293">
        <f t="shared" si="22"/>
        <v>0</v>
      </c>
      <c r="S382" s="293">
        <f t="shared" si="23"/>
        <v>0</v>
      </c>
      <c r="U382" s="385"/>
      <c r="V382" s="385"/>
      <c r="W382" s="385"/>
      <c r="X382" s="385"/>
    </row>
    <row r="383" spans="4:24" s="277" customFormat="1" x14ac:dyDescent="0.3">
      <c r="D383" s="356" t="s">
        <v>974</v>
      </c>
      <c r="E383" s="356"/>
      <c r="F383" s="356"/>
      <c r="G383" s="356"/>
      <c r="I383" s="48">
        <v>0</v>
      </c>
      <c r="K383" s="48">
        <v>0</v>
      </c>
      <c r="M383" s="279">
        <f t="shared" si="20"/>
        <v>0</v>
      </c>
      <c r="O383" s="279">
        <f t="shared" si="21"/>
        <v>0</v>
      </c>
      <c r="Q383" s="293">
        <f t="shared" si="22"/>
        <v>0</v>
      </c>
      <c r="S383" s="293">
        <f t="shared" si="23"/>
        <v>0</v>
      </c>
      <c r="U383" s="385"/>
      <c r="V383" s="385"/>
      <c r="W383" s="385"/>
      <c r="X383" s="385"/>
    </row>
    <row r="384" spans="4:24" s="277" customFormat="1" x14ac:dyDescent="0.3">
      <c r="D384" s="356" t="s">
        <v>975</v>
      </c>
      <c r="E384" s="356"/>
      <c r="F384" s="356"/>
      <c r="G384" s="356"/>
      <c r="I384" s="48">
        <v>0</v>
      </c>
      <c r="K384" s="48">
        <v>0</v>
      </c>
      <c r="M384" s="279">
        <f t="shared" si="20"/>
        <v>0</v>
      </c>
      <c r="O384" s="279">
        <f t="shared" si="21"/>
        <v>0</v>
      </c>
      <c r="Q384" s="293">
        <f t="shared" si="22"/>
        <v>0</v>
      </c>
      <c r="S384" s="293">
        <f t="shared" si="23"/>
        <v>0</v>
      </c>
      <c r="U384" s="385"/>
      <c r="V384" s="385"/>
      <c r="W384" s="385"/>
      <c r="X384" s="385"/>
    </row>
    <row r="385" spans="3:24" s="277" customFormat="1" x14ac:dyDescent="0.3">
      <c r="D385" s="356" t="s">
        <v>976</v>
      </c>
      <c r="E385" s="356"/>
      <c r="F385" s="356"/>
      <c r="G385" s="356"/>
      <c r="I385" s="48">
        <v>0</v>
      </c>
      <c r="K385" s="48">
        <v>0</v>
      </c>
      <c r="M385" s="279">
        <f t="shared" si="20"/>
        <v>0</v>
      </c>
      <c r="O385" s="279">
        <f t="shared" si="21"/>
        <v>0</v>
      </c>
      <c r="Q385" s="293">
        <f t="shared" si="22"/>
        <v>0</v>
      </c>
      <c r="S385" s="293">
        <f t="shared" si="23"/>
        <v>0</v>
      </c>
      <c r="U385" s="385"/>
      <c r="V385" s="385"/>
      <c r="W385" s="385"/>
      <c r="X385" s="385"/>
    </row>
    <row r="386" spans="3:24" ht="14.4" x14ac:dyDescent="0.3">
      <c r="D386" s="420" t="s">
        <v>79</v>
      </c>
      <c r="E386" s="421"/>
      <c r="F386" s="421"/>
      <c r="G386" s="421"/>
      <c r="I386" s="43"/>
      <c r="K386" s="43"/>
      <c r="M386" s="43"/>
      <c r="O386" s="43"/>
      <c r="Q386" s="294">
        <f>SUM(Q361:Q385)</f>
        <v>0</v>
      </c>
      <c r="S386" s="294">
        <f>SUM(S361:S385)</f>
        <v>0</v>
      </c>
    </row>
    <row r="388" spans="3:24" ht="15.6" x14ac:dyDescent="0.3">
      <c r="C388" s="92" t="s">
        <v>164</v>
      </c>
    </row>
    <row r="389" spans="3:24" ht="27.6" x14ac:dyDescent="0.3">
      <c r="D389" s="90" t="s">
        <v>102</v>
      </c>
      <c r="I389" s="91" t="s">
        <v>80</v>
      </c>
      <c r="K389" s="91" t="s">
        <v>432</v>
      </c>
      <c r="M389" s="42" t="s">
        <v>103</v>
      </c>
      <c r="O389" s="42" t="s">
        <v>104</v>
      </c>
      <c r="Q389" s="42" t="s">
        <v>105</v>
      </c>
      <c r="S389" s="42" t="s">
        <v>106</v>
      </c>
      <c r="U389" s="350" t="s">
        <v>185</v>
      </c>
      <c r="V389" s="351"/>
      <c r="W389" s="351"/>
      <c r="X389" s="351"/>
    </row>
    <row r="390" spans="3:24" x14ac:dyDescent="0.3">
      <c r="D390" s="356" t="s">
        <v>109</v>
      </c>
      <c r="E390" s="356"/>
      <c r="F390" s="356"/>
      <c r="G390" s="356"/>
      <c r="I390" s="48">
        <v>0</v>
      </c>
      <c r="K390" s="48">
        <v>0</v>
      </c>
      <c r="M390" s="40">
        <f t="shared" ref="M390:M414" si="24">IFERROR(IF(DD_ACT_4_Meet1_Curr=1,INDEX($M$555:$M$589,MATCH(D390,LU_ACT_4_Allowances,0)),INDEX($Q$555:$Q$589,MATCH(D390,LU_ACT_4_Allowances,0))),0)</f>
        <v>0</v>
      </c>
      <c r="O390" s="40">
        <f t="shared" ref="O390:O414" si="25">IFERROR(IF(DD_ACT_4_Meet1_Curr=1,INDEX($O$555:$O$589,MATCH(D390,LU_ACT_4_Allowances,0)),INDEX($S$555:$S$589,MATCH(D390,LU_ACT_4_Allowances,0))),0)</f>
        <v>0</v>
      </c>
      <c r="Q390" s="293">
        <f t="shared" ref="Q390:Q414" si="26">I390*K390*M390</f>
        <v>0</v>
      </c>
      <c r="S390" s="293">
        <f t="shared" ref="S390:S414" si="27">I390*K390*O390</f>
        <v>0</v>
      </c>
      <c r="U390" s="356"/>
      <c r="V390" s="356"/>
      <c r="W390" s="356"/>
      <c r="X390" s="356"/>
    </row>
    <row r="391" spans="3:24" x14ac:dyDescent="0.3">
      <c r="D391" s="356" t="s">
        <v>110</v>
      </c>
      <c r="E391" s="356"/>
      <c r="F391" s="356"/>
      <c r="G391" s="356"/>
      <c r="I391" s="48">
        <v>0</v>
      </c>
      <c r="K391" s="48">
        <v>0</v>
      </c>
      <c r="M391" s="40">
        <f t="shared" si="24"/>
        <v>0</v>
      </c>
      <c r="O391" s="40">
        <f t="shared" si="25"/>
        <v>0</v>
      </c>
      <c r="Q391" s="293">
        <f t="shared" si="26"/>
        <v>0</v>
      </c>
      <c r="S391" s="293">
        <f t="shared" si="27"/>
        <v>0</v>
      </c>
      <c r="U391" s="356"/>
      <c r="V391" s="356"/>
      <c r="W391" s="356"/>
      <c r="X391" s="356"/>
    </row>
    <row r="392" spans="3:24" x14ac:dyDescent="0.3">
      <c r="D392" s="356" t="s">
        <v>111</v>
      </c>
      <c r="E392" s="356"/>
      <c r="F392" s="356"/>
      <c r="G392" s="356"/>
      <c r="I392" s="48">
        <v>0</v>
      </c>
      <c r="K392" s="48">
        <v>0</v>
      </c>
      <c r="M392" s="40">
        <f t="shared" si="24"/>
        <v>0</v>
      </c>
      <c r="O392" s="40">
        <f t="shared" si="25"/>
        <v>0</v>
      </c>
      <c r="Q392" s="293">
        <f t="shared" si="26"/>
        <v>0</v>
      </c>
      <c r="S392" s="293">
        <f t="shared" si="27"/>
        <v>0</v>
      </c>
      <c r="U392" s="356"/>
      <c r="V392" s="356"/>
      <c r="W392" s="356"/>
      <c r="X392" s="356"/>
    </row>
    <row r="393" spans="3:24" x14ac:dyDescent="0.3">
      <c r="D393" s="356" t="s">
        <v>112</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113</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114</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x14ac:dyDescent="0.3">
      <c r="D396" s="356" t="s">
        <v>115</v>
      </c>
      <c r="E396" s="356"/>
      <c r="F396" s="356"/>
      <c r="G396" s="356"/>
      <c r="I396" s="48">
        <v>0</v>
      </c>
      <c r="K396" s="48">
        <v>0</v>
      </c>
      <c r="M396" s="40">
        <f t="shared" si="24"/>
        <v>0</v>
      </c>
      <c r="O396" s="40">
        <f t="shared" si="25"/>
        <v>0</v>
      </c>
      <c r="Q396" s="293">
        <f t="shared" si="26"/>
        <v>0</v>
      </c>
      <c r="S396" s="293">
        <f t="shared" si="27"/>
        <v>0</v>
      </c>
      <c r="U396" s="356"/>
      <c r="V396" s="356"/>
      <c r="W396" s="356"/>
      <c r="X396" s="356"/>
    </row>
    <row r="397" spans="3:24" x14ac:dyDescent="0.3">
      <c r="D397" s="356" t="s">
        <v>116</v>
      </c>
      <c r="E397" s="356"/>
      <c r="F397" s="356"/>
      <c r="G397" s="356"/>
      <c r="I397" s="48">
        <v>0</v>
      </c>
      <c r="K397" s="48">
        <v>0</v>
      </c>
      <c r="M397" s="40">
        <f t="shared" si="24"/>
        <v>0</v>
      </c>
      <c r="O397" s="40">
        <f t="shared" si="25"/>
        <v>0</v>
      </c>
      <c r="Q397" s="293">
        <f t="shared" si="26"/>
        <v>0</v>
      </c>
      <c r="S397" s="293">
        <f t="shared" si="27"/>
        <v>0</v>
      </c>
      <c r="U397" s="356"/>
      <c r="V397" s="356"/>
      <c r="W397" s="356"/>
      <c r="X397" s="356"/>
    </row>
    <row r="398" spans="3:24" s="277" customFormat="1" x14ac:dyDescent="0.3">
      <c r="D398" s="356" t="s">
        <v>838</v>
      </c>
      <c r="E398" s="356"/>
      <c r="F398" s="356"/>
      <c r="G398" s="356"/>
      <c r="I398" s="48">
        <v>0</v>
      </c>
      <c r="K398" s="48">
        <v>0</v>
      </c>
      <c r="M398" s="279">
        <f t="shared" si="24"/>
        <v>0</v>
      </c>
      <c r="O398" s="279">
        <f t="shared" si="25"/>
        <v>0</v>
      </c>
      <c r="Q398" s="293">
        <f t="shared" si="26"/>
        <v>0</v>
      </c>
      <c r="S398" s="293">
        <f t="shared" si="27"/>
        <v>0</v>
      </c>
      <c r="U398" s="385"/>
      <c r="V398" s="385"/>
      <c r="W398" s="385"/>
      <c r="X398" s="385"/>
    </row>
    <row r="399" spans="3:24" s="277" customFormat="1" x14ac:dyDescent="0.3">
      <c r="D399" s="356" t="s">
        <v>839</v>
      </c>
      <c r="E399" s="356"/>
      <c r="F399" s="356"/>
      <c r="G399" s="356"/>
      <c r="I399" s="48">
        <v>0</v>
      </c>
      <c r="K399" s="48">
        <v>0</v>
      </c>
      <c r="M399" s="279">
        <f t="shared" si="24"/>
        <v>0</v>
      </c>
      <c r="O399" s="279">
        <f t="shared" si="25"/>
        <v>0</v>
      </c>
      <c r="Q399" s="293">
        <f t="shared" si="26"/>
        <v>0</v>
      </c>
      <c r="S399" s="293">
        <f t="shared" si="27"/>
        <v>0</v>
      </c>
      <c r="U399" s="385"/>
      <c r="V399" s="385"/>
      <c r="W399" s="385"/>
      <c r="X399" s="385"/>
    </row>
    <row r="400" spans="3:24" s="277" customFormat="1" x14ac:dyDescent="0.3">
      <c r="D400" s="356" t="s">
        <v>840</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841</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842</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843</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844</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845</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850</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851</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852</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853</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972</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977</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978</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s="277" customFormat="1" x14ac:dyDescent="0.3">
      <c r="D413" s="356" t="s">
        <v>979</v>
      </c>
      <c r="E413" s="356"/>
      <c r="F413" s="356"/>
      <c r="G413" s="356"/>
      <c r="I413" s="48">
        <v>0</v>
      </c>
      <c r="K413" s="48">
        <v>0</v>
      </c>
      <c r="M413" s="279">
        <f t="shared" si="24"/>
        <v>0</v>
      </c>
      <c r="O413" s="279">
        <f t="shared" si="25"/>
        <v>0</v>
      </c>
      <c r="Q413" s="293">
        <f t="shared" si="26"/>
        <v>0</v>
      </c>
      <c r="S413" s="293">
        <f t="shared" si="27"/>
        <v>0</v>
      </c>
      <c r="U413" s="385"/>
      <c r="V413" s="385"/>
      <c r="W413" s="385"/>
      <c r="X413" s="385"/>
    </row>
    <row r="414" spans="4:24" s="277" customFormat="1" x14ac:dyDescent="0.3">
      <c r="D414" s="356" t="s">
        <v>980</v>
      </c>
      <c r="E414" s="356"/>
      <c r="F414" s="356"/>
      <c r="G414" s="356"/>
      <c r="I414" s="48">
        <v>0</v>
      </c>
      <c r="K414" s="48">
        <v>0</v>
      </c>
      <c r="M414" s="279">
        <f t="shared" si="24"/>
        <v>0</v>
      </c>
      <c r="O414" s="279">
        <f t="shared" si="25"/>
        <v>0</v>
      </c>
      <c r="Q414" s="293">
        <f t="shared" si="26"/>
        <v>0</v>
      </c>
      <c r="S414" s="293">
        <f t="shared" si="27"/>
        <v>0</v>
      </c>
      <c r="U414" s="385"/>
      <c r="V414" s="385"/>
      <c r="W414" s="385"/>
      <c r="X414" s="385"/>
    </row>
    <row r="415" spans="4:24" ht="14.4" x14ac:dyDescent="0.3">
      <c r="D415" s="420" t="s">
        <v>82</v>
      </c>
      <c r="E415" s="421"/>
      <c r="F415" s="421"/>
      <c r="G415" s="421"/>
      <c r="I415" s="43"/>
      <c r="K415" s="43"/>
      <c r="M415" s="43"/>
      <c r="O415" s="43"/>
      <c r="Q415" s="294">
        <f>SUM(Q390:Q414)</f>
        <v>0</v>
      </c>
      <c r="S415" s="294">
        <f>SUM(S390:S414)</f>
        <v>0</v>
      </c>
    </row>
    <row r="419" spans="3:24" ht="15.6" x14ac:dyDescent="0.3">
      <c r="C419" s="92" t="s">
        <v>84</v>
      </c>
    </row>
    <row r="420" spans="3:24" ht="27.6" x14ac:dyDescent="0.3">
      <c r="D420" s="90" t="s">
        <v>102</v>
      </c>
      <c r="I420" s="91" t="s">
        <v>87</v>
      </c>
      <c r="K420" s="91" t="s">
        <v>432</v>
      </c>
      <c r="M420" s="42" t="s">
        <v>107</v>
      </c>
      <c r="O420" s="42" t="s">
        <v>108</v>
      </c>
      <c r="Q420" s="42" t="s">
        <v>105</v>
      </c>
      <c r="S420" s="42" t="s">
        <v>106</v>
      </c>
      <c r="U420" s="350" t="s">
        <v>185</v>
      </c>
      <c r="V420" s="351"/>
      <c r="W420" s="351"/>
      <c r="X420" s="351"/>
    </row>
    <row r="421" spans="3:24" x14ac:dyDescent="0.3">
      <c r="D421" s="356" t="s">
        <v>892</v>
      </c>
      <c r="E421" s="356"/>
      <c r="F421" s="356"/>
      <c r="G421" s="356"/>
      <c r="I421" s="48">
        <v>0</v>
      </c>
      <c r="K421" s="48">
        <v>0</v>
      </c>
      <c r="M421" s="40">
        <f t="shared" ref="M421:M445" si="28">IFERROR(IF(DD_ACT_4_Meet1_Curr=1,INDEX($M$593:$M$627,MATCH(D421,LU_ACT_4_Supplies,0)),INDEX($Q$593:$Q$627,MATCH(D421,LU_ACT_4_Supplies,0))),0)</f>
        <v>0</v>
      </c>
      <c r="O421" s="40">
        <f t="shared" ref="O421:O445" si="29">IFERROR(IF(DD_ACT_4_Meet1_Curr=1,INDEX($O$593:$O$627,MATCH(D421,LU_ACT_4_Supplies,0)),INDEX($S$593:$S$627,MATCH(D421,LU_ACT_4_Supplies,0))),0)</f>
        <v>0</v>
      </c>
      <c r="Q421" s="295">
        <f t="shared" ref="Q421:Q445" si="30">I421*K421*M421</f>
        <v>0</v>
      </c>
      <c r="S421" s="293">
        <f t="shared" ref="S421:S445" si="31">I421*K421*O421</f>
        <v>0</v>
      </c>
      <c r="U421" s="356"/>
      <c r="V421" s="356"/>
      <c r="W421" s="356"/>
      <c r="X421" s="356"/>
    </row>
    <row r="422" spans="3:24" x14ac:dyDescent="0.3">
      <c r="D422" s="356" t="s">
        <v>893</v>
      </c>
      <c r="E422" s="356"/>
      <c r="F422" s="356"/>
      <c r="G422" s="356"/>
      <c r="I422" s="48">
        <v>0</v>
      </c>
      <c r="K422" s="48">
        <v>0</v>
      </c>
      <c r="M422" s="40">
        <f t="shared" si="28"/>
        <v>0</v>
      </c>
      <c r="O422" s="40">
        <f t="shared" si="29"/>
        <v>0</v>
      </c>
      <c r="Q422" s="295">
        <f t="shared" si="30"/>
        <v>0</v>
      </c>
      <c r="S422" s="293">
        <f t="shared" si="31"/>
        <v>0</v>
      </c>
      <c r="U422" s="356"/>
      <c r="V422" s="356"/>
      <c r="W422" s="356"/>
      <c r="X422" s="356"/>
    </row>
    <row r="423" spans="3:24" s="277" customFormat="1" x14ac:dyDescent="0.3">
      <c r="D423" s="356" t="s">
        <v>854</v>
      </c>
      <c r="E423" s="356"/>
      <c r="F423" s="356"/>
      <c r="G423" s="356"/>
      <c r="I423" s="48">
        <v>0</v>
      </c>
      <c r="K423" s="48">
        <v>0</v>
      </c>
      <c r="M423" s="279">
        <f t="shared" si="28"/>
        <v>0</v>
      </c>
      <c r="O423" s="279">
        <f t="shared" si="29"/>
        <v>0</v>
      </c>
      <c r="Q423" s="295">
        <f t="shared" si="30"/>
        <v>0</v>
      </c>
      <c r="S423" s="293">
        <f t="shared" si="31"/>
        <v>0</v>
      </c>
      <c r="U423" s="385"/>
      <c r="V423" s="385"/>
      <c r="W423" s="385"/>
      <c r="X423" s="385"/>
    </row>
    <row r="424" spans="3:24" s="277" customFormat="1" x14ac:dyDescent="0.3">
      <c r="D424" s="356" t="s">
        <v>855</v>
      </c>
      <c r="E424" s="356"/>
      <c r="F424" s="356"/>
      <c r="G424" s="356"/>
      <c r="I424" s="48">
        <v>0</v>
      </c>
      <c r="K424" s="48">
        <v>0</v>
      </c>
      <c r="M424" s="279">
        <f t="shared" si="28"/>
        <v>0</v>
      </c>
      <c r="O424" s="279">
        <f t="shared" si="29"/>
        <v>0</v>
      </c>
      <c r="Q424" s="295">
        <f t="shared" si="30"/>
        <v>0</v>
      </c>
      <c r="S424" s="293">
        <f t="shared" si="31"/>
        <v>0</v>
      </c>
      <c r="U424" s="385"/>
      <c r="V424" s="385"/>
      <c r="W424" s="385"/>
      <c r="X424" s="385"/>
    </row>
    <row r="425" spans="3:24" s="277" customFormat="1" x14ac:dyDescent="0.3">
      <c r="D425" s="356" t="s">
        <v>856</v>
      </c>
      <c r="E425" s="356"/>
      <c r="F425" s="356"/>
      <c r="G425" s="356"/>
      <c r="I425" s="48">
        <v>0</v>
      </c>
      <c r="K425" s="48">
        <v>0</v>
      </c>
      <c r="M425" s="279">
        <f t="shared" si="28"/>
        <v>0</v>
      </c>
      <c r="O425" s="279">
        <f t="shared" si="29"/>
        <v>0</v>
      </c>
      <c r="Q425" s="295">
        <f t="shared" si="30"/>
        <v>0</v>
      </c>
      <c r="S425" s="293">
        <f t="shared" si="31"/>
        <v>0</v>
      </c>
      <c r="U425" s="385"/>
      <c r="V425" s="385"/>
      <c r="W425" s="385"/>
      <c r="X425" s="385"/>
    </row>
    <row r="426" spans="3:24" s="277" customFormat="1" x14ac:dyDescent="0.3">
      <c r="D426" s="356" t="s">
        <v>857</v>
      </c>
      <c r="E426" s="356"/>
      <c r="F426" s="356"/>
      <c r="G426" s="356"/>
      <c r="I426" s="48">
        <v>0</v>
      </c>
      <c r="K426" s="48">
        <v>0</v>
      </c>
      <c r="M426" s="279">
        <f t="shared" si="28"/>
        <v>0</v>
      </c>
      <c r="O426" s="279">
        <f t="shared" si="29"/>
        <v>0</v>
      </c>
      <c r="Q426" s="295">
        <f t="shared" si="30"/>
        <v>0</v>
      </c>
      <c r="S426" s="293">
        <f t="shared" si="31"/>
        <v>0</v>
      </c>
      <c r="U426" s="385"/>
      <c r="V426" s="385"/>
      <c r="W426" s="385"/>
      <c r="X426" s="385"/>
    </row>
    <row r="427" spans="3:24" s="277" customFormat="1" x14ac:dyDescent="0.3">
      <c r="D427" s="356" t="s">
        <v>858</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859</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860</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861</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862</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863</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3:24" s="277" customFormat="1" x14ac:dyDescent="0.3">
      <c r="D433" s="356" t="s">
        <v>864</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3:24" s="277" customFormat="1" x14ac:dyDescent="0.3">
      <c r="D434" s="356" t="s">
        <v>865</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3:24" s="277" customFormat="1" x14ac:dyDescent="0.3">
      <c r="D435" s="356" t="s">
        <v>866</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3:24" s="277" customFormat="1" x14ac:dyDescent="0.3">
      <c r="D436" s="356" t="s">
        <v>867</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3:24" s="277" customFormat="1" x14ac:dyDescent="0.3">
      <c r="D437" s="356" t="s">
        <v>868</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3:24" s="277" customFormat="1" x14ac:dyDescent="0.3">
      <c r="D438" s="356" t="s">
        <v>869</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3:24" s="277" customFormat="1" x14ac:dyDescent="0.3">
      <c r="D439" s="356" t="s">
        <v>870</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3:24" s="277" customFormat="1" x14ac:dyDescent="0.3">
      <c r="D440" s="356" t="s">
        <v>871</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3:24" s="277" customFormat="1" x14ac:dyDescent="0.3">
      <c r="D441" s="356" t="s">
        <v>981</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3:24" s="277" customFormat="1" x14ac:dyDescent="0.3">
      <c r="D442" s="356" t="s">
        <v>982</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3:24" s="277" customFormat="1" x14ac:dyDescent="0.3">
      <c r="D443" s="356" t="s">
        <v>983</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3:24" s="277" customFormat="1" x14ac:dyDescent="0.3">
      <c r="D444" s="356" t="s">
        <v>984</v>
      </c>
      <c r="E444" s="356"/>
      <c r="F444" s="356"/>
      <c r="G444" s="356"/>
      <c r="I444" s="48">
        <v>0</v>
      </c>
      <c r="K444" s="48">
        <v>0</v>
      </c>
      <c r="M444" s="279">
        <f t="shared" si="28"/>
        <v>0</v>
      </c>
      <c r="O444" s="279">
        <f t="shared" si="29"/>
        <v>0</v>
      </c>
      <c r="Q444" s="295">
        <f t="shared" si="30"/>
        <v>0</v>
      </c>
      <c r="S444" s="293">
        <f t="shared" si="31"/>
        <v>0</v>
      </c>
      <c r="U444" s="385"/>
      <c r="V444" s="385"/>
      <c r="W444" s="385"/>
      <c r="X444" s="385"/>
    </row>
    <row r="445" spans="3:24" s="277" customFormat="1" x14ac:dyDescent="0.3">
      <c r="D445" s="356" t="s">
        <v>985</v>
      </c>
      <c r="E445" s="356"/>
      <c r="F445" s="356"/>
      <c r="G445" s="356"/>
      <c r="I445" s="48">
        <v>0</v>
      </c>
      <c r="K445" s="48">
        <v>0</v>
      </c>
      <c r="M445" s="279">
        <f t="shared" si="28"/>
        <v>0</v>
      </c>
      <c r="O445" s="279">
        <f t="shared" si="29"/>
        <v>0</v>
      </c>
      <c r="Q445" s="295">
        <f t="shared" si="30"/>
        <v>0</v>
      </c>
      <c r="S445" s="293">
        <f t="shared" si="31"/>
        <v>0</v>
      </c>
      <c r="U445" s="385"/>
      <c r="V445" s="385"/>
      <c r="W445" s="385"/>
      <c r="X445" s="385"/>
    </row>
    <row r="446" spans="3:24" ht="14.4" x14ac:dyDescent="0.3">
      <c r="D446" s="420" t="s">
        <v>85</v>
      </c>
      <c r="E446" s="421"/>
      <c r="F446" s="421"/>
      <c r="G446" s="421"/>
      <c r="I446" s="43"/>
      <c r="K446" s="43"/>
      <c r="M446" s="43"/>
      <c r="O446" s="43"/>
      <c r="Q446" s="296">
        <f>SUM(Q421:Q445)</f>
        <v>0</v>
      </c>
      <c r="S446" s="294">
        <f>SUM(S421:S445)</f>
        <v>0</v>
      </c>
      <c r="U446" s="43"/>
      <c r="V446" s="43"/>
      <c r="W446" s="43"/>
      <c r="X446" s="43"/>
    </row>
    <row r="448" spans="3:24" ht="27.6" x14ac:dyDescent="0.3">
      <c r="C448" s="92" t="s">
        <v>130</v>
      </c>
      <c r="Q448" s="44" t="str">
        <f>"FINANCIAL COST ("&amp;INDEX(LU_ACT_4_Meet_Curr,DD_ACT_4_Meet1_Curr)&amp;")"</f>
        <v>FINANCIAL COST (GOZ)</v>
      </c>
      <c r="S448" s="44" t="str">
        <f>"ECONOMIC COST ("&amp;INDEX(LU_ACT_4_Meet_Curr,DD_ACT_4_Meet1_Curr)&amp;")"</f>
        <v>ECONOMIC COST (GOZ)</v>
      </c>
    </row>
    <row r="449" spans="4:24" ht="14.4" x14ac:dyDescent="0.3">
      <c r="D449" s="90" t="s">
        <v>86</v>
      </c>
      <c r="I449" s="91" t="s">
        <v>186</v>
      </c>
      <c r="M449" s="91" t="s">
        <v>81</v>
      </c>
      <c r="O449" s="91" t="s">
        <v>83</v>
      </c>
      <c r="U449" s="350" t="s">
        <v>185</v>
      </c>
      <c r="V449" s="351"/>
      <c r="W449" s="351"/>
      <c r="X449" s="351"/>
    </row>
    <row r="450" spans="4:24" x14ac:dyDescent="0.3">
      <c r="D450" s="356" t="s">
        <v>70</v>
      </c>
      <c r="E450" s="356"/>
      <c r="F450" s="356"/>
      <c r="G450" s="356"/>
      <c r="I450" s="48">
        <v>0</v>
      </c>
      <c r="M450" s="40">
        <f t="shared" ref="M450:M474" si="32">IFERROR(IF(DD_ACT_4_Meet1_Curr=1,INDEX($M$630:$M$664,MATCH(D450,LU_ACT_4_Equipment,0)),INDEX($Q$630:$Q$664,MATCH(D450,LU_ACT_4_Equipment,0))),0)</f>
        <v>0</v>
      </c>
      <c r="O450" s="40">
        <f t="shared" ref="O450:O474" si="33">IFERROR(IF(DD_ACT_4_Meet1_Curr=1,INDEX($O$630:$O$664,MATCH(D450,LU_ACT_4_Equipment,0)),INDEX($S$630:$S$664,MATCH(D450,LU_ACT_4_Equipment,0))),0)</f>
        <v>0</v>
      </c>
      <c r="Q450" s="279">
        <f t="shared" ref="Q450:Q474" si="34">I450*M450</f>
        <v>0</v>
      </c>
      <c r="S450" s="279">
        <f t="shared" ref="S450:S474" si="35">I450*O450</f>
        <v>0</v>
      </c>
      <c r="U450" s="356"/>
      <c r="V450" s="356"/>
      <c r="W450" s="356"/>
      <c r="X450" s="356"/>
    </row>
    <row r="451" spans="4:24" x14ac:dyDescent="0.3">
      <c r="D451" s="356" t="s">
        <v>122</v>
      </c>
      <c r="E451" s="356"/>
      <c r="F451" s="356"/>
      <c r="G451" s="356"/>
      <c r="I451" s="48">
        <v>0</v>
      </c>
      <c r="M451" s="40">
        <f t="shared" si="32"/>
        <v>0</v>
      </c>
      <c r="O451" s="40">
        <f t="shared" si="33"/>
        <v>0</v>
      </c>
      <c r="Q451" s="279">
        <f t="shared" si="34"/>
        <v>0</v>
      </c>
      <c r="S451" s="279">
        <f t="shared" si="35"/>
        <v>0</v>
      </c>
      <c r="U451" s="356"/>
      <c r="V451" s="356"/>
      <c r="W451" s="356"/>
      <c r="X451" s="356"/>
    </row>
    <row r="452" spans="4:24" s="277" customFormat="1" x14ac:dyDescent="0.3">
      <c r="D452" s="356" t="s">
        <v>872</v>
      </c>
      <c r="E452" s="356"/>
      <c r="F452" s="356"/>
      <c r="G452" s="356"/>
      <c r="I452" s="48">
        <v>0</v>
      </c>
      <c r="M452" s="279">
        <f t="shared" si="32"/>
        <v>0</v>
      </c>
      <c r="O452" s="279">
        <f t="shared" si="33"/>
        <v>0</v>
      </c>
      <c r="Q452" s="279">
        <f t="shared" si="34"/>
        <v>0</v>
      </c>
      <c r="S452" s="279">
        <f t="shared" si="35"/>
        <v>0</v>
      </c>
      <c r="U452" s="385"/>
      <c r="V452" s="385"/>
      <c r="W452" s="385"/>
      <c r="X452" s="385"/>
    </row>
    <row r="453" spans="4:24" s="277" customFormat="1" x14ac:dyDescent="0.3">
      <c r="D453" s="356" t="s">
        <v>873</v>
      </c>
      <c r="E453" s="356"/>
      <c r="F453" s="356"/>
      <c r="G453" s="356"/>
      <c r="I453" s="48">
        <v>0</v>
      </c>
      <c r="M453" s="279">
        <f t="shared" si="32"/>
        <v>0</v>
      </c>
      <c r="O453" s="279">
        <f t="shared" si="33"/>
        <v>0</v>
      </c>
      <c r="Q453" s="279">
        <f t="shared" si="34"/>
        <v>0</v>
      </c>
      <c r="S453" s="279">
        <f t="shared" si="35"/>
        <v>0</v>
      </c>
      <c r="U453" s="385"/>
      <c r="V453" s="385"/>
      <c r="W453" s="385"/>
      <c r="X453" s="385"/>
    </row>
    <row r="454" spans="4:24" s="277" customFormat="1" x14ac:dyDescent="0.3">
      <c r="D454" s="356" t="s">
        <v>874</v>
      </c>
      <c r="E454" s="356"/>
      <c r="F454" s="356"/>
      <c r="G454" s="356"/>
      <c r="I454" s="48">
        <v>0</v>
      </c>
      <c r="M454" s="279">
        <f t="shared" si="32"/>
        <v>0</v>
      </c>
      <c r="O454" s="279">
        <f t="shared" si="33"/>
        <v>0</v>
      </c>
      <c r="Q454" s="279">
        <f t="shared" si="34"/>
        <v>0</v>
      </c>
      <c r="S454" s="279">
        <f t="shared" si="35"/>
        <v>0</v>
      </c>
      <c r="U454" s="385"/>
      <c r="V454" s="385"/>
      <c r="W454" s="385"/>
      <c r="X454" s="385"/>
    </row>
    <row r="455" spans="4:24" s="277" customFormat="1" x14ac:dyDescent="0.3">
      <c r="D455" s="356" t="s">
        <v>875</v>
      </c>
      <c r="E455" s="356"/>
      <c r="F455" s="356"/>
      <c r="G455" s="356"/>
      <c r="I455" s="48">
        <v>0</v>
      </c>
      <c r="M455" s="279">
        <f t="shared" si="32"/>
        <v>0</v>
      </c>
      <c r="O455" s="279">
        <f t="shared" si="33"/>
        <v>0</v>
      </c>
      <c r="Q455" s="279">
        <f t="shared" si="34"/>
        <v>0</v>
      </c>
      <c r="S455" s="279">
        <f t="shared" si="35"/>
        <v>0</v>
      </c>
      <c r="U455" s="385"/>
      <c r="V455" s="385"/>
      <c r="W455" s="385"/>
      <c r="X455" s="385"/>
    </row>
    <row r="456" spans="4:24" s="277" customFormat="1" x14ac:dyDescent="0.3">
      <c r="D456" s="356" t="s">
        <v>778</v>
      </c>
      <c r="E456" s="356"/>
      <c r="F456" s="356"/>
      <c r="G456" s="356"/>
      <c r="I456" s="48">
        <v>0</v>
      </c>
      <c r="M456" s="279">
        <f t="shared" si="32"/>
        <v>0</v>
      </c>
      <c r="O456" s="279">
        <f t="shared" si="33"/>
        <v>0</v>
      </c>
      <c r="Q456" s="279">
        <f t="shared" si="34"/>
        <v>0</v>
      </c>
      <c r="S456" s="279">
        <f t="shared" si="35"/>
        <v>0</v>
      </c>
      <c r="U456" s="385"/>
      <c r="V456" s="385"/>
      <c r="W456" s="385"/>
      <c r="X456" s="385"/>
    </row>
    <row r="457" spans="4:24" s="277" customFormat="1" x14ac:dyDescent="0.3">
      <c r="D457" s="356" t="s">
        <v>779</v>
      </c>
      <c r="E457" s="356"/>
      <c r="F457" s="356"/>
      <c r="G457" s="356"/>
      <c r="I457" s="48">
        <v>0</v>
      </c>
      <c r="M457" s="279">
        <f t="shared" si="32"/>
        <v>0</v>
      </c>
      <c r="O457" s="279">
        <f t="shared" si="33"/>
        <v>0</v>
      </c>
      <c r="Q457" s="279">
        <f t="shared" si="34"/>
        <v>0</v>
      </c>
      <c r="S457" s="279">
        <f t="shared" si="35"/>
        <v>0</v>
      </c>
      <c r="U457" s="385"/>
      <c r="V457" s="385"/>
      <c r="W457" s="385"/>
      <c r="X457" s="385"/>
    </row>
    <row r="458" spans="4:24" s="277" customFormat="1" x14ac:dyDescent="0.3">
      <c r="D458" s="356" t="s">
        <v>780</v>
      </c>
      <c r="E458" s="356"/>
      <c r="F458" s="356"/>
      <c r="G458" s="356"/>
      <c r="I458" s="48">
        <v>0</v>
      </c>
      <c r="M458" s="279">
        <f t="shared" si="32"/>
        <v>0</v>
      </c>
      <c r="O458" s="279">
        <f t="shared" si="33"/>
        <v>0</v>
      </c>
      <c r="Q458" s="279">
        <f t="shared" si="34"/>
        <v>0</v>
      </c>
      <c r="S458" s="279">
        <f t="shared" si="35"/>
        <v>0</v>
      </c>
      <c r="U458" s="385"/>
      <c r="V458" s="385"/>
      <c r="W458" s="385"/>
      <c r="X458" s="385"/>
    </row>
    <row r="459" spans="4:24" s="277" customFormat="1" x14ac:dyDescent="0.3">
      <c r="D459" s="356" t="s">
        <v>781</v>
      </c>
      <c r="E459" s="356"/>
      <c r="F459" s="356"/>
      <c r="G459" s="356"/>
      <c r="I459" s="48">
        <v>0</v>
      </c>
      <c r="M459" s="279">
        <f t="shared" si="32"/>
        <v>0</v>
      </c>
      <c r="O459" s="279">
        <f t="shared" si="33"/>
        <v>0</v>
      </c>
      <c r="Q459" s="279">
        <f t="shared" si="34"/>
        <v>0</v>
      </c>
      <c r="S459" s="279">
        <f t="shared" si="35"/>
        <v>0</v>
      </c>
      <c r="U459" s="385"/>
      <c r="V459" s="385"/>
      <c r="W459" s="385"/>
      <c r="X459" s="385"/>
    </row>
    <row r="460" spans="4:24" s="277" customFormat="1" x14ac:dyDescent="0.3">
      <c r="D460" s="356" t="s">
        <v>782</v>
      </c>
      <c r="E460" s="356"/>
      <c r="F460" s="356"/>
      <c r="G460" s="356"/>
      <c r="I460" s="48">
        <v>0</v>
      </c>
      <c r="M460" s="279">
        <f t="shared" si="32"/>
        <v>0</v>
      </c>
      <c r="O460" s="279">
        <f t="shared" si="33"/>
        <v>0</v>
      </c>
      <c r="Q460" s="279">
        <f t="shared" si="34"/>
        <v>0</v>
      </c>
      <c r="S460" s="279">
        <f t="shared" si="35"/>
        <v>0</v>
      </c>
      <c r="U460" s="385"/>
      <c r="V460" s="385"/>
      <c r="W460" s="385"/>
      <c r="X460" s="385"/>
    </row>
    <row r="461" spans="4:24" s="277" customFormat="1" x14ac:dyDescent="0.3">
      <c r="D461" s="356" t="s">
        <v>783</v>
      </c>
      <c r="E461" s="356"/>
      <c r="F461" s="356"/>
      <c r="G461" s="356"/>
      <c r="I461" s="48">
        <v>0</v>
      </c>
      <c r="M461" s="279">
        <f t="shared" si="32"/>
        <v>0</v>
      </c>
      <c r="O461" s="279">
        <f t="shared" si="33"/>
        <v>0</v>
      </c>
      <c r="Q461" s="279">
        <f t="shared" si="34"/>
        <v>0</v>
      </c>
      <c r="S461" s="279">
        <f t="shared" si="35"/>
        <v>0</v>
      </c>
      <c r="U461" s="385"/>
      <c r="V461" s="385"/>
      <c r="W461" s="385"/>
      <c r="X461" s="385"/>
    </row>
    <row r="462" spans="4:24" s="277" customFormat="1" x14ac:dyDescent="0.3">
      <c r="D462" s="356" t="s">
        <v>784</v>
      </c>
      <c r="E462" s="356"/>
      <c r="F462" s="356"/>
      <c r="G462" s="356"/>
      <c r="I462" s="48">
        <v>0</v>
      </c>
      <c r="M462" s="279">
        <f t="shared" si="32"/>
        <v>0</v>
      </c>
      <c r="O462" s="279">
        <f t="shared" si="33"/>
        <v>0</v>
      </c>
      <c r="Q462" s="279">
        <f t="shared" si="34"/>
        <v>0</v>
      </c>
      <c r="S462" s="279">
        <f t="shared" si="35"/>
        <v>0</v>
      </c>
      <c r="U462" s="385"/>
      <c r="V462" s="385"/>
      <c r="W462" s="385"/>
      <c r="X462" s="385"/>
    </row>
    <row r="463" spans="4:24" s="277" customFormat="1" x14ac:dyDescent="0.3">
      <c r="D463" s="356" t="s">
        <v>785</v>
      </c>
      <c r="E463" s="356"/>
      <c r="F463" s="356"/>
      <c r="G463" s="356"/>
      <c r="I463" s="48">
        <v>0</v>
      </c>
      <c r="M463" s="279">
        <f t="shared" si="32"/>
        <v>0</v>
      </c>
      <c r="O463" s="279">
        <f t="shared" si="33"/>
        <v>0</v>
      </c>
      <c r="Q463" s="279">
        <f t="shared" si="34"/>
        <v>0</v>
      </c>
      <c r="S463" s="279">
        <f t="shared" si="35"/>
        <v>0</v>
      </c>
      <c r="U463" s="385"/>
      <c r="V463" s="385"/>
      <c r="W463" s="385"/>
      <c r="X463" s="385"/>
    </row>
    <row r="464" spans="4:24" s="277" customFormat="1" x14ac:dyDescent="0.3">
      <c r="D464" s="356" t="s">
        <v>786</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787</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788</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789</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790</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791</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792</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793</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794</v>
      </c>
      <c r="E472" s="356"/>
      <c r="F472" s="356"/>
      <c r="G472" s="356"/>
      <c r="I472" s="48">
        <v>0</v>
      </c>
      <c r="M472" s="279">
        <f t="shared" si="32"/>
        <v>0</v>
      </c>
      <c r="O472" s="279">
        <f t="shared" si="33"/>
        <v>0</v>
      </c>
      <c r="Q472" s="279">
        <f t="shared" si="34"/>
        <v>0</v>
      </c>
      <c r="S472" s="279">
        <f t="shared" si="35"/>
        <v>0</v>
      </c>
      <c r="U472" s="385"/>
      <c r="V472" s="385"/>
      <c r="W472" s="385"/>
      <c r="X472" s="385"/>
    </row>
    <row r="473" spans="3:24" s="277" customFormat="1" x14ac:dyDescent="0.3">
      <c r="D473" s="356" t="s">
        <v>795</v>
      </c>
      <c r="E473" s="356"/>
      <c r="F473" s="356"/>
      <c r="G473" s="356"/>
      <c r="I473" s="48">
        <v>0</v>
      </c>
      <c r="M473" s="279">
        <f t="shared" si="32"/>
        <v>0</v>
      </c>
      <c r="O473" s="279">
        <f t="shared" si="33"/>
        <v>0</v>
      </c>
      <c r="Q473" s="279">
        <f t="shared" si="34"/>
        <v>0</v>
      </c>
      <c r="S473" s="279">
        <f t="shared" si="35"/>
        <v>0</v>
      </c>
      <c r="U473" s="385"/>
      <c r="V473" s="385"/>
      <c r="W473" s="385"/>
      <c r="X473" s="385"/>
    </row>
    <row r="474" spans="3:24" s="277" customFormat="1" x14ac:dyDescent="0.3">
      <c r="D474" s="356" t="s">
        <v>796</v>
      </c>
      <c r="E474" s="356"/>
      <c r="F474" s="356"/>
      <c r="G474" s="356"/>
      <c r="I474" s="48">
        <v>0</v>
      </c>
      <c r="M474" s="279">
        <f t="shared" si="32"/>
        <v>0</v>
      </c>
      <c r="O474" s="279">
        <f t="shared" si="33"/>
        <v>0</v>
      </c>
      <c r="Q474" s="279">
        <f t="shared" si="34"/>
        <v>0</v>
      </c>
      <c r="S474" s="279">
        <f t="shared" si="35"/>
        <v>0</v>
      </c>
      <c r="U474" s="385"/>
      <c r="V474" s="385"/>
      <c r="W474" s="385"/>
      <c r="X474" s="385"/>
    </row>
    <row r="475" spans="3:24" ht="14.4" x14ac:dyDescent="0.3">
      <c r="D475" s="420" t="s">
        <v>88</v>
      </c>
      <c r="E475" s="421"/>
      <c r="F475" s="421"/>
      <c r="G475" s="421"/>
      <c r="I475" s="40"/>
      <c r="M475" s="40"/>
      <c r="O475" s="40"/>
      <c r="Q475" s="294">
        <f>SUM(Q450:Q474)</f>
        <v>0</v>
      </c>
      <c r="S475" s="294">
        <f>SUM(S450:S474)</f>
        <v>0</v>
      </c>
    </row>
    <row r="477" spans="3:24" ht="15.6" x14ac:dyDescent="0.3">
      <c r="C477" s="92" t="s">
        <v>89</v>
      </c>
    </row>
    <row r="478" spans="3:24" ht="27.6" x14ac:dyDescent="0.3">
      <c r="Q478" s="44" t="str">
        <f>"FINANCIAL COST ("&amp;INDEX(LU_ACT_4_Meet_Curr,DD_ACT_4_Meet1_Curr)&amp;")"</f>
        <v>FINANCIAL COST (GOZ)</v>
      </c>
      <c r="S478" s="44" t="str">
        <f>"ECONOMIC COST ("&amp;INDEX(LU_ACT_4_Meet_Curr,DD_ACT_4_Meet1_Curr)&amp;")"</f>
        <v>ECONOMIC COST (GOZ)</v>
      </c>
    </row>
    <row r="479" spans="3:24" ht="27.6" x14ac:dyDescent="0.3">
      <c r="D479" s="90" t="s">
        <v>86</v>
      </c>
      <c r="I479" s="91" t="s">
        <v>186</v>
      </c>
      <c r="K479" s="91" t="s">
        <v>432</v>
      </c>
      <c r="M479" s="42" t="s">
        <v>81</v>
      </c>
      <c r="O479" s="42" t="s">
        <v>83</v>
      </c>
      <c r="U479" s="350" t="s">
        <v>185</v>
      </c>
      <c r="V479" s="351"/>
      <c r="W479" s="351"/>
      <c r="X479" s="351"/>
    </row>
    <row r="480" spans="3:24" x14ac:dyDescent="0.3">
      <c r="D480" s="356" t="s">
        <v>71</v>
      </c>
      <c r="E480" s="356"/>
      <c r="F480" s="356"/>
      <c r="G480" s="356"/>
      <c r="I480" s="48">
        <v>0</v>
      </c>
      <c r="K480" s="48">
        <v>0</v>
      </c>
      <c r="M480" s="40">
        <f t="shared" ref="M480:M504" si="36">IFERROR(IF(DD_ACT_4_Meet1_Curr=1,INDEX($M$668:$M$702,MATCH(D480,LU_ACT_4_ODCS,0)),INDEX($Q$668:$Q$702,MATCH(D480,LU_ACT_4_ODCS,0))),0)</f>
        <v>0</v>
      </c>
      <c r="O480" s="40">
        <f t="shared" ref="O480:O504" si="37">IFERROR(IF(DD_ACT_4_Meet1_Curr=1,INDEX($O$668:$O$702,MATCH(D480,LU_ACT_4_ODCS,0)),INDEX($S$668:$S$702,MATCH(D480,LU_ACT_4_ODCS,0))),0)</f>
        <v>0</v>
      </c>
      <c r="Q480" s="279">
        <f t="shared" ref="Q480:Q504" si="38">I480*K480*M480</f>
        <v>0</v>
      </c>
      <c r="S480" s="279">
        <f t="shared" ref="S480:S504" si="39">I480*K480*O480</f>
        <v>0</v>
      </c>
      <c r="U480" s="356"/>
      <c r="V480" s="356"/>
      <c r="W480" s="356"/>
      <c r="X480" s="356"/>
    </row>
    <row r="481" spans="4:24" x14ac:dyDescent="0.3">
      <c r="D481" s="356" t="s">
        <v>72</v>
      </c>
      <c r="E481" s="356"/>
      <c r="F481" s="356"/>
      <c r="G481" s="356"/>
      <c r="I481" s="48">
        <v>0</v>
      </c>
      <c r="K481" s="48">
        <v>0</v>
      </c>
      <c r="M481" s="40">
        <f t="shared" si="36"/>
        <v>0</v>
      </c>
      <c r="O481" s="40">
        <f t="shared" si="37"/>
        <v>0</v>
      </c>
      <c r="Q481" s="279">
        <f t="shared" si="38"/>
        <v>0</v>
      </c>
      <c r="S481" s="279">
        <f t="shared" si="39"/>
        <v>0</v>
      </c>
      <c r="U481" s="356"/>
      <c r="V481" s="356"/>
      <c r="W481" s="356"/>
      <c r="X481" s="356"/>
    </row>
    <row r="482" spans="4:24" x14ac:dyDescent="0.3">
      <c r="D482" s="356" t="s">
        <v>73</v>
      </c>
      <c r="E482" s="356"/>
      <c r="F482" s="356"/>
      <c r="G482" s="356"/>
      <c r="I482" s="48">
        <v>0</v>
      </c>
      <c r="K482" s="48">
        <v>0</v>
      </c>
      <c r="M482" s="40">
        <f t="shared" si="36"/>
        <v>0</v>
      </c>
      <c r="O482" s="40">
        <f t="shared" si="37"/>
        <v>0</v>
      </c>
      <c r="Q482" s="279">
        <f t="shared" si="38"/>
        <v>0</v>
      </c>
      <c r="S482" s="279">
        <f t="shared" si="39"/>
        <v>0</v>
      </c>
      <c r="U482" s="356"/>
      <c r="V482" s="356"/>
      <c r="W482" s="356"/>
      <c r="X482" s="356"/>
    </row>
    <row r="483" spans="4:24" x14ac:dyDescent="0.3">
      <c r="D483" s="356" t="s">
        <v>74</v>
      </c>
      <c r="E483" s="356"/>
      <c r="F483" s="356"/>
      <c r="G483" s="356"/>
      <c r="I483" s="48">
        <v>0</v>
      </c>
      <c r="K483" s="48">
        <v>0</v>
      </c>
      <c r="M483" s="40">
        <f t="shared" si="36"/>
        <v>0</v>
      </c>
      <c r="O483" s="40">
        <f t="shared" si="37"/>
        <v>0</v>
      </c>
      <c r="Q483" s="279">
        <f t="shared" si="38"/>
        <v>0</v>
      </c>
      <c r="S483" s="279">
        <f t="shared" si="39"/>
        <v>0</v>
      </c>
      <c r="U483" s="356"/>
      <c r="V483" s="356"/>
      <c r="W483" s="356"/>
      <c r="X483" s="356"/>
    </row>
    <row r="484" spans="4:24" x14ac:dyDescent="0.3">
      <c r="D484" s="356" t="s">
        <v>75</v>
      </c>
      <c r="E484" s="356"/>
      <c r="F484" s="356"/>
      <c r="G484" s="356"/>
      <c r="I484" s="48">
        <v>0</v>
      </c>
      <c r="K484" s="48">
        <v>0</v>
      </c>
      <c r="M484" s="40">
        <f t="shared" si="36"/>
        <v>0</v>
      </c>
      <c r="O484" s="40">
        <f t="shared" si="37"/>
        <v>0</v>
      </c>
      <c r="Q484" s="279">
        <f t="shared" si="38"/>
        <v>0</v>
      </c>
      <c r="S484" s="279">
        <f t="shared" si="39"/>
        <v>0</v>
      </c>
      <c r="U484" s="356"/>
      <c r="V484" s="356"/>
      <c r="W484" s="356"/>
      <c r="X484" s="356"/>
    </row>
    <row r="485" spans="4:24" s="277" customFormat="1" x14ac:dyDescent="0.3">
      <c r="D485" s="356" t="s">
        <v>876</v>
      </c>
      <c r="E485" s="356"/>
      <c r="F485" s="356"/>
      <c r="G485" s="356"/>
      <c r="I485" s="48">
        <v>0</v>
      </c>
      <c r="K485" s="48">
        <v>0</v>
      </c>
      <c r="M485" s="279">
        <f t="shared" si="36"/>
        <v>0</v>
      </c>
      <c r="O485" s="279">
        <f t="shared" si="37"/>
        <v>0</v>
      </c>
      <c r="Q485" s="279">
        <f t="shared" si="38"/>
        <v>0</v>
      </c>
      <c r="S485" s="279">
        <f t="shared" si="39"/>
        <v>0</v>
      </c>
      <c r="U485" s="385"/>
      <c r="V485" s="385"/>
      <c r="W485" s="385"/>
      <c r="X485" s="385"/>
    </row>
    <row r="486" spans="4:24" s="277" customFormat="1" x14ac:dyDescent="0.3">
      <c r="D486" s="356" t="s">
        <v>877</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878</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879</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880</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881</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882</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883</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884</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885</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886</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887</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888</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889</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890</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986</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987</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s="277" customFormat="1" x14ac:dyDescent="0.3">
      <c r="D502" s="356" t="s">
        <v>988</v>
      </c>
      <c r="E502" s="356"/>
      <c r="F502" s="356"/>
      <c r="G502" s="356"/>
      <c r="I502" s="48">
        <v>0</v>
      </c>
      <c r="K502" s="48">
        <v>0</v>
      </c>
      <c r="M502" s="279">
        <f t="shared" si="36"/>
        <v>0</v>
      </c>
      <c r="O502" s="279">
        <f t="shared" si="37"/>
        <v>0</v>
      </c>
      <c r="Q502" s="279">
        <f t="shared" si="38"/>
        <v>0</v>
      </c>
      <c r="S502" s="279">
        <f t="shared" si="39"/>
        <v>0</v>
      </c>
      <c r="U502" s="385"/>
      <c r="V502" s="385"/>
      <c r="W502" s="385"/>
      <c r="X502" s="385"/>
    </row>
    <row r="503" spans="2:24" s="277" customFormat="1" x14ac:dyDescent="0.3">
      <c r="D503" s="356" t="s">
        <v>989</v>
      </c>
      <c r="E503" s="356"/>
      <c r="F503" s="356"/>
      <c r="G503" s="356"/>
      <c r="I503" s="48">
        <v>0</v>
      </c>
      <c r="K503" s="48">
        <v>0</v>
      </c>
      <c r="M503" s="279">
        <f t="shared" si="36"/>
        <v>0</v>
      </c>
      <c r="O503" s="279">
        <f t="shared" si="37"/>
        <v>0</v>
      </c>
      <c r="Q503" s="279">
        <f t="shared" si="38"/>
        <v>0</v>
      </c>
      <c r="S503" s="279">
        <f t="shared" si="39"/>
        <v>0</v>
      </c>
      <c r="U503" s="385"/>
      <c r="V503" s="385"/>
      <c r="W503" s="385"/>
      <c r="X503" s="385"/>
    </row>
    <row r="504" spans="2:24" s="277" customFormat="1" x14ac:dyDescent="0.3">
      <c r="D504" s="356" t="s">
        <v>990</v>
      </c>
      <c r="E504" s="356"/>
      <c r="F504" s="356"/>
      <c r="G504" s="356"/>
      <c r="I504" s="48">
        <v>0</v>
      </c>
      <c r="K504" s="48">
        <v>0</v>
      </c>
      <c r="M504" s="279">
        <f t="shared" si="36"/>
        <v>0</v>
      </c>
      <c r="O504" s="279">
        <f t="shared" si="37"/>
        <v>0</v>
      </c>
      <c r="Q504" s="279">
        <f t="shared" si="38"/>
        <v>0</v>
      </c>
      <c r="S504" s="279">
        <f t="shared" si="39"/>
        <v>0</v>
      </c>
      <c r="U504" s="385"/>
      <c r="V504" s="385"/>
      <c r="W504" s="385"/>
      <c r="X504" s="385"/>
    </row>
    <row r="505" spans="2:24" ht="14.4" x14ac:dyDescent="0.3">
      <c r="D505" s="420" t="s">
        <v>90</v>
      </c>
      <c r="E505" s="421"/>
      <c r="F505" s="421"/>
      <c r="G505" s="421"/>
      <c r="I505" s="40"/>
      <c r="K505" s="40">
        <f>SUM(K480:K504)</f>
        <v>0</v>
      </c>
      <c r="M505" s="40"/>
      <c r="O505" s="40"/>
      <c r="Q505" s="294">
        <f>SUM(Q480:Q504)</f>
        <v>0</v>
      </c>
      <c r="S505" s="294">
        <f>SUM(S480:S504)</f>
        <v>0</v>
      </c>
    </row>
    <row r="507" spans="2:24" ht="27.6" x14ac:dyDescent="0.3">
      <c r="Q507" s="44" t="str">
        <f>"FINANCIAL COST ("&amp;INDEX(LU_ACT_4_Meet_Curr,DD_ACT_4_Meet1_Curr)&amp;")"</f>
        <v>FINANCIAL COST (GOZ)</v>
      </c>
      <c r="S507" s="44" t="str">
        <f>"ECONOMIC COST ("&amp;INDEX(LU_ACT_4_Meet_Curr,DD_ACT_4_Meet1_Curr)&amp;")"</f>
        <v>ECONOMIC COST (GOZ)</v>
      </c>
      <c r="U507" s="44" t="str">
        <f>"FINANCIAL COST ("&amp;IF(DD_ACT_4_Meet1_Curr=2,$D$512,$D$513)&amp;")"</f>
        <v>FINANCIAL COST (USD)</v>
      </c>
      <c r="W507" s="44" t="str">
        <f>"ECONOMIC COST ("&amp;IF(DD_ACT_4_Meet1_Curr=2,$D$512,$D$513)&amp;")"</f>
        <v>ECONOMIC COST (USD)</v>
      </c>
    </row>
    <row r="508" spans="2:24" ht="15" thickBot="1" x14ac:dyDescent="0.35">
      <c r="B508" s="228" t="str">
        <f>"Total Estimated Costs - "&amp;B356</f>
        <v>Total Estimated Costs - Sensitisation Activity #2 [not in use]</v>
      </c>
      <c r="Q508" s="46">
        <f>SUM(Q386,Q415,Q446,Q475,Q505)</f>
        <v>0</v>
      </c>
      <c r="S508" s="46">
        <f>SUM(S386,S415,S446,S475,S505)</f>
        <v>0</v>
      </c>
      <c r="U508" s="47">
        <f>IFERROR(IF(DD_ACT_4_Meet1_Curr=2,$Q508/$I$513,$Q508*$I$513), 0)</f>
        <v>0</v>
      </c>
      <c r="W508" s="47">
        <f>IFERROR(IF(DD_ACT_4_Meet1_Curr=2,$S508/$I$513,$S508*$I$513), 0)</f>
        <v>0</v>
      </c>
    </row>
    <row r="509" spans="2:24" ht="14.4" thickTop="1" x14ac:dyDescent="0.3"/>
    <row r="510" spans="2:24" x14ac:dyDescent="0.3">
      <c r="C510" s="91" t="s">
        <v>589</v>
      </c>
    </row>
    <row r="511" spans="2:24" hidden="1" outlineLevel="1" x14ac:dyDescent="0.3"/>
    <row r="512" spans="2:24" ht="12.9" hidden="1" customHeight="1" outlineLevel="1" x14ac:dyDescent="0.3">
      <c r="D512" s="422" t="str">
        <f>CURR_TA!D13</f>
        <v>USD</v>
      </c>
      <c r="E512" s="423"/>
      <c r="F512" s="423"/>
      <c r="G512" s="423"/>
      <c r="I512" s="279">
        <f>CURR_TA!J13</f>
        <v>1</v>
      </c>
      <c r="J512" s="279">
        <f>CURR_TA!K13</f>
        <v>0</v>
      </c>
      <c r="K512" s="279">
        <f>CURR_TA!L13</f>
        <v>0</v>
      </c>
      <c r="L512" s="279">
        <f>CURR_TA!M13</f>
        <v>0</v>
      </c>
    </row>
    <row r="513" spans="3:19" ht="12.9" hidden="1" customHeight="1" outlineLevel="1" x14ac:dyDescent="0.3">
      <c r="D513" s="422" t="str">
        <f>CURR_TA!D14</f>
        <v>GOZ</v>
      </c>
      <c r="E513" s="423"/>
      <c r="F513" s="423"/>
      <c r="G513" s="423"/>
      <c r="I513" s="279">
        <f>CURR_TA!J14</f>
        <v>0</v>
      </c>
      <c r="J513" s="279">
        <f>CURR_TA!K14</f>
        <v>0</v>
      </c>
      <c r="K513" s="279">
        <f>CURR_TA!L14</f>
        <v>0</v>
      </c>
      <c r="L513" s="279">
        <f>CURR_TA!M14</f>
        <v>0</v>
      </c>
    </row>
    <row r="514" spans="3:19" collapsed="1" x14ac:dyDescent="0.3"/>
    <row r="516" spans="3:19" x14ac:dyDescent="0.3">
      <c r="C516" s="91" t="s">
        <v>590</v>
      </c>
    </row>
    <row r="517" spans="3:19" hidden="1" outlineLevel="1" x14ac:dyDescent="0.3">
      <c r="M517" s="40" t="str">
        <f>$D$512</f>
        <v>USD</v>
      </c>
      <c r="O517" s="40" t="str">
        <f>$D$512</f>
        <v>USD</v>
      </c>
      <c r="Q517" s="40" t="str">
        <f>$D$513</f>
        <v>GOZ</v>
      </c>
      <c r="S517" s="40" t="str">
        <f>$D$513</f>
        <v>GOZ</v>
      </c>
    </row>
    <row r="518" spans="3:19" hidden="1" outlineLevel="1" x14ac:dyDescent="0.3">
      <c r="C518" s="89" t="str">
        <f>RES_BA!D14</f>
        <v>Personnel Cadre - Other 1</v>
      </c>
      <c r="M518" s="40">
        <f>RES_BA!R14</f>
        <v>0</v>
      </c>
      <c r="O518" s="40">
        <f>RES_BA!S14</f>
        <v>0</v>
      </c>
      <c r="Q518" s="40">
        <f>RES_BA!T14</f>
        <v>0</v>
      </c>
      <c r="S518" s="40">
        <f>RES_BA!U14</f>
        <v>0</v>
      </c>
    </row>
    <row r="519" spans="3:19" hidden="1" outlineLevel="1" x14ac:dyDescent="0.3">
      <c r="C519" s="89" t="str">
        <f>RES_BA!D15</f>
        <v>Personnel Cadre - Other 2</v>
      </c>
      <c r="M519" s="40">
        <f>RES_BA!R15</f>
        <v>0</v>
      </c>
      <c r="O519" s="40">
        <f>RES_BA!S15</f>
        <v>0</v>
      </c>
      <c r="Q519" s="40">
        <f>RES_BA!T15</f>
        <v>0</v>
      </c>
      <c r="S519" s="40">
        <f>RES_BA!U15</f>
        <v>0</v>
      </c>
    </row>
    <row r="520" spans="3:19" hidden="1" outlineLevel="1" x14ac:dyDescent="0.3">
      <c r="C520" s="89" t="str">
        <f>RES_BA!D16</f>
        <v>Personnel Cadre - Other 3</v>
      </c>
      <c r="M520" s="40">
        <f>RES_BA!R16</f>
        <v>0</v>
      </c>
      <c r="O520" s="40">
        <f>RES_BA!S16</f>
        <v>0</v>
      </c>
      <c r="Q520" s="40">
        <f>RES_BA!T16</f>
        <v>0</v>
      </c>
      <c r="S520" s="40">
        <f>RES_BA!U16</f>
        <v>0</v>
      </c>
    </row>
    <row r="521" spans="3:19" hidden="1" outlineLevel="1" x14ac:dyDescent="0.3">
      <c r="C521" s="89" t="str">
        <f>RES_BA!D17</f>
        <v>Personnel Cadre - Other 4</v>
      </c>
      <c r="M521" s="40">
        <f>RES_BA!R17</f>
        <v>0</v>
      </c>
      <c r="O521" s="40">
        <f>RES_BA!S17</f>
        <v>0</v>
      </c>
      <c r="Q521" s="40">
        <f>RES_BA!T17</f>
        <v>0</v>
      </c>
      <c r="S521" s="40">
        <f>RES_BA!U17</f>
        <v>0</v>
      </c>
    </row>
    <row r="522" spans="3:19" hidden="1" outlineLevel="1" x14ac:dyDescent="0.3">
      <c r="C522" s="89" t="str">
        <f>RES_BA!D18</f>
        <v>Personnel Cadre - Other 5</v>
      </c>
      <c r="M522" s="40">
        <f>RES_BA!R18</f>
        <v>0</v>
      </c>
      <c r="O522" s="40">
        <f>RES_BA!S18</f>
        <v>0</v>
      </c>
      <c r="Q522" s="40">
        <f>RES_BA!T18</f>
        <v>0</v>
      </c>
      <c r="S522" s="40">
        <f>RES_BA!U18</f>
        <v>0</v>
      </c>
    </row>
    <row r="523" spans="3:19" hidden="1" outlineLevel="1" x14ac:dyDescent="0.3">
      <c r="C523" s="89" t="str">
        <f>RES_BA!D19</f>
        <v>Personnel Cadre - Other 6</v>
      </c>
      <c r="M523" s="40">
        <f>RES_BA!R19</f>
        <v>0</v>
      </c>
      <c r="O523" s="40">
        <f>RES_BA!S19</f>
        <v>0</v>
      </c>
      <c r="Q523" s="40">
        <f>RES_BA!T19</f>
        <v>0</v>
      </c>
      <c r="S523" s="40">
        <f>RES_BA!U19</f>
        <v>0</v>
      </c>
    </row>
    <row r="524" spans="3:19" hidden="1" outlineLevel="1" x14ac:dyDescent="0.3">
      <c r="C524" s="89" t="str">
        <f>RES_BA!D20</f>
        <v>Personnel Cadre - Other 7</v>
      </c>
      <c r="M524" s="40">
        <f>RES_BA!R20</f>
        <v>0</v>
      </c>
      <c r="O524" s="40">
        <f>RES_BA!S20</f>
        <v>0</v>
      </c>
      <c r="Q524" s="40">
        <f>RES_BA!T20</f>
        <v>0</v>
      </c>
      <c r="S524" s="40">
        <f>RES_BA!U20</f>
        <v>0</v>
      </c>
    </row>
    <row r="525" spans="3:19" hidden="1" outlineLevel="1" x14ac:dyDescent="0.3">
      <c r="C525" s="89" t="str">
        <f>RES_BA!D21</f>
        <v>Personnel Cadre - Other 8</v>
      </c>
      <c r="M525" s="40">
        <f>RES_BA!R21</f>
        <v>0</v>
      </c>
      <c r="O525" s="40">
        <f>RES_BA!S21</f>
        <v>0</v>
      </c>
      <c r="Q525" s="40">
        <f>RES_BA!T21</f>
        <v>0</v>
      </c>
      <c r="S525" s="40">
        <f>RES_BA!U21</f>
        <v>0</v>
      </c>
    </row>
    <row r="526" spans="3:19" hidden="1" outlineLevel="1" x14ac:dyDescent="0.3">
      <c r="C526" s="89" t="str">
        <f>RES_BA!D22</f>
        <v>Personnel Cadre - Other 9</v>
      </c>
      <c r="M526" s="40">
        <f>RES_BA!R22</f>
        <v>0</v>
      </c>
      <c r="O526" s="40">
        <f>RES_BA!S22</f>
        <v>0</v>
      </c>
      <c r="Q526" s="40">
        <f>RES_BA!T22</f>
        <v>0</v>
      </c>
      <c r="S526" s="40">
        <f>RES_BA!U22</f>
        <v>0</v>
      </c>
    </row>
    <row r="527" spans="3:19" hidden="1" outlineLevel="1" x14ac:dyDescent="0.3">
      <c r="C527" s="89" t="str">
        <f>RES_BA!D23</f>
        <v>Personnel Cadre - Other 10</v>
      </c>
      <c r="M527" s="40">
        <f>RES_BA!R23</f>
        <v>0</v>
      </c>
      <c r="O527" s="40">
        <f>RES_BA!S23</f>
        <v>0</v>
      </c>
      <c r="Q527" s="40">
        <f>RES_BA!T23</f>
        <v>0</v>
      </c>
      <c r="S527" s="40">
        <f>RES_BA!U23</f>
        <v>0</v>
      </c>
    </row>
    <row r="528" spans="3:19" hidden="1" outlineLevel="1" x14ac:dyDescent="0.3">
      <c r="C528" s="89" t="str">
        <f>RES_BA!D24</f>
        <v>Personnel Cadre - Other 11</v>
      </c>
      <c r="M528" s="40">
        <f>RES_BA!R24</f>
        <v>0</v>
      </c>
      <c r="O528" s="40">
        <f>RES_BA!S24</f>
        <v>0</v>
      </c>
      <c r="Q528" s="40">
        <f>RES_BA!T24</f>
        <v>0</v>
      </c>
      <c r="S528" s="40">
        <f>RES_BA!U24</f>
        <v>0</v>
      </c>
    </row>
    <row r="529" spans="3:19" hidden="1" outlineLevel="1" x14ac:dyDescent="0.3">
      <c r="C529" s="89" t="str">
        <f>RES_BA!D25</f>
        <v>Personnel Cadre - Other 12</v>
      </c>
      <c r="M529" s="40">
        <f>RES_BA!R25</f>
        <v>0</v>
      </c>
      <c r="O529" s="40">
        <f>RES_BA!S25</f>
        <v>0</v>
      </c>
      <c r="Q529" s="40">
        <f>RES_BA!T25</f>
        <v>0</v>
      </c>
      <c r="S529" s="40">
        <f>RES_BA!U25</f>
        <v>0</v>
      </c>
    </row>
    <row r="530" spans="3:19" hidden="1" outlineLevel="1" x14ac:dyDescent="0.3">
      <c r="C530" s="89" t="str">
        <f>RES_BA!D26</f>
        <v>Personnel Cadre - Other 13</v>
      </c>
      <c r="M530" s="40">
        <f>RES_BA!R26</f>
        <v>0</v>
      </c>
      <c r="O530" s="40">
        <f>RES_BA!S26</f>
        <v>0</v>
      </c>
      <c r="Q530" s="40">
        <f>RES_BA!T26</f>
        <v>0</v>
      </c>
      <c r="S530" s="40">
        <f>RES_BA!U26</f>
        <v>0</v>
      </c>
    </row>
    <row r="531" spans="3:19" hidden="1" outlineLevel="1" x14ac:dyDescent="0.3">
      <c r="C531" s="89" t="str">
        <f>RES_BA!D27</f>
        <v>Personnel Cadre - Other 14</v>
      </c>
      <c r="M531" s="40">
        <f>RES_BA!R27</f>
        <v>0</v>
      </c>
      <c r="O531" s="40">
        <f>RES_BA!S27</f>
        <v>0</v>
      </c>
      <c r="Q531" s="40">
        <f>RES_BA!T27</f>
        <v>0</v>
      </c>
      <c r="S531" s="40">
        <f>RES_BA!U27</f>
        <v>0</v>
      </c>
    </row>
    <row r="532" spans="3:19" hidden="1" outlineLevel="1" x14ac:dyDescent="0.3">
      <c r="C532" s="89" t="str">
        <f>RES_BA!D28</f>
        <v>Personnel Cadre - Other 15</v>
      </c>
      <c r="M532" s="40">
        <f>RES_BA!R28</f>
        <v>0</v>
      </c>
      <c r="O532" s="40">
        <f>RES_BA!S28</f>
        <v>0</v>
      </c>
      <c r="Q532" s="40">
        <f>RES_BA!T28</f>
        <v>0</v>
      </c>
      <c r="S532" s="40">
        <f>RES_BA!U28</f>
        <v>0</v>
      </c>
    </row>
    <row r="533" spans="3:19" s="277" customFormat="1" hidden="1" outlineLevel="1" collapsed="1" x14ac:dyDescent="0.3">
      <c r="C533" s="283" t="str">
        <f>RES_BA!D29</f>
        <v>Personnel Cadre - Other 16</v>
      </c>
      <c r="M533" s="279">
        <f>RES_BA!R29</f>
        <v>0</v>
      </c>
      <c r="O533" s="279">
        <f>RES_BA!S29</f>
        <v>0</v>
      </c>
      <c r="Q533" s="279">
        <f>RES_BA!T29</f>
        <v>0</v>
      </c>
      <c r="S533" s="279">
        <f>RES_BA!U29</f>
        <v>0</v>
      </c>
    </row>
    <row r="534" spans="3:19" s="277" customFormat="1" hidden="1" outlineLevel="1" collapsed="1" x14ac:dyDescent="0.3">
      <c r="C534" s="283" t="str">
        <f>RES_BA!D30</f>
        <v>Personnel Cadre - Other 17</v>
      </c>
      <c r="M534" s="279">
        <f>RES_BA!R30</f>
        <v>0</v>
      </c>
      <c r="O534" s="279">
        <f>RES_BA!S30</f>
        <v>0</v>
      </c>
      <c r="Q534" s="279">
        <f>RES_BA!T30</f>
        <v>0</v>
      </c>
      <c r="S534" s="279">
        <f>RES_BA!U30</f>
        <v>0</v>
      </c>
    </row>
    <row r="535" spans="3:19" s="277" customFormat="1" hidden="1" outlineLevel="1" collapsed="1" x14ac:dyDescent="0.3">
      <c r="C535" s="283" t="str">
        <f>RES_BA!D31</f>
        <v>Personnel Cadre - Other 18</v>
      </c>
      <c r="M535" s="279">
        <f>RES_BA!R31</f>
        <v>0</v>
      </c>
      <c r="O535" s="279">
        <f>RES_BA!S31</f>
        <v>0</v>
      </c>
      <c r="Q535" s="279">
        <f>RES_BA!T31</f>
        <v>0</v>
      </c>
      <c r="S535" s="279">
        <f>RES_BA!U31</f>
        <v>0</v>
      </c>
    </row>
    <row r="536" spans="3:19" s="277" customFormat="1" hidden="1" outlineLevel="1" x14ac:dyDescent="0.3">
      <c r="C536" s="283" t="str">
        <f>RES_BA!D32</f>
        <v>Personnel Cadre - Other 19</v>
      </c>
      <c r="M536" s="279">
        <f>RES_BA!R32</f>
        <v>0</v>
      </c>
      <c r="O536" s="279">
        <f>RES_BA!S32</f>
        <v>0</v>
      </c>
      <c r="Q536" s="279">
        <f>RES_BA!T32</f>
        <v>0</v>
      </c>
      <c r="S536" s="279">
        <f>RES_BA!U32</f>
        <v>0</v>
      </c>
    </row>
    <row r="537" spans="3:19" s="277" customFormat="1" hidden="1" outlineLevel="1" x14ac:dyDescent="0.3">
      <c r="C537" s="283" t="str">
        <f>RES_BA!D33</f>
        <v>Personnel Cadre - Other 20</v>
      </c>
      <c r="M537" s="279">
        <f>RES_BA!R33</f>
        <v>0</v>
      </c>
      <c r="O537" s="279">
        <f>RES_BA!S33</f>
        <v>0</v>
      </c>
      <c r="Q537" s="279">
        <f>RES_BA!T33</f>
        <v>0</v>
      </c>
      <c r="S537" s="279">
        <f>RES_BA!U33</f>
        <v>0</v>
      </c>
    </row>
    <row r="538" spans="3:19" s="277" customFormat="1" hidden="1" outlineLevel="1" collapsed="1" x14ac:dyDescent="0.3">
      <c r="C538" s="283" t="str">
        <f>RES_BA!D34</f>
        <v>Personnel Cadre - Other 21</v>
      </c>
      <c r="M538" s="279">
        <f>RES_BA!R34</f>
        <v>0</v>
      </c>
      <c r="O538" s="279">
        <f>RES_BA!S34</f>
        <v>0</v>
      </c>
      <c r="Q538" s="279">
        <f>RES_BA!T34</f>
        <v>0</v>
      </c>
      <c r="S538" s="279">
        <f>RES_BA!U34</f>
        <v>0</v>
      </c>
    </row>
    <row r="539" spans="3:19" s="277" customFormat="1" hidden="1" outlineLevel="1" x14ac:dyDescent="0.3">
      <c r="C539" s="283" t="str">
        <f>RES_BA!D35</f>
        <v>Personnel Cadre - Other 22</v>
      </c>
      <c r="M539" s="279">
        <f>RES_BA!R35</f>
        <v>0</v>
      </c>
      <c r="O539" s="279">
        <f>RES_BA!S35</f>
        <v>0</v>
      </c>
      <c r="Q539" s="279">
        <f>RES_BA!T35</f>
        <v>0</v>
      </c>
      <c r="S539" s="279">
        <f>RES_BA!U35</f>
        <v>0</v>
      </c>
    </row>
    <row r="540" spans="3:19" s="277" customFormat="1" hidden="1" outlineLevel="1" x14ac:dyDescent="0.3">
      <c r="C540" s="283" t="str">
        <f>RES_BA!D36</f>
        <v>Personnel Cadre - Other 23</v>
      </c>
      <c r="M540" s="279">
        <f>RES_BA!R36</f>
        <v>0</v>
      </c>
      <c r="O540" s="279">
        <f>RES_BA!S36</f>
        <v>0</v>
      </c>
      <c r="Q540" s="279">
        <f>RES_BA!T36</f>
        <v>0</v>
      </c>
      <c r="S540" s="279">
        <f>RES_BA!U36</f>
        <v>0</v>
      </c>
    </row>
    <row r="541" spans="3:19" s="277" customFormat="1" hidden="1" outlineLevel="1" x14ac:dyDescent="0.3">
      <c r="C541" s="283" t="str">
        <f>RES_BA!D37</f>
        <v>Personnel Cadre - Other 24</v>
      </c>
      <c r="M541" s="279">
        <f>RES_BA!R37</f>
        <v>0</v>
      </c>
      <c r="O541" s="279">
        <f>RES_BA!S37</f>
        <v>0</v>
      </c>
      <c r="Q541" s="279">
        <f>RES_BA!T37</f>
        <v>0</v>
      </c>
      <c r="S541" s="279">
        <f>RES_BA!U37</f>
        <v>0</v>
      </c>
    </row>
    <row r="542" spans="3:19" s="277" customFormat="1" hidden="1" outlineLevel="1" x14ac:dyDescent="0.3">
      <c r="C542" s="283" t="str">
        <f>RES_BA!D38</f>
        <v>Personnel Cadre - Other 25</v>
      </c>
      <c r="M542" s="279">
        <f>RES_BA!R38</f>
        <v>0</v>
      </c>
      <c r="O542" s="279">
        <f>RES_BA!S38</f>
        <v>0</v>
      </c>
      <c r="Q542" s="279">
        <f>RES_BA!T38</f>
        <v>0</v>
      </c>
      <c r="S542" s="279">
        <f>RES_BA!U38</f>
        <v>0</v>
      </c>
    </row>
    <row r="543" spans="3:19" s="277" customFormat="1" hidden="1" outlineLevel="1" x14ac:dyDescent="0.3">
      <c r="C543" s="283" t="str">
        <f>RES_BA!D39</f>
        <v>Personnel Cadre - Other 26</v>
      </c>
      <c r="M543" s="279">
        <f>RES_BA!R39</f>
        <v>0</v>
      </c>
      <c r="O543" s="279">
        <f>RES_BA!S39</f>
        <v>0</v>
      </c>
      <c r="Q543" s="279">
        <f>RES_BA!T39</f>
        <v>0</v>
      </c>
      <c r="S543" s="279">
        <f>RES_BA!U39</f>
        <v>0</v>
      </c>
    </row>
    <row r="544" spans="3:19" s="277" customFormat="1" hidden="1" outlineLevel="1" x14ac:dyDescent="0.3">
      <c r="C544" s="283" t="str">
        <f>RES_BA!D40</f>
        <v>Personnel Cadre - Other 27</v>
      </c>
      <c r="M544" s="279">
        <f>RES_BA!R40</f>
        <v>0</v>
      </c>
      <c r="O544" s="279">
        <f>RES_BA!S40</f>
        <v>0</v>
      </c>
      <c r="Q544" s="279">
        <f>RES_BA!T40</f>
        <v>0</v>
      </c>
      <c r="S544" s="279">
        <f>RES_BA!U40</f>
        <v>0</v>
      </c>
    </row>
    <row r="545" spans="3:19" s="277" customFormat="1" hidden="1" outlineLevel="1" x14ac:dyDescent="0.3">
      <c r="C545" s="283" t="str">
        <f>RES_BA!D41</f>
        <v>Personnel Cadre - Other 28</v>
      </c>
      <c r="M545" s="279">
        <f>RES_BA!R41</f>
        <v>0</v>
      </c>
      <c r="O545" s="279">
        <f>RES_BA!S41</f>
        <v>0</v>
      </c>
      <c r="Q545" s="279">
        <f>RES_BA!T41</f>
        <v>0</v>
      </c>
      <c r="S545" s="279">
        <f>RES_BA!U41</f>
        <v>0</v>
      </c>
    </row>
    <row r="546" spans="3:19" s="277" customFormat="1" hidden="1" outlineLevel="1" x14ac:dyDescent="0.3">
      <c r="C546" s="283" t="str">
        <f>RES_BA!D42</f>
        <v>Personnel Cadre - Other 29</v>
      </c>
      <c r="M546" s="279">
        <f>RES_BA!R42</f>
        <v>0</v>
      </c>
      <c r="O546" s="279">
        <f>RES_BA!S42</f>
        <v>0</v>
      </c>
      <c r="Q546" s="279">
        <f>RES_BA!T42</f>
        <v>0</v>
      </c>
      <c r="S546" s="279">
        <f>RES_BA!U42</f>
        <v>0</v>
      </c>
    </row>
    <row r="547" spans="3:19" s="277" customFormat="1" hidden="1" outlineLevel="1" x14ac:dyDescent="0.3">
      <c r="C547" s="283" t="str">
        <f>RES_BA!D43</f>
        <v>Personnel Cadre - Other 30</v>
      </c>
      <c r="M547" s="279">
        <f>RES_BA!R43</f>
        <v>0</v>
      </c>
      <c r="O547" s="279">
        <f>RES_BA!S43</f>
        <v>0</v>
      </c>
      <c r="Q547" s="279">
        <f>RES_BA!T43</f>
        <v>0</v>
      </c>
      <c r="S547" s="279">
        <f>RES_BA!U43</f>
        <v>0</v>
      </c>
    </row>
    <row r="548" spans="3:19" s="277" customFormat="1" hidden="1" outlineLevel="1" x14ac:dyDescent="0.3">
      <c r="C548" s="283" t="str">
        <f>RES_BA!D44</f>
        <v>Personnel Cadre - Other 31</v>
      </c>
      <c r="M548" s="279">
        <f>RES_BA!R44</f>
        <v>0</v>
      </c>
      <c r="O548" s="279">
        <f>RES_BA!S44</f>
        <v>0</v>
      </c>
      <c r="Q548" s="279">
        <f>RES_BA!T44</f>
        <v>0</v>
      </c>
      <c r="S548" s="279">
        <f>RES_BA!U44</f>
        <v>0</v>
      </c>
    </row>
    <row r="549" spans="3:19" s="277" customFormat="1" hidden="1" outlineLevel="1" x14ac:dyDescent="0.3">
      <c r="C549" s="283" t="str">
        <f>RES_BA!D45</f>
        <v>Personnel Cadre - Other 32</v>
      </c>
      <c r="M549" s="279">
        <f>RES_BA!R45</f>
        <v>0</v>
      </c>
      <c r="O549" s="279">
        <f>RES_BA!S45</f>
        <v>0</v>
      </c>
      <c r="Q549" s="279">
        <f>RES_BA!T45</f>
        <v>0</v>
      </c>
      <c r="S549" s="279">
        <f>RES_BA!U45</f>
        <v>0</v>
      </c>
    </row>
    <row r="550" spans="3:19" s="277" customFormat="1" hidden="1" outlineLevel="1" x14ac:dyDescent="0.3">
      <c r="C550" s="283" t="str">
        <f>RES_BA!D46</f>
        <v>Personnel Cadre - Other 33</v>
      </c>
      <c r="M550" s="279">
        <f>RES_BA!R46</f>
        <v>0</v>
      </c>
      <c r="O550" s="279">
        <f>RES_BA!S46</f>
        <v>0</v>
      </c>
      <c r="Q550" s="279">
        <f>RES_BA!T46</f>
        <v>0</v>
      </c>
      <c r="S550" s="279">
        <f>RES_BA!U46</f>
        <v>0</v>
      </c>
    </row>
    <row r="551" spans="3:19" s="277" customFormat="1" hidden="1" outlineLevel="1" x14ac:dyDescent="0.3">
      <c r="C551" s="283" t="str">
        <f>RES_BA!D47</f>
        <v>Personnel Cadre - Other 34</v>
      </c>
      <c r="M551" s="279">
        <f>RES_BA!R47</f>
        <v>0</v>
      </c>
      <c r="O551" s="279">
        <f>RES_BA!S47</f>
        <v>0</v>
      </c>
      <c r="Q551" s="279">
        <f>RES_BA!T47</f>
        <v>0</v>
      </c>
      <c r="S551" s="279">
        <f>RES_BA!U47</f>
        <v>0</v>
      </c>
    </row>
    <row r="552" spans="3:19" s="277" customFormat="1" hidden="1" outlineLevel="1" x14ac:dyDescent="0.3">
      <c r="C552" s="283" t="str">
        <f>RES_BA!D48</f>
        <v>Personnel Cadre - Other 35</v>
      </c>
      <c r="M552" s="279">
        <f>RES_BA!R48</f>
        <v>0</v>
      </c>
      <c r="O552" s="279">
        <f>RES_BA!S48</f>
        <v>0</v>
      </c>
      <c r="Q552" s="279">
        <f>RES_BA!T48</f>
        <v>0</v>
      </c>
      <c r="S552" s="279">
        <f>RES_BA!U48</f>
        <v>0</v>
      </c>
    </row>
    <row r="553" spans="3:19" hidden="1" outlineLevel="1" x14ac:dyDescent="0.3"/>
    <row r="554" spans="3:19" hidden="1" outlineLevel="1" x14ac:dyDescent="0.3">
      <c r="M554" s="40" t="str">
        <f>$D$512</f>
        <v>USD</v>
      </c>
      <c r="O554" s="40" t="str">
        <f>$D$512</f>
        <v>USD</v>
      </c>
      <c r="Q554" s="40" t="str">
        <f>$D$513</f>
        <v>GOZ</v>
      </c>
      <c r="S554" s="40" t="str">
        <f>$D$513</f>
        <v>GOZ</v>
      </c>
    </row>
    <row r="555" spans="3:19" hidden="1" outlineLevel="1" x14ac:dyDescent="0.3">
      <c r="C555" s="89" t="str">
        <f>RES_BA!D53</f>
        <v>Allowances Category 1</v>
      </c>
      <c r="M555" s="40">
        <f>RES_BA!R53</f>
        <v>0</v>
      </c>
      <c r="O555" s="40">
        <f>RES_BA!S53</f>
        <v>0</v>
      </c>
      <c r="Q555" s="40">
        <f>RES_BA!T53</f>
        <v>0</v>
      </c>
      <c r="S555" s="40">
        <f>RES_BA!U53</f>
        <v>0</v>
      </c>
    </row>
    <row r="556" spans="3:19" hidden="1" outlineLevel="1" x14ac:dyDescent="0.3">
      <c r="C556" s="89" t="str">
        <f>RES_BA!D54</f>
        <v>Allowances Category 2</v>
      </c>
      <c r="M556" s="40">
        <f>RES_BA!R54</f>
        <v>0</v>
      </c>
      <c r="O556" s="40">
        <f>RES_BA!S54</f>
        <v>0</v>
      </c>
      <c r="Q556" s="40">
        <f>RES_BA!T54</f>
        <v>0</v>
      </c>
      <c r="S556" s="40">
        <f>RES_BA!U54</f>
        <v>0</v>
      </c>
    </row>
    <row r="557" spans="3:19" hidden="1" outlineLevel="1" x14ac:dyDescent="0.3">
      <c r="C557" s="89" t="str">
        <f>RES_BA!D55</f>
        <v>Allowances Category 3</v>
      </c>
      <c r="M557" s="40">
        <f>RES_BA!R55</f>
        <v>0</v>
      </c>
      <c r="O557" s="40">
        <f>RES_BA!S55</f>
        <v>0</v>
      </c>
      <c r="Q557" s="40">
        <f>RES_BA!T55</f>
        <v>0</v>
      </c>
      <c r="S557" s="40">
        <f>RES_BA!U55</f>
        <v>0</v>
      </c>
    </row>
    <row r="558" spans="3:19" hidden="1" outlineLevel="1" x14ac:dyDescent="0.3">
      <c r="C558" s="89" t="str">
        <f>RES_BA!D56</f>
        <v>Allowances Category 4</v>
      </c>
      <c r="M558" s="40">
        <f>RES_BA!R56</f>
        <v>0</v>
      </c>
      <c r="O558" s="40">
        <f>RES_BA!S56</f>
        <v>0</v>
      </c>
      <c r="Q558" s="40">
        <f>RES_BA!T56</f>
        <v>0</v>
      </c>
      <c r="S558" s="40">
        <f>RES_BA!U56</f>
        <v>0</v>
      </c>
    </row>
    <row r="559" spans="3:19" hidden="1" outlineLevel="1" x14ac:dyDescent="0.3">
      <c r="C559" s="89" t="str">
        <f>RES_BA!D57</f>
        <v>Allowances Category 5</v>
      </c>
      <c r="M559" s="40">
        <f>RES_BA!R57</f>
        <v>0</v>
      </c>
      <c r="O559" s="40">
        <f>RES_BA!S57</f>
        <v>0</v>
      </c>
      <c r="Q559" s="40">
        <f>RES_BA!T57</f>
        <v>0</v>
      </c>
      <c r="S559" s="40">
        <f>RES_BA!U57</f>
        <v>0</v>
      </c>
    </row>
    <row r="560" spans="3:19" s="277" customFormat="1" hidden="1" outlineLevel="1" collapsed="1" x14ac:dyDescent="0.3">
      <c r="C560" s="283" t="str">
        <f>RES_BA!D58</f>
        <v>Allowances Category 6</v>
      </c>
      <c r="M560" s="279">
        <f>RES_BA!R58</f>
        <v>0</v>
      </c>
      <c r="O560" s="279">
        <f>RES_BA!S58</f>
        <v>0</v>
      </c>
      <c r="Q560" s="279">
        <f>RES_BA!T58</f>
        <v>0</v>
      </c>
      <c r="S560" s="279">
        <f>RES_BA!U58</f>
        <v>0</v>
      </c>
    </row>
    <row r="561" spans="3:19" s="277" customFormat="1" hidden="1" outlineLevel="1" x14ac:dyDescent="0.3">
      <c r="C561" s="283" t="str">
        <f>RES_BA!D59</f>
        <v>Allowances Category 7</v>
      </c>
      <c r="M561" s="279">
        <f>RES_BA!R59</f>
        <v>0</v>
      </c>
      <c r="O561" s="279">
        <f>RES_BA!S59</f>
        <v>0</v>
      </c>
      <c r="Q561" s="279">
        <f>RES_BA!T59</f>
        <v>0</v>
      </c>
      <c r="S561" s="279">
        <f>RES_BA!U59</f>
        <v>0</v>
      </c>
    </row>
    <row r="562" spans="3:19" s="277" customFormat="1" hidden="1" outlineLevel="1" x14ac:dyDescent="0.3">
      <c r="C562" s="283" t="str">
        <f>RES_BA!D60</f>
        <v>Allowances Category 8</v>
      </c>
      <c r="M562" s="279">
        <f>RES_BA!R60</f>
        <v>0</v>
      </c>
      <c r="O562" s="279">
        <f>RES_BA!S60</f>
        <v>0</v>
      </c>
      <c r="Q562" s="279">
        <f>RES_BA!T60</f>
        <v>0</v>
      </c>
      <c r="S562" s="279">
        <f>RES_BA!U60</f>
        <v>0</v>
      </c>
    </row>
    <row r="563" spans="3:19" s="277" customFormat="1" hidden="1" outlineLevel="1" x14ac:dyDescent="0.3">
      <c r="C563" s="283" t="str">
        <f>RES_BA!D61</f>
        <v>Allowances Category 9</v>
      </c>
      <c r="M563" s="279">
        <f>RES_BA!R61</f>
        <v>0</v>
      </c>
      <c r="O563" s="279">
        <f>RES_BA!S61</f>
        <v>0</v>
      </c>
      <c r="Q563" s="279">
        <f>RES_BA!T61</f>
        <v>0</v>
      </c>
      <c r="S563" s="279">
        <f>RES_BA!U61</f>
        <v>0</v>
      </c>
    </row>
    <row r="564" spans="3:19" s="277" customFormat="1" hidden="1" outlineLevel="1" x14ac:dyDescent="0.3">
      <c r="C564" s="283" t="str">
        <f>RES_BA!D62</f>
        <v>Allowances Category 10</v>
      </c>
      <c r="M564" s="279">
        <f>RES_BA!R62</f>
        <v>0</v>
      </c>
      <c r="O564" s="279">
        <f>RES_BA!S62</f>
        <v>0</v>
      </c>
      <c r="Q564" s="279">
        <f>RES_BA!T62</f>
        <v>0</v>
      </c>
      <c r="S564" s="279">
        <f>RES_BA!U62</f>
        <v>0</v>
      </c>
    </row>
    <row r="565" spans="3:19" s="277" customFormat="1" hidden="1" outlineLevel="1" x14ac:dyDescent="0.3">
      <c r="C565" s="283" t="str">
        <f>RES_BA!D63</f>
        <v>Allowances Category 11</v>
      </c>
      <c r="M565" s="279">
        <f>RES_BA!R63</f>
        <v>0</v>
      </c>
      <c r="O565" s="279">
        <f>RES_BA!S63</f>
        <v>0</v>
      </c>
      <c r="Q565" s="279">
        <f>RES_BA!T63</f>
        <v>0</v>
      </c>
      <c r="S565" s="279">
        <f>RES_BA!U63</f>
        <v>0</v>
      </c>
    </row>
    <row r="566" spans="3:19" s="277" customFormat="1" hidden="1" outlineLevel="1" x14ac:dyDescent="0.3">
      <c r="C566" s="283" t="str">
        <f>RES_BA!D64</f>
        <v>Allowances Category 12</v>
      </c>
      <c r="M566" s="279">
        <f>RES_BA!R64</f>
        <v>0</v>
      </c>
      <c r="O566" s="279">
        <f>RES_BA!S64</f>
        <v>0</v>
      </c>
      <c r="Q566" s="279">
        <f>RES_BA!T64</f>
        <v>0</v>
      </c>
      <c r="S566" s="279">
        <f>RES_BA!U64</f>
        <v>0</v>
      </c>
    </row>
    <row r="567" spans="3:19" s="277" customFormat="1" hidden="1" outlineLevel="1" x14ac:dyDescent="0.3">
      <c r="C567" s="283" t="str">
        <f>RES_BA!D65</f>
        <v>Allowances Category 13</v>
      </c>
      <c r="M567" s="279">
        <f>RES_BA!R65</f>
        <v>0</v>
      </c>
      <c r="O567" s="279">
        <f>RES_BA!S65</f>
        <v>0</v>
      </c>
      <c r="Q567" s="279">
        <f>RES_BA!T65</f>
        <v>0</v>
      </c>
      <c r="S567" s="279">
        <f>RES_BA!U65</f>
        <v>0</v>
      </c>
    </row>
    <row r="568" spans="3:19" s="277" customFormat="1" hidden="1" outlineLevel="1" x14ac:dyDescent="0.3">
      <c r="C568" s="283" t="str">
        <f>RES_BA!D66</f>
        <v>Allowances Category 14</v>
      </c>
      <c r="M568" s="279">
        <f>RES_BA!R66</f>
        <v>0</v>
      </c>
      <c r="O568" s="279">
        <f>RES_BA!S66</f>
        <v>0</v>
      </c>
      <c r="Q568" s="279">
        <f>RES_BA!T66</f>
        <v>0</v>
      </c>
      <c r="S568" s="279">
        <f>RES_BA!U66</f>
        <v>0</v>
      </c>
    </row>
    <row r="569" spans="3:19" s="277" customFormat="1" hidden="1" outlineLevel="1" x14ac:dyDescent="0.3">
      <c r="C569" s="283" t="str">
        <f>RES_BA!D67</f>
        <v>Allowances Category 15</v>
      </c>
      <c r="M569" s="279">
        <f>RES_BA!R67</f>
        <v>0</v>
      </c>
      <c r="O569" s="279">
        <f>RES_BA!S67</f>
        <v>0</v>
      </c>
      <c r="Q569" s="279">
        <f>RES_BA!T67</f>
        <v>0</v>
      </c>
      <c r="S569" s="279">
        <f>RES_BA!U67</f>
        <v>0</v>
      </c>
    </row>
    <row r="570" spans="3:19" s="277" customFormat="1" hidden="1" outlineLevel="1" x14ac:dyDescent="0.3">
      <c r="C570" s="283" t="str">
        <f>RES_BA!D68</f>
        <v>Allowances Category 16</v>
      </c>
      <c r="M570" s="279">
        <f>RES_BA!R68</f>
        <v>0</v>
      </c>
      <c r="O570" s="279">
        <f>RES_BA!S68</f>
        <v>0</v>
      </c>
      <c r="Q570" s="279">
        <f>RES_BA!T68</f>
        <v>0</v>
      </c>
      <c r="S570" s="279">
        <f>RES_BA!U68</f>
        <v>0</v>
      </c>
    </row>
    <row r="571" spans="3:19" hidden="1" outlineLevel="1" x14ac:dyDescent="0.3">
      <c r="C571" s="89" t="str">
        <f>RES_BA!D69</f>
        <v>Allowances Category 17</v>
      </c>
      <c r="M571" s="40">
        <f>RES_BA!R69</f>
        <v>0</v>
      </c>
      <c r="O571" s="40">
        <f>RES_BA!S69</f>
        <v>0</v>
      </c>
      <c r="Q571" s="40">
        <f>RES_BA!T69</f>
        <v>0</v>
      </c>
      <c r="S571" s="40">
        <f>RES_BA!U69</f>
        <v>0</v>
      </c>
    </row>
    <row r="572" spans="3:19" hidden="1" outlineLevel="1" x14ac:dyDescent="0.3">
      <c r="C572" s="89" t="str">
        <f>RES_BA!D70</f>
        <v>Allowances Category 18</v>
      </c>
      <c r="M572" s="40">
        <f>RES_BA!R70</f>
        <v>0</v>
      </c>
      <c r="O572" s="40">
        <f>RES_BA!S70</f>
        <v>0</v>
      </c>
      <c r="Q572" s="40">
        <f>RES_BA!T70</f>
        <v>0</v>
      </c>
      <c r="S572" s="40">
        <f>RES_BA!U70</f>
        <v>0</v>
      </c>
    </row>
    <row r="573" spans="3:19" hidden="1" outlineLevel="1" x14ac:dyDescent="0.3">
      <c r="C573" s="89" t="str">
        <f>RES_BA!D71</f>
        <v>Allowances Category 19</v>
      </c>
      <c r="M573" s="40">
        <f>RES_BA!R71</f>
        <v>0</v>
      </c>
      <c r="O573" s="40">
        <f>RES_BA!S71</f>
        <v>0</v>
      </c>
      <c r="Q573" s="40">
        <f>RES_BA!T71</f>
        <v>0</v>
      </c>
      <c r="S573" s="40">
        <f>RES_BA!U71</f>
        <v>0</v>
      </c>
    </row>
    <row r="574" spans="3:19" hidden="1" outlineLevel="1" x14ac:dyDescent="0.3">
      <c r="C574" s="89" t="str">
        <f>RES_BA!D72</f>
        <v>Allowances Category 20</v>
      </c>
      <c r="M574" s="40">
        <f>RES_BA!R72</f>
        <v>0</v>
      </c>
      <c r="O574" s="40">
        <f>RES_BA!S72</f>
        <v>0</v>
      </c>
      <c r="Q574" s="40">
        <f>RES_BA!T72</f>
        <v>0</v>
      </c>
      <c r="S574" s="40">
        <f>RES_BA!U72</f>
        <v>0</v>
      </c>
    </row>
    <row r="575" spans="3:19" hidden="1" outlineLevel="1" x14ac:dyDescent="0.3">
      <c r="C575" s="89" t="str">
        <f>RES_BA!D73</f>
        <v>Allowances Category 21</v>
      </c>
      <c r="M575" s="40">
        <f>RES_BA!R73</f>
        <v>0</v>
      </c>
      <c r="O575" s="40">
        <f>RES_BA!S73</f>
        <v>0</v>
      </c>
      <c r="Q575" s="40">
        <f>RES_BA!T73</f>
        <v>0</v>
      </c>
      <c r="S575" s="40">
        <f>RES_BA!U73</f>
        <v>0</v>
      </c>
    </row>
    <row r="576" spans="3:19" hidden="1" outlineLevel="1" x14ac:dyDescent="0.3">
      <c r="C576" s="89" t="str">
        <f>RES_BA!D74</f>
        <v>Allowances Category 22</v>
      </c>
      <c r="M576" s="40">
        <f>RES_BA!R74</f>
        <v>0</v>
      </c>
      <c r="O576" s="40">
        <f>RES_BA!S74</f>
        <v>0</v>
      </c>
      <c r="Q576" s="40">
        <f>RES_BA!T74</f>
        <v>0</v>
      </c>
      <c r="S576" s="40">
        <f>RES_BA!U74</f>
        <v>0</v>
      </c>
    </row>
    <row r="577" spans="3:19" hidden="1" outlineLevel="1" x14ac:dyDescent="0.3">
      <c r="C577" s="89" t="str">
        <f>RES_BA!D75</f>
        <v>Allowances Category 23</v>
      </c>
      <c r="M577" s="40">
        <f>RES_BA!R75</f>
        <v>0</v>
      </c>
      <c r="O577" s="40">
        <f>RES_BA!S75</f>
        <v>0</v>
      </c>
      <c r="Q577" s="40">
        <f>RES_BA!T75</f>
        <v>0</v>
      </c>
      <c r="S577" s="40">
        <f>RES_BA!U75</f>
        <v>0</v>
      </c>
    </row>
    <row r="578" spans="3:19" s="277" customFormat="1" hidden="1" outlineLevel="1" collapsed="1" x14ac:dyDescent="0.3">
      <c r="C578" s="283" t="str">
        <f>RES_BA!D76</f>
        <v>Allowances Category 24</v>
      </c>
      <c r="M578" s="279">
        <f>RES_BA!R76</f>
        <v>0</v>
      </c>
      <c r="O578" s="279">
        <f>RES_BA!S76</f>
        <v>0</v>
      </c>
      <c r="Q578" s="279">
        <f>RES_BA!T76</f>
        <v>0</v>
      </c>
      <c r="S578" s="279">
        <f>RES_BA!U76</f>
        <v>0</v>
      </c>
    </row>
    <row r="579" spans="3:19" s="277" customFormat="1" hidden="1" outlineLevel="1" x14ac:dyDescent="0.3">
      <c r="C579" s="283" t="str">
        <f>RES_BA!D77</f>
        <v>Allowances Category 25</v>
      </c>
      <c r="M579" s="279">
        <f>RES_BA!R77</f>
        <v>0</v>
      </c>
      <c r="O579" s="279">
        <f>RES_BA!S77</f>
        <v>0</v>
      </c>
      <c r="Q579" s="279">
        <f>RES_BA!T77</f>
        <v>0</v>
      </c>
      <c r="S579" s="279">
        <f>RES_BA!U77</f>
        <v>0</v>
      </c>
    </row>
    <row r="580" spans="3:19" s="277" customFormat="1" hidden="1" outlineLevel="1" x14ac:dyDescent="0.3">
      <c r="C580" s="283" t="str">
        <f>RES_BA!D78</f>
        <v>Allowances Category 26</v>
      </c>
      <c r="M580" s="279">
        <f>RES_BA!R78</f>
        <v>0</v>
      </c>
      <c r="O580" s="279">
        <f>RES_BA!S78</f>
        <v>0</v>
      </c>
      <c r="Q580" s="279">
        <f>RES_BA!T78</f>
        <v>0</v>
      </c>
      <c r="S580" s="279">
        <f>RES_BA!U78</f>
        <v>0</v>
      </c>
    </row>
    <row r="581" spans="3:19" s="277" customFormat="1" hidden="1" outlineLevel="1" x14ac:dyDescent="0.3">
      <c r="C581" s="283" t="str">
        <f>RES_BA!D79</f>
        <v>Allowances Category 27</v>
      </c>
      <c r="M581" s="279">
        <f>RES_BA!R79</f>
        <v>0</v>
      </c>
      <c r="O581" s="279">
        <f>RES_BA!S79</f>
        <v>0</v>
      </c>
      <c r="Q581" s="279">
        <f>RES_BA!T79</f>
        <v>0</v>
      </c>
      <c r="S581" s="279">
        <f>RES_BA!U79</f>
        <v>0</v>
      </c>
    </row>
    <row r="582" spans="3:19" s="277" customFormat="1" hidden="1" outlineLevel="1" x14ac:dyDescent="0.3">
      <c r="C582" s="283" t="str">
        <f>RES_BA!D80</f>
        <v>Allowances Category 28</v>
      </c>
      <c r="M582" s="279">
        <f>RES_BA!R80</f>
        <v>0</v>
      </c>
      <c r="O582" s="279">
        <f>RES_BA!S80</f>
        <v>0</v>
      </c>
      <c r="Q582" s="279">
        <f>RES_BA!T80</f>
        <v>0</v>
      </c>
      <c r="S582" s="279">
        <f>RES_BA!U80</f>
        <v>0</v>
      </c>
    </row>
    <row r="583" spans="3:19" s="277" customFormat="1" hidden="1" outlineLevel="1" x14ac:dyDescent="0.3">
      <c r="C583" s="283" t="str">
        <f>RES_BA!D81</f>
        <v>Allowances Category 29</v>
      </c>
      <c r="M583" s="279">
        <f>RES_BA!R81</f>
        <v>0</v>
      </c>
      <c r="O583" s="279">
        <f>RES_BA!S81</f>
        <v>0</v>
      </c>
      <c r="Q583" s="279">
        <f>RES_BA!T81</f>
        <v>0</v>
      </c>
      <c r="S583" s="279">
        <f>RES_BA!U81</f>
        <v>0</v>
      </c>
    </row>
    <row r="584" spans="3:19" s="277" customFormat="1" hidden="1" outlineLevel="1" x14ac:dyDescent="0.3">
      <c r="C584" s="283" t="str">
        <f>RES_BA!D82</f>
        <v>Allowances Category 30</v>
      </c>
      <c r="M584" s="279">
        <f>RES_BA!R82</f>
        <v>0</v>
      </c>
      <c r="O584" s="279">
        <f>RES_BA!S82</f>
        <v>0</v>
      </c>
      <c r="Q584" s="279">
        <f>RES_BA!T82</f>
        <v>0</v>
      </c>
      <c r="S584" s="279">
        <f>RES_BA!U82</f>
        <v>0</v>
      </c>
    </row>
    <row r="585" spans="3:19" hidden="1" outlineLevel="1" x14ac:dyDescent="0.3">
      <c r="C585" s="89" t="str">
        <f>RES_BA!D83</f>
        <v>Allowances Category 31</v>
      </c>
      <c r="M585" s="40">
        <f>RES_BA!R83</f>
        <v>0</v>
      </c>
      <c r="O585" s="40">
        <f>RES_BA!S83</f>
        <v>0</v>
      </c>
      <c r="Q585" s="40">
        <f>RES_BA!T83</f>
        <v>0</v>
      </c>
      <c r="S585" s="40">
        <f>RES_BA!U83</f>
        <v>0</v>
      </c>
    </row>
    <row r="586" spans="3:19" hidden="1" outlineLevel="1" x14ac:dyDescent="0.3">
      <c r="C586" s="89" t="str">
        <f>RES_BA!D84</f>
        <v>Allowances Category 32</v>
      </c>
      <c r="M586" s="40">
        <f>RES_BA!R84</f>
        <v>0</v>
      </c>
      <c r="O586" s="40">
        <f>RES_BA!S84</f>
        <v>0</v>
      </c>
      <c r="Q586" s="40">
        <f>RES_BA!T84</f>
        <v>0</v>
      </c>
      <c r="S586" s="40">
        <f>RES_BA!U84</f>
        <v>0</v>
      </c>
    </row>
    <row r="587" spans="3:19" hidden="1" outlineLevel="1" x14ac:dyDescent="0.3">
      <c r="C587" s="89" t="str">
        <f>RES_BA!D85</f>
        <v>Allowances Category 33</v>
      </c>
      <c r="M587" s="40">
        <f>RES_BA!R85</f>
        <v>0</v>
      </c>
      <c r="O587" s="40">
        <f>RES_BA!S85</f>
        <v>0</v>
      </c>
      <c r="Q587" s="40">
        <f>RES_BA!T85</f>
        <v>0</v>
      </c>
      <c r="S587" s="40">
        <f>RES_BA!U85</f>
        <v>0</v>
      </c>
    </row>
    <row r="588" spans="3:19" hidden="1" outlineLevel="1" x14ac:dyDescent="0.3">
      <c r="C588" s="89" t="str">
        <f>RES_BA!D86</f>
        <v>Allowances Category 34</v>
      </c>
      <c r="M588" s="40">
        <f>RES_BA!R86</f>
        <v>0</v>
      </c>
      <c r="O588" s="40">
        <f>RES_BA!S86</f>
        <v>0</v>
      </c>
      <c r="Q588" s="40">
        <f>RES_BA!T86</f>
        <v>0</v>
      </c>
      <c r="S588" s="40">
        <f>RES_BA!U86</f>
        <v>0</v>
      </c>
    </row>
    <row r="589" spans="3:19" hidden="1" outlineLevel="1" x14ac:dyDescent="0.3">
      <c r="C589" s="89" t="str">
        <f>RES_BA!D87</f>
        <v>Allowances Category 35</v>
      </c>
      <c r="M589" s="40">
        <f>RES_BA!R87</f>
        <v>0</v>
      </c>
      <c r="O589" s="40">
        <f>RES_BA!S87</f>
        <v>0</v>
      </c>
      <c r="Q589" s="40">
        <f>RES_BA!T87</f>
        <v>0</v>
      </c>
      <c r="S589" s="40">
        <f>RES_BA!U87</f>
        <v>0</v>
      </c>
    </row>
    <row r="590" spans="3:19" hidden="1" outlineLevel="1" x14ac:dyDescent="0.3"/>
    <row r="591" spans="3:19" hidden="1" outlineLevel="1" x14ac:dyDescent="0.3"/>
    <row r="592" spans="3:19" hidden="1" outlineLevel="1" x14ac:dyDescent="0.3">
      <c r="M592" s="40" t="str">
        <f>$D$512</f>
        <v>USD</v>
      </c>
      <c r="O592" s="40" t="str">
        <f>$D$512</f>
        <v>USD</v>
      </c>
      <c r="Q592" s="40" t="str">
        <f>$D$513</f>
        <v>GOZ</v>
      </c>
      <c r="S592" s="40" t="str">
        <f>$D$513</f>
        <v>GOZ</v>
      </c>
    </row>
    <row r="593" spans="3:19" hidden="1" outlineLevel="1" x14ac:dyDescent="0.3">
      <c r="C593" s="89" t="str">
        <f>RES_BA!D91</f>
        <v>Supplies Category 1</v>
      </c>
      <c r="M593" s="40">
        <f>RES_BA!R91</f>
        <v>0</v>
      </c>
      <c r="O593" s="40">
        <f>RES_BA!S91</f>
        <v>0</v>
      </c>
      <c r="Q593" s="40">
        <f>RES_BA!T91</f>
        <v>0</v>
      </c>
      <c r="S593" s="40">
        <f>RES_BA!U91</f>
        <v>0</v>
      </c>
    </row>
    <row r="594" spans="3:19" hidden="1" outlineLevel="1" x14ac:dyDescent="0.3">
      <c r="C594" s="89" t="str">
        <f>RES_BA!D92</f>
        <v>Supplies Category 2</v>
      </c>
      <c r="M594" s="40">
        <f>RES_BA!R92</f>
        <v>0</v>
      </c>
      <c r="O594" s="40">
        <f>RES_BA!S92</f>
        <v>0</v>
      </c>
      <c r="Q594" s="40">
        <f>RES_BA!T92</f>
        <v>0</v>
      </c>
      <c r="S594" s="40">
        <f>RES_BA!U92</f>
        <v>0</v>
      </c>
    </row>
    <row r="595" spans="3:19" hidden="1" outlineLevel="1" x14ac:dyDescent="0.3">
      <c r="C595" s="89" t="str">
        <f>RES_BA!D93</f>
        <v>Supplies Category 3</v>
      </c>
      <c r="M595" s="40">
        <f>RES_BA!R93</f>
        <v>0</v>
      </c>
      <c r="O595" s="40">
        <f>RES_BA!S93</f>
        <v>0</v>
      </c>
      <c r="Q595" s="40">
        <f>RES_BA!T93</f>
        <v>0</v>
      </c>
      <c r="S595" s="40">
        <f>RES_BA!U93</f>
        <v>0</v>
      </c>
    </row>
    <row r="596" spans="3:19" hidden="1" outlineLevel="1" x14ac:dyDescent="0.3">
      <c r="C596" s="89" t="str">
        <f>RES_BA!D94</f>
        <v>Supplies Category 4</v>
      </c>
      <c r="M596" s="40">
        <f>RES_BA!R94</f>
        <v>0</v>
      </c>
      <c r="O596" s="40">
        <f>RES_BA!S94</f>
        <v>0</v>
      </c>
      <c r="Q596" s="40">
        <f>RES_BA!T94</f>
        <v>0</v>
      </c>
      <c r="S596" s="40">
        <f>RES_BA!U94</f>
        <v>0</v>
      </c>
    </row>
    <row r="597" spans="3:19" hidden="1" outlineLevel="1" x14ac:dyDescent="0.3">
      <c r="C597" s="89" t="str">
        <f>RES_BA!D95</f>
        <v>Supplies Category 5</v>
      </c>
      <c r="M597" s="40">
        <f>RES_BA!R95</f>
        <v>0</v>
      </c>
      <c r="O597" s="40">
        <f>RES_BA!S95</f>
        <v>0</v>
      </c>
      <c r="Q597" s="40">
        <f>RES_BA!T95</f>
        <v>0</v>
      </c>
      <c r="S597" s="40">
        <f>RES_BA!U95</f>
        <v>0</v>
      </c>
    </row>
    <row r="598" spans="3:19" hidden="1" outlineLevel="1" x14ac:dyDescent="0.3">
      <c r="C598" s="89" t="str">
        <f>RES_BA!D96</f>
        <v>Supplies Category 6</v>
      </c>
      <c r="M598" s="40">
        <f>RES_BA!R96</f>
        <v>0</v>
      </c>
      <c r="O598" s="40">
        <f>RES_BA!S96</f>
        <v>0</v>
      </c>
      <c r="Q598" s="40">
        <f>RES_BA!T96</f>
        <v>0</v>
      </c>
      <c r="S598" s="40">
        <f>RES_BA!U96</f>
        <v>0</v>
      </c>
    </row>
    <row r="599" spans="3:19" hidden="1" outlineLevel="1" x14ac:dyDescent="0.3">
      <c r="C599" s="89" t="str">
        <f>RES_BA!D97</f>
        <v>Supplies Category 7</v>
      </c>
      <c r="M599" s="40">
        <f>RES_BA!R97</f>
        <v>0</v>
      </c>
      <c r="O599" s="40">
        <f>RES_BA!S97</f>
        <v>0</v>
      </c>
      <c r="Q599" s="40">
        <f>RES_BA!T97</f>
        <v>0</v>
      </c>
      <c r="S599" s="40">
        <f>RES_BA!U97</f>
        <v>0</v>
      </c>
    </row>
    <row r="600" spans="3:19" hidden="1" outlineLevel="1" x14ac:dyDescent="0.3">
      <c r="C600" s="89" t="str">
        <f>RES_BA!D98</f>
        <v>Supplies Category 8</v>
      </c>
      <c r="M600" s="40">
        <f>RES_BA!R98</f>
        <v>0</v>
      </c>
      <c r="O600" s="40">
        <f>RES_BA!S98</f>
        <v>0</v>
      </c>
      <c r="Q600" s="40">
        <f>RES_BA!T98</f>
        <v>0</v>
      </c>
      <c r="S600" s="40">
        <f>RES_BA!U98</f>
        <v>0</v>
      </c>
    </row>
    <row r="601" spans="3:19" hidden="1" outlineLevel="1" x14ac:dyDescent="0.3">
      <c r="C601" s="89" t="str">
        <f>RES_BA!D99</f>
        <v>Supplies Category 9</v>
      </c>
      <c r="M601" s="40">
        <f>RES_BA!R99</f>
        <v>0</v>
      </c>
      <c r="O601" s="40">
        <f>RES_BA!S99</f>
        <v>0</v>
      </c>
      <c r="Q601" s="40">
        <f>RES_BA!T99</f>
        <v>0</v>
      </c>
      <c r="S601" s="40">
        <f>RES_BA!U99</f>
        <v>0</v>
      </c>
    </row>
    <row r="602" spans="3:19" hidden="1" outlineLevel="1" x14ac:dyDescent="0.3">
      <c r="C602" s="89" t="str">
        <f>RES_BA!D100</f>
        <v>Supplies Category 10</v>
      </c>
      <c r="M602" s="40">
        <f>RES_BA!R100</f>
        <v>0</v>
      </c>
      <c r="O602" s="40">
        <f>RES_BA!S100</f>
        <v>0</v>
      </c>
      <c r="Q602" s="40">
        <f>RES_BA!T100</f>
        <v>0</v>
      </c>
      <c r="S602" s="40">
        <f>RES_BA!U100</f>
        <v>0</v>
      </c>
    </row>
    <row r="603" spans="3:19" hidden="1" outlineLevel="1" x14ac:dyDescent="0.3">
      <c r="C603" s="89" t="str">
        <f>RES_BA!D101</f>
        <v>Supplies Category 11</v>
      </c>
      <c r="M603" s="40">
        <f>RES_BA!R101</f>
        <v>0</v>
      </c>
      <c r="O603" s="40">
        <f>RES_BA!S101</f>
        <v>0</v>
      </c>
      <c r="Q603" s="40">
        <f>RES_BA!T101</f>
        <v>0</v>
      </c>
      <c r="S603" s="40">
        <f>RES_BA!U101</f>
        <v>0</v>
      </c>
    </row>
    <row r="604" spans="3:19" hidden="1" outlineLevel="1" x14ac:dyDescent="0.3">
      <c r="C604" s="89" t="str">
        <f>RES_BA!D102</f>
        <v>Supplies Category 12</v>
      </c>
      <c r="M604" s="40">
        <f>RES_BA!R102</f>
        <v>0</v>
      </c>
      <c r="O604" s="40">
        <f>RES_BA!S102</f>
        <v>0</v>
      </c>
      <c r="Q604" s="40">
        <f>RES_BA!T102</f>
        <v>0</v>
      </c>
      <c r="S604" s="40">
        <f>RES_BA!U102</f>
        <v>0</v>
      </c>
    </row>
    <row r="605" spans="3:19" hidden="1" outlineLevel="1" x14ac:dyDescent="0.3">
      <c r="C605" s="89" t="str">
        <f>RES_BA!D103</f>
        <v>Supplies Category 13</v>
      </c>
      <c r="M605" s="40">
        <f>RES_BA!R103</f>
        <v>0</v>
      </c>
      <c r="O605" s="40">
        <f>RES_BA!S103</f>
        <v>0</v>
      </c>
      <c r="Q605" s="40">
        <f>RES_BA!T103</f>
        <v>0</v>
      </c>
      <c r="S605" s="40">
        <f>RES_BA!U103</f>
        <v>0</v>
      </c>
    </row>
    <row r="606" spans="3:19" hidden="1" outlineLevel="1" x14ac:dyDescent="0.3">
      <c r="C606" s="89" t="str">
        <f>RES_BA!D104</f>
        <v>Supplies Category 14</v>
      </c>
      <c r="M606" s="40">
        <f>RES_BA!R104</f>
        <v>0</v>
      </c>
      <c r="O606" s="40">
        <f>RES_BA!S104</f>
        <v>0</v>
      </c>
      <c r="Q606" s="40">
        <f>RES_BA!T104</f>
        <v>0</v>
      </c>
      <c r="S606" s="40">
        <f>RES_BA!U104</f>
        <v>0</v>
      </c>
    </row>
    <row r="607" spans="3:19" hidden="1" outlineLevel="1" x14ac:dyDescent="0.3">
      <c r="C607" s="89" t="str">
        <f>RES_BA!D105</f>
        <v>Supplies Category 15</v>
      </c>
      <c r="M607" s="40">
        <f>RES_BA!R105</f>
        <v>0</v>
      </c>
      <c r="O607" s="40">
        <f>RES_BA!S105</f>
        <v>0</v>
      </c>
      <c r="Q607" s="40">
        <f>RES_BA!T105</f>
        <v>0</v>
      </c>
      <c r="S607" s="40">
        <f>RES_BA!U105</f>
        <v>0</v>
      </c>
    </row>
    <row r="608" spans="3:19" hidden="1" outlineLevel="1" x14ac:dyDescent="0.3">
      <c r="C608" s="89" t="str">
        <f>RES_BA!D106</f>
        <v>Supplies Category 16</v>
      </c>
      <c r="M608" s="40">
        <f>RES_BA!R106</f>
        <v>0</v>
      </c>
      <c r="O608" s="40">
        <f>RES_BA!S106</f>
        <v>0</v>
      </c>
      <c r="Q608" s="40">
        <f>RES_BA!T106</f>
        <v>0</v>
      </c>
      <c r="S608" s="40">
        <f>RES_BA!U106</f>
        <v>0</v>
      </c>
    </row>
    <row r="609" spans="3:19" s="277" customFormat="1" hidden="1" outlineLevel="1" collapsed="1" x14ac:dyDescent="0.3">
      <c r="C609" s="283" t="str">
        <f>RES_BA!D107</f>
        <v>Supplies Category 17</v>
      </c>
      <c r="M609" s="279">
        <f>RES_BA!R107</f>
        <v>0</v>
      </c>
      <c r="O609" s="279">
        <f>RES_BA!S107</f>
        <v>0</v>
      </c>
      <c r="Q609" s="279">
        <f>RES_BA!T107</f>
        <v>0</v>
      </c>
      <c r="S609" s="279">
        <f>RES_BA!U107</f>
        <v>0</v>
      </c>
    </row>
    <row r="610" spans="3:19" s="277" customFormat="1" hidden="1" outlineLevel="1" x14ac:dyDescent="0.3">
      <c r="C610" s="283" t="str">
        <f>RES_BA!D108</f>
        <v>Supplies Category 18</v>
      </c>
      <c r="M610" s="279">
        <f>RES_BA!R108</f>
        <v>0</v>
      </c>
      <c r="O610" s="279">
        <f>RES_BA!S108</f>
        <v>0</v>
      </c>
      <c r="Q610" s="279">
        <f>RES_BA!T108</f>
        <v>0</v>
      </c>
      <c r="S610" s="279">
        <f>RES_BA!U108</f>
        <v>0</v>
      </c>
    </row>
    <row r="611" spans="3:19" s="277" customFormat="1" hidden="1" outlineLevel="1" x14ac:dyDescent="0.3">
      <c r="C611" s="283" t="str">
        <f>RES_BA!D109</f>
        <v>Supplies Category 19</v>
      </c>
      <c r="M611" s="279">
        <f>RES_BA!R109</f>
        <v>0</v>
      </c>
      <c r="O611" s="279">
        <f>RES_BA!S109</f>
        <v>0</v>
      </c>
      <c r="Q611" s="279">
        <f>RES_BA!T109</f>
        <v>0</v>
      </c>
      <c r="S611" s="279">
        <f>RES_BA!U109</f>
        <v>0</v>
      </c>
    </row>
    <row r="612" spans="3:19" s="277" customFormat="1" hidden="1" outlineLevel="1" x14ac:dyDescent="0.3">
      <c r="C612" s="283" t="str">
        <f>RES_BA!D110</f>
        <v>Supplies Category 20</v>
      </c>
      <c r="M612" s="279">
        <f>RES_BA!R110</f>
        <v>0</v>
      </c>
      <c r="O612" s="279">
        <f>RES_BA!S110</f>
        <v>0</v>
      </c>
      <c r="Q612" s="279">
        <f>RES_BA!T110</f>
        <v>0</v>
      </c>
      <c r="S612" s="279">
        <f>RES_BA!U110</f>
        <v>0</v>
      </c>
    </row>
    <row r="613" spans="3:19" s="277" customFormat="1" hidden="1" outlineLevel="1" x14ac:dyDescent="0.3">
      <c r="C613" s="283" t="str">
        <f>RES_BA!D111</f>
        <v>Supplies Category 21</v>
      </c>
      <c r="M613" s="279">
        <f>RES_BA!R111</f>
        <v>0</v>
      </c>
      <c r="O613" s="279">
        <f>RES_BA!S111</f>
        <v>0</v>
      </c>
      <c r="Q613" s="279">
        <f>RES_BA!T111</f>
        <v>0</v>
      </c>
      <c r="S613" s="279">
        <f>RES_BA!U111</f>
        <v>0</v>
      </c>
    </row>
    <row r="614" spans="3:19" s="277" customFormat="1" hidden="1" outlineLevel="1" x14ac:dyDescent="0.3">
      <c r="C614" s="283" t="str">
        <f>RES_BA!D112</f>
        <v>Supplies Category 22</v>
      </c>
      <c r="M614" s="279">
        <f>RES_BA!R112</f>
        <v>0</v>
      </c>
      <c r="O614" s="279">
        <f>RES_BA!S112</f>
        <v>0</v>
      </c>
      <c r="Q614" s="279">
        <f>RES_BA!T112</f>
        <v>0</v>
      </c>
      <c r="S614" s="279">
        <f>RES_BA!U112</f>
        <v>0</v>
      </c>
    </row>
    <row r="615" spans="3:19" s="277" customFormat="1" hidden="1" outlineLevel="1" x14ac:dyDescent="0.3">
      <c r="C615" s="283" t="str">
        <f>RES_BA!D113</f>
        <v>Supplies Category 23</v>
      </c>
      <c r="M615" s="279">
        <f>RES_BA!R113</f>
        <v>0</v>
      </c>
      <c r="O615" s="279">
        <f>RES_BA!S113</f>
        <v>0</v>
      </c>
      <c r="Q615" s="279">
        <f>RES_BA!T113</f>
        <v>0</v>
      </c>
      <c r="S615" s="279">
        <f>RES_BA!U113</f>
        <v>0</v>
      </c>
    </row>
    <row r="616" spans="3:19" s="277" customFormat="1" hidden="1" outlineLevel="1" x14ac:dyDescent="0.3">
      <c r="C616" s="283" t="str">
        <f>RES_BA!D114</f>
        <v>Supplies Category 24</v>
      </c>
      <c r="M616" s="279">
        <f>RES_BA!R114</f>
        <v>0</v>
      </c>
      <c r="O616" s="279">
        <f>RES_BA!S114</f>
        <v>0</v>
      </c>
      <c r="Q616" s="279">
        <f>RES_BA!T114</f>
        <v>0</v>
      </c>
      <c r="S616" s="279">
        <f>RES_BA!U114</f>
        <v>0</v>
      </c>
    </row>
    <row r="617" spans="3:19" s="277" customFormat="1" hidden="1" outlineLevel="1" x14ac:dyDescent="0.3">
      <c r="C617" s="283" t="str">
        <f>RES_BA!D115</f>
        <v>Supplies Category 25</v>
      </c>
      <c r="M617" s="279">
        <f>RES_BA!R115</f>
        <v>0</v>
      </c>
      <c r="O617" s="279">
        <f>RES_BA!S115</f>
        <v>0</v>
      </c>
      <c r="Q617" s="279">
        <f>RES_BA!T115</f>
        <v>0</v>
      </c>
      <c r="S617" s="279">
        <f>RES_BA!U115</f>
        <v>0</v>
      </c>
    </row>
    <row r="618" spans="3:19" s="277" customFormat="1" hidden="1" outlineLevel="1" x14ac:dyDescent="0.3">
      <c r="C618" s="283" t="str">
        <f>RES_BA!D116</f>
        <v>Supplies Category 26</v>
      </c>
      <c r="M618" s="279">
        <f>RES_BA!R116</f>
        <v>0</v>
      </c>
      <c r="O618" s="279">
        <f>RES_BA!S116</f>
        <v>0</v>
      </c>
      <c r="Q618" s="279">
        <f>RES_BA!T116</f>
        <v>0</v>
      </c>
      <c r="S618" s="279">
        <f>RES_BA!U116</f>
        <v>0</v>
      </c>
    </row>
    <row r="619" spans="3:19" s="277" customFormat="1" hidden="1" outlineLevel="1" x14ac:dyDescent="0.3">
      <c r="C619" s="283" t="str">
        <f>RES_BA!D117</f>
        <v>Supplies Category 27</v>
      </c>
      <c r="M619" s="279">
        <f>RES_BA!R117</f>
        <v>0</v>
      </c>
      <c r="O619" s="279">
        <f>RES_BA!S117</f>
        <v>0</v>
      </c>
      <c r="Q619" s="279">
        <f>RES_BA!T117</f>
        <v>0</v>
      </c>
      <c r="S619" s="279">
        <f>RES_BA!U117</f>
        <v>0</v>
      </c>
    </row>
    <row r="620" spans="3:19" s="277" customFormat="1" hidden="1" outlineLevel="1" x14ac:dyDescent="0.3">
      <c r="C620" s="283" t="str">
        <f>RES_BA!D118</f>
        <v>Supplies Category 28</v>
      </c>
      <c r="M620" s="279">
        <f>RES_BA!R118</f>
        <v>0</v>
      </c>
      <c r="O620" s="279">
        <f>RES_BA!S118</f>
        <v>0</v>
      </c>
      <c r="Q620" s="279">
        <f>RES_BA!T118</f>
        <v>0</v>
      </c>
      <c r="S620" s="279">
        <f>RES_BA!U118</f>
        <v>0</v>
      </c>
    </row>
    <row r="621" spans="3:19" s="277" customFormat="1" hidden="1" outlineLevel="1" x14ac:dyDescent="0.3">
      <c r="C621" s="283" t="str">
        <f>RES_BA!D119</f>
        <v>Supplies Category 29</v>
      </c>
      <c r="M621" s="279">
        <f>RES_BA!R119</f>
        <v>0</v>
      </c>
      <c r="O621" s="279">
        <f>RES_BA!S119</f>
        <v>0</v>
      </c>
      <c r="Q621" s="279">
        <f>RES_BA!T119</f>
        <v>0</v>
      </c>
      <c r="S621" s="279">
        <f>RES_BA!U119</f>
        <v>0</v>
      </c>
    </row>
    <row r="622" spans="3:19" s="277" customFormat="1" hidden="1" outlineLevel="1" collapsed="1" x14ac:dyDescent="0.3">
      <c r="C622" s="283" t="str">
        <f>RES_BA!D120</f>
        <v>Supplies Category 30</v>
      </c>
      <c r="M622" s="279">
        <f>RES_BA!R120</f>
        <v>0</v>
      </c>
      <c r="O622" s="279">
        <f>RES_BA!S120</f>
        <v>0</v>
      </c>
      <c r="Q622" s="279">
        <f>RES_BA!T120</f>
        <v>0</v>
      </c>
      <c r="S622" s="279">
        <f>RES_BA!U120</f>
        <v>0</v>
      </c>
    </row>
    <row r="623" spans="3:19" s="277" customFormat="1" hidden="1" outlineLevel="1" x14ac:dyDescent="0.3">
      <c r="C623" s="283" t="str">
        <f>RES_BA!D121</f>
        <v>Supplies Category 31</v>
      </c>
      <c r="M623" s="279">
        <f>RES_BA!R121</f>
        <v>0</v>
      </c>
      <c r="O623" s="279">
        <f>RES_BA!S121</f>
        <v>0</v>
      </c>
      <c r="Q623" s="279">
        <f>RES_BA!T121</f>
        <v>0</v>
      </c>
      <c r="S623" s="279">
        <f>RES_BA!U121</f>
        <v>0</v>
      </c>
    </row>
    <row r="624" spans="3:19" s="277" customFormat="1" hidden="1" outlineLevel="1" x14ac:dyDescent="0.3">
      <c r="C624" s="283" t="str">
        <f>RES_BA!D122</f>
        <v>Supplies Category 32</v>
      </c>
      <c r="M624" s="279">
        <f>RES_BA!R122</f>
        <v>0</v>
      </c>
      <c r="O624" s="279">
        <f>RES_BA!S122</f>
        <v>0</v>
      </c>
      <c r="Q624" s="279">
        <f>RES_BA!T122</f>
        <v>0</v>
      </c>
      <c r="S624" s="279">
        <f>RES_BA!U122</f>
        <v>0</v>
      </c>
    </row>
    <row r="625" spans="3:19" s="277" customFormat="1" hidden="1" outlineLevel="1" x14ac:dyDescent="0.3">
      <c r="C625" s="283" t="str">
        <f>RES_BA!D123</f>
        <v>Supplies Category 33</v>
      </c>
      <c r="M625" s="279">
        <f>RES_BA!R123</f>
        <v>0</v>
      </c>
      <c r="O625" s="279">
        <f>RES_BA!S123</f>
        <v>0</v>
      </c>
      <c r="Q625" s="279">
        <f>RES_BA!T123</f>
        <v>0</v>
      </c>
      <c r="S625" s="279">
        <f>RES_BA!U123</f>
        <v>0</v>
      </c>
    </row>
    <row r="626" spans="3:19" s="277" customFormat="1" hidden="1" outlineLevel="1" x14ac:dyDescent="0.3">
      <c r="C626" s="283" t="str">
        <f>RES_BA!D124</f>
        <v>Supplies Category 34</v>
      </c>
      <c r="M626" s="279">
        <f>RES_BA!R124</f>
        <v>0</v>
      </c>
      <c r="O626" s="279">
        <f>RES_BA!S124</f>
        <v>0</v>
      </c>
      <c r="Q626" s="279">
        <f>RES_BA!T124</f>
        <v>0</v>
      </c>
      <c r="S626" s="279">
        <f>RES_BA!U124</f>
        <v>0</v>
      </c>
    </row>
    <row r="627" spans="3:19" s="277" customFormat="1" hidden="1" outlineLevel="1" x14ac:dyDescent="0.3">
      <c r="C627" s="283" t="str">
        <f>RES_BA!D125</f>
        <v>Supplies Category 35</v>
      </c>
      <c r="M627" s="279">
        <f>RES_BA!R125</f>
        <v>0</v>
      </c>
      <c r="O627" s="279">
        <f>RES_BA!S125</f>
        <v>0</v>
      </c>
      <c r="Q627" s="279">
        <f>RES_BA!T125</f>
        <v>0</v>
      </c>
      <c r="S627" s="279">
        <f>RES_BA!U125</f>
        <v>0</v>
      </c>
    </row>
    <row r="628" spans="3:19" hidden="1" outlineLevel="1" x14ac:dyDescent="0.3"/>
    <row r="629" spans="3:19" hidden="1" outlineLevel="1" x14ac:dyDescent="0.3">
      <c r="M629" s="40" t="str">
        <f>$D$512</f>
        <v>USD</v>
      </c>
      <c r="O629" s="40" t="str">
        <f>$D$512</f>
        <v>USD</v>
      </c>
      <c r="Q629" s="40" t="str">
        <f>$D$513</f>
        <v>GOZ</v>
      </c>
      <c r="S629" s="40" t="str">
        <f>$D$513</f>
        <v>GOZ</v>
      </c>
    </row>
    <row r="630" spans="3:19" hidden="1" outlineLevel="1" x14ac:dyDescent="0.3">
      <c r="C630" s="89" t="str">
        <f>RES_BA!D130</f>
        <v>Equipment Category 1</v>
      </c>
      <c r="M630" s="40">
        <f>RES_BA!R130</f>
        <v>0</v>
      </c>
      <c r="O630" s="40">
        <f>RES_BA!S130</f>
        <v>0</v>
      </c>
      <c r="Q630" s="40">
        <f>RES_BA!T130</f>
        <v>0</v>
      </c>
      <c r="S630" s="40">
        <f>RES_BA!U130</f>
        <v>0</v>
      </c>
    </row>
    <row r="631" spans="3:19" hidden="1" outlineLevel="1" x14ac:dyDescent="0.3">
      <c r="C631" s="89" t="str">
        <f>RES_BA!D131</f>
        <v>Equipment Category 2</v>
      </c>
      <c r="M631" s="40">
        <f>RES_BA!R131</f>
        <v>0</v>
      </c>
      <c r="O631" s="40">
        <f>RES_BA!S131</f>
        <v>0</v>
      </c>
      <c r="Q631" s="40">
        <f>RES_BA!T131</f>
        <v>0</v>
      </c>
      <c r="S631" s="40">
        <f>RES_BA!U131</f>
        <v>0</v>
      </c>
    </row>
    <row r="632" spans="3:19" hidden="1" outlineLevel="1" x14ac:dyDescent="0.3">
      <c r="C632" s="89" t="str">
        <f>RES_BA!D132</f>
        <v>Equipment Category 3</v>
      </c>
      <c r="M632" s="40">
        <f>RES_BA!R132</f>
        <v>0</v>
      </c>
      <c r="O632" s="40">
        <f>RES_BA!S132</f>
        <v>0</v>
      </c>
      <c r="Q632" s="40">
        <f>RES_BA!T132</f>
        <v>0</v>
      </c>
      <c r="S632" s="40">
        <f>RES_BA!U132</f>
        <v>0</v>
      </c>
    </row>
    <row r="633" spans="3:19" hidden="1" outlineLevel="1" x14ac:dyDescent="0.3">
      <c r="C633" s="89" t="str">
        <f>RES_BA!D133</f>
        <v>Equipment Category 4</v>
      </c>
      <c r="M633" s="40">
        <f>RES_BA!R133</f>
        <v>0</v>
      </c>
      <c r="O633" s="40">
        <f>RES_BA!S133</f>
        <v>0</v>
      </c>
      <c r="Q633" s="40">
        <f>RES_BA!T133</f>
        <v>0</v>
      </c>
      <c r="S633" s="40">
        <f>RES_BA!U133</f>
        <v>0</v>
      </c>
    </row>
    <row r="634" spans="3:19" hidden="1" outlineLevel="1" x14ac:dyDescent="0.3">
      <c r="C634" s="89" t="str">
        <f>RES_BA!D134</f>
        <v>Equipment Category 5</v>
      </c>
      <c r="M634" s="40">
        <f>RES_BA!R134</f>
        <v>0</v>
      </c>
      <c r="O634" s="40">
        <f>RES_BA!S134</f>
        <v>0</v>
      </c>
      <c r="Q634" s="40">
        <f>RES_BA!T134</f>
        <v>0</v>
      </c>
      <c r="S634" s="40">
        <f>RES_BA!U134</f>
        <v>0</v>
      </c>
    </row>
    <row r="635" spans="3:19" hidden="1" outlineLevel="1" x14ac:dyDescent="0.3">
      <c r="C635" s="89" t="str">
        <f>RES_BA!D135</f>
        <v>Equipment Category 6</v>
      </c>
      <c r="M635" s="40">
        <f>RES_BA!R135</f>
        <v>0</v>
      </c>
      <c r="O635" s="40">
        <f>RES_BA!S135</f>
        <v>0</v>
      </c>
      <c r="Q635" s="40">
        <f>RES_BA!T135</f>
        <v>0</v>
      </c>
      <c r="S635" s="40">
        <f>RES_BA!U135</f>
        <v>0</v>
      </c>
    </row>
    <row r="636" spans="3:19" s="277" customFormat="1" hidden="1" outlineLevel="1" collapsed="1" x14ac:dyDescent="0.3">
      <c r="C636" s="283" t="str">
        <f>RES_BA!D136</f>
        <v>Equipment Category 7</v>
      </c>
      <c r="M636" s="279">
        <f>RES_BA!R136</f>
        <v>0</v>
      </c>
      <c r="O636" s="279">
        <f>RES_BA!S136</f>
        <v>0</v>
      </c>
      <c r="Q636" s="279">
        <f>RES_BA!T136</f>
        <v>0</v>
      </c>
      <c r="S636" s="279">
        <f>RES_BA!U136</f>
        <v>0</v>
      </c>
    </row>
    <row r="637" spans="3:19" s="277" customFormat="1" hidden="1" outlineLevel="1" x14ac:dyDescent="0.3">
      <c r="C637" s="283" t="str">
        <f>RES_BA!D137</f>
        <v>Equipment Category 8</v>
      </c>
      <c r="M637" s="279">
        <f>RES_BA!R137</f>
        <v>0</v>
      </c>
      <c r="O637" s="279">
        <f>RES_BA!S137</f>
        <v>0</v>
      </c>
      <c r="Q637" s="279">
        <f>RES_BA!T137</f>
        <v>0</v>
      </c>
      <c r="S637" s="279">
        <f>RES_BA!U137</f>
        <v>0</v>
      </c>
    </row>
    <row r="638" spans="3:19" s="277" customFormat="1" hidden="1" outlineLevel="1" x14ac:dyDescent="0.3">
      <c r="C638" s="283" t="str">
        <f>RES_BA!D138</f>
        <v>Equipment Category 9</v>
      </c>
      <c r="M638" s="279">
        <f>RES_BA!R138</f>
        <v>0</v>
      </c>
      <c r="O638" s="279">
        <f>RES_BA!S138</f>
        <v>0</v>
      </c>
      <c r="Q638" s="279">
        <f>RES_BA!T138</f>
        <v>0</v>
      </c>
      <c r="S638" s="279">
        <f>RES_BA!U138</f>
        <v>0</v>
      </c>
    </row>
    <row r="639" spans="3:19" s="277" customFormat="1" hidden="1" outlineLevel="1" x14ac:dyDescent="0.3">
      <c r="C639" s="283" t="str">
        <f>RES_BA!D139</f>
        <v>Equipment Category 10</v>
      </c>
      <c r="M639" s="279">
        <f>RES_BA!R139</f>
        <v>0</v>
      </c>
      <c r="O639" s="279">
        <f>RES_BA!S139</f>
        <v>0</v>
      </c>
      <c r="Q639" s="279">
        <f>RES_BA!T139</f>
        <v>0</v>
      </c>
      <c r="S639" s="279">
        <f>RES_BA!U139</f>
        <v>0</v>
      </c>
    </row>
    <row r="640" spans="3:19" s="277" customFormat="1" hidden="1" outlineLevel="1" x14ac:dyDescent="0.3">
      <c r="C640" s="283" t="str">
        <f>RES_BA!D140</f>
        <v>Equipment Category 11</v>
      </c>
      <c r="M640" s="279">
        <f>RES_BA!R140</f>
        <v>0</v>
      </c>
      <c r="O640" s="279">
        <f>RES_BA!S140</f>
        <v>0</v>
      </c>
      <c r="Q640" s="279">
        <f>RES_BA!T140</f>
        <v>0</v>
      </c>
      <c r="S640" s="279">
        <f>RES_BA!U140</f>
        <v>0</v>
      </c>
    </row>
    <row r="641" spans="3:19" s="277" customFormat="1" hidden="1" outlineLevel="1" x14ac:dyDescent="0.3">
      <c r="C641" s="283" t="str">
        <f>RES_BA!D141</f>
        <v>Equipment Category 12</v>
      </c>
      <c r="M641" s="279">
        <f>RES_BA!R141</f>
        <v>0</v>
      </c>
      <c r="O641" s="279">
        <f>RES_BA!S141</f>
        <v>0</v>
      </c>
      <c r="Q641" s="279">
        <f>RES_BA!T141</f>
        <v>0</v>
      </c>
      <c r="S641" s="279">
        <f>RES_BA!U141</f>
        <v>0</v>
      </c>
    </row>
    <row r="642" spans="3:19" s="277" customFormat="1" hidden="1" outlineLevel="1" collapsed="1" x14ac:dyDescent="0.3">
      <c r="C642" s="283" t="str">
        <f>RES_BA!D142</f>
        <v>Equipment Category 13</v>
      </c>
      <c r="M642" s="279">
        <f>RES_BA!R142</f>
        <v>0</v>
      </c>
      <c r="O642" s="279">
        <f>RES_BA!S142</f>
        <v>0</v>
      </c>
      <c r="Q642" s="279">
        <f>RES_BA!T142</f>
        <v>0</v>
      </c>
      <c r="S642" s="279">
        <f>RES_BA!U142</f>
        <v>0</v>
      </c>
    </row>
    <row r="643" spans="3:19" s="277" customFormat="1" hidden="1" outlineLevel="1" x14ac:dyDescent="0.3">
      <c r="C643" s="283" t="str">
        <f>RES_BA!D143</f>
        <v>Equipment Category 14</v>
      </c>
      <c r="M643" s="279">
        <f>RES_BA!R143</f>
        <v>0</v>
      </c>
      <c r="O643" s="279">
        <f>RES_BA!S143</f>
        <v>0</v>
      </c>
      <c r="Q643" s="279">
        <f>RES_BA!T143</f>
        <v>0</v>
      </c>
      <c r="S643" s="279">
        <f>RES_BA!U143</f>
        <v>0</v>
      </c>
    </row>
    <row r="644" spans="3:19" s="277" customFormat="1" hidden="1" outlineLevel="1" x14ac:dyDescent="0.3">
      <c r="C644" s="283" t="str">
        <f>RES_BA!D144</f>
        <v>Equipment Category 15</v>
      </c>
      <c r="M644" s="279">
        <f>RES_BA!R144</f>
        <v>0</v>
      </c>
      <c r="O644" s="279">
        <f>RES_BA!S144</f>
        <v>0</v>
      </c>
      <c r="Q644" s="279">
        <f>RES_BA!T144</f>
        <v>0</v>
      </c>
      <c r="S644" s="279">
        <f>RES_BA!U144</f>
        <v>0</v>
      </c>
    </row>
    <row r="645" spans="3:19" s="277" customFormat="1" hidden="1" outlineLevel="1" x14ac:dyDescent="0.3">
      <c r="C645" s="283" t="str">
        <f>RES_BA!D145</f>
        <v>Equipment Category 16</v>
      </c>
      <c r="M645" s="279">
        <f>RES_BA!R145</f>
        <v>0</v>
      </c>
      <c r="O645" s="279">
        <f>RES_BA!S145</f>
        <v>0</v>
      </c>
      <c r="Q645" s="279">
        <f>RES_BA!T145</f>
        <v>0</v>
      </c>
      <c r="S645" s="279">
        <f>RES_BA!U145</f>
        <v>0</v>
      </c>
    </row>
    <row r="646" spans="3:19" s="277" customFormat="1" hidden="1" outlineLevel="1" x14ac:dyDescent="0.3">
      <c r="C646" s="283" t="str">
        <f>RES_BA!D146</f>
        <v>Equipment Category 17</v>
      </c>
      <c r="M646" s="279">
        <f>RES_BA!R146</f>
        <v>0</v>
      </c>
      <c r="O646" s="279">
        <f>RES_BA!S146</f>
        <v>0</v>
      </c>
      <c r="Q646" s="279">
        <f>RES_BA!T146</f>
        <v>0</v>
      </c>
      <c r="S646" s="279">
        <f>RES_BA!U146</f>
        <v>0</v>
      </c>
    </row>
    <row r="647" spans="3:19" s="277" customFormat="1" hidden="1" outlineLevel="1" x14ac:dyDescent="0.3">
      <c r="C647" s="283" t="str">
        <f>RES_BA!D147</f>
        <v>Equipment Category 18</v>
      </c>
      <c r="M647" s="279">
        <f>RES_BA!R147</f>
        <v>0</v>
      </c>
      <c r="O647" s="279">
        <f>RES_BA!S147</f>
        <v>0</v>
      </c>
      <c r="Q647" s="279">
        <f>RES_BA!T147</f>
        <v>0</v>
      </c>
      <c r="S647" s="279">
        <f>RES_BA!U147</f>
        <v>0</v>
      </c>
    </row>
    <row r="648" spans="3:19" s="277" customFormat="1" hidden="1" outlineLevel="1" x14ac:dyDescent="0.3">
      <c r="C648" s="283" t="str">
        <f>RES_BA!D148</f>
        <v>Equipment Category 19</v>
      </c>
      <c r="M648" s="279">
        <f>RES_BA!R148</f>
        <v>0</v>
      </c>
      <c r="O648" s="279">
        <f>RES_BA!S148</f>
        <v>0</v>
      </c>
      <c r="Q648" s="279">
        <f>RES_BA!T148</f>
        <v>0</v>
      </c>
      <c r="S648" s="279">
        <f>RES_BA!U148</f>
        <v>0</v>
      </c>
    </row>
    <row r="649" spans="3:19" s="277" customFormat="1" hidden="1" outlineLevel="1" x14ac:dyDescent="0.3">
      <c r="C649" s="283" t="str">
        <f>RES_BA!D149</f>
        <v>Equipment Category 20</v>
      </c>
      <c r="M649" s="279">
        <f>RES_BA!R149</f>
        <v>0</v>
      </c>
      <c r="O649" s="279">
        <f>RES_BA!S149</f>
        <v>0</v>
      </c>
      <c r="Q649" s="279">
        <f>RES_BA!T149</f>
        <v>0</v>
      </c>
      <c r="S649" s="279">
        <f>RES_BA!U149</f>
        <v>0</v>
      </c>
    </row>
    <row r="650" spans="3:19" s="277" customFormat="1" hidden="1" outlineLevel="1" x14ac:dyDescent="0.3">
      <c r="C650" s="283" t="str">
        <f>RES_BA!D150</f>
        <v>Equipment Category 21</v>
      </c>
      <c r="M650" s="279">
        <f>RES_BA!R150</f>
        <v>0</v>
      </c>
      <c r="O650" s="279">
        <f>RES_BA!S150</f>
        <v>0</v>
      </c>
      <c r="Q650" s="279">
        <f>RES_BA!T150</f>
        <v>0</v>
      </c>
      <c r="S650" s="279">
        <f>RES_BA!U150</f>
        <v>0</v>
      </c>
    </row>
    <row r="651" spans="3:19" s="277" customFormat="1" hidden="1" outlineLevel="1" x14ac:dyDescent="0.3">
      <c r="C651" s="283" t="str">
        <f>RES_BA!D151</f>
        <v>Equipment Category 22</v>
      </c>
      <c r="M651" s="279">
        <f>RES_BA!R151</f>
        <v>0</v>
      </c>
      <c r="O651" s="279">
        <f>RES_BA!S151</f>
        <v>0</v>
      </c>
      <c r="Q651" s="279">
        <f>RES_BA!T151</f>
        <v>0</v>
      </c>
      <c r="S651" s="279">
        <f>RES_BA!U151</f>
        <v>0</v>
      </c>
    </row>
    <row r="652" spans="3:19" s="277" customFormat="1" hidden="1" outlineLevel="1" x14ac:dyDescent="0.3">
      <c r="C652" s="283" t="str">
        <f>RES_BA!D152</f>
        <v>Equipment Category 23</v>
      </c>
      <c r="M652" s="279">
        <f>RES_BA!R152</f>
        <v>0</v>
      </c>
      <c r="O652" s="279">
        <f>RES_BA!S152</f>
        <v>0</v>
      </c>
      <c r="Q652" s="279">
        <f>RES_BA!T152</f>
        <v>0</v>
      </c>
      <c r="S652" s="279">
        <f>RES_BA!U152</f>
        <v>0</v>
      </c>
    </row>
    <row r="653" spans="3:19" s="277" customFormat="1" hidden="1" outlineLevel="1" collapsed="1" x14ac:dyDescent="0.3">
      <c r="C653" s="283" t="str">
        <f>RES_BA!D153</f>
        <v>Equipment Category 24</v>
      </c>
      <c r="M653" s="279">
        <f>RES_BA!R153</f>
        <v>0</v>
      </c>
      <c r="O653" s="279">
        <f>RES_BA!S153</f>
        <v>0</v>
      </c>
      <c r="Q653" s="279">
        <f>RES_BA!T153</f>
        <v>0</v>
      </c>
      <c r="S653" s="279">
        <f>RES_BA!U153</f>
        <v>0</v>
      </c>
    </row>
    <row r="654" spans="3:19" s="277" customFormat="1" hidden="1" outlineLevel="1" x14ac:dyDescent="0.3">
      <c r="C654" s="283" t="str">
        <f>RES_BA!D154</f>
        <v>Equipment Category 25</v>
      </c>
      <c r="M654" s="279">
        <f>RES_BA!R154</f>
        <v>0</v>
      </c>
      <c r="O654" s="279">
        <f>RES_BA!S154</f>
        <v>0</v>
      </c>
      <c r="Q654" s="279">
        <f>RES_BA!T154</f>
        <v>0</v>
      </c>
      <c r="S654" s="279">
        <f>RES_BA!U154</f>
        <v>0</v>
      </c>
    </row>
    <row r="655" spans="3:19" s="277" customFormat="1" hidden="1" outlineLevel="1" x14ac:dyDescent="0.3">
      <c r="C655" s="283" t="str">
        <f>RES_BA!D155</f>
        <v>Equipment Category 26</v>
      </c>
      <c r="M655" s="279">
        <f>RES_BA!R155</f>
        <v>0</v>
      </c>
      <c r="O655" s="279">
        <f>RES_BA!S155</f>
        <v>0</v>
      </c>
      <c r="Q655" s="279">
        <f>RES_BA!T155</f>
        <v>0</v>
      </c>
      <c r="S655" s="279">
        <f>RES_BA!U155</f>
        <v>0</v>
      </c>
    </row>
    <row r="656" spans="3:19" s="277" customFormat="1" hidden="1" outlineLevel="1" x14ac:dyDescent="0.3">
      <c r="C656" s="283" t="str">
        <f>RES_BA!D156</f>
        <v>Equipment Category 27</v>
      </c>
      <c r="M656" s="279">
        <f>RES_BA!R156</f>
        <v>0</v>
      </c>
      <c r="O656" s="279">
        <f>RES_BA!S156</f>
        <v>0</v>
      </c>
      <c r="Q656" s="279">
        <f>RES_BA!T156</f>
        <v>0</v>
      </c>
      <c r="S656" s="279">
        <f>RES_BA!U156</f>
        <v>0</v>
      </c>
    </row>
    <row r="657" spans="3:19" s="277" customFormat="1" hidden="1" outlineLevel="1" x14ac:dyDescent="0.3">
      <c r="C657" s="283" t="str">
        <f>RES_BA!D157</f>
        <v>Equipment Category 28</v>
      </c>
      <c r="M657" s="279">
        <f>RES_BA!R157</f>
        <v>0</v>
      </c>
      <c r="O657" s="279">
        <f>RES_BA!S157</f>
        <v>0</v>
      </c>
      <c r="Q657" s="279">
        <f>RES_BA!T157</f>
        <v>0</v>
      </c>
      <c r="S657" s="279">
        <f>RES_BA!U157</f>
        <v>0</v>
      </c>
    </row>
    <row r="658" spans="3:19" s="277" customFormat="1" hidden="1" outlineLevel="1" x14ac:dyDescent="0.3">
      <c r="C658" s="283" t="str">
        <f>RES_BA!D158</f>
        <v>Equipment Category 29</v>
      </c>
      <c r="M658" s="279">
        <f>RES_BA!R158</f>
        <v>0</v>
      </c>
      <c r="O658" s="279">
        <f>RES_BA!S158</f>
        <v>0</v>
      </c>
      <c r="Q658" s="279">
        <f>RES_BA!T158</f>
        <v>0</v>
      </c>
      <c r="S658" s="279">
        <f>RES_BA!U158</f>
        <v>0</v>
      </c>
    </row>
    <row r="659" spans="3:19" s="277" customFormat="1" hidden="1" outlineLevel="1" x14ac:dyDescent="0.3">
      <c r="C659" s="283" t="str">
        <f>RES_BA!D159</f>
        <v>Equipment Category 30</v>
      </c>
      <c r="M659" s="279">
        <f>RES_BA!R159</f>
        <v>0</v>
      </c>
      <c r="O659" s="279">
        <f>RES_BA!S159</f>
        <v>0</v>
      </c>
      <c r="Q659" s="279">
        <f>RES_BA!T159</f>
        <v>0</v>
      </c>
      <c r="S659" s="279">
        <f>RES_BA!U159</f>
        <v>0</v>
      </c>
    </row>
    <row r="660" spans="3:19" s="277" customFormat="1" hidden="1" outlineLevel="1" x14ac:dyDescent="0.3">
      <c r="C660" s="283" t="str">
        <f>RES_BA!D160</f>
        <v>Equipment Category 31</v>
      </c>
      <c r="M660" s="279">
        <f>RES_BA!R160</f>
        <v>0</v>
      </c>
      <c r="O660" s="279">
        <f>RES_BA!S160</f>
        <v>0</v>
      </c>
      <c r="Q660" s="279">
        <f>RES_BA!T160</f>
        <v>0</v>
      </c>
      <c r="S660" s="279">
        <f>RES_BA!U160</f>
        <v>0</v>
      </c>
    </row>
    <row r="661" spans="3:19" s="277" customFormat="1" hidden="1" outlineLevel="1" x14ac:dyDescent="0.3">
      <c r="C661" s="283" t="str">
        <f>RES_BA!D161</f>
        <v>Equipment Category 32</v>
      </c>
      <c r="M661" s="279">
        <f>RES_BA!R161</f>
        <v>0</v>
      </c>
      <c r="O661" s="279">
        <f>RES_BA!S161</f>
        <v>0</v>
      </c>
      <c r="Q661" s="279">
        <f>RES_BA!T161</f>
        <v>0</v>
      </c>
      <c r="S661" s="279">
        <f>RES_BA!U161</f>
        <v>0</v>
      </c>
    </row>
    <row r="662" spans="3:19" s="277" customFormat="1" hidden="1" outlineLevel="1" x14ac:dyDescent="0.3">
      <c r="C662" s="283" t="str">
        <f>RES_BA!D162</f>
        <v>Equipment Category 33</v>
      </c>
      <c r="M662" s="279">
        <f>RES_BA!R162</f>
        <v>0</v>
      </c>
      <c r="O662" s="279">
        <f>RES_BA!S162</f>
        <v>0</v>
      </c>
      <c r="Q662" s="279">
        <f>RES_BA!T162</f>
        <v>0</v>
      </c>
      <c r="S662" s="279">
        <f>RES_BA!U162</f>
        <v>0</v>
      </c>
    </row>
    <row r="663" spans="3:19" s="277" customFormat="1" hidden="1" outlineLevel="1" collapsed="1" x14ac:dyDescent="0.3">
      <c r="C663" s="283" t="str">
        <f>RES_BA!D163</f>
        <v>Equipment Category 34</v>
      </c>
      <c r="M663" s="279">
        <f>RES_BA!R163</f>
        <v>0</v>
      </c>
      <c r="O663" s="279">
        <f>RES_BA!S163</f>
        <v>0</v>
      </c>
      <c r="Q663" s="279">
        <f>RES_BA!T163</f>
        <v>0</v>
      </c>
      <c r="S663" s="279">
        <f>RES_BA!U163</f>
        <v>0</v>
      </c>
    </row>
    <row r="664" spans="3:19" s="277" customFormat="1" hidden="1" outlineLevel="1" x14ac:dyDescent="0.3">
      <c r="C664" s="283" t="str">
        <f>RES_BA!D164</f>
        <v>Equipment Category 35</v>
      </c>
      <c r="M664" s="279">
        <f>RES_BA!R164</f>
        <v>0</v>
      </c>
      <c r="O664" s="279">
        <f>RES_BA!S164</f>
        <v>0</v>
      </c>
      <c r="Q664" s="279">
        <f>RES_BA!T164</f>
        <v>0</v>
      </c>
      <c r="S664" s="279">
        <f>RES_BA!U164</f>
        <v>0</v>
      </c>
    </row>
    <row r="665" spans="3:19" hidden="1" outlineLevel="1" x14ac:dyDescent="0.3"/>
    <row r="666" spans="3:19" hidden="1" outlineLevel="1" x14ac:dyDescent="0.3"/>
    <row r="667" spans="3:19" hidden="1" outlineLevel="1" x14ac:dyDescent="0.3">
      <c r="M667" s="40" t="str">
        <f>$D$512</f>
        <v>USD</v>
      </c>
      <c r="O667" s="40" t="str">
        <f>$D$512</f>
        <v>USD</v>
      </c>
      <c r="Q667" s="40" t="str">
        <f>$D$513</f>
        <v>GOZ</v>
      </c>
      <c r="S667" s="40" t="str">
        <f>$D$513</f>
        <v>GOZ</v>
      </c>
    </row>
    <row r="668" spans="3:19" hidden="1" outlineLevel="1" x14ac:dyDescent="0.3">
      <c r="C668" s="89" t="str">
        <f>RES_BA!D169</f>
        <v>Other Direct Costs Category 1</v>
      </c>
      <c r="M668" s="40">
        <f>RES_BA!R169</f>
        <v>0</v>
      </c>
      <c r="O668" s="40">
        <f>RES_BA!S169</f>
        <v>0</v>
      </c>
      <c r="Q668" s="40">
        <f>RES_BA!T169</f>
        <v>0</v>
      </c>
      <c r="S668" s="40">
        <f>RES_BA!U169</f>
        <v>0</v>
      </c>
    </row>
    <row r="669" spans="3:19" hidden="1" outlineLevel="1" x14ac:dyDescent="0.3">
      <c r="C669" s="89" t="str">
        <f>RES_BA!D170</f>
        <v>Other Direct Costs Category 2</v>
      </c>
      <c r="M669" s="40">
        <f>RES_BA!R170</f>
        <v>0</v>
      </c>
      <c r="O669" s="40">
        <f>RES_BA!S170</f>
        <v>0</v>
      </c>
      <c r="Q669" s="40">
        <f>RES_BA!T170</f>
        <v>0</v>
      </c>
      <c r="S669" s="40">
        <f>RES_BA!U170</f>
        <v>0</v>
      </c>
    </row>
    <row r="670" spans="3:19" hidden="1" outlineLevel="1" x14ac:dyDescent="0.3">
      <c r="C670" s="89" t="str">
        <f>RES_BA!D171</f>
        <v>Other Direct Costs Category 3</v>
      </c>
      <c r="M670" s="40">
        <f>RES_BA!R171</f>
        <v>0</v>
      </c>
      <c r="O670" s="40">
        <f>RES_BA!S171</f>
        <v>0</v>
      </c>
      <c r="Q670" s="40">
        <f>RES_BA!T171</f>
        <v>0</v>
      </c>
      <c r="S670" s="40">
        <f>RES_BA!U171</f>
        <v>0</v>
      </c>
    </row>
    <row r="671" spans="3:19" s="277" customFormat="1" hidden="1" outlineLevel="1" collapsed="1" x14ac:dyDescent="0.3">
      <c r="C671" s="283" t="str">
        <f>RES_BA!D172</f>
        <v>Other Direct Costs Category 4</v>
      </c>
      <c r="M671" s="279">
        <f>RES_BA!R172</f>
        <v>0</v>
      </c>
      <c r="O671" s="279">
        <f>RES_BA!S172</f>
        <v>0</v>
      </c>
      <c r="Q671" s="279">
        <f>RES_BA!T172</f>
        <v>0</v>
      </c>
      <c r="S671" s="279">
        <f>RES_BA!U172</f>
        <v>0</v>
      </c>
    </row>
    <row r="672" spans="3:19" s="277" customFormat="1" hidden="1" outlineLevel="1" x14ac:dyDescent="0.3">
      <c r="C672" s="283" t="str">
        <f>RES_BA!D173</f>
        <v>Other Direct Costs Category 5</v>
      </c>
      <c r="M672" s="279">
        <f>RES_BA!R173</f>
        <v>0</v>
      </c>
      <c r="O672" s="279">
        <f>RES_BA!S173</f>
        <v>0</v>
      </c>
      <c r="Q672" s="279">
        <f>RES_BA!T173</f>
        <v>0</v>
      </c>
      <c r="S672" s="279">
        <f>RES_BA!U173</f>
        <v>0</v>
      </c>
    </row>
    <row r="673" spans="3:19" s="277" customFormat="1" hidden="1" outlineLevel="1" x14ac:dyDescent="0.3">
      <c r="C673" s="283" t="str">
        <f>RES_BA!D174</f>
        <v>Other Direct Costs Category 6</v>
      </c>
      <c r="M673" s="279">
        <f>RES_BA!R174</f>
        <v>0</v>
      </c>
      <c r="O673" s="279">
        <f>RES_BA!S174</f>
        <v>0</v>
      </c>
      <c r="Q673" s="279">
        <f>RES_BA!T174</f>
        <v>0</v>
      </c>
      <c r="S673" s="279">
        <f>RES_BA!U174</f>
        <v>0</v>
      </c>
    </row>
    <row r="674" spans="3:19" s="277" customFormat="1" hidden="1" outlineLevel="1" x14ac:dyDescent="0.3">
      <c r="C674" s="283" t="str">
        <f>RES_BA!D175</f>
        <v>Other Direct Costs Category 7</v>
      </c>
      <c r="M674" s="279">
        <f>RES_BA!R175</f>
        <v>0</v>
      </c>
      <c r="O674" s="279">
        <f>RES_BA!S175</f>
        <v>0</v>
      </c>
      <c r="Q674" s="279">
        <f>RES_BA!T175</f>
        <v>0</v>
      </c>
      <c r="S674" s="279">
        <f>RES_BA!U175</f>
        <v>0</v>
      </c>
    </row>
    <row r="675" spans="3:19" s="277" customFormat="1" hidden="1" outlineLevel="1" x14ac:dyDescent="0.3">
      <c r="C675" s="283" t="str">
        <f>RES_BA!D176</f>
        <v>Other Direct Costs Category 8</v>
      </c>
      <c r="M675" s="279">
        <f>RES_BA!R176</f>
        <v>0</v>
      </c>
      <c r="O675" s="279">
        <f>RES_BA!S176</f>
        <v>0</v>
      </c>
      <c r="Q675" s="279">
        <f>RES_BA!T176</f>
        <v>0</v>
      </c>
      <c r="S675" s="279">
        <f>RES_BA!U176</f>
        <v>0</v>
      </c>
    </row>
    <row r="676" spans="3:19" s="277" customFormat="1" hidden="1" outlineLevel="1" x14ac:dyDescent="0.3">
      <c r="C676" s="283" t="str">
        <f>RES_BA!D177</f>
        <v>Other Direct Costs Category 9</v>
      </c>
      <c r="M676" s="279">
        <f>RES_BA!R177</f>
        <v>0</v>
      </c>
      <c r="O676" s="279">
        <f>RES_BA!S177</f>
        <v>0</v>
      </c>
      <c r="Q676" s="279">
        <f>RES_BA!T177</f>
        <v>0</v>
      </c>
      <c r="S676" s="279">
        <f>RES_BA!U177</f>
        <v>0</v>
      </c>
    </row>
    <row r="677" spans="3:19" s="277" customFormat="1" hidden="1" outlineLevel="1" x14ac:dyDescent="0.3">
      <c r="C677" s="283" t="str">
        <f>RES_BA!D178</f>
        <v>Other Direct Costs Category 10</v>
      </c>
      <c r="M677" s="279">
        <f>RES_BA!R178</f>
        <v>0</v>
      </c>
      <c r="O677" s="279">
        <f>RES_BA!S178</f>
        <v>0</v>
      </c>
      <c r="Q677" s="279">
        <f>RES_BA!T178</f>
        <v>0</v>
      </c>
      <c r="S677" s="279">
        <f>RES_BA!U178</f>
        <v>0</v>
      </c>
    </row>
    <row r="678" spans="3:19" s="277" customFormat="1" hidden="1" outlineLevel="1" x14ac:dyDescent="0.3">
      <c r="C678" s="283" t="str">
        <f>RES_BA!D179</f>
        <v>Other Direct Costs Category 11</v>
      </c>
      <c r="M678" s="279">
        <f>RES_BA!R179</f>
        <v>0</v>
      </c>
      <c r="O678" s="279">
        <f>RES_BA!S179</f>
        <v>0</v>
      </c>
      <c r="Q678" s="279">
        <f>RES_BA!T179</f>
        <v>0</v>
      </c>
      <c r="S678" s="279">
        <f>RES_BA!U179</f>
        <v>0</v>
      </c>
    </row>
    <row r="679" spans="3:19" s="277" customFormat="1" hidden="1" outlineLevel="1" collapsed="1" x14ac:dyDescent="0.3">
      <c r="C679" s="283" t="str">
        <f>RES_BA!D180</f>
        <v>Other Direct Costs Category 12</v>
      </c>
      <c r="M679" s="279">
        <f>RES_BA!R180</f>
        <v>0</v>
      </c>
      <c r="O679" s="279">
        <f>RES_BA!S180</f>
        <v>0</v>
      </c>
      <c r="Q679" s="279">
        <f>RES_BA!T180</f>
        <v>0</v>
      </c>
      <c r="S679" s="279">
        <f>RES_BA!U180</f>
        <v>0</v>
      </c>
    </row>
    <row r="680" spans="3:19" s="277" customFormat="1" hidden="1" outlineLevel="1" x14ac:dyDescent="0.3">
      <c r="C680" s="283" t="str">
        <f>RES_BA!D181</f>
        <v>Other Direct Costs Category 13</v>
      </c>
      <c r="M680" s="279">
        <f>RES_BA!R181</f>
        <v>0</v>
      </c>
      <c r="O680" s="279">
        <f>RES_BA!S181</f>
        <v>0</v>
      </c>
      <c r="Q680" s="279">
        <f>RES_BA!T181</f>
        <v>0</v>
      </c>
      <c r="S680" s="279">
        <f>RES_BA!U181</f>
        <v>0</v>
      </c>
    </row>
    <row r="681" spans="3:19" s="277" customFormat="1" hidden="1" outlineLevel="1" x14ac:dyDescent="0.3">
      <c r="C681" s="283" t="str">
        <f>RES_BA!D182</f>
        <v>Other Direct Costs Category 14</v>
      </c>
      <c r="M681" s="279">
        <f>RES_BA!R182</f>
        <v>0</v>
      </c>
      <c r="O681" s="279">
        <f>RES_BA!S182</f>
        <v>0</v>
      </c>
      <c r="Q681" s="279">
        <f>RES_BA!T182</f>
        <v>0</v>
      </c>
      <c r="S681" s="279">
        <f>RES_BA!U182</f>
        <v>0</v>
      </c>
    </row>
    <row r="682" spans="3:19" s="277" customFormat="1" hidden="1" outlineLevel="1" x14ac:dyDescent="0.3">
      <c r="C682" s="283" t="str">
        <f>RES_BA!D183</f>
        <v>Other Direct Costs Category 15</v>
      </c>
      <c r="M682" s="279">
        <f>RES_BA!R183</f>
        <v>0</v>
      </c>
      <c r="O682" s="279">
        <f>RES_BA!S183</f>
        <v>0</v>
      </c>
      <c r="Q682" s="279">
        <f>RES_BA!T183</f>
        <v>0</v>
      </c>
      <c r="S682" s="279">
        <f>RES_BA!U183</f>
        <v>0</v>
      </c>
    </row>
    <row r="683" spans="3:19" s="277" customFormat="1" hidden="1" outlineLevel="1" x14ac:dyDescent="0.3">
      <c r="C683" s="283" t="str">
        <f>RES_BA!D184</f>
        <v>Other Direct Costs Category 16</v>
      </c>
      <c r="M683" s="279">
        <f>RES_BA!R184</f>
        <v>0</v>
      </c>
      <c r="O683" s="279">
        <f>RES_BA!S184</f>
        <v>0</v>
      </c>
      <c r="Q683" s="279">
        <f>RES_BA!T184</f>
        <v>0</v>
      </c>
      <c r="S683" s="279">
        <f>RES_BA!U184</f>
        <v>0</v>
      </c>
    </row>
    <row r="684" spans="3:19" s="277" customFormat="1" hidden="1" outlineLevel="1" x14ac:dyDescent="0.3">
      <c r="C684" s="283" t="str">
        <f>RES_BA!D185</f>
        <v>Other Direct Costs Category 17</v>
      </c>
      <c r="M684" s="279">
        <f>RES_BA!R185</f>
        <v>0</v>
      </c>
      <c r="O684" s="279">
        <f>RES_BA!S185</f>
        <v>0</v>
      </c>
      <c r="Q684" s="279">
        <f>RES_BA!T185</f>
        <v>0</v>
      </c>
      <c r="S684" s="279">
        <f>RES_BA!U185</f>
        <v>0</v>
      </c>
    </row>
    <row r="685" spans="3:19" s="277" customFormat="1" hidden="1" outlineLevel="1" x14ac:dyDescent="0.3">
      <c r="C685" s="283" t="str">
        <f>RES_BA!D186</f>
        <v>Other Direct Costs Category 18</v>
      </c>
      <c r="M685" s="279">
        <f>RES_BA!R186</f>
        <v>0</v>
      </c>
      <c r="O685" s="279">
        <f>RES_BA!S186</f>
        <v>0</v>
      </c>
      <c r="Q685" s="279">
        <f>RES_BA!T186</f>
        <v>0</v>
      </c>
      <c r="S685" s="279">
        <f>RES_BA!U186</f>
        <v>0</v>
      </c>
    </row>
    <row r="686" spans="3:19" s="277" customFormat="1" hidden="1" outlineLevel="1" x14ac:dyDescent="0.3">
      <c r="C686" s="283" t="str">
        <f>RES_BA!D187</f>
        <v>Other Direct Costs Category 19</v>
      </c>
      <c r="M686" s="279">
        <f>RES_BA!R187</f>
        <v>0</v>
      </c>
      <c r="O686" s="279">
        <f>RES_BA!S187</f>
        <v>0</v>
      </c>
      <c r="Q686" s="279">
        <f>RES_BA!T187</f>
        <v>0</v>
      </c>
      <c r="S686" s="279">
        <f>RES_BA!U187</f>
        <v>0</v>
      </c>
    </row>
    <row r="687" spans="3:19" s="277" customFormat="1" hidden="1" outlineLevel="1" x14ac:dyDescent="0.3">
      <c r="C687" s="283" t="str">
        <f>RES_BA!D188</f>
        <v>Other Direct Costs Category 20</v>
      </c>
      <c r="M687" s="279">
        <f>RES_BA!R188</f>
        <v>0</v>
      </c>
      <c r="O687" s="279">
        <f>RES_BA!S188</f>
        <v>0</v>
      </c>
      <c r="Q687" s="279">
        <f>RES_BA!T188</f>
        <v>0</v>
      </c>
      <c r="S687" s="279">
        <f>RES_BA!U188</f>
        <v>0</v>
      </c>
    </row>
    <row r="688" spans="3:19" s="277" customFormat="1" hidden="1" outlineLevel="1" x14ac:dyDescent="0.3">
      <c r="C688" s="283" t="str">
        <f>RES_BA!D189</f>
        <v>Other Direct Costs Category 21</v>
      </c>
      <c r="M688" s="279">
        <f>RES_BA!R189</f>
        <v>0</v>
      </c>
      <c r="O688" s="279">
        <f>RES_BA!S189</f>
        <v>0</v>
      </c>
      <c r="Q688" s="279">
        <f>RES_BA!T189</f>
        <v>0</v>
      </c>
      <c r="S688" s="279">
        <f>RES_BA!U189</f>
        <v>0</v>
      </c>
    </row>
    <row r="689" spans="3:19" s="277" customFormat="1" hidden="1" outlineLevel="1" x14ac:dyDescent="0.3">
      <c r="C689" s="283" t="str">
        <f>RES_BA!D190</f>
        <v>Other Direct Costs Category 22</v>
      </c>
      <c r="M689" s="279">
        <f>RES_BA!R190</f>
        <v>0</v>
      </c>
      <c r="O689" s="279">
        <f>RES_BA!S190</f>
        <v>0</v>
      </c>
      <c r="Q689" s="279">
        <f>RES_BA!T190</f>
        <v>0</v>
      </c>
      <c r="S689" s="279">
        <f>RES_BA!U190</f>
        <v>0</v>
      </c>
    </row>
    <row r="690" spans="3:19" s="277" customFormat="1" hidden="1" outlineLevel="1" x14ac:dyDescent="0.3">
      <c r="C690" s="283" t="str">
        <f>RES_BA!D191</f>
        <v>Other Direct Costs Category 23</v>
      </c>
      <c r="M690" s="279">
        <f>RES_BA!R191</f>
        <v>0</v>
      </c>
      <c r="O690" s="279">
        <f>RES_BA!S191</f>
        <v>0</v>
      </c>
      <c r="Q690" s="279">
        <f>RES_BA!T191</f>
        <v>0</v>
      </c>
      <c r="S690" s="279">
        <f>RES_BA!U191</f>
        <v>0</v>
      </c>
    </row>
    <row r="691" spans="3:19" s="277" customFormat="1" hidden="1" outlineLevel="1" collapsed="1" x14ac:dyDescent="0.3">
      <c r="C691" s="283" t="str">
        <f>RES_BA!D192</f>
        <v>Other Direct Costs Category 24</v>
      </c>
      <c r="M691" s="279">
        <f>RES_BA!R192</f>
        <v>0</v>
      </c>
      <c r="O691" s="279">
        <f>RES_BA!S192</f>
        <v>0</v>
      </c>
      <c r="Q691" s="279">
        <f>RES_BA!T192</f>
        <v>0</v>
      </c>
      <c r="S691" s="279">
        <f>RES_BA!U192</f>
        <v>0</v>
      </c>
    </row>
    <row r="692" spans="3:19" s="277" customFormat="1" hidden="1" outlineLevel="1" x14ac:dyDescent="0.3">
      <c r="C692" s="283" t="str">
        <f>RES_BA!D193</f>
        <v>Other Direct Costs Category 25</v>
      </c>
      <c r="M692" s="279">
        <f>RES_BA!R193</f>
        <v>0</v>
      </c>
      <c r="O692" s="279">
        <f>RES_BA!S193</f>
        <v>0</v>
      </c>
      <c r="Q692" s="279">
        <f>RES_BA!T193</f>
        <v>0</v>
      </c>
      <c r="S692" s="279">
        <f>RES_BA!U193</f>
        <v>0</v>
      </c>
    </row>
    <row r="693" spans="3:19" s="277" customFormat="1" hidden="1" outlineLevel="1" x14ac:dyDescent="0.3">
      <c r="C693" s="283" t="str">
        <f>RES_BA!D194</f>
        <v>Other Direct Costs Category 26</v>
      </c>
      <c r="M693" s="279">
        <f>RES_BA!R194</f>
        <v>0</v>
      </c>
      <c r="O693" s="279">
        <f>RES_BA!S194</f>
        <v>0</v>
      </c>
      <c r="Q693" s="279">
        <f>RES_BA!T194</f>
        <v>0</v>
      </c>
      <c r="S693" s="279">
        <f>RES_BA!U194</f>
        <v>0</v>
      </c>
    </row>
    <row r="694" spans="3:19" s="277" customFormat="1" hidden="1" outlineLevel="1" x14ac:dyDescent="0.3">
      <c r="C694" s="283" t="str">
        <f>RES_BA!D195</f>
        <v>Other Direct Costs Category 27</v>
      </c>
      <c r="M694" s="279">
        <f>RES_BA!R195</f>
        <v>0</v>
      </c>
      <c r="O694" s="279">
        <f>RES_BA!S195</f>
        <v>0</v>
      </c>
      <c r="Q694" s="279">
        <f>RES_BA!T195</f>
        <v>0</v>
      </c>
      <c r="S694" s="279">
        <f>RES_BA!U195</f>
        <v>0</v>
      </c>
    </row>
    <row r="695" spans="3:19" s="277" customFormat="1" hidden="1" outlineLevel="1" x14ac:dyDescent="0.3">
      <c r="C695" s="283" t="str">
        <f>RES_BA!D196</f>
        <v>Other Direct Costs Category 28</v>
      </c>
      <c r="M695" s="279">
        <f>RES_BA!R196</f>
        <v>0</v>
      </c>
      <c r="O695" s="279">
        <f>RES_BA!S196</f>
        <v>0</v>
      </c>
      <c r="Q695" s="279">
        <f>RES_BA!T196</f>
        <v>0</v>
      </c>
      <c r="S695" s="279">
        <f>RES_BA!U196</f>
        <v>0</v>
      </c>
    </row>
    <row r="696" spans="3:19" s="277" customFormat="1" hidden="1" outlineLevel="1" x14ac:dyDescent="0.3">
      <c r="C696" s="283" t="str">
        <f>RES_BA!D197</f>
        <v>Other Direct Costs Category 29</v>
      </c>
      <c r="M696" s="279">
        <f>RES_BA!R197</f>
        <v>0</v>
      </c>
      <c r="O696" s="279">
        <f>RES_BA!S197</f>
        <v>0</v>
      </c>
      <c r="Q696" s="279">
        <f>RES_BA!T197</f>
        <v>0</v>
      </c>
      <c r="S696" s="279">
        <f>RES_BA!U197</f>
        <v>0</v>
      </c>
    </row>
    <row r="697" spans="3:19" s="277" customFormat="1" hidden="1" outlineLevel="1" x14ac:dyDescent="0.3">
      <c r="C697" s="283" t="str">
        <f>RES_BA!D198</f>
        <v>Other Direct Costs Category 30</v>
      </c>
      <c r="M697" s="279">
        <f>RES_BA!R198</f>
        <v>0</v>
      </c>
      <c r="O697" s="279">
        <f>RES_BA!S198</f>
        <v>0</v>
      </c>
      <c r="Q697" s="279">
        <f>RES_BA!T198</f>
        <v>0</v>
      </c>
      <c r="S697" s="279">
        <f>RES_BA!U198</f>
        <v>0</v>
      </c>
    </row>
    <row r="698" spans="3:19" s="277" customFormat="1" hidden="1" outlineLevel="1" x14ac:dyDescent="0.3">
      <c r="C698" s="283" t="str">
        <f>RES_BA!D199</f>
        <v>Other Direct Costs Category 31</v>
      </c>
      <c r="M698" s="279">
        <f>RES_BA!R199</f>
        <v>0</v>
      </c>
      <c r="O698" s="279">
        <f>RES_BA!S199</f>
        <v>0</v>
      </c>
      <c r="Q698" s="279">
        <f>RES_BA!T199</f>
        <v>0</v>
      </c>
      <c r="S698" s="279">
        <f>RES_BA!U199</f>
        <v>0</v>
      </c>
    </row>
    <row r="699" spans="3:19" s="277" customFormat="1" hidden="1" outlineLevel="1" x14ac:dyDescent="0.3">
      <c r="C699" s="283" t="str">
        <f>RES_BA!D200</f>
        <v>Other Direct Costs Category 32</v>
      </c>
      <c r="M699" s="279">
        <f>RES_BA!R200</f>
        <v>0</v>
      </c>
      <c r="O699" s="279">
        <f>RES_BA!S200</f>
        <v>0</v>
      </c>
      <c r="Q699" s="279">
        <f>RES_BA!T200</f>
        <v>0</v>
      </c>
      <c r="S699" s="279">
        <f>RES_BA!U200</f>
        <v>0</v>
      </c>
    </row>
    <row r="700" spans="3:19" s="277" customFormat="1" hidden="1" outlineLevel="1" x14ac:dyDescent="0.3">
      <c r="C700" s="283" t="str">
        <f>RES_BA!D201</f>
        <v>Other Direct Costs Category 33</v>
      </c>
      <c r="M700" s="279">
        <f>RES_BA!R201</f>
        <v>0</v>
      </c>
      <c r="O700" s="279">
        <f>RES_BA!S201</f>
        <v>0</v>
      </c>
      <c r="Q700" s="279">
        <f>RES_BA!T201</f>
        <v>0</v>
      </c>
      <c r="S700" s="279">
        <f>RES_BA!U201</f>
        <v>0</v>
      </c>
    </row>
    <row r="701" spans="3:19" s="277" customFormat="1" hidden="1" outlineLevel="1" x14ac:dyDescent="0.3">
      <c r="C701" s="283" t="str">
        <f>RES_BA!D202</f>
        <v>Other Direct Costs Category 34</v>
      </c>
      <c r="M701" s="279">
        <f>RES_BA!R202</f>
        <v>0</v>
      </c>
      <c r="O701" s="279">
        <f>RES_BA!S202</f>
        <v>0</v>
      </c>
      <c r="Q701" s="279">
        <f>RES_BA!T202</f>
        <v>0</v>
      </c>
      <c r="S701" s="279">
        <f>RES_BA!U202</f>
        <v>0</v>
      </c>
    </row>
    <row r="702" spans="3:19" s="277" customFormat="1" hidden="1" outlineLevel="1" x14ac:dyDescent="0.3">
      <c r="C702" s="283" t="str">
        <f>RES_BA!D203</f>
        <v>Other Direct Costs Category 35</v>
      </c>
      <c r="M702" s="279">
        <f>RES_BA!R203</f>
        <v>0</v>
      </c>
      <c r="O702" s="279">
        <f>RES_BA!S203</f>
        <v>0</v>
      </c>
      <c r="Q702" s="279">
        <f>RES_BA!T203</f>
        <v>0</v>
      </c>
      <c r="S702" s="279">
        <f>RES_BA!U203</f>
        <v>0</v>
      </c>
    </row>
    <row r="703" spans="3:19" collapsed="1" x14ac:dyDescent="0.3"/>
    <row r="705" spans="2:24" ht="18" x14ac:dyDescent="0.3">
      <c r="B705" s="31" t="str">
        <f>I706</f>
        <v>Sensitisation Activity #3 [not in use]</v>
      </c>
    </row>
    <row r="706" spans="2:24" x14ac:dyDescent="0.3">
      <c r="G706" s="41" t="s">
        <v>119</v>
      </c>
      <c r="I706" s="356" t="s">
        <v>1000</v>
      </c>
      <c r="J706" s="356"/>
      <c r="K706" s="356"/>
      <c r="L706" s="356"/>
      <c r="M706" s="356"/>
    </row>
    <row r="707" spans="2:24" ht="10.5" customHeight="1" x14ac:dyDescent="0.3">
      <c r="G707" s="41" t="s">
        <v>644</v>
      </c>
      <c r="I707" s="32">
        <v>2</v>
      </c>
    </row>
    <row r="708" spans="2:24" ht="15.6" x14ac:dyDescent="0.3">
      <c r="C708" s="92" t="s">
        <v>77</v>
      </c>
      <c r="M708" s="40" t="str">
        <f>IF(DD_ACT_5_Meet1_Curr=1,$D$861,$D$862)</f>
        <v>GOZ</v>
      </c>
      <c r="O708" s="40" t="str">
        <f>IF(DD_ACT_5_Meet1_Curr=1,$D$861,$D$862)</f>
        <v>GOZ</v>
      </c>
      <c r="Q708" s="40" t="str">
        <f>IF(DD_ACT_5_Meet1_Curr=1,$D$861,$D$862)</f>
        <v>GOZ</v>
      </c>
      <c r="S708" s="40" t="str">
        <f>IF(DD_ACT_5_Meet1_Curr=1,$D$861,$D$862)</f>
        <v>GOZ</v>
      </c>
    </row>
    <row r="709" spans="2:24" ht="27.6" x14ac:dyDescent="0.3">
      <c r="D709" s="90" t="s">
        <v>77</v>
      </c>
      <c r="I709" s="88" t="s">
        <v>80</v>
      </c>
      <c r="K709" s="91" t="s">
        <v>432</v>
      </c>
      <c r="M709" s="42" t="s">
        <v>103</v>
      </c>
      <c r="O709" s="42" t="s">
        <v>104</v>
      </c>
      <c r="Q709" s="42" t="s">
        <v>105</v>
      </c>
      <c r="S709" s="42" t="s">
        <v>106</v>
      </c>
      <c r="U709" s="350" t="s">
        <v>185</v>
      </c>
      <c r="V709" s="351"/>
      <c r="W709" s="351"/>
      <c r="X709" s="351"/>
    </row>
    <row r="710" spans="2:24" x14ac:dyDescent="0.3">
      <c r="D710" s="356" t="s">
        <v>188</v>
      </c>
      <c r="E710" s="356"/>
      <c r="F710" s="356"/>
      <c r="G710" s="356"/>
      <c r="I710" s="48">
        <v>0</v>
      </c>
      <c r="K710" s="48">
        <v>0</v>
      </c>
      <c r="M710" s="40">
        <f t="shared" ref="M710:M734" si="40">IFERROR(IF(DD_ACT_5_Meet1_Curr=1,INDEX($M$867:$M$901,MATCH(D710,LU_ACT_5_Pers_Res,0)),INDEX($Q$867:$Q$901,MATCH(D710,LU_ACT_5_Pers_Res,0))),0)</f>
        <v>0</v>
      </c>
      <c r="O710" s="40">
        <f t="shared" ref="O710:O734" si="41">IFERROR(IF(DD_ACT_5_Meet1_Curr=1,INDEX($O$867:$O$901,MATCH(D710,LU_ACT_5_Pers_Res,0)),INDEX($S$867:$S$901,MATCH(D710,LU_ACT_5_Pers_Res,0))),0)</f>
        <v>0</v>
      </c>
      <c r="Q710" s="293">
        <f t="shared" ref="Q710:Q734" si="42">I710*K710*M710</f>
        <v>0</v>
      </c>
      <c r="S710" s="293">
        <f t="shared" ref="S710:S734" si="43">I710*K710*O710</f>
        <v>0</v>
      </c>
      <c r="U710" s="356"/>
      <c r="V710" s="356"/>
      <c r="W710" s="356"/>
      <c r="X710" s="356"/>
    </row>
    <row r="711" spans="2:24" x14ac:dyDescent="0.3">
      <c r="D711" s="356" t="s">
        <v>189</v>
      </c>
      <c r="E711" s="356"/>
      <c r="F711" s="356"/>
      <c r="G711" s="356"/>
      <c r="I711" s="48">
        <v>0</v>
      </c>
      <c r="K711" s="48">
        <v>0</v>
      </c>
      <c r="M711" s="40">
        <f t="shared" si="40"/>
        <v>0</v>
      </c>
      <c r="O711" s="40">
        <f t="shared" si="41"/>
        <v>0</v>
      </c>
      <c r="Q711" s="293">
        <f t="shared" si="42"/>
        <v>0</v>
      </c>
      <c r="S711" s="293">
        <f t="shared" si="43"/>
        <v>0</v>
      </c>
      <c r="U711" s="356"/>
      <c r="V711" s="356"/>
      <c r="W711" s="356"/>
      <c r="X711" s="356"/>
    </row>
    <row r="712" spans="2:24" x14ac:dyDescent="0.3">
      <c r="D712" s="356" t="s">
        <v>190</v>
      </c>
      <c r="E712" s="356"/>
      <c r="F712" s="356"/>
      <c r="G712" s="356"/>
      <c r="I712" s="48">
        <v>0</v>
      </c>
      <c r="K712" s="48">
        <v>0</v>
      </c>
      <c r="M712" s="40">
        <f t="shared" si="40"/>
        <v>0</v>
      </c>
      <c r="O712" s="40">
        <f t="shared" si="41"/>
        <v>0</v>
      </c>
      <c r="Q712" s="293">
        <f t="shared" si="42"/>
        <v>0</v>
      </c>
      <c r="S712" s="293">
        <f t="shared" si="43"/>
        <v>0</v>
      </c>
      <c r="U712" s="356"/>
      <c r="V712" s="356"/>
      <c r="W712" s="356"/>
      <c r="X712" s="356"/>
    </row>
    <row r="713" spans="2:24" x14ac:dyDescent="0.3">
      <c r="D713" s="356" t="s">
        <v>191</v>
      </c>
      <c r="E713" s="356"/>
      <c r="F713" s="356"/>
      <c r="G713" s="356"/>
      <c r="I713" s="48">
        <v>0</v>
      </c>
      <c r="K713" s="48">
        <v>0</v>
      </c>
      <c r="M713" s="40">
        <f t="shared" si="40"/>
        <v>0</v>
      </c>
      <c r="O713" s="40">
        <f t="shared" si="41"/>
        <v>0</v>
      </c>
      <c r="Q713" s="293">
        <f t="shared" si="42"/>
        <v>0</v>
      </c>
      <c r="S713" s="293">
        <f t="shared" si="43"/>
        <v>0</v>
      </c>
      <c r="U713" s="356"/>
      <c r="V713" s="356"/>
      <c r="W713" s="356"/>
      <c r="X713" s="356"/>
    </row>
    <row r="714" spans="2:24" x14ac:dyDescent="0.3">
      <c r="D714" s="356" t="s">
        <v>192</v>
      </c>
      <c r="E714" s="356"/>
      <c r="F714" s="356"/>
      <c r="G714" s="356"/>
      <c r="I714" s="48">
        <v>0</v>
      </c>
      <c r="K714" s="48">
        <v>0</v>
      </c>
      <c r="M714" s="40">
        <f t="shared" si="40"/>
        <v>0</v>
      </c>
      <c r="O714" s="40">
        <f t="shared" si="41"/>
        <v>0</v>
      </c>
      <c r="Q714" s="293">
        <f t="shared" si="42"/>
        <v>0</v>
      </c>
      <c r="S714" s="293">
        <f t="shared" si="43"/>
        <v>0</v>
      </c>
      <c r="U714" s="356"/>
      <c r="V714" s="356"/>
      <c r="W714" s="356"/>
      <c r="X714" s="356"/>
    </row>
    <row r="715" spans="2:24" x14ac:dyDescent="0.3">
      <c r="D715" s="356" t="s">
        <v>193</v>
      </c>
      <c r="E715" s="356"/>
      <c r="F715" s="356"/>
      <c r="G715" s="356"/>
      <c r="I715" s="48">
        <v>0</v>
      </c>
      <c r="K715" s="48">
        <v>0</v>
      </c>
      <c r="M715" s="40">
        <f t="shared" si="40"/>
        <v>0</v>
      </c>
      <c r="O715" s="40">
        <f t="shared" si="41"/>
        <v>0</v>
      </c>
      <c r="Q715" s="293">
        <f t="shared" si="42"/>
        <v>0</v>
      </c>
      <c r="S715" s="293">
        <f t="shared" si="43"/>
        <v>0</v>
      </c>
      <c r="U715" s="356"/>
      <c r="V715" s="356"/>
      <c r="W715" s="356"/>
      <c r="X715" s="356"/>
    </row>
    <row r="716" spans="2:24" x14ac:dyDescent="0.3">
      <c r="D716" s="356" t="s">
        <v>120</v>
      </c>
      <c r="E716" s="356"/>
      <c r="F716" s="356"/>
      <c r="G716" s="356"/>
      <c r="I716" s="48">
        <v>0</v>
      </c>
      <c r="K716" s="48">
        <v>0</v>
      </c>
      <c r="M716" s="40">
        <f t="shared" si="40"/>
        <v>0</v>
      </c>
      <c r="O716" s="40">
        <f t="shared" si="41"/>
        <v>0</v>
      </c>
      <c r="Q716" s="293">
        <f t="shared" si="42"/>
        <v>0</v>
      </c>
      <c r="S716" s="293">
        <f t="shared" si="43"/>
        <v>0</v>
      </c>
      <c r="U716" s="356"/>
      <c r="V716" s="356"/>
      <c r="W716" s="356"/>
      <c r="X716" s="356"/>
    </row>
    <row r="717" spans="2:24" x14ac:dyDescent="0.3">
      <c r="D717" s="356" t="s">
        <v>121</v>
      </c>
      <c r="E717" s="356"/>
      <c r="F717" s="356"/>
      <c r="G717" s="356"/>
      <c r="I717" s="48">
        <v>0</v>
      </c>
      <c r="K717" s="48">
        <v>0</v>
      </c>
      <c r="M717" s="40">
        <f t="shared" si="40"/>
        <v>0</v>
      </c>
      <c r="O717" s="40">
        <f t="shared" si="41"/>
        <v>0</v>
      </c>
      <c r="Q717" s="293">
        <f t="shared" si="42"/>
        <v>0</v>
      </c>
      <c r="S717" s="293">
        <f t="shared" si="43"/>
        <v>0</v>
      </c>
      <c r="U717" s="356"/>
      <c r="V717" s="356"/>
      <c r="W717" s="356"/>
      <c r="X717" s="356"/>
    </row>
    <row r="718" spans="2:24" s="277" customFormat="1" x14ac:dyDescent="0.3">
      <c r="D718" s="356" t="s">
        <v>830</v>
      </c>
      <c r="E718" s="356"/>
      <c r="F718" s="356"/>
      <c r="G718" s="356"/>
      <c r="I718" s="48">
        <v>0</v>
      </c>
      <c r="K718" s="48">
        <v>0</v>
      </c>
      <c r="M718" s="279">
        <f t="shared" si="40"/>
        <v>0</v>
      </c>
      <c r="O718" s="279">
        <f t="shared" si="41"/>
        <v>0</v>
      </c>
      <c r="Q718" s="293">
        <f t="shared" si="42"/>
        <v>0</v>
      </c>
      <c r="S718" s="293">
        <f t="shared" si="43"/>
        <v>0</v>
      </c>
      <c r="U718" s="385"/>
      <c r="V718" s="385"/>
      <c r="W718" s="385"/>
      <c r="X718" s="385"/>
    </row>
    <row r="719" spans="2:24" s="277" customFormat="1" x14ac:dyDescent="0.3">
      <c r="D719" s="356" t="s">
        <v>831</v>
      </c>
      <c r="E719" s="356"/>
      <c r="F719" s="356"/>
      <c r="G719" s="356"/>
      <c r="I719" s="48">
        <v>0</v>
      </c>
      <c r="K719" s="48">
        <v>0</v>
      </c>
      <c r="M719" s="279">
        <f t="shared" si="40"/>
        <v>0</v>
      </c>
      <c r="O719" s="279">
        <f t="shared" si="41"/>
        <v>0</v>
      </c>
      <c r="Q719" s="293">
        <f t="shared" si="42"/>
        <v>0</v>
      </c>
      <c r="S719" s="293">
        <f t="shared" si="43"/>
        <v>0</v>
      </c>
      <c r="U719" s="385"/>
      <c r="V719" s="385"/>
      <c r="W719" s="385"/>
      <c r="X719" s="385"/>
    </row>
    <row r="720" spans="2:24" s="277" customFormat="1" x14ac:dyDescent="0.3">
      <c r="D720" s="356" t="s">
        <v>832</v>
      </c>
      <c r="E720" s="356"/>
      <c r="F720" s="356"/>
      <c r="G720" s="356"/>
      <c r="I720" s="48">
        <v>0</v>
      </c>
      <c r="K720" s="48">
        <v>0</v>
      </c>
      <c r="M720" s="279">
        <f t="shared" si="40"/>
        <v>0</v>
      </c>
      <c r="O720" s="279">
        <f t="shared" si="41"/>
        <v>0</v>
      </c>
      <c r="Q720" s="293">
        <f t="shared" si="42"/>
        <v>0</v>
      </c>
      <c r="S720" s="293">
        <f t="shared" si="43"/>
        <v>0</v>
      </c>
      <c r="U720" s="385"/>
      <c r="V720" s="385"/>
      <c r="W720" s="385"/>
      <c r="X720" s="385"/>
    </row>
    <row r="721" spans="4:24" s="277" customFormat="1" x14ac:dyDescent="0.3">
      <c r="D721" s="356" t="s">
        <v>833</v>
      </c>
      <c r="E721" s="356"/>
      <c r="F721" s="356"/>
      <c r="G721" s="356"/>
      <c r="I721" s="48">
        <v>0</v>
      </c>
      <c r="K721" s="48">
        <v>0</v>
      </c>
      <c r="M721" s="279">
        <f t="shared" si="40"/>
        <v>0</v>
      </c>
      <c r="O721" s="279">
        <f t="shared" si="41"/>
        <v>0</v>
      </c>
      <c r="Q721" s="293">
        <f t="shared" si="42"/>
        <v>0</v>
      </c>
      <c r="S721" s="293">
        <f t="shared" si="43"/>
        <v>0</v>
      </c>
      <c r="U721" s="385"/>
      <c r="V721" s="385"/>
      <c r="W721" s="385"/>
      <c r="X721" s="385"/>
    </row>
    <row r="722" spans="4:24" s="277" customFormat="1" x14ac:dyDescent="0.3">
      <c r="D722" s="356" t="s">
        <v>834</v>
      </c>
      <c r="E722" s="356"/>
      <c r="F722" s="356"/>
      <c r="G722" s="356"/>
      <c r="I722" s="48">
        <v>0</v>
      </c>
      <c r="K722" s="48">
        <v>0</v>
      </c>
      <c r="M722" s="279">
        <f t="shared" si="40"/>
        <v>0</v>
      </c>
      <c r="O722" s="279">
        <f t="shared" si="41"/>
        <v>0</v>
      </c>
      <c r="Q722" s="293">
        <f t="shared" si="42"/>
        <v>0</v>
      </c>
      <c r="S722" s="293">
        <f t="shared" si="43"/>
        <v>0</v>
      </c>
      <c r="U722" s="385"/>
      <c r="V722" s="385"/>
      <c r="W722" s="385"/>
      <c r="X722" s="385"/>
    </row>
    <row r="723" spans="4:24" s="277" customFormat="1" x14ac:dyDescent="0.3">
      <c r="D723" s="356" t="s">
        <v>835</v>
      </c>
      <c r="E723" s="356"/>
      <c r="F723" s="356"/>
      <c r="G723" s="356"/>
      <c r="I723" s="48">
        <v>0</v>
      </c>
      <c r="K723" s="48">
        <v>0</v>
      </c>
      <c r="M723" s="279">
        <f t="shared" si="40"/>
        <v>0</v>
      </c>
      <c r="O723" s="279">
        <f t="shared" si="41"/>
        <v>0</v>
      </c>
      <c r="Q723" s="293">
        <f t="shared" si="42"/>
        <v>0</v>
      </c>
      <c r="S723" s="293">
        <f t="shared" si="43"/>
        <v>0</v>
      </c>
      <c r="U723" s="385"/>
      <c r="V723" s="385"/>
      <c r="W723" s="385"/>
      <c r="X723" s="385"/>
    </row>
    <row r="724" spans="4:24" s="277" customFormat="1" x14ac:dyDescent="0.3">
      <c r="D724" s="356" t="s">
        <v>836</v>
      </c>
      <c r="E724" s="356"/>
      <c r="F724" s="356"/>
      <c r="G724" s="356"/>
      <c r="I724" s="48">
        <v>0</v>
      </c>
      <c r="K724" s="48">
        <v>0</v>
      </c>
      <c r="M724" s="279">
        <f t="shared" si="40"/>
        <v>0</v>
      </c>
      <c r="O724" s="279">
        <f t="shared" si="41"/>
        <v>0</v>
      </c>
      <c r="Q724" s="293">
        <f t="shared" si="42"/>
        <v>0</v>
      </c>
      <c r="S724" s="293">
        <f t="shared" si="43"/>
        <v>0</v>
      </c>
      <c r="U724" s="385"/>
      <c r="V724" s="385"/>
      <c r="W724" s="385"/>
      <c r="X724" s="385"/>
    </row>
    <row r="725" spans="4:24" s="277" customFormat="1" x14ac:dyDescent="0.3">
      <c r="D725" s="356" t="s">
        <v>837</v>
      </c>
      <c r="E725" s="356"/>
      <c r="F725" s="356"/>
      <c r="G725" s="356"/>
      <c r="I725" s="48">
        <v>0</v>
      </c>
      <c r="K725" s="48">
        <v>0</v>
      </c>
      <c r="M725" s="279">
        <f t="shared" si="40"/>
        <v>0</v>
      </c>
      <c r="O725" s="279">
        <f t="shared" si="41"/>
        <v>0</v>
      </c>
      <c r="Q725" s="293">
        <f t="shared" si="42"/>
        <v>0</v>
      </c>
      <c r="S725" s="293">
        <f t="shared" si="43"/>
        <v>0</v>
      </c>
      <c r="U725" s="385"/>
      <c r="V725" s="385"/>
      <c r="W725" s="385"/>
      <c r="X725" s="385"/>
    </row>
    <row r="726" spans="4:24" s="277" customFormat="1" x14ac:dyDescent="0.3">
      <c r="D726" s="356" t="s">
        <v>846</v>
      </c>
      <c r="E726" s="356"/>
      <c r="F726" s="356"/>
      <c r="G726" s="356"/>
      <c r="I726" s="48">
        <v>0</v>
      </c>
      <c r="K726" s="48">
        <v>0</v>
      </c>
      <c r="M726" s="279">
        <f t="shared" si="40"/>
        <v>0</v>
      </c>
      <c r="O726" s="279">
        <f t="shared" si="41"/>
        <v>0</v>
      </c>
      <c r="Q726" s="293">
        <f t="shared" si="42"/>
        <v>0</v>
      </c>
      <c r="S726" s="293">
        <f t="shared" si="43"/>
        <v>0</v>
      </c>
      <c r="U726" s="385"/>
      <c r="V726" s="385"/>
      <c r="W726" s="385"/>
      <c r="X726" s="385"/>
    </row>
    <row r="727" spans="4:24" s="277" customFormat="1" x14ac:dyDescent="0.3">
      <c r="D727" s="356" t="s">
        <v>847</v>
      </c>
      <c r="E727" s="356"/>
      <c r="F727" s="356"/>
      <c r="G727" s="356"/>
      <c r="I727" s="48">
        <v>0</v>
      </c>
      <c r="K727" s="48">
        <v>0</v>
      </c>
      <c r="M727" s="279">
        <f t="shared" si="40"/>
        <v>0</v>
      </c>
      <c r="O727" s="279">
        <f t="shared" si="41"/>
        <v>0</v>
      </c>
      <c r="Q727" s="293">
        <f t="shared" si="42"/>
        <v>0</v>
      </c>
      <c r="S727" s="293">
        <f t="shared" si="43"/>
        <v>0</v>
      </c>
      <c r="U727" s="385"/>
      <c r="V727" s="385"/>
      <c r="W727" s="385"/>
      <c r="X727" s="385"/>
    </row>
    <row r="728" spans="4:24" s="277" customFormat="1" x14ac:dyDescent="0.3">
      <c r="D728" s="356" t="s">
        <v>848</v>
      </c>
      <c r="E728" s="356"/>
      <c r="F728" s="356"/>
      <c r="G728" s="356"/>
      <c r="I728" s="48">
        <v>0</v>
      </c>
      <c r="K728" s="48">
        <v>0</v>
      </c>
      <c r="M728" s="279">
        <f t="shared" si="40"/>
        <v>0</v>
      </c>
      <c r="O728" s="279">
        <f t="shared" si="41"/>
        <v>0</v>
      </c>
      <c r="Q728" s="293">
        <f t="shared" si="42"/>
        <v>0</v>
      </c>
      <c r="S728" s="293">
        <f t="shared" si="43"/>
        <v>0</v>
      </c>
      <c r="U728" s="385"/>
      <c r="V728" s="385"/>
      <c r="W728" s="385"/>
      <c r="X728" s="385"/>
    </row>
    <row r="729" spans="4:24" s="277" customFormat="1" x14ac:dyDescent="0.3">
      <c r="D729" s="356" t="s">
        <v>849</v>
      </c>
      <c r="E729" s="356"/>
      <c r="F729" s="356"/>
      <c r="G729" s="356"/>
      <c r="I729" s="48">
        <v>0</v>
      </c>
      <c r="K729" s="48">
        <v>0</v>
      </c>
      <c r="M729" s="279">
        <f t="shared" si="40"/>
        <v>0</v>
      </c>
      <c r="O729" s="279">
        <f t="shared" si="41"/>
        <v>0</v>
      </c>
      <c r="Q729" s="293">
        <f t="shared" si="42"/>
        <v>0</v>
      </c>
      <c r="S729" s="293">
        <f t="shared" si="43"/>
        <v>0</v>
      </c>
      <c r="U729" s="385"/>
      <c r="V729" s="385"/>
      <c r="W729" s="385"/>
      <c r="X729" s="385"/>
    </row>
    <row r="730" spans="4:24" s="277" customFormat="1" x14ac:dyDescent="0.3">
      <c r="D730" s="356" t="s">
        <v>971</v>
      </c>
      <c r="E730" s="356"/>
      <c r="F730" s="356"/>
      <c r="G730" s="356"/>
      <c r="I730" s="48">
        <v>0</v>
      </c>
      <c r="K730" s="48">
        <v>0</v>
      </c>
      <c r="M730" s="279">
        <f t="shared" si="40"/>
        <v>0</v>
      </c>
      <c r="O730" s="279">
        <f t="shared" si="41"/>
        <v>0</v>
      </c>
      <c r="Q730" s="293">
        <f t="shared" si="42"/>
        <v>0</v>
      </c>
      <c r="S730" s="293">
        <f t="shared" si="43"/>
        <v>0</v>
      </c>
      <c r="U730" s="385"/>
      <c r="V730" s="385"/>
      <c r="W730" s="385"/>
      <c r="X730" s="385"/>
    </row>
    <row r="731" spans="4:24" s="277" customFormat="1" x14ac:dyDescent="0.3">
      <c r="D731" s="356" t="s">
        <v>973</v>
      </c>
      <c r="E731" s="356"/>
      <c r="F731" s="356"/>
      <c r="G731" s="356"/>
      <c r="I731" s="48">
        <v>0</v>
      </c>
      <c r="K731" s="48">
        <v>0</v>
      </c>
      <c r="M731" s="279">
        <f t="shared" si="40"/>
        <v>0</v>
      </c>
      <c r="O731" s="279">
        <f t="shared" si="41"/>
        <v>0</v>
      </c>
      <c r="Q731" s="293">
        <f t="shared" si="42"/>
        <v>0</v>
      </c>
      <c r="S731" s="293">
        <f t="shared" si="43"/>
        <v>0</v>
      </c>
      <c r="U731" s="385"/>
      <c r="V731" s="385"/>
      <c r="W731" s="385"/>
      <c r="X731" s="385"/>
    </row>
    <row r="732" spans="4:24" s="277" customFormat="1" x14ac:dyDescent="0.3">
      <c r="D732" s="356" t="s">
        <v>974</v>
      </c>
      <c r="E732" s="356"/>
      <c r="F732" s="356"/>
      <c r="G732" s="356"/>
      <c r="I732" s="48">
        <v>0</v>
      </c>
      <c r="K732" s="48">
        <v>0</v>
      </c>
      <c r="M732" s="279">
        <f t="shared" si="40"/>
        <v>0</v>
      </c>
      <c r="O732" s="279">
        <f t="shared" si="41"/>
        <v>0</v>
      </c>
      <c r="Q732" s="293">
        <f t="shared" si="42"/>
        <v>0</v>
      </c>
      <c r="S732" s="293">
        <f t="shared" si="43"/>
        <v>0</v>
      </c>
      <c r="U732" s="385"/>
      <c r="V732" s="385"/>
      <c r="W732" s="385"/>
      <c r="X732" s="385"/>
    </row>
    <row r="733" spans="4:24" s="277" customFormat="1" x14ac:dyDescent="0.3">
      <c r="D733" s="356" t="s">
        <v>975</v>
      </c>
      <c r="E733" s="356"/>
      <c r="F733" s="356"/>
      <c r="G733" s="356"/>
      <c r="I733" s="48">
        <v>0</v>
      </c>
      <c r="K733" s="48">
        <v>0</v>
      </c>
      <c r="M733" s="279">
        <f t="shared" si="40"/>
        <v>0</v>
      </c>
      <c r="O733" s="279">
        <f t="shared" si="41"/>
        <v>0</v>
      </c>
      <c r="Q733" s="293">
        <f t="shared" si="42"/>
        <v>0</v>
      </c>
      <c r="S733" s="293">
        <f t="shared" si="43"/>
        <v>0</v>
      </c>
      <c r="U733" s="385"/>
      <c r="V733" s="385"/>
      <c r="W733" s="385"/>
      <c r="X733" s="385"/>
    </row>
    <row r="734" spans="4:24" s="277" customFormat="1" x14ac:dyDescent="0.3">
      <c r="D734" s="356" t="s">
        <v>976</v>
      </c>
      <c r="E734" s="356"/>
      <c r="F734" s="356"/>
      <c r="G734" s="356"/>
      <c r="I734" s="48">
        <v>0</v>
      </c>
      <c r="K734" s="48">
        <v>0</v>
      </c>
      <c r="M734" s="279">
        <f t="shared" si="40"/>
        <v>0</v>
      </c>
      <c r="O734" s="279">
        <f t="shared" si="41"/>
        <v>0</v>
      </c>
      <c r="Q734" s="293">
        <f t="shared" si="42"/>
        <v>0</v>
      </c>
      <c r="S734" s="293">
        <f t="shared" si="43"/>
        <v>0</v>
      </c>
      <c r="U734" s="385"/>
      <c r="V734" s="385"/>
      <c r="W734" s="385"/>
      <c r="X734" s="385"/>
    </row>
    <row r="735" spans="4:24" ht="14.4" x14ac:dyDescent="0.3">
      <c r="D735" s="420" t="s">
        <v>79</v>
      </c>
      <c r="E735" s="421"/>
      <c r="F735" s="421"/>
      <c r="G735" s="421"/>
      <c r="I735" s="43"/>
      <c r="K735" s="43"/>
      <c r="M735" s="43"/>
      <c r="O735" s="43"/>
      <c r="Q735" s="294">
        <f>SUM(Q710:Q734)</f>
        <v>0</v>
      </c>
      <c r="S735" s="294">
        <f>SUM(S710:S734)</f>
        <v>0</v>
      </c>
    </row>
    <row r="737" spans="3:24" ht="15.6" x14ac:dyDescent="0.3">
      <c r="C737" s="92" t="s">
        <v>164</v>
      </c>
    </row>
    <row r="738" spans="3:24" ht="27.6" x14ac:dyDescent="0.3">
      <c r="D738" s="90" t="s">
        <v>102</v>
      </c>
      <c r="I738" s="91" t="s">
        <v>80</v>
      </c>
      <c r="K738" s="91" t="s">
        <v>432</v>
      </c>
      <c r="M738" s="42" t="s">
        <v>103</v>
      </c>
      <c r="O738" s="42" t="s">
        <v>104</v>
      </c>
      <c r="Q738" s="42" t="s">
        <v>105</v>
      </c>
      <c r="S738" s="42" t="s">
        <v>106</v>
      </c>
      <c r="U738" s="350" t="s">
        <v>185</v>
      </c>
      <c r="V738" s="351"/>
      <c r="W738" s="351"/>
      <c r="X738" s="351"/>
    </row>
    <row r="739" spans="3:24" x14ac:dyDescent="0.3">
      <c r="D739" s="356" t="s">
        <v>109</v>
      </c>
      <c r="E739" s="356"/>
      <c r="F739" s="356"/>
      <c r="G739" s="356"/>
      <c r="I739" s="48">
        <v>0</v>
      </c>
      <c r="K739" s="48">
        <v>0</v>
      </c>
      <c r="M739" s="40">
        <f t="shared" ref="M739:M763" si="44">IFERROR(IF(DD_ACT_5_Meet1_Curr=1,INDEX($M$904:$M$938,MATCH(D739,LU_ACT_5_Allowances,0)),INDEX($Q$904:$Q$938,MATCH(D739,LU_ACT_5_Allowances,0))),0)</f>
        <v>0</v>
      </c>
      <c r="O739" s="40">
        <f t="shared" ref="O739:O763" si="45">IFERROR(IF(DD_ACT_5_Meet1_Curr=1,INDEX($O$904:$O$938,MATCH(D739,LU_ACT_5_Allowances,0)),INDEX($S$904:$S$938,MATCH(D739,LU_ACT_5_Allowances,0))),0)</f>
        <v>0</v>
      </c>
      <c r="Q739" s="293">
        <f t="shared" ref="Q739:Q763" si="46">I739*K739*M739</f>
        <v>0</v>
      </c>
      <c r="S739" s="293">
        <f t="shared" ref="S739:S763" si="47">I739*K739*O739</f>
        <v>0</v>
      </c>
      <c r="U739" s="356"/>
      <c r="V739" s="356"/>
      <c r="W739" s="356"/>
      <c r="X739" s="356"/>
    </row>
    <row r="740" spans="3:24" x14ac:dyDescent="0.3">
      <c r="D740" s="356" t="s">
        <v>110</v>
      </c>
      <c r="E740" s="356"/>
      <c r="F740" s="356"/>
      <c r="G740" s="356"/>
      <c r="I740" s="48">
        <v>0</v>
      </c>
      <c r="K740" s="48">
        <v>0</v>
      </c>
      <c r="M740" s="40">
        <f t="shared" si="44"/>
        <v>0</v>
      </c>
      <c r="O740" s="40">
        <f t="shared" si="45"/>
        <v>0</v>
      </c>
      <c r="Q740" s="293">
        <f t="shared" si="46"/>
        <v>0</v>
      </c>
      <c r="S740" s="293">
        <f t="shared" si="47"/>
        <v>0</v>
      </c>
      <c r="U740" s="356"/>
      <c r="V740" s="356"/>
      <c r="W740" s="356"/>
      <c r="X740" s="356"/>
    </row>
    <row r="741" spans="3:24" x14ac:dyDescent="0.3">
      <c r="D741" s="356" t="s">
        <v>111</v>
      </c>
      <c r="E741" s="356"/>
      <c r="F741" s="356"/>
      <c r="G741" s="356"/>
      <c r="I741" s="48">
        <v>0</v>
      </c>
      <c r="K741" s="48">
        <v>0</v>
      </c>
      <c r="M741" s="40">
        <f t="shared" si="44"/>
        <v>0</v>
      </c>
      <c r="O741" s="40">
        <f t="shared" si="45"/>
        <v>0</v>
      </c>
      <c r="Q741" s="293">
        <f t="shared" si="46"/>
        <v>0</v>
      </c>
      <c r="S741" s="293">
        <f t="shared" si="47"/>
        <v>0</v>
      </c>
      <c r="U741" s="356"/>
      <c r="V741" s="356"/>
      <c r="W741" s="356"/>
      <c r="X741" s="356"/>
    </row>
    <row r="742" spans="3:24" x14ac:dyDescent="0.3">
      <c r="D742" s="356" t="s">
        <v>112</v>
      </c>
      <c r="E742" s="356"/>
      <c r="F742" s="356"/>
      <c r="G742" s="356"/>
      <c r="I742" s="48">
        <v>0</v>
      </c>
      <c r="K742" s="48">
        <v>0</v>
      </c>
      <c r="M742" s="40">
        <f t="shared" si="44"/>
        <v>0</v>
      </c>
      <c r="O742" s="40">
        <f t="shared" si="45"/>
        <v>0</v>
      </c>
      <c r="Q742" s="293">
        <f t="shared" si="46"/>
        <v>0</v>
      </c>
      <c r="S742" s="293">
        <f t="shared" si="47"/>
        <v>0</v>
      </c>
      <c r="U742" s="356"/>
      <c r="V742" s="356"/>
      <c r="W742" s="356"/>
      <c r="X742" s="356"/>
    </row>
    <row r="743" spans="3:24" x14ac:dyDescent="0.3">
      <c r="D743" s="356" t="s">
        <v>113</v>
      </c>
      <c r="E743" s="356"/>
      <c r="F743" s="356"/>
      <c r="G743" s="356"/>
      <c r="I743" s="48">
        <v>0</v>
      </c>
      <c r="K743" s="48">
        <v>0</v>
      </c>
      <c r="M743" s="40">
        <f t="shared" si="44"/>
        <v>0</v>
      </c>
      <c r="O743" s="40">
        <f t="shared" si="45"/>
        <v>0</v>
      </c>
      <c r="Q743" s="293">
        <f t="shared" si="46"/>
        <v>0</v>
      </c>
      <c r="S743" s="293">
        <f t="shared" si="47"/>
        <v>0</v>
      </c>
      <c r="U743" s="356"/>
      <c r="V743" s="356"/>
      <c r="W743" s="356"/>
      <c r="X743" s="356"/>
    </row>
    <row r="744" spans="3:24" x14ac:dyDescent="0.3">
      <c r="D744" s="356" t="s">
        <v>114</v>
      </c>
      <c r="E744" s="356"/>
      <c r="F744" s="356"/>
      <c r="G744" s="356"/>
      <c r="I744" s="48">
        <v>0</v>
      </c>
      <c r="K744" s="48">
        <v>0</v>
      </c>
      <c r="M744" s="40">
        <f t="shared" si="44"/>
        <v>0</v>
      </c>
      <c r="O744" s="40">
        <f t="shared" si="45"/>
        <v>0</v>
      </c>
      <c r="Q744" s="293">
        <f t="shared" si="46"/>
        <v>0</v>
      </c>
      <c r="S744" s="293">
        <f t="shared" si="47"/>
        <v>0</v>
      </c>
      <c r="U744" s="356"/>
      <c r="V744" s="356"/>
      <c r="W744" s="356"/>
      <c r="X744" s="356"/>
    </row>
    <row r="745" spans="3:24" x14ac:dyDescent="0.3">
      <c r="D745" s="356" t="s">
        <v>115</v>
      </c>
      <c r="E745" s="356"/>
      <c r="F745" s="356"/>
      <c r="G745" s="356"/>
      <c r="I745" s="48">
        <v>0</v>
      </c>
      <c r="K745" s="48">
        <v>0</v>
      </c>
      <c r="M745" s="40">
        <f t="shared" si="44"/>
        <v>0</v>
      </c>
      <c r="O745" s="40">
        <f t="shared" si="45"/>
        <v>0</v>
      </c>
      <c r="Q745" s="293">
        <f t="shared" si="46"/>
        <v>0</v>
      </c>
      <c r="S745" s="293">
        <f t="shared" si="47"/>
        <v>0</v>
      </c>
      <c r="U745" s="356"/>
      <c r="V745" s="356"/>
      <c r="W745" s="356"/>
      <c r="X745" s="356"/>
    </row>
    <row r="746" spans="3:24" x14ac:dyDescent="0.3">
      <c r="D746" s="356" t="s">
        <v>116</v>
      </c>
      <c r="E746" s="356"/>
      <c r="F746" s="356"/>
      <c r="G746" s="356"/>
      <c r="I746" s="48">
        <v>0</v>
      </c>
      <c r="K746" s="48">
        <v>0</v>
      </c>
      <c r="M746" s="40">
        <f t="shared" si="44"/>
        <v>0</v>
      </c>
      <c r="O746" s="40">
        <f t="shared" si="45"/>
        <v>0</v>
      </c>
      <c r="Q746" s="293">
        <f t="shared" si="46"/>
        <v>0</v>
      </c>
      <c r="S746" s="293">
        <f t="shared" si="47"/>
        <v>0</v>
      </c>
      <c r="U746" s="356"/>
      <c r="V746" s="356"/>
      <c r="W746" s="356"/>
      <c r="X746" s="356"/>
    </row>
    <row r="747" spans="3:24" s="277" customFormat="1" x14ac:dyDescent="0.3">
      <c r="D747" s="356" t="s">
        <v>838</v>
      </c>
      <c r="E747" s="356"/>
      <c r="F747" s="356"/>
      <c r="G747" s="356"/>
      <c r="I747" s="48">
        <v>0</v>
      </c>
      <c r="K747" s="48">
        <v>0</v>
      </c>
      <c r="M747" s="279">
        <f t="shared" si="44"/>
        <v>0</v>
      </c>
      <c r="O747" s="279">
        <f t="shared" si="45"/>
        <v>0</v>
      </c>
      <c r="Q747" s="293">
        <f t="shared" si="46"/>
        <v>0</v>
      </c>
      <c r="S747" s="293">
        <f t="shared" si="47"/>
        <v>0</v>
      </c>
      <c r="U747" s="385"/>
      <c r="V747" s="385"/>
      <c r="W747" s="385"/>
      <c r="X747" s="385"/>
    </row>
    <row r="748" spans="3:24" s="277" customFormat="1" x14ac:dyDescent="0.3">
      <c r="D748" s="356" t="s">
        <v>839</v>
      </c>
      <c r="E748" s="356"/>
      <c r="F748" s="356"/>
      <c r="G748" s="356"/>
      <c r="I748" s="48">
        <v>0</v>
      </c>
      <c r="K748" s="48">
        <v>0</v>
      </c>
      <c r="M748" s="279">
        <f t="shared" si="44"/>
        <v>0</v>
      </c>
      <c r="O748" s="279">
        <f t="shared" si="45"/>
        <v>0</v>
      </c>
      <c r="Q748" s="293">
        <f t="shared" si="46"/>
        <v>0</v>
      </c>
      <c r="S748" s="293">
        <f t="shared" si="47"/>
        <v>0</v>
      </c>
      <c r="U748" s="385"/>
      <c r="V748" s="385"/>
      <c r="W748" s="385"/>
      <c r="X748" s="385"/>
    </row>
    <row r="749" spans="3:24" s="277" customFormat="1" x14ac:dyDescent="0.3">
      <c r="D749" s="356" t="s">
        <v>840</v>
      </c>
      <c r="E749" s="356"/>
      <c r="F749" s="356"/>
      <c r="G749" s="356"/>
      <c r="I749" s="48">
        <v>0</v>
      </c>
      <c r="K749" s="48">
        <v>0</v>
      </c>
      <c r="M749" s="279">
        <f t="shared" si="44"/>
        <v>0</v>
      </c>
      <c r="O749" s="279">
        <f t="shared" si="45"/>
        <v>0</v>
      </c>
      <c r="Q749" s="293">
        <f t="shared" si="46"/>
        <v>0</v>
      </c>
      <c r="S749" s="293">
        <f t="shared" si="47"/>
        <v>0</v>
      </c>
      <c r="U749" s="385"/>
      <c r="V749" s="385"/>
      <c r="W749" s="385"/>
      <c r="X749" s="385"/>
    </row>
    <row r="750" spans="3:24" s="277" customFormat="1" x14ac:dyDescent="0.3">
      <c r="D750" s="356" t="s">
        <v>841</v>
      </c>
      <c r="E750" s="356"/>
      <c r="F750" s="356"/>
      <c r="G750" s="356"/>
      <c r="I750" s="48">
        <v>0</v>
      </c>
      <c r="K750" s="48">
        <v>0</v>
      </c>
      <c r="M750" s="279">
        <f t="shared" si="44"/>
        <v>0</v>
      </c>
      <c r="O750" s="279">
        <f t="shared" si="45"/>
        <v>0</v>
      </c>
      <c r="Q750" s="293">
        <f t="shared" si="46"/>
        <v>0</v>
      </c>
      <c r="S750" s="293">
        <f t="shared" si="47"/>
        <v>0</v>
      </c>
      <c r="U750" s="385"/>
      <c r="V750" s="385"/>
      <c r="W750" s="385"/>
      <c r="X750" s="385"/>
    </row>
    <row r="751" spans="3:24" s="277" customFormat="1" x14ac:dyDescent="0.3">
      <c r="D751" s="356" t="s">
        <v>842</v>
      </c>
      <c r="E751" s="356"/>
      <c r="F751" s="356"/>
      <c r="G751" s="356"/>
      <c r="I751" s="48">
        <v>0</v>
      </c>
      <c r="K751" s="48">
        <v>0</v>
      </c>
      <c r="M751" s="279">
        <f t="shared" si="44"/>
        <v>0</v>
      </c>
      <c r="O751" s="279">
        <f t="shared" si="45"/>
        <v>0</v>
      </c>
      <c r="Q751" s="293">
        <f t="shared" si="46"/>
        <v>0</v>
      </c>
      <c r="S751" s="293">
        <f t="shared" si="47"/>
        <v>0</v>
      </c>
      <c r="U751" s="385"/>
      <c r="V751" s="385"/>
      <c r="W751" s="385"/>
      <c r="X751" s="385"/>
    </row>
    <row r="752" spans="3:24" s="277" customFormat="1" x14ac:dyDescent="0.3">
      <c r="D752" s="356" t="s">
        <v>843</v>
      </c>
      <c r="E752" s="356"/>
      <c r="F752" s="356"/>
      <c r="G752" s="356"/>
      <c r="I752" s="48">
        <v>0</v>
      </c>
      <c r="K752" s="48">
        <v>0</v>
      </c>
      <c r="M752" s="279">
        <f t="shared" si="44"/>
        <v>0</v>
      </c>
      <c r="O752" s="279">
        <f t="shared" si="45"/>
        <v>0</v>
      </c>
      <c r="Q752" s="293">
        <f t="shared" si="46"/>
        <v>0</v>
      </c>
      <c r="S752" s="293">
        <f t="shared" si="47"/>
        <v>0</v>
      </c>
      <c r="U752" s="385"/>
      <c r="V752" s="385"/>
      <c r="W752" s="385"/>
      <c r="X752" s="385"/>
    </row>
    <row r="753" spans="3:24" s="277" customFormat="1" x14ac:dyDescent="0.3">
      <c r="D753" s="356" t="s">
        <v>844</v>
      </c>
      <c r="E753" s="356"/>
      <c r="F753" s="356"/>
      <c r="G753" s="356"/>
      <c r="I753" s="48">
        <v>0</v>
      </c>
      <c r="K753" s="48">
        <v>0</v>
      </c>
      <c r="M753" s="279">
        <f t="shared" si="44"/>
        <v>0</v>
      </c>
      <c r="O753" s="279">
        <f t="shared" si="45"/>
        <v>0</v>
      </c>
      <c r="Q753" s="293">
        <f t="shared" si="46"/>
        <v>0</v>
      </c>
      <c r="S753" s="293">
        <f t="shared" si="47"/>
        <v>0</v>
      </c>
      <c r="U753" s="385"/>
      <c r="V753" s="385"/>
      <c r="W753" s="385"/>
      <c r="X753" s="385"/>
    </row>
    <row r="754" spans="3:24" s="277" customFormat="1" x14ac:dyDescent="0.3">
      <c r="D754" s="356" t="s">
        <v>845</v>
      </c>
      <c r="E754" s="356"/>
      <c r="F754" s="356"/>
      <c r="G754" s="356"/>
      <c r="I754" s="48">
        <v>0</v>
      </c>
      <c r="K754" s="48">
        <v>0</v>
      </c>
      <c r="M754" s="279">
        <f t="shared" si="44"/>
        <v>0</v>
      </c>
      <c r="O754" s="279">
        <f t="shared" si="45"/>
        <v>0</v>
      </c>
      <c r="Q754" s="293">
        <f t="shared" si="46"/>
        <v>0</v>
      </c>
      <c r="S754" s="293">
        <f t="shared" si="47"/>
        <v>0</v>
      </c>
      <c r="U754" s="385"/>
      <c r="V754" s="385"/>
      <c r="W754" s="385"/>
      <c r="X754" s="385"/>
    </row>
    <row r="755" spans="3:24" s="277" customFormat="1" x14ac:dyDescent="0.3">
      <c r="D755" s="356" t="s">
        <v>850</v>
      </c>
      <c r="E755" s="356"/>
      <c r="F755" s="356"/>
      <c r="G755" s="356"/>
      <c r="I755" s="48">
        <v>0</v>
      </c>
      <c r="K755" s="48">
        <v>0</v>
      </c>
      <c r="M755" s="279">
        <f t="shared" si="44"/>
        <v>0</v>
      </c>
      <c r="O755" s="279">
        <f t="shared" si="45"/>
        <v>0</v>
      </c>
      <c r="Q755" s="293">
        <f t="shared" si="46"/>
        <v>0</v>
      </c>
      <c r="S755" s="293">
        <f t="shared" si="47"/>
        <v>0</v>
      </c>
      <c r="U755" s="385"/>
      <c r="V755" s="385"/>
      <c r="W755" s="385"/>
      <c r="X755" s="385"/>
    </row>
    <row r="756" spans="3:24" s="277" customFormat="1" x14ac:dyDescent="0.3">
      <c r="D756" s="356" t="s">
        <v>851</v>
      </c>
      <c r="E756" s="356"/>
      <c r="F756" s="356"/>
      <c r="G756" s="356"/>
      <c r="I756" s="48">
        <v>0</v>
      </c>
      <c r="K756" s="48">
        <v>0</v>
      </c>
      <c r="M756" s="279">
        <f t="shared" si="44"/>
        <v>0</v>
      </c>
      <c r="O756" s="279">
        <f t="shared" si="45"/>
        <v>0</v>
      </c>
      <c r="Q756" s="293">
        <f t="shared" si="46"/>
        <v>0</v>
      </c>
      <c r="S756" s="293">
        <f t="shared" si="47"/>
        <v>0</v>
      </c>
      <c r="U756" s="385"/>
      <c r="V756" s="385"/>
      <c r="W756" s="385"/>
      <c r="X756" s="385"/>
    </row>
    <row r="757" spans="3:24" s="277" customFormat="1" x14ac:dyDescent="0.3">
      <c r="D757" s="356" t="s">
        <v>852</v>
      </c>
      <c r="E757" s="356"/>
      <c r="F757" s="356"/>
      <c r="G757" s="356"/>
      <c r="I757" s="48">
        <v>0</v>
      </c>
      <c r="K757" s="48">
        <v>0</v>
      </c>
      <c r="M757" s="279">
        <f t="shared" si="44"/>
        <v>0</v>
      </c>
      <c r="O757" s="279">
        <f t="shared" si="45"/>
        <v>0</v>
      </c>
      <c r="Q757" s="293">
        <f t="shared" si="46"/>
        <v>0</v>
      </c>
      <c r="S757" s="293">
        <f t="shared" si="47"/>
        <v>0</v>
      </c>
      <c r="U757" s="385"/>
      <c r="V757" s="385"/>
      <c r="W757" s="385"/>
      <c r="X757" s="385"/>
    </row>
    <row r="758" spans="3:24" s="277" customFormat="1" x14ac:dyDescent="0.3">
      <c r="D758" s="356" t="s">
        <v>853</v>
      </c>
      <c r="E758" s="356"/>
      <c r="F758" s="356"/>
      <c r="G758" s="356"/>
      <c r="I758" s="48">
        <v>0</v>
      </c>
      <c r="K758" s="48">
        <v>0</v>
      </c>
      <c r="M758" s="279">
        <f t="shared" si="44"/>
        <v>0</v>
      </c>
      <c r="O758" s="279">
        <f t="shared" si="45"/>
        <v>0</v>
      </c>
      <c r="Q758" s="293">
        <f t="shared" si="46"/>
        <v>0</v>
      </c>
      <c r="S758" s="293">
        <f t="shared" si="47"/>
        <v>0</v>
      </c>
      <c r="U758" s="385"/>
      <c r="V758" s="385"/>
      <c r="W758" s="385"/>
      <c r="X758" s="385"/>
    </row>
    <row r="759" spans="3:24" s="277" customFormat="1" x14ac:dyDescent="0.3">
      <c r="D759" s="356" t="s">
        <v>972</v>
      </c>
      <c r="E759" s="356"/>
      <c r="F759" s="356"/>
      <c r="G759" s="356"/>
      <c r="I759" s="48">
        <v>0</v>
      </c>
      <c r="K759" s="48">
        <v>0</v>
      </c>
      <c r="M759" s="279">
        <f t="shared" si="44"/>
        <v>0</v>
      </c>
      <c r="O759" s="279">
        <f t="shared" si="45"/>
        <v>0</v>
      </c>
      <c r="Q759" s="293">
        <f t="shared" si="46"/>
        <v>0</v>
      </c>
      <c r="S759" s="293">
        <f t="shared" si="47"/>
        <v>0</v>
      </c>
      <c r="U759" s="385"/>
      <c r="V759" s="385"/>
      <c r="W759" s="385"/>
      <c r="X759" s="385"/>
    </row>
    <row r="760" spans="3:24" s="277" customFormat="1" x14ac:dyDescent="0.3">
      <c r="D760" s="356" t="s">
        <v>977</v>
      </c>
      <c r="E760" s="356"/>
      <c r="F760" s="356"/>
      <c r="G760" s="356"/>
      <c r="I760" s="48">
        <v>0</v>
      </c>
      <c r="K760" s="48">
        <v>0</v>
      </c>
      <c r="M760" s="279">
        <f t="shared" si="44"/>
        <v>0</v>
      </c>
      <c r="O760" s="279">
        <f t="shared" si="45"/>
        <v>0</v>
      </c>
      <c r="Q760" s="293">
        <f t="shared" si="46"/>
        <v>0</v>
      </c>
      <c r="S760" s="293">
        <f t="shared" si="47"/>
        <v>0</v>
      </c>
      <c r="U760" s="385"/>
      <c r="V760" s="385"/>
      <c r="W760" s="385"/>
      <c r="X760" s="385"/>
    </row>
    <row r="761" spans="3:24" s="277" customFormat="1" x14ac:dyDescent="0.3">
      <c r="D761" s="356" t="s">
        <v>978</v>
      </c>
      <c r="E761" s="356"/>
      <c r="F761" s="356"/>
      <c r="G761" s="356"/>
      <c r="I761" s="48">
        <v>0</v>
      </c>
      <c r="K761" s="48">
        <v>0</v>
      </c>
      <c r="M761" s="279">
        <f t="shared" si="44"/>
        <v>0</v>
      </c>
      <c r="O761" s="279">
        <f t="shared" si="45"/>
        <v>0</v>
      </c>
      <c r="Q761" s="293">
        <f t="shared" si="46"/>
        <v>0</v>
      </c>
      <c r="S761" s="293">
        <f t="shared" si="47"/>
        <v>0</v>
      </c>
      <c r="U761" s="385"/>
      <c r="V761" s="385"/>
      <c r="W761" s="385"/>
      <c r="X761" s="385"/>
    </row>
    <row r="762" spans="3:24" s="277" customFormat="1" x14ac:dyDescent="0.3">
      <c r="D762" s="356" t="s">
        <v>979</v>
      </c>
      <c r="E762" s="356"/>
      <c r="F762" s="356"/>
      <c r="G762" s="356"/>
      <c r="I762" s="48">
        <v>0</v>
      </c>
      <c r="K762" s="48">
        <v>0</v>
      </c>
      <c r="M762" s="279">
        <f t="shared" si="44"/>
        <v>0</v>
      </c>
      <c r="O762" s="279">
        <f t="shared" si="45"/>
        <v>0</v>
      </c>
      <c r="Q762" s="293">
        <f t="shared" si="46"/>
        <v>0</v>
      </c>
      <c r="S762" s="293">
        <f t="shared" si="47"/>
        <v>0</v>
      </c>
      <c r="U762" s="385"/>
      <c r="V762" s="385"/>
      <c r="W762" s="385"/>
      <c r="X762" s="385"/>
    </row>
    <row r="763" spans="3:24" s="277" customFormat="1" x14ac:dyDescent="0.3">
      <c r="D763" s="356" t="s">
        <v>980</v>
      </c>
      <c r="E763" s="356"/>
      <c r="F763" s="356"/>
      <c r="G763" s="356"/>
      <c r="I763" s="48">
        <v>0</v>
      </c>
      <c r="K763" s="48">
        <v>0</v>
      </c>
      <c r="M763" s="279">
        <f t="shared" si="44"/>
        <v>0</v>
      </c>
      <c r="O763" s="279">
        <f t="shared" si="45"/>
        <v>0</v>
      </c>
      <c r="Q763" s="293">
        <f t="shared" si="46"/>
        <v>0</v>
      </c>
      <c r="S763" s="293">
        <f t="shared" si="47"/>
        <v>0</v>
      </c>
      <c r="U763" s="385"/>
      <c r="V763" s="385"/>
      <c r="W763" s="385"/>
      <c r="X763" s="385"/>
    </row>
    <row r="764" spans="3:24" ht="14.4" x14ac:dyDescent="0.3">
      <c r="D764" s="420" t="s">
        <v>82</v>
      </c>
      <c r="E764" s="421"/>
      <c r="F764" s="421"/>
      <c r="G764" s="421"/>
      <c r="I764" s="43"/>
      <c r="K764" s="43"/>
      <c r="M764" s="43"/>
      <c r="O764" s="43"/>
      <c r="Q764" s="294">
        <f>SUM(Q739:Q763)</f>
        <v>0</v>
      </c>
      <c r="S764" s="294">
        <f>SUM(S739:S763)</f>
        <v>0</v>
      </c>
    </row>
    <row r="768" spans="3:24" ht="15.6" x14ac:dyDescent="0.3">
      <c r="C768" s="92" t="s">
        <v>84</v>
      </c>
    </row>
    <row r="769" spans="4:24" ht="27.6" x14ac:dyDescent="0.3">
      <c r="D769" s="90" t="s">
        <v>102</v>
      </c>
      <c r="I769" s="91" t="s">
        <v>87</v>
      </c>
      <c r="K769" s="91" t="s">
        <v>432</v>
      </c>
      <c r="M769" s="42" t="s">
        <v>107</v>
      </c>
      <c r="O769" s="42" t="s">
        <v>108</v>
      </c>
      <c r="Q769" s="42" t="s">
        <v>105</v>
      </c>
      <c r="S769" s="42" t="s">
        <v>106</v>
      </c>
      <c r="U769" s="350" t="s">
        <v>185</v>
      </c>
      <c r="V769" s="351"/>
      <c r="W769" s="351"/>
      <c r="X769" s="351"/>
    </row>
    <row r="770" spans="4:24" x14ac:dyDescent="0.3">
      <c r="D770" s="356" t="s">
        <v>892</v>
      </c>
      <c r="E770" s="356"/>
      <c r="F770" s="356"/>
      <c r="G770" s="356"/>
      <c r="I770" s="48">
        <v>0</v>
      </c>
      <c r="K770" s="48">
        <v>0</v>
      </c>
      <c r="M770" s="40">
        <f t="shared" ref="M770:M794" si="48">IFERROR(IF(DD_ACT_5_Meet1_Curr=1,INDEX($M$942:$M$976,MATCH(D770,LU_ACT_5_Supplies,0)),INDEX($Q$942:$Q$976,MATCH(D770,LU_ACT_5_Supplies,0))),0)</f>
        <v>0</v>
      </c>
      <c r="O770" s="40">
        <f t="shared" ref="O770:O794" si="49">IFERROR(IF(DD_ACT_5_Meet1_Curr=1,INDEX($O$942:$O$976,MATCH(D770,LU_ACT_5_Supplies,0)),INDEX($S$942:$S$976,MATCH(D770,LU_ACT_5_Supplies,0))),0)</f>
        <v>0</v>
      </c>
      <c r="Q770" s="295">
        <f t="shared" ref="Q770:Q794" si="50">I770*K770*M770</f>
        <v>0</v>
      </c>
      <c r="S770" s="293">
        <f t="shared" ref="S770:S794" si="51">I770*K770*O770</f>
        <v>0</v>
      </c>
      <c r="U770" s="356"/>
      <c r="V770" s="356"/>
      <c r="W770" s="356"/>
      <c r="X770" s="356"/>
    </row>
    <row r="771" spans="4:24" x14ac:dyDescent="0.3">
      <c r="D771" s="356" t="s">
        <v>893</v>
      </c>
      <c r="E771" s="356"/>
      <c r="F771" s="356"/>
      <c r="G771" s="356"/>
      <c r="I771" s="48">
        <v>0</v>
      </c>
      <c r="K771" s="48">
        <v>0</v>
      </c>
      <c r="M771" s="40">
        <f t="shared" si="48"/>
        <v>0</v>
      </c>
      <c r="O771" s="40">
        <f t="shared" si="49"/>
        <v>0</v>
      </c>
      <c r="Q771" s="295">
        <f t="shared" si="50"/>
        <v>0</v>
      </c>
      <c r="S771" s="293">
        <f t="shared" si="51"/>
        <v>0</v>
      </c>
      <c r="U771" s="356"/>
      <c r="V771" s="356"/>
      <c r="W771" s="356"/>
      <c r="X771" s="356"/>
    </row>
    <row r="772" spans="4:24" s="277" customFormat="1" x14ac:dyDescent="0.3">
      <c r="D772" s="356" t="s">
        <v>854</v>
      </c>
      <c r="E772" s="356"/>
      <c r="F772" s="356"/>
      <c r="G772" s="356"/>
      <c r="I772" s="48">
        <v>0</v>
      </c>
      <c r="K772" s="48">
        <v>0</v>
      </c>
      <c r="M772" s="279">
        <f t="shared" si="48"/>
        <v>0</v>
      </c>
      <c r="O772" s="279">
        <f t="shared" si="49"/>
        <v>0</v>
      </c>
      <c r="Q772" s="295">
        <f t="shared" si="50"/>
        <v>0</v>
      </c>
      <c r="S772" s="293">
        <f t="shared" si="51"/>
        <v>0</v>
      </c>
      <c r="U772" s="385"/>
      <c r="V772" s="385"/>
      <c r="W772" s="385"/>
      <c r="X772" s="385"/>
    </row>
    <row r="773" spans="4:24" s="277" customFormat="1" x14ac:dyDescent="0.3">
      <c r="D773" s="356" t="s">
        <v>855</v>
      </c>
      <c r="E773" s="356"/>
      <c r="F773" s="356"/>
      <c r="G773" s="356"/>
      <c r="I773" s="48">
        <v>0</v>
      </c>
      <c r="K773" s="48">
        <v>0</v>
      </c>
      <c r="M773" s="279">
        <f t="shared" si="48"/>
        <v>0</v>
      </c>
      <c r="O773" s="279">
        <f t="shared" si="49"/>
        <v>0</v>
      </c>
      <c r="Q773" s="295">
        <f t="shared" si="50"/>
        <v>0</v>
      </c>
      <c r="S773" s="293">
        <f t="shared" si="51"/>
        <v>0</v>
      </c>
      <c r="U773" s="385"/>
      <c r="V773" s="385"/>
      <c r="W773" s="385"/>
      <c r="X773" s="385"/>
    </row>
    <row r="774" spans="4:24" s="277" customFormat="1" x14ac:dyDescent="0.3">
      <c r="D774" s="356" t="s">
        <v>856</v>
      </c>
      <c r="E774" s="356"/>
      <c r="F774" s="356"/>
      <c r="G774" s="356"/>
      <c r="I774" s="48">
        <v>0</v>
      </c>
      <c r="K774" s="48">
        <v>0</v>
      </c>
      <c r="M774" s="279">
        <f t="shared" si="48"/>
        <v>0</v>
      </c>
      <c r="O774" s="279">
        <f t="shared" si="49"/>
        <v>0</v>
      </c>
      <c r="Q774" s="295">
        <f t="shared" si="50"/>
        <v>0</v>
      </c>
      <c r="S774" s="293">
        <f t="shared" si="51"/>
        <v>0</v>
      </c>
      <c r="U774" s="385"/>
      <c r="V774" s="385"/>
      <c r="W774" s="385"/>
      <c r="X774" s="385"/>
    </row>
    <row r="775" spans="4:24" s="277" customFormat="1" x14ac:dyDescent="0.3">
      <c r="D775" s="356" t="s">
        <v>857</v>
      </c>
      <c r="E775" s="356"/>
      <c r="F775" s="356"/>
      <c r="G775" s="356"/>
      <c r="I775" s="48">
        <v>0</v>
      </c>
      <c r="K775" s="48">
        <v>0</v>
      </c>
      <c r="M775" s="279">
        <f t="shared" si="48"/>
        <v>0</v>
      </c>
      <c r="O775" s="279">
        <f t="shared" si="49"/>
        <v>0</v>
      </c>
      <c r="Q775" s="295">
        <f t="shared" si="50"/>
        <v>0</v>
      </c>
      <c r="S775" s="293">
        <f t="shared" si="51"/>
        <v>0</v>
      </c>
      <c r="U775" s="385"/>
      <c r="V775" s="385"/>
      <c r="W775" s="385"/>
      <c r="X775" s="385"/>
    </row>
    <row r="776" spans="4:24" s="277" customFormat="1" x14ac:dyDescent="0.3">
      <c r="D776" s="356" t="s">
        <v>858</v>
      </c>
      <c r="E776" s="356"/>
      <c r="F776" s="356"/>
      <c r="G776" s="356"/>
      <c r="I776" s="48">
        <v>0</v>
      </c>
      <c r="K776" s="48">
        <v>0</v>
      </c>
      <c r="M776" s="279">
        <f t="shared" si="48"/>
        <v>0</v>
      </c>
      <c r="O776" s="279">
        <f t="shared" si="49"/>
        <v>0</v>
      </c>
      <c r="Q776" s="295">
        <f t="shared" si="50"/>
        <v>0</v>
      </c>
      <c r="S776" s="293">
        <f t="shared" si="51"/>
        <v>0</v>
      </c>
      <c r="U776" s="385"/>
      <c r="V776" s="385"/>
      <c r="W776" s="385"/>
      <c r="X776" s="385"/>
    </row>
    <row r="777" spans="4:24" s="277" customFormat="1" x14ac:dyDescent="0.3">
      <c r="D777" s="356" t="s">
        <v>859</v>
      </c>
      <c r="E777" s="356"/>
      <c r="F777" s="356"/>
      <c r="G777" s="356"/>
      <c r="I777" s="48">
        <v>0</v>
      </c>
      <c r="K777" s="48">
        <v>0</v>
      </c>
      <c r="M777" s="279">
        <f t="shared" si="48"/>
        <v>0</v>
      </c>
      <c r="O777" s="279">
        <f t="shared" si="49"/>
        <v>0</v>
      </c>
      <c r="Q777" s="295">
        <f t="shared" si="50"/>
        <v>0</v>
      </c>
      <c r="S777" s="293">
        <f t="shared" si="51"/>
        <v>0</v>
      </c>
      <c r="U777" s="385"/>
      <c r="V777" s="385"/>
      <c r="W777" s="385"/>
      <c r="X777" s="385"/>
    </row>
    <row r="778" spans="4:24" s="277" customFormat="1" x14ac:dyDescent="0.3">
      <c r="D778" s="356" t="s">
        <v>860</v>
      </c>
      <c r="E778" s="356"/>
      <c r="F778" s="356"/>
      <c r="G778" s="356"/>
      <c r="I778" s="48">
        <v>0</v>
      </c>
      <c r="K778" s="48">
        <v>0</v>
      </c>
      <c r="M778" s="279">
        <f t="shared" si="48"/>
        <v>0</v>
      </c>
      <c r="O778" s="279">
        <f t="shared" si="49"/>
        <v>0</v>
      </c>
      <c r="Q778" s="295">
        <f t="shared" si="50"/>
        <v>0</v>
      </c>
      <c r="S778" s="293">
        <f t="shared" si="51"/>
        <v>0</v>
      </c>
      <c r="U778" s="385"/>
      <c r="V778" s="385"/>
      <c r="W778" s="385"/>
      <c r="X778" s="385"/>
    </row>
    <row r="779" spans="4:24" s="277" customFormat="1" x14ac:dyDescent="0.3">
      <c r="D779" s="356" t="s">
        <v>861</v>
      </c>
      <c r="E779" s="356"/>
      <c r="F779" s="356"/>
      <c r="G779" s="356"/>
      <c r="I779" s="48">
        <v>0</v>
      </c>
      <c r="K779" s="48">
        <v>0</v>
      </c>
      <c r="M779" s="279">
        <f t="shared" si="48"/>
        <v>0</v>
      </c>
      <c r="O779" s="279">
        <f t="shared" si="49"/>
        <v>0</v>
      </c>
      <c r="Q779" s="295">
        <f t="shared" si="50"/>
        <v>0</v>
      </c>
      <c r="S779" s="293">
        <f t="shared" si="51"/>
        <v>0</v>
      </c>
      <c r="U779" s="385"/>
      <c r="V779" s="385"/>
      <c r="W779" s="385"/>
      <c r="X779" s="385"/>
    </row>
    <row r="780" spans="4:24" s="277" customFormat="1" x14ac:dyDescent="0.3">
      <c r="D780" s="356" t="s">
        <v>862</v>
      </c>
      <c r="E780" s="356"/>
      <c r="F780" s="356"/>
      <c r="G780" s="356"/>
      <c r="I780" s="48">
        <v>0</v>
      </c>
      <c r="K780" s="48">
        <v>0</v>
      </c>
      <c r="M780" s="279">
        <f t="shared" si="48"/>
        <v>0</v>
      </c>
      <c r="O780" s="279">
        <f t="shared" si="49"/>
        <v>0</v>
      </c>
      <c r="Q780" s="295">
        <f t="shared" si="50"/>
        <v>0</v>
      </c>
      <c r="S780" s="293">
        <f t="shared" si="51"/>
        <v>0</v>
      </c>
      <c r="U780" s="385"/>
      <c r="V780" s="385"/>
      <c r="W780" s="385"/>
      <c r="X780" s="385"/>
    </row>
    <row r="781" spans="4:24" s="277" customFormat="1" x14ac:dyDescent="0.3">
      <c r="D781" s="356" t="s">
        <v>863</v>
      </c>
      <c r="E781" s="356"/>
      <c r="F781" s="356"/>
      <c r="G781" s="356"/>
      <c r="I781" s="48">
        <v>0</v>
      </c>
      <c r="K781" s="48">
        <v>0</v>
      </c>
      <c r="M781" s="279">
        <f t="shared" si="48"/>
        <v>0</v>
      </c>
      <c r="O781" s="279">
        <f t="shared" si="49"/>
        <v>0</v>
      </c>
      <c r="Q781" s="295">
        <f t="shared" si="50"/>
        <v>0</v>
      </c>
      <c r="S781" s="293">
        <f t="shared" si="51"/>
        <v>0</v>
      </c>
      <c r="U781" s="385"/>
      <c r="V781" s="385"/>
      <c r="W781" s="385"/>
      <c r="X781" s="385"/>
    </row>
    <row r="782" spans="4:24" s="277" customFormat="1" x14ac:dyDescent="0.3">
      <c r="D782" s="356" t="s">
        <v>864</v>
      </c>
      <c r="E782" s="356"/>
      <c r="F782" s="356"/>
      <c r="G782" s="356"/>
      <c r="I782" s="48">
        <v>0</v>
      </c>
      <c r="K782" s="48">
        <v>0</v>
      </c>
      <c r="M782" s="279">
        <f t="shared" si="48"/>
        <v>0</v>
      </c>
      <c r="O782" s="279">
        <f t="shared" si="49"/>
        <v>0</v>
      </c>
      <c r="Q782" s="295">
        <f t="shared" si="50"/>
        <v>0</v>
      </c>
      <c r="S782" s="293">
        <f t="shared" si="51"/>
        <v>0</v>
      </c>
      <c r="U782" s="385"/>
      <c r="V782" s="385"/>
      <c r="W782" s="385"/>
      <c r="X782" s="385"/>
    </row>
    <row r="783" spans="4:24" s="277" customFormat="1" x14ac:dyDescent="0.3">
      <c r="D783" s="356" t="s">
        <v>865</v>
      </c>
      <c r="E783" s="356"/>
      <c r="F783" s="356"/>
      <c r="G783" s="356"/>
      <c r="I783" s="48">
        <v>0</v>
      </c>
      <c r="K783" s="48">
        <v>0</v>
      </c>
      <c r="M783" s="279">
        <f t="shared" si="48"/>
        <v>0</v>
      </c>
      <c r="O783" s="279">
        <f t="shared" si="49"/>
        <v>0</v>
      </c>
      <c r="Q783" s="295">
        <f t="shared" si="50"/>
        <v>0</v>
      </c>
      <c r="S783" s="293">
        <f t="shared" si="51"/>
        <v>0</v>
      </c>
      <c r="U783" s="385"/>
      <c r="V783" s="385"/>
      <c r="W783" s="385"/>
      <c r="X783" s="385"/>
    </row>
    <row r="784" spans="4:24" s="277" customFormat="1" x14ac:dyDescent="0.3">
      <c r="D784" s="356" t="s">
        <v>866</v>
      </c>
      <c r="E784" s="356"/>
      <c r="F784" s="356"/>
      <c r="G784" s="356"/>
      <c r="I784" s="48">
        <v>0</v>
      </c>
      <c r="K784" s="48">
        <v>0</v>
      </c>
      <c r="M784" s="279">
        <f t="shared" si="48"/>
        <v>0</v>
      </c>
      <c r="O784" s="279">
        <f t="shared" si="49"/>
        <v>0</v>
      </c>
      <c r="Q784" s="295">
        <f t="shared" si="50"/>
        <v>0</v>
      </c>
      <c r="S784" s="293">
        <f t="shared" si="51"/>
        <v>0</v>
      </c>
      <c r="U784" s="385"/>
      <c r="V784" s="385"/>
      <c r="W784" s="385"/>
      <c r="X784" s="385"/>
    </row>
    <row r="785" spans="3:24" s="277" customFormat="1" x14ac:dyDescent="0.3">
      <c r="D785" s="356" t="s">
        <v>867</v>
      </c>
      <c r="E785" s="356"/>
      <c r="F785" s="356"/>
      <c r="G785" s="356"/>
      <c r="I785" s="48">
        <v>0</v>
      </c>
      <c r="K785" s="48">
        <v>0</v>
      </c>
      <c r="M785" s="279">
        <f t="shared" si="48"/>
        <v>0</v>
      </c>
      <c r="O785" s="279">
        <f t="shared" si="49"/>
        <v>0</v>
      </c>
      <c r="Q785" s="295">
        <f t="shared" si="50"/>
        <v>0</v>
      </c>
      <c r="S785" s="293">
        <f t="shared" si="51"/>
        <v>0</v>
      </c>
      <c r="U785" s="385"/>
      <c r="V785" s="385"/>
      <c r="W785" s="385"/>
      <c r="X785" s="385"/>
    </row>
    <row r="786" spans="3:24" s="277" customFormat="1" x14ac:dyDescent="0.3">
      <c r="D786" s="356" t="s">
        <v>868</v>
      </c>
      <c r="E786" s="356"/>
      <c r="F786" s="356"/>
      <c r="G786" s="356"/>
      <c r="I786" s="48">
        <v>0</v>
      </c>
      <c r="K786" s="48">
        <v>0</v>
      </c>
      <c r="M786" s="279">
        <f t="shared" si="48"/>
        <v>0</v>
      </c>
      <c r="O786" s="279">
        <f t="shared" si="49"/>
        <v>0</v>
      </c>
      <c r="Q786" s="295">
        <f t="shared" si="50"/>
        <v>0</v>
      </c>
      <c r="S786" s="293">
        <f t="shared" si="51"/>
        <v>0</v>
      </c>
      <c r="U786" s="385"/>
      <c r="V786" s="385"/>
      <c r="W786" s="385"/>
      <c r="X786" s="385"/>
    </row>
    <row r="787" spans="3:24" s="277" customFormat="1" x14ac:dyDescent="0.3">
      <c r="D787" s="356" t="s">
        <v>869</v>
      </c>
      <c r="E787" s="356"/>
      <c r="F787" s="356"/>
      <c r="G787" s="356"/>
      <c r="I787" s="48">
        <v>0</v>
      </c>
      <c r="K787" s="48">
        <v>0</v>
      </c>
      <c r="M787" s="279">
        <f t="shared" si="48"/>
        <v>0</v>
      </c>
      <c r="O787" s="279">
        <f t="shared" si="49"/>
        <v>0</v>
      </c>
      <c r="Q787" s="295">
        <f t="shared" si="50"/>
        <v>0</v>
      </c>
      <c r="S787" s="293">
        <f t="shared" si="51"/>
        <v>0</v>
      </c>
      <c r="U787" s="385"/>
      <c r="V787" s="385"/>
      <c r="W787" s="385"/>
      <c r="X787" s="385"/>
    </row>
    <row r="788" spans="3:24" s="277" customFormat="1" x14ac:dyDescent="0.3">
      <c r="D788" s="356" t="s">
        <v>870</v>
      </c>
      <c r="E788" s="356"/>
      <c r="F788" s="356"/>
      <c r="G788" s="356"/>
      <c r="I788" s="48">
        <v>0</v>
      </c>
      <c r="K788" s="48">
        <v>0</v>
      </c>
      <c r="M788" s="279">
        <f t="shared" si="48"/>
        <v>0</v>
      </c>
      <c r="O788" s="279">
        <f t="shared" si="49"/>
        <v>0</v>
      </c>
      <c r="Q788" s="295">
        <f t="shared" si="50"/>
        <v>0</v>
      </c>
      <c r="S788" s="293">
        <f t="shared" si="51"/>
        <v>0</v>
      </c>
      <c r="U788" s="385"/>
      <c r="V788" s="385"/>
      <c r="W788" s="385"/>
      <c r="X788" s="385"/>
    </row>
    <row r="789" spans="3:24" s="277" customFormat="1" x14ac:dyDescent="0.3">
      <c r="D789" s="356" t="s">
        <v>871</v>
      </c>
      <c r="E789" s="356"/>
      <c r="F789" s="356"/>
      <c r="G789" s="356"/>
      <c r="I789" s="48">
        <v>0</v>
      </c>
      <c r="K789" s="48">
        <v>0</v>
      </c>
      <c r="M789" s="279">
        <f t="shared" si="48"/>
        <v>0</v>
      </c>
      <c r="O789" s="279">
        <f t="shared" si="49"/>
        <v>0</v>
      </c>
      <c r="Q789" s="295">
        <f t="shared" si="50"/>
        <v>0</v>
      </c>
      <c r="S789" s="293">
        <f t="shared" si="51"/>
        <v>0</v>
      </c>
      <c r="U789" s="385"/>
      <c r="V789" s="385"/>
      <c r="W789" s="385"/>
      <c r="X789" s="385"/>
    </row>
    <row r="790" spans="3:24" s="277" customFormat="1" x14ac:dyDescent="0.3">
      <c r="D790" s="356" t="s">
        <v>981</v>
      </c>
      <c r="E790" s="356"/>
      <c r="F790" s="356"/>
      <c r="G790" s="356"/>
      <c r="I790" s="48">
        <v>0</v>
      </c>
      <c r="K790" s="48">
        <v>0</v>
      </c>
      <c r="M790" s="279">
        <f t="shared" si="48"/>
        <v>0</v>
      </c>
      <c r="O790" s="279">
        <f t="shared" si="49"/>
        <v>0</v>
      </c>
      <c r="Q790" s="295">
        <f t="shared" si="50"/>
        <v>0</v>
      </c>
      <c r="S790" s="293">
        <f t="shared" si="51"/>
        <v>0</v>
      </c>
      <c r="U790" s="385"/>
      <c r="V790" s="385"/>
      <c r="W790" s="385"/>
      <c r="X790" s="385"/>
    </row>
    <row r="791" spans="3:24" s="277" customFormat="1" x14ac:dyDescent="0.3">
      <c r="D791" s="356" t="s">
        <v>982</v>
      </c>
      <c r="E791" s="356"/>
      <c r="F791" s="356"/>
      <c r="G791" s="356"/>
      <c r="I791" s="48">
        <v>0</v>
      </c>
      <c r="K791" s="48">
        <v>0</v>
      </c>
      <c r="M791" s="279">
        <f t="shared" si="48"/>
        <v>0</v>
      </c>
      <c r="O791" s="279">
        <f t="shared" si="49"/>
        <v>0</v>
      </c>
      <c r="Q791" s="295">
        <f t="shared" si="50"/>
        <v>0</v>
      </c>
      <c r="S791" s="293">
        <f t="shared" si="51"/>
        <v>0</v>
      </c>
      <c r="U791" s="385"/>
      <c r="V791" s="385"/>
      <c r="W791" s="385"/>
      <c r="X791" s="385"/>
    </row>
    <row r="792" spans="3:24" s="277" customFormat="1" x14ac:dyDescent="0.3">
      <c r="D792" s="356" t="s">
        <v>983</v>
      </c>
      <c r="E792" s="356"/>
      <c r="F792" s="356"/>
      <c r="G792" s="356"/>
      <c r="I792" s="48">
        <v>0</v>
      </c>
      <c r="K792" s="48">
        <v>0</v>
      </c>
      <c r="M792" s="279">
        <f t="shared" si="48"/>
        <v>0</v>
      </c>
      <c r="O792" s="279">
        <f t="shared" si="49"/>
        <v>0</v>
      </c>
      <c r="Q792" s="295">
        <f t="shared" si="50"/>
        <v>0</v>
      </c>
      <c r="S792" s="293">
        <f t="shared" si="51"/>
        <v>0</v>
      </c>
      <c r="U792" s="385"/>
      <c r="V792" s="385"/>
      <c r="W792" s="385"/>
      <c r="X792" s="385"/>
    </row>
    <row r="793" spans="3:24" s="277" customFormat="1" x14ac:dyDescent="0.3">
      <c r="D793" s="356" t="s">
        <v>984</v>
      </c>
      <c r="E793" s="356"/>
      <c r="F793" s="356"/>
      <c r="G793" s="356"/>
      <c r="I793" s="48">
        <v>0</v>
      </c>
      <c r="K793" s="48">
        <v>0</v>
      </c>
      <c r="M793" s="279">
        <f t="shared" si="48"/>
        <v>0</v>
      </c>
      <c r="O793" s="279">
        <f t="shared" si="49"/>
        <v>0</v>
      </c>
      <c r="Q793" s="295">
        <f t="shared" si="50"/>
        <v>0</v>
      </c>
      <c r="S793" s="293">
        <f t="shared" si="51"/>
        <v>0</v>
      </c>
      <c r="U793" s="385"/>
      <c r="V793" s="385"/>
      <c r="W793" s="385"/>
      <c r="X793" s="385"/>
    </row>
    <row r="794" spans="3:24" s="277" customFormat="1" x14ac:dyDescent="0.3">
      <c r="D794" s="356" t="s">
        <v>985</v>
      </c>
      <c r="E794" s="356"/>
      <c r="F794" s="356"/>
      <c r="G794" s="356"/>
      <c r="I794" s="48">
        <v>0</v>
      </c>
      <c r="K794" s="48">
        <v>0</v>
      </c>
      <c r="M794" s="279">
        <f t="shared" si="48"/>
        <v>0</v>
      </c>
      <c r="O794" s="279">
        <f t="shared" si="49"/>
        <v>0</v>
      </c>
      <c r="Q794" s="295">
        <f t="shared" si="50"/>
        <v>0</v>
      </c>
      <c r="S794" s="293">
        <f t="shared" si="51"/>
        <v>0</v>
      </c>
      <c r="U794" s="385"/>
      <c r="V794" s="385"/>
      <c r="W794" s="385"/>
      <c r="X794" s="385"/>
    </row>
    <row r="795" spans="3:24" ht="14.4" x14ac:dyDescent="0.3">
      <c r="D795" s="420" t="s">
        <v>85</v>
      </c>
      <c r="E795" s="421"/>
      <c r="F795" s="421"/>
      <c r="G795" s="421"/>
      <c r="I795" s="43"/>
      <c r="K795" s="43"/>
      <c r="M795" s="43"/>
      <c r="O795" s="43"/>
      <c r="Q795" s="296">
        <f>SUM(Q770:Q794)</f>
        <v>0</v>
      </c>
      <c r="S795" s="294">
        <f>SUM(S770:S794)</f>
        <v>0</v>
      </c>
      <c r="U795" s="43"/>
      <c r="V795" s="43"/>
      <c r="W795" s="43"/>
      <c r="X795" s="43"/>
    </row>
    <row r="797" spans="3:24" ht="27.6" x14ac:dyDescent="0.3">
      <c r="C797" s="92" t="s">
        <v>130</v>
      </c>
      <c r="Q797" s="44" t="str">
        <f>"FINANCIAL COST ("&amp;INDEX(LU_ACT_5_Meet_Curr,DD_ACT_5_Meet1_Curr)&amp;")"</f>
        <v>FINANCIAL COST (GOZ)</v>
      </c>
      <c r="S797" s="44" t="str">
        <f>"ECONOMIC COST ("&amp;INDEX(LU_ACT_5_Meet_Curr,DD_ACT_5_Meet1_Curr)&amp;")"</f>
        <v>ECONOMIC COST (GOZ)</v>
      </c>
    </row>
    <row r="798" spans="3:24" ht="14.4" x14ac:dyDescent="0.3">
      <c r="D798" s="90" t="s">
        <v>86</v>
      </c>
      <c r="I798" s="91" t="s">
        <v>186</v>
      </c>
      <c r="M798" s="91" t="s">
        <v>81</v>
      </c>
      <c r="O798" s="91" t="s">
        <v>83</v>
      </c>
      <c r="U798" s="350" t="s">
        <v>185</v>
      </c>
      <c r="V798" s="351"/>
      <c r="W798" s="351"/>
      <c r="X798" s="351"/>
    </row>
    <row r="799" spans="3:24" x14ac:dyDescent="0.3">
      <c r="D799" s="356" t="s">
        <v>70</v>
      </c>
      <c r="E799" s="356"/>
      <c r="F799" s="356"/>
      <c r="G799" s="356"/>
      <c r="I799" s="48">
        <v>0</v>
      </c>
      <c r="M799" s="40">
        <f t="shared" ref="M799:M823" si="52">IFERROR(IF(DD_ACT_5_Meet1_Curr=1,INDEX($M$979:$M$1013,MATCH(D799,LU_ACT_5_Equipment,0)),INDEX($Q$979:$Q$1013,MATCH(D799,LU_ACT_5_Equipment,0))),0)</f>
        <v>0</v>
      </c>
      <c r="O799" s="40">
        <f t="shared" ref="O799:O823" si="53">IFERROR(IF(DD_ACT_5_Meet1_Curr=1,INDEX($O$979:$O$1013,MATCH(D799,LU_ACT_5_Equipment,0)),INDEX($S$979:$S$1013,MATCH(D799,LU_ACT_5_Equipment,0))),0)</f>
        <v>0</v>
      </c>
      <c r="Q799" s="279">
        <f t="shared" ref="Q799:Q823" si="54">I799*M799</f>
        <v>0</v>
      </c>
      <c r="S799" s="279">
        <f t="shared" ref="S799:S823" si="55">I799*O799</f>
        <v>0</v>
      </c>
      <c r="U799" s="356"/>
      <c r="V799" s="356"/>
      <c r="W799" s="356"/>
      <c r="X799" s="356"/>
    </row>
    <row r="800" spans="3:24" x14ac:dyDescent="0.3">
      <c r="D800" s="356" t="s">
        <v>122</v>
      </c>
      <c r="E800" s="356"/>
      <c r="F800" s="356"/>
      <c r="G800" s="356"/>
      <c r="I800" s="48">
        <v>0</v>
      </c>
      <c r="M800" s="40">
        <f t="shared" si="52"/>
        <v>0</v>
      </c>
      <c r="O800" s="40">
        <f t="shared" si="53"/>
        <v>0</v>
      </c>
      <c r="Q800" s="279">
        <f t="shared" si="54"/>
        <v>0</v>
      </c>
      <c r="S800" s="279">
        <f t="shared" si="55"/>
        <v>0</v>
      </c>
      <c r="U800" s="356"/>
      <c r="V800" s="356"/>
      <c r="W800" s="356"/>
      <c r="X800" s="356"/>
    </row>
    <row r="801" spans="4:24" s="277" customFormat="1" x14ac:dyDescent="0.3">
      <c r="D801" s="356" t="s">
        <v>872</v>
      </c>
      <c r="E801" s="356"/>
      <c r="F801" s="356"/>
      <c r="G801" s="356"/>
      <c r="I801" s="48">
        <v>0</v>
      </c>
      <c r="M801" s="279">
        <f t="shared" si="52"/>
        <v>0</v>
      </c>
      <c r="O801" s="279">
        <f t="shared" si="53"/>
        <v>0</v>
      </c>
      <c r="Q801" s="279">
        <f t="shared" si="54"/>
        <v>0</v>
      </c>
      <c r="S801" s="279">
        <f t="shared" si="55"/>
        <v>0</v>
      </c>
      <c r="U801" s="385"/>
      <c r="V801" s="385"/>
      <c r="W801" s="385"/>
      <c r="X801" s="385"/>
    </row>
    <row r="802" spans="4:24" s="277" customFormat="1" x14ac:dyDescent="0.3">
      <c r="D802" s="356" t="s">
        <v>873</v>
      </c>
      <c r="E802" s="356"/>
      <c r="F802" s="356"/>
      <c r="G802" s="356"/>
      <c r="I802" s="48">
        <v>0</v>
      </c>
      <c r="M802" s="279">
        <f t="shared" si="52"/>
        <v>0</v>
      </c>
      <c r="O802" s="279">
        <f t="shared" si="53"/>
        <v>0</v>
      </c>
      <c r="Q802" s="279">
        <f t="shared" si="54"/>
        <v>0</v>
      </c>
      <c r="S802" s="279">
        <f t="shared" si="55"/>
        <v>0</v>
      </c>
      <c r="U802" s="385"/>
      <c r="V802" s="385"/>
      <c r="W802" s="385"/>
      <c r="X802" s="385"/>
    </row>
    <row r="803" spans="4:24" s="277" customFormat="1" x14ac:dyDescent="0.3">
      <c r="D803" s="356" t="s">
        <v>874</v>
      </c>
      <c r="E803" s="356"/>
      <c r="F803" s="356"/>
      <c r="G803" s="356"/>
      <c r="I803" s="48">
        <v>0</v>
      </c>
      <c r="M803" s="279">
        <f t="shared" si="52"/>
        <v>0</v>
      </c>
      <c r="O803" s="279">
        <f t="shared" si="53"/>
        <v>0</v>
      </c>
      <c r="Q803" s="279">
        <f t="shared" si="54"/>
        <v>0</v>
      </c>
      <c r="S803" s="279">
        <f t="shared" si="55"/>
        <v>0</v>
      </c>
      <c r="U803" s="385"/>
      <c r="V803" s="385"/>
      <c r="W803" s="385"/>
      <c r="X803" s="385"/>
    </row>
    <row r="804" spans="4:24" s="277" customFormat="1" x14ac:dyDescent="0.3">
      <c r="D804" s="356" t="s">
        <v>875</v>
      </c>
      <c r="E804" s="356"/>
      <c r="F804" s="356"/>
      <c r="G804" s="356"/>
      <c r="I804" s="48">
        <v>0</v>
      </c>
      <c r="M804" s="279">
        <f t="shared" si="52"/>
        <v>0</v>
      </c>
      <c r="O804" s="279">
        <f t="shared" si="53"/>
        <v>0</v>
      </c>
      <c r="Q804" s="279">
        <f t="shared" si="54"/>
        <v>0</v>
      </c>
      <c r="S804" s="279">
        <f t="shared" si="55"/>
        <v>0</v>
      </c>
      <c r="U804" s="385"/>
      <c r="V804" s="385"/>
      <c r="W804" s="385"/>
      <c r="X804" s="385"/>
    </row>
    <row r="805" spans="4:24" s="277" customFormat="1" x14ac:dyDescent="0.3">
      <c r="D805" s="356" t="s">
        <v>778</v>
      </c>
      <c r="E805" s="356"/>
      <c r="F805" s="356"/>
      <c r="G805" s="356"/>
      <c r="I805" s="48">
        <v>0</v>
      </c>
      <c r="M805" s="279">
        <f t="shared" si="52"/>
        <v>0</v>
      </c>
      <c r="O805" s="279">
        <f t="shared" si="53"/>
        <v>0</v>
      </c>
      <c r="Q805" s="279">
        <f t="shared" si="54"/>
        <v>0</v>
      </c>
      <c r="S805" s="279">
        <f t="shared" si="55"/>
        <v>0</v>
      </c>
      <c r="U805" s="385"/>
      <c r="V805" s="385"/>
      <c r="W805" s="385"/>
      <c r="X805" s="385"/>
    </row>
    <row r="806" spans="4:24" s="277" customFormat="1" x14ac:dyDescent="0.3">
      <c r="D806" s="356" t="s">
        <v>779</v>
      </c>
      <c r="E806" s="356"/>
      <c r="F806" s="356"/>
      <c r="G806" s="356"/>
      <c r="I806" s="48">
        <v>0</v>
      </c>
      <c r="M806" s="279">
        <f t="shared" si="52"/>
        <v>0</v>
      </c>
      <c r="O806" s="279">
        <f t="shared" si="53"/>
        <v>0</v>
      </c>
      <c r="Q806" s="279">
        <f t="shared" si="54"/>
        <v>0</v>
      </c>
      <c r="S806" s="279">
        <f t="shared" si="55"/>
        <v>0</v>
      </c>
      <c r="U806" s="385"/>
      <c r="V806" s="385"/>
      <c r="W806" s="385"/>
      <c r="X806" s="385"/>
    </row>
    <row r="807" spans="4:24" s="277" customFormat="1" x14ac:dyDescent="0.3">
      <c r="D807" s="356" t="s">
        <v>780</v>
      </c>
      <c r="E807" s="356"/>
      <c r="F807" s="356"/>
      <c r="G807" s="356"/>
      <c r="I807" s="48">
        <v>0</v>
      </c>
      <c r="M807" s="279">
        <f t="shared" si="52"/>
        <v>0</v>
      </c>
      <c r="O807" s="279">
        <f t="shared" si="53"/>
        <v>0</v>
      </c>
      <c r="Q807" s="279">
        <f t="shared" si="54"/>
        <v>0</v>
      </c>
      <c r="S807" s="279">
        <f t="shared" si="55"/>
        <v>0</v>
      </c>
      <c r="U807" s="385"/>
      <c r="V807" s="385"/>
      <c r="W807" s="385"/>
      <c r="X807" s="385"/>
    </row>
    <row r="808" spans="4:24" s="277" customFormat="1" x14ac:dyDescent="0.3">
      <c r="D808" s="356" t="s">
        <v>781</v>
      </c>
      <c r="E808" s="356"/>
      <c r="F808" s="356"/>
      <c r="G808" s="356"/>
      <c r="I808" s="48">
        <v>0</v>
      </c>
      <c r="M808" s="279">
        <f t="shared" si="52"/>
        <v>0</v>
      </c>
      <c r="O808" s="279">
        <f t="shared" si="53"/>
        <v>0</v>
      </c>
      <c r="Q808" s="279">
        <f t="shared" si="54"/>
        <v>0</v>
      </c>
      <c r="S808" s="279">
        <f t="shared" si="55"/>
        <v>0</v>
      </c>
      <c r="U808" s="385"/>
      <c r="V808" s="385"/>
      <c r="W808" s="385"/>
      <c r="X808" s="385"/>
    </row>
    <row r="809" spans="4:24" s="277" customFormat="1" x14ac:dyDescent="0.3">
      <c r="D809" s="356" t="s">
        <v>782</v>
      </c>
      <c r="E809" s="356"/>
      <c r="F809" s="356"/>
      <c r="G809" s="356"/>
      <c r="I809" s="48">
        <v>0</v>
      </c>
      <c r="M809" s="279">
        <f t="shared" si="52"/>
        <v>0</v>
      </c>
      <c r="O809" s="279">
        <f t="shared" si="53"/>
        <v>0</v>
      </c>
      <c r="Q809" s="279">
        <f t="shared" si="54"/>
        <v>0</v>
      </c>
      <c r="S809" s="279">
        <f t="shared" si="55"/>
        <v>0</v>
      </c>
      <c r="U809" s="385"/>
      <c r="V809" s="385"/>
      <c r="W809" s="385"/>
      <c r="X809" s="385"/>
    </row>
    <row r="810" spans="4:24" s="277" customFormat="1" x14ac:dyDescent="0.3">
      <c r="D810" s="356" t="s">
        <v>783</v>
      </c>
      <c r="E810" s="356"/>
      <c r="F810" s="356"/>
      <c r="G810" s="356"/>
      <c r="I810" s="48">
        <v>0</v>
      </c>
      <c r="M810" s="279">
        <f t="shared" si="52"/>
        <v>0</v>
      </c>
      <c r="O810" s="279">
        <f t="shared" si="53"/>
        <v>0</v>
      </c>
      <c r="Q810" s="279">
        <f t="shared" si="54"/>
        <v>0</v>
      </c>
      <c r="S810" s="279">
        <f t="shared" si="55"/>
        <v>0</v>
      </c>
      <c r="U810" s="385"/>
      <c r="V810" s="385"/>
      <c r="W810" s="385"/>
      <c r="X810" s="385"/>
    </row>
    <row r="811" spans="4:24" s="277" customFormat="1" x14ac:dyDescent="0.3">
      <c r="D811" s="356" t="s">
        <v>784</v>
      </c>
      <c r="E811" s="356"/>
      <c r="F811" s="356"/>
      <c r="G811" s="356"/>
      <c r="I811" s="48">
        <v>0</v>
      </c>
      <c r="M811" s="279">
        <f t="shared" si="52"/>
        <v>0</v>
      </c>
      <c r="O811" s="279">
        <f t="shared" si="53"/>
        <v>0</v>
      </c>
      <c r="Q811" s="279">
        <f t="shared" si="54"/>
        <v>0</v>
      </c>
      <c r="S811" s="279">
        <f t="shared" si="55"/>
        <v>0</v>
      </c>
      <c r="U811" s="385"/>
      <c r="V811" s="385"/>
      <c r="W811" s="385"/>
      <c r="X811" s="385"/>
    </row>
    <row r="812" spans="4:24" s="277" customFormat="1" x14ac:dyDescent="0.3">
      <c r="D812" s="356" t="s">
        <v>785</v>
      </c>
      <c r="E812" s="356"/>
      <c r="F812" s="356"/>
      <c r="G812" s="356"/>
      <c r="I812" s="48">
        <v>0</v>
      </c>
      <c r="M812" s="279">
        <f t="shared" si="52"/>
        <v>0</v>
      </c>
      <c r="O812" s="279">
        <f t="shared" si="53"/>
        <v>0</v>
      </c>
      <c r="Q812" s="279">
        <f t="shared" si="54"/>
        <v>0</v>
      </c>
      <c r="S812" s="279">
        <f t="shared" si="55"/>
        <v>0</v>
      </c>
      <c r="U812" s="385"/>
      <c r="V812" s="385"/>
      <c r="W812" s="385"/>
      <c r="X812" s="385"/>
    </row>
    <row r="813" spans="4:24" s="277" customFormat="1" x14ac:dyDescent="0.3">
      <c r="D813" s="356" t="s">
        <v>786</v>
      </c>
      <c r="E813" s="356"/>
      <c r="F813" s="356"/>
      <c r="G813" s="356"/>
      <c r="I813" s="48">
        <v>0</v>
      </c>
      <c r="M813" s="279">
        <f t="shared" si="52"/>
        <v>0</v>
      </c>
      <c r="O813" s="279">
        <f t="shared" si="53"/>
        <v>0</v>
      </c>
      <c r="Q813" s="279">
        <f t="shared" si="54"/>
        <v>0</v>
      </c>
      <c r="S813" s="279">
        <f t="shared" si="55"/>
        <v>0</v>
      </c>
      <c r="U813" s="385"/>
      <c r="V813" s="385"/>
      <c r="W813" s="385"/>
      <c r="X813" s="385"/>
    </row>
    <row r="814" spans="4:24" s="277" customFormat="1" x14ac:dyDescent="0.3">
      <c r="D814" s="356" t="s">
        <v>787</v>
      </c>
      <c r="E814" s="356"/>
      <c r="F814" s="356"/>
      <c r="G814" s="356"/>
      <c r="I814" s="48">
        <v>0</v>
      </c>
      <c r="M814" s="279">
        <f t="shared" si="52"/>
        <v>0</v>
      </c>
      <c r="O814" s="279">
        <f t="shared" si="53"/>
        <v>0</v>
      </c>
      <c r="Q814" s="279">
        <f t="shared" si="54"/>
        <v>0</v>
      </c>
      <c r="S814" s="279">
        <f t="shared" si="55"/>
        <v>0</v>
      </c>
      <c r="U814" s="385"/>
      <c r="V814" s="385"/>
      <c r="W814" s="385"/>
      <c r="X814" s="385"/>
    </row>
    <row r="815" spans="4:24" s="277" customFormat="1" x14ac:dyDescent="0.3">
      <c r="D815" s="356" t="s">
        <v>788</v>
      </c>
      <c r="E815" s="356"/>
      <c r="F815" s="356"/>
      <c r="G815" s="356"/>
      <c r="I815" s="48">
        <v>0</v>
      </c>
      <c r="M815" s="279">
        <f t="shared" si="52"/>
        <v>0</v>
      </c>
      <c r="O815" s="279">
        <f t="shared" si="53"/>
        <v>0</v>
      </c>
      <c r="Q815" s="279">
        <f t="shared" si="54"/>
        <v>0</v>
      </c>
      <c r="S815" s="279">
        <f t="shared" si="55"/>
        <v>0</v>
      </c>
      <c r="U815" s="385"/>
      <c r="V815" s="385"/>
      <c r="W815" s="385"/>
      <c r="X815" s="385"/>
    </row>
    <row r="816" spans="4:24" s="277" customFormat="1" x14ac:dyDescent="0.3">
      <c r="D816" s="356" t="s">
        <v>789</v>
      </c>
      <c r="E816" s="356"/>
      <c r="F816" s="356"/>
      <c r="G816" s="356"/>
      <c r="I816" s="48">
        <v>0</v>
      </c>
      <c r="M816" s="279">
        <f t="shared" si="52"/>
        <v>0</v>
      </c>
      <c r="O816" s="279">
        <f t="shared" si="53"/>
        <v>0</v>
      </c>
      <c r="Q816" s="279">
        <f t="shared" si="54"/>
        <v>0</v>
      </c>
      <c r="S816" s="279">
        <f t="shared" si="55"/>
        <v>0</v>
      </c>
      <c r="U816" s="385"/>
      <c r="V816" s="385"/>
      <c r="W816" s="385"/>
      <c r="X816" s="385"/>
    </row>
    <row r="817" spans="3:24" s="277" customFormat="1" x14ac:dyDescent="0.3">
      <c r="D817" s="356" t="s">
        <v>790</v>
      </c>
      <c r="E817" s="356"/>
      <c r="F817" s="356"/>
      <c r="G817" s="356"/>
      <c r="I817" s="48">
        <v>0</v>
      </c>
      <c r="M817" s="279">
        <f t="shared" si="52"/>
        <v>0</v>
      </c>
      <c r="O817" s="279">
        <f t="shared" si="53"/>
        <v>0</v>
      </c>
      <c r="Q817" s="279">
        <f t="shared" si="54"/>
        <v>0</v>
      </c>
      <c r="S817" s="279">
        <f t="shared" si="55"/>
        <v>0</v>
      </c>
      <c r="U817" s="385"/>
      <c r="V817" s="385"/>
      <c r="W817" s="385"/>
      <c r="X817" s="385"/>
    </row>
    <row r="818" spans="3:24" s="277" customFormat="1" x14ac:dyDescent="0.3">
      <c r="D818" s="356" t="s">
        <v>791</v>
      </c>
      <c r="E818" s="356"/>
      <c r="F818" s="356"/>
      <c r="G818" s="356"/>
      <c r="I818" s="48">
        <v>0</v>
      </c>
      <c r="M818" s="279">
        <f t="shared" si="52"/>
        <v>0</v>
      </c>
      <c r="O818" s="279">
        <f t="shared" si="53"/>
        <v>0</v>
      </c>
      <c r="Q818" s="279">
        <f t="shared" si="54"/>
        <v>0</v>
      </c>
      <c r="S818" s="279">
        <f t="shared" si="55"/>
        <v>0</v>
      </c>
      <c r="U818" s="385"/>
      <c r="V818" s="385"/>
      <c r="W818" s="385"/>
      <c r="X818" s="385"/>
    </row>
    <row r="819" spans="3:24" s="277" customFormat="1" x14ac:dyDescent="0.3">
      <c r="D819" s="356" t="s">
        <v>792</v>
      </c>
      <c r="E819" s="356"/>
      <c r="F819" s="356"/>
      <c r="G819" s="356"/>
      <c r="I819" s="48">
        <v>0</v>
      </c>
      <c r="M819" s="279">
        <f t="shared" si="52"/>
        <v>0</v>
      </c>
      <c r="O819" s="279">
        <f t="shared" si="53"/>
        <v>0</v>
      </c>
      <c r="Q819" s="279">
        <f t="shared" si="54"/>
        <v>0</v>
      </c>
      <c r="S819" s="279">
        <f t="shared" si="55"/>
        <v>0</v>
      </c>
      <c r="U819" s="385"/>
      <c r="V819" s="385"/>
      <c r="W819" s="385"/>
      <c r="X819" s="385"/>
    </row>
    <row r="820" spans="3:24" s="277" customFormat="1" x14ac:dyDescent="0.3">
      <c r="D820" s="356" t="s">
        <v>793</v>
      </c>
      <c r="E820" s="356"/>
      <c r="F820" s="356"/>
      <c r="G820" s="356"/>
      <c r="I820" s="48">
        <v>0</v>
      </c>
      <c r="M820" s="279">
        <f t="shared" si="52"/>
        <v>0</v>
      </c>
      <c r="O820" s="279">
        <f t="shared" si="53"/>
        <v>0</v>
      </c>
      <c r="Q820" s="279">
        <f t="shared" si="54"/>
        <v>0</v>
      </c>
      <c r="S820" s="279">
        <f t="shared" si="55"/>
        <v>0</v>
      </c>
      <c r="U820" s="385"/>
      <c r="V820" s="385"/>
      <c r="W820" s="385"/>
      <c r="X820" s="385"/>
    </row>
    <row r="821" spans="3:24" s="277" customFormat="1" x14ac:dyDescent="0.3">
      <c r="D821" s="356" t="s">
        <v>794</v>
      </c>
      <c r="E821" s="356"/>
      <c r="F821" s="356"/>
      <c r="G821" s="356"/>
      <c r="I821" s="48">
        <v>0</v>
      </c>
      <c r="M821" s="279">
        <f t="shared" si="52"/>
        <v>0</v>
      </c>
      <c r="O821" s="279">
        <f t="shared" si="53"/>
        <v>0</v>
      </c>
      <c r="Q821" s="279">
        <f t="shared" si="54"/>
        <v>0</v>
      </c>
      <c r="S821" s="279">
        <f t="shared" si="55"/>
        <v>0</v>
      </c>
      <c r="U821" s="385"/>
      <c r="V821" s="385"/>
      <c r="W821" s="385"/>
      <c r="X821" s="385"/>
    </row>
    <row r="822" spans="3:24" s="277" customFormat="1" x14ac:dyDescent="0.3">
      <c r="D822" s="356" t="s">
        <v>795</v>
      </c>
      <c r="E822" s="356"/>
      <c r="F822" s="356"/>
      <c r="G822" s="356"/>
      <c r="I822" s="48">
        <v>0</v>
      </c>
      <c r="M822" s="279">
        <f t="shared" si="52"/>
        <v>0</v>
      </c>
      <c r="O822" s="279">
        <f t="shared" si="53"/>
        <v>0</v>
      </c>
      <c r="Q822" s="279">
        <f t="shared" si="54"/>
        <v>0</v>
      </c>
      <c r="S822" s="279">
        <f t="shared" si="55"/>
        <v>0</v>
      </c>
      <c r="U822" s="385"/>
      <c r="V822" s="385"/>
      <c r="W822" s="385"/>
      <c r="X822" s="385"/>
    </row>
    <row r="823" spans="3:24" s="277" customFormat="1" x14ac:dyDescent="0.3">
      <c r="D823" s="356" t="s">
        <v>796</v>
      </c>
      <c r="E823" s="356"/>
      <c r="F823" s="356"/>
      <c r="G823" s="356"/>
      <c r="I823" s="48">
        <v>0</v>
      </c>
      <c r="M823" s="279">
        <f t="shared" si="52"/>
        <v>0</v>
      </c>
      <c r="O823" s="279">
        <f t="shared" si="53"/>
        <v>0</v>
      </c>
      <c r="Q823" s="279">
        <f t="shared" si="54"/>
        <v>0</v>
      </c>
      <c r="S823" s="279">
        <f t="shared" si="55"/>
        <v>0</v>
      </c>
      <c r="U823" s="385"/>
      <c r="V823" s="385"/>
      <c r="W823" s="385"/>
      <c r="X823" s="385"/>
    </row>
    <row r="824" spans="3:24" ht="14.4" x14ac:dyDescent="0.3">
      <c r="D824" s="420" t="s">
        <v>88</v>
      </c>
      <c r="E824" s="421"/>
      <c r="F824" s="421"/>
      <c r="G824" s="421"/>
      <c r="I824" s="40"/>
      <c r="M824" s="40"/>
      <c r="O824" s="40"/>
      <c r="Q824" s="294">
        <f>SUM(Q799:Q823)</f>
        <v>0</v>
      </c>
      <c r="S824" s="294">
        <f>SUM(S799:S823)</f>
        <v>0</v>
      </c>
    </row>
    <row r="826" spans="3:24" ht="15.6" x14ac:dyDescent="0.3">
      <c r="C826" s="92" t="s">
        <v>89</v>
      </c>
    </row>
    <row r="827" spans="3:24" ht="27.6" x14ac:dyDescent="0.3">
      <c r="Q827" s="44" t="str">
        <f>"FINANCIAL COST ("&amp;INDEX(LU_ACT_5_Meet_Curr,DD_ACT_5_Meet1_Curr)&amp;")"</f>
        <v>FINANCIAL COST (GOZ)</v>
      </c>
      <c r="S827" s="44" t="str">
        <f>"ECONOMIC COST ("&amp;INDEX(LU_ACT_5_Meet_Curr,DD_ACT_5_Meet1_Curr)&amp;")"</f>
        <v>ECONOMIC COST (GOZ)</v>
      </c>
    </row>
    <row r="828" spans="3:24" ht="27.6" x14ac:dyDescent="0.3">
      <c r="D828" s="90" t="s">
        <v>86</v>
      </c>
      <c r="I828" s="91" t="s">
        <v>186</v>
      </c>
      <c r="K828" s="91" t="s">
        <v>187</v>
      </c>
      <c r="M828" s="42" t="s">
        <v>81</v>
      </c>
      <c r="O828" s="42" t="s">
        <v>83</v>
      </c>
      <c r="U828" s="350" t="s">
        <v>185</v>
      </c>
      <c r="V828" s="351"/>
      <c r="W828" s="351"/>
      <c r="X828" s="351"/>
    </row>
    <row r="829" spans="3:24" x14ac:dyDescent="0.3">
      <c r="D829" s="356" t="s">
        <v>71</v>
      </c>
      <c r="E829" s="356"/>
      <c r="F829" s="356"/>
      <c r="G829" s="356"/>
      <c r="I829" s="48">
        <v>0</v>
      </c>
      <c r="K829" s="48">
        <v>0</v>
      </c>
      <c r="M829" s="40">
        <f t="shared" ref="M829:M853" si="56">IFERROR(IF(DD_ACT_5_Meet1_Curr=1,INDEX($M$1017:$M$1051,MATCH(D829,LU_ACT_5_ODCS,0)),INDEX($Q$1017:$Q$1051,MATCH(D829,LU_ACT_5_ODCS,0))),0)</f>
        <v>0</v>
      </c>
      <c r="O829" s="40">
        <f t="shared" ref="O829:O853" si="57">IFERROR(IF(DD_ACT_5_Meet1_Curr=1,INDEX($O$1017:$O$1051,MATCH(D829,LU_ACT_5_ODCS,0)),INDEX($S$1017:$S$1051,MATCH(D829,LU_ACT_5_ODCS,0))),0)</f>
        <v>0</v>
      </c>
      <c r="Q829" s="279">
        <f t="shared" ref="Q829:Q853" si="58">I829*K829*M829</f>
        <v>0</v>
      </c>
      <c r="S829" s="279">
        <f t="shared" ref="S829:S853" si="59">I829*K829*O829</f>
        <v>0</v>
      </c>
      <c r="U829" s="356"/>
      <c r="V829" s="356"/>
      <c r="W829" s="356"/>
      <c r="X829" s="356"/>
    </row>
    <row r="830" spans="3:24" x14ac:dyDescent="0.3">
      <c r="D830" s="356" t="s">
        <v>72</v>
      </c>
      <c r="E830" s="356"/>
      <c r="F830" s="356"/>
      <c r="G830" s="356"/>
      <c r="I830" s="48">
        <v>0</v>
      </c>
      <c r="K830" s="48">
        <v>0</v>
      </c>
      <c r="M830" s="40">
        <f t="shared" si="56"/>
        <v>0</v>
      </c>
      <c r="O830" s="40">
        <f t="shared" si="57"/>
        <v>0</v>
      </c>
      <c r="Q830" s="279">
        <f t="shared" si="58"/>
        <v>0</v>
      </c>
      <c r="S830" s="279">
        <f t="shared" si="59"/>
        <v>0</v>
      </c>
      <c r="U830" s="356"/>
      <c r="V830" s="356"/>
      <c r="W830" s="356"/>
      <c r="X830" s="356"/>
    </row>
    <row r="831" spans="3:24" x14ac:dyDescent="0.3">
      <c r="D831" s="356" t="s">
        <v>73</v>
      </c>
      <c r="E831" s="356"/>
      <c r="F831" s="356"/>
      <c r="G831" s="356"/>
      <c r="I831" s="48">
        <v>0</v>
      </c>
      <c r="K831" s="48">
        <v>0</v>
      </c>
      <c r="M831" s="40">
        <f t="shared" si="56"/>
        <v>0</v>
      </c>
      <c r="O831" s="40">
        <f t="shared" si="57"/>
        <v>0</v>
      </c>
      <c r="Q831" s="279">
        <f t="shared" si="58"/>
        <v>0</v>
      </c>
      <c r="S831" s="279">
        <f t="shared" si="59"/>
        <v>0</v>
      </c>
      <c r="U831" s="356"/>
      <c r="V831" s="356"/>
      <c r="W831" s="356"/>
      <c r="X831" s="356"/>
    </row>
    <row r="832" spans="3:24" x14ac:dyDescent="0.3">
      <c r="D832" s="356" t="s">
        <v>74</v>
      </c>
      <c r="E832" s="356"/>
      <c r="F832" s="356"/>
      <c r="G832" s="356"/>
      <c r="I832" s="48">
        <v>0</v>
      </c>
      <c r="K832" s="48">
        <v>0</v>
      </c>
      <c r="M832" s="40">
        <f t="shared" si="56"/>
        <v>0</v>
      </c>
      <c r="O832" s="40">
        <f t="shared" si="57"/>
        <v>0</v>
      </c>
      <c r="Q832" s="279">
        <f t="shared" si="58"/>
        <v>0</v>
      </c>
      <c r="S832" s="279">
        <f t="shared" si="59"/>
        <v>0</v>
      </c>
      <c r="U832" s="356"/>
      <c r="V832" s="356"/>
      <c r="W832" s="356"/>
      <c r="X832" s="356"/>
    </row>
    <row r="833" spans="4:24" x14ac:dyDescent="0.3">
      <c r="D833" s="356" t="s">
        <v>75</v>
      </c>
      <c r="E833" s="356"/>
      <c r="F833" s="356"/>
      <c r="G833" s="356"/>
      <c r="I833" s="48">
        <v>0</v>
      </c>
      <c r="K833" s="48">
        <v>0</v>
      </c>
      <c r="M833" s="40">
        <f t="shared" si="56"/>
        <v>0</v>
      </c>
      <c r="O833" s="40">
        <f t="shared" si="57"/>
        <v>0</v>
      </c>
      <c r="Q833" s="279">
        <f t="shared" si="58"/>
        <v>0</v>
      </c>
      <c r="S833" s="279">
        <f t="shared" si="59"/>
        <v>0</v>
      </c>
      <c r="U833" s="356"/>
      <c r="V833" s="356"/>
      <c r="W833" s="356"/>
      <c r="X833" s="356"/>
    </row>
    <row r="834" spans="4:24" s="277" customFormat="1" x14ac:dyDescent="0.3">
      <c r="D834" s="356" t="s">
        <v>876</v>
      </c>
      <c r="E834" s="356"/>
      <c r="F834" s="356"/>
      <c r="G834" s="356"/>
      <c r="I834" s="48">
        <v>0</v>
      </c>
      <c r="K834" s="48">
        <v>0</v>
      </c>
      <c r="M834" s="279">
        <f t="shared" si="56"/>
        <v>0</v>
      </c>
      <c r="O834" s="279">
        <f t="shared" si="57"/>
        <v>0</v>
      </c>
      <c r="Q834" s="279">
        <f t="shared" si="58"/>
        <v>0</v>
      </c>
      <c r="S834" s="279">
        <f t="shared" si="59"/>
        <v>0</v>
      </c>
      <c r="U834" s="385"/>
      <c r="V834" s="385"/>
      <c r="W834" s="385"/>
      <c r="X834" s="385"/>
    </row>
    <row r="835" spans="4:24" s="277" customFormat="1" x14ac:dyDescent="0.3">
      <c r="D835" s="356" t="s">
        <v>877</v>
      </c>
      <c r="E835" s="356"/>
      <c r="F835" s="356"/>
      <c r="G835" s="356"/>
      <c r="I835" s="48">
        <v>0</v>
      </c>
      <c r="K835" s="48">
        <v>0</v>
      </c>
      <c r="M835" s="279">
        <f t="shared" si="56"/>
        <v>0</v>
      </c>
      <c r="O835" s="279">
        <f t="shared" si="57"/>
        <v>0</v>
      </c>
      <c r="Q835" s="279">
        <f t="shared" si="58"/>
        <v>0</v>
      </c>
      <c r="S835" s="279">
        <f t="shared" si="59"/>
        <v>0</v>
      </c>
      <c r="U835" s="385"/>
      <c r="V835" s="385"/>
      <c r="W835" s="385"/>
      <c r="X835" s="385"/>
    </row>
    <row r="836" spans="4:24" s="277" customFormat="1" x14ac:dyDescent="0.3">
      <c r="D836" s="356" t="s">
        <v>878</v>
      </c>
      <c r="E836" s="356"/>
      <c r="F836" s="356"/>
      <c r="G836" s="356"/>
      <c r="I836" s="48">
        <v>0</v>
      </c>
      <c r="K836" s="48">
        <v>0</v>
      </c>
      <c r="M836" s="279">
        <f t="shared" si="56"/>
        <v>0</v>
      </c>
      <c r="O836" s="279">
        <f t="shared" si="57"/>
        <v>0</v>
      </c>
      <c r="Q836" s="279">
        <f t="shared" si="58"/>
        <v>0</v>
      </c>
      <c r="S836" s="279">
        <f t="shared" si="59"/>
        <v>0</v>
      </c>
      <c r="U836" s="385"/>
      <c r="V836" s="385"/>
      <c r="W836" s="385"/>
      <c r="X836" s="385"/>
    </row>
    <row r="837" spans="4:24" s="277" customFormat="1" x14ac:dyDescent="0.3">
      <c r="D837" s="356" t="s">
        <v>879</v>
      </c>
      <c r="E837" s="356"/>
      <c r="F837" s="356"/>
      <c r="G837" s="356"/>
      <c r="I837" s="48">
        <v>0</v>
      </c>
      <c r="K837" s="48">
        <v>0</v>
      </c>
      <c r="M837" s="279">
        <f t="shared" si="56"/>
        <v>0</v>
      </c>
      <c r="O837" s="279">
        <f t="shared" si="57"/>
        <v>0</v>
      </c>
      <c r="Q837" s="279">
        <f t="shared" si="58"/>
        <v>0</v>
      </c>
      <c r="S837" s="279">
        <f t="shared" si="59"/>
        <v>0</v>
      </c>
      <c r="U837" s="385"/>
      <c r="V837" s="385"/>
      <c r="W837" s="385"/>
      <c r="X837" s="385"/>
    </row>
    <row r="838" spans="4:24" s="277" customFormat="1" x14ac:dyDescent="0.3">
      <c r="D838" s="356" t="s">
        <v>880</v>
      </c>
      <c r="E838" s="356"/>
      <c r="F838" s="356"/>
      <c r="G838" s="356"/>
      <c r="I838" s="48">
        <v>0</v>
      </c>
      <c r="K838" s="48">
        <v>0</v>
      </c>
      <c r="M838" s="279">
        <f t="shared" si="56"/>
        <v>0</v>
      </c>
      <c r="O838" s="279">
        <f t="shared" si="57"/>
        <v>0</v>
      </c>
      <c r="Q838" s="279">
        <f t="shared" si="58"/>
        <v>0</v>
      </c>
      <c r="S838" s="279">
        <f t="shared" si="59"/>
        <v>0</v>
      </c>
      <c r="U838" s="385"/>
      <c r="V838" s="385"/>
      <c r="W838" s="385"/>
      <c r="X838" s="385"/>
    </row>
    <row r="839" spans="4:24" s="277" customFormat="1" x14ac:dyDescent="0.3">
      <c r="D839" s="356" t="s">
        <v>881</v>
      </c>
      <c r="E839" s="356"/>
      <c r="F839" s="356"/>
      <c r="G839" s="356"/>
      <c r="I839" s="48">
        <v>0</v>
      </c>
      <c r="K839" s="48">
        <v>0</v>
      </c>
      <c r="M839" s="279">
        <f t="shared" si="56"/>
        <v>0</v>
      </c>
      <c r="O839" s="279">
        <f t="shared" si="57"/>
        <v>0</v>
      </c>
      <c r="Q839" s="279">
        <f t="shared" si="58"/>
        <v>0</v>
      </c>
      <c r="S839" s="279">
        <f t="shared" si="59"/>
        <v>0</v>
      </c>
      <c r="U839" s="385"/>
      <c r="V839" s="385"/>
      <c r="W839" s="385"/>
      <c r="X839" s="385"/>
    </row>
    <row r="840" spans="4:24" s="277" customFormat="1" x14ac:dyDescent="0.3">
      <c r="D840" s="356" t="s">
        <v>882</v>
      </c>
      <c r="E840" s="356"/>
      <c r="F840" s="356"/>
      <c r="G840" s="356"/>
      <c r="I840" s="48">
        <v>0</v>
      </c>
      <c r="K840" s="48">
        <v>0</v>
      </c>
      <c r="M840" s="279">
        <f t="shared" si="56"/>
        <v>0</v>
      </c>
      <c r="O840" s="279">
        <f t="shared" si="57"/>
        <v>0</v>
      </c>
      <c r="Q840" s="279">
        <f t="shared" si="58"/>
        <v>0</v>
      </c>
      <c r="S840" s="279">
        <f t="shared" si="59"/>
        <v>0</v>
      </c>
      <c r="U840" s="385"/>
      <c r="V840" s="385"/>
      <c r="W840" s="385"/>
      <c r="X840" s="385"/>
    </row>
    <row r="841" spans="4:24" s="277" customFormat="1" x14ac:dyDescent="0.3">
      <c r="D841" s="356" t="s">
        <v>883</v>
      </c>
      <c r="E841" s="356"/>
      <c r="F841" s="356"/>
      <c r="G841" s="356"/>
      <c r="I841" s="48">
        <v>0</v>
      </c>
      <c r="K841" s="48">
        <v>0</v>
      </c>
      <c r="M841" s="279">
        <f t="shared" si="56"/>
        <v>0</v>
      </c>
      <c r="O841" s="279">
        <f t="shared" si="57"/>
        <v>0</v>
      </c>
      <c r="Q841" s="279">
        <f t="shared" si="58"/>
        <v>0</v>
      </c>
      <c r="S841" s="279">
        <f t="shared" si="59"/>
        <v>0</v>
      </c>
      <c r="U841" s="385"/>
      <c r="V841" s="385"/>
      <c r="W841" s="385"/>
      <c r="X841" s="385"/>
    </row>
    <row r="842" spans="4:24" s="277" customFormat="1" x14ac:dyDescent="0.3">
      <c r="D842" s="356" t="s">
        <v>884</v>
      </c>
      <c r="E842" s="356"/>
      <c r="F842" s="356"/>
      <c r="G842" s="356"/>
      <c r="I842" s="48">
        <v>0</v>
      </c>
      <c r="K842" s="48">
        <v>0</v>
      </c>
      <c r="M842" s="279">
        <f t="shared" si="56"/>
        <v>0</v>
      </c>
      <c r="O842" s="279">
        <f t="shared" si="57"/>
        <v>0</v>
      </c>
      <c r="Q842" s="279">
        <f t="shared" si="58"/>
        <v>0</v>
      </c>
      <c r="S842" s="279">
        <f t="shared" si="59"/>
        <v>0</v>
      </c>
      <c r="U842" s="385"/>
      <c r="V842" s="385"/>
      <c r="W842" s="385"/>
      <c r="X842" s="385"/>
    </row>
    <row r="843" spans="4:24" s="277" customFormat="1" x14ac:dyDescent="0.3">
      <c r="D843" s="356" t="s">
        <v>885</v>
      </c>
      <c r="E843" s="356"/>
      <c r="F843" s="356"/>
      <c r="G843" s="356"/>
      <c r="I843" s="48">
        <v>0</v>
      </c>
      <c r="K843" s="48">
        <v>0</v>
      </c>
      <c r="M843" s="279">
        <f t="shared" si="56"/>
        <v>0</v>
      </c>
      <c r="O843" s="279">
        <f t="shared" si="57"/>
        <v>0</v>
      </c>
      <c r="Q843" s="279">
        <f t="shared" si="58"/>
        <v>0</v>
      </c>
      <c r="S843" s="279">
        <f t="shared" si="59"/>
        <v>0</v>
      </c>
      <c r="U843" s="385"/>
      <c r="V843" s="385"/>
      <c r="W843" s="385"/>
      <c r="X843" s="385"/>
    </row>
    <row r="844" spans="4:24" s="277" customFormat="1" x14ac:dyDescent="0.3">
      <c r="D844" s="356" t="s">
        <v>886</v>
      </c>
      <c r="E844" s="356"/>
      <c r="F844" s="356"/>
      <c r="G844" s="356"/>
      <c r="I844" s="48">
        <v>0</v>
      </c>
      <c r="K844" s="48">
        <v>0</v>
      </c>
      <c r="M844" s="279">
        <f t="shared" si="56"/>
        <v>0</v>
      </c>
      <c r="O844" s="279">
        <f t="shared" si="57"/>
        <v>0</v>
      </c>
      <c r="Q844" s="279">
        <f t="shared" si="58"/>
        <v>0</v>
      </c>
      <c r="S844" s="279">
        <f t="shared" si="59"/>
        <v>0</v>
      </c>
      <c r="U844" s="385"/>
      <c r="V844" s="385"/>
      <c r="W844" s="385"/>
      <c r="X844" s="385"/>
    </row>
    <row r="845" spans="4:24" s="277" customFormat="1" x14ac:dyDescent="0.3">
      <c r="D845" s="356" t="s">
        <v>887</v>
      </c>
      <c r="E845" s="356"/>
      <c r="F845" s="356"/>
      <c r="G845" s="356"/>
      <c r="I845" s="48">
        <v>0</v>
      </c>
      <c r="K845" s="48">
        <v>0</v>
      </c>
      <c r="M845" s="279">
        <f t="shared" si="56"/>
        <v>0</v>
      </c>
      <c r="O845" s="279">
        <f t="shared" si="57"/>
        <v>0</v>
      </c>
      <c r="Q845" s="279">
        <f t="shared" si="58"/>
        <v>0</v>
      </c>
      <c r="S845" s="279">
        <f t="shared" si="59"/>
        <v>0</v>
      </c>
      <c r="U845" s="385"/>
      <c r="V845" s="385"/>
      <c r="W845" s="385"/>
      <c r="X845" s="385"/>
    </row>
    <row r="846" spans="4:24" s="277" customFormat="1" x14ac:dyDescent="0.3">
      <c r="D846" s="356" t="s">
        <v>888</v>
      </c>
      <c r="E846" s="356"/>
      <c r="F846" s="356"/>
      <c r="G846" s="356"/>
      <c r="I846" s="48">
        <v>0</v>
      </c>
      <c r="K846" s="48">
        <v>0</v>
      </c>
      <c r="M846" s="279">
        <f t="shared" si="56"/>
        <v>0</v>
      </c>
      <c r="O846" s="279">
        <f t="shared" si="57"/>
        <v>0</v>
      </c>
      <c r="Q846" s="279">
        <f t="shared" si="58"/>
        <v>0</v>
      </c>
      <c r="S846" s="279">
        <f t="shared" si="59"/>
        <v>0</v>
      </c>
      <c r="U846" s="385"/>
      <c r="V846" s="385"/>
      <c r="W846" s="385"/>
      <c r="X846" s="385"/>
    </row>
    <row r="847" spans="4:24" s="277" customFormat="1" x14ac:dyDescent="0.3">
      <c r="D847" s="356" t="s">
        <v>889</v>
      </c>
      <c r="E847" s="356"/>
      <c r="F847" s="356"/>
      <c r="G847" s="356"/>
      <c r="I847" s="48">
        <v>0</v>
      </c>
      <c r="K847" s="48">
        <v>0</v>
      </c>
      <c r="M847" s="279">
        <f t="shared" si="56"/>
        <v>0</v>
      </c>
      <c r="O847" s="279">
        <f t="shared" si="57"/>
        <v>0</v>
      </c>
      <c r="Q847" s="279">
        <f t="shared" si="58"/>
        <v>0</v>
      </c>
      <c r="S847" s="279">
        <f t="shared" si="59"/>
        <v>0</v>
      </c>
      <c r="U847" s="385"/>
      <c r="V847" s="385"/>
      <c r="W847" s="385"/>
      <c r="X847" s="385"/>
    </row>
    <row r="848" spans="4:24" s="277" customFormat="1" x14ac:dyDescent="0.3">
      <c r="D848" s="356" t="s">
        <v>890</v>
      </c>
      <c r="E848" s="356"/>
      <c r="F848" s="356"/>
      <c r="G848" s="356"/>
      <c r="I848" s="48">
        <v>0</v>
      </c>
      <c r="K848" s="48">
        <v>0</v>
      </c>
      <c r="M848" s="279">
        <f t="shared" si="56"/>
        <v>0</v>
      </c>
      <c r="O848" s="279">
        <f t="shared" si="57"/>
        <v>0</v>
      </c>
      <c r="Q848" s="279">
        <f t="shared" si="58"/>
        <v>0</v>
      </c>
      <c r="S848" s="279">
        <f t="shared" si="59"/>
        <v>0</v>
      </c>
      <c r="U848" s="385"/>
      <c r="V848" s="385"/>
      <c r="W848" s="385"/>
      <c r="X848" s="385"/>
    </row>
    <row r="849" spans="2:24" s="277" customFormat="1" x14ac:dyDescent="0.3">
      <c r="D849" s="356" t="s">
        <v>986</v>
      </c>
      <c r="E849" s="356"/>
      <c r="F849" s="356"/>
      <c r="G849" s="356"/>
      <c r="I849" s="48">
        <v>0</v>
      </c>
      <c r="K849" s="48">
        <v>0</v>
      </c>
      <c r="M849" s="279">
        <f t="shared" si="56"/>
        <v>0</v>
      </c>
      <c r="O849" s="279">
        <f t="shared" si="57"/>
        <v>0</v>
      </c>
      <c r="Q849" s="279">
        <f t="shared" si="58"/>
        <v>0</v>
      </c>
      <c r="S849" s="279">
        <f t="shared" si="59"/>
        <v>0</v>
      </c>
      <c r="U849" s="385"/>
      <c r="V849" s="385"/>
      <c r="W849" s="385"/>
      <c r="X849" s="385"/>
    </row>
    <row r="850" spans="2:24" s="277" customFormat="1" x14ac:dyDescent="0.3">
      <c r="D850" s="356" t="s">
        <v>987</v>
      </c>
      <c r="E850" s="356"/>
      <c r="F850" s="356"/>
      <c r="G850" s="356"/>
      <c r="I850" s="48">
        <v>0</v>
      </c>
      <c r="K850" s="48">
        <v>0</v>
      </c>
      <c r="M850" s="279">
        <f t="shared" si="56"/>
        <v>0</v>
      </c>
      <c r="O850" s="279">
        <f t="shared" si="57"/>
        <v>0</v>
      </c>
      <c r="Q850" s="279">
        <f t="shared" si="58"/>
        <v>0</v>
      </c>
      <c r="S850" s="279">
        <f t="shared" si="59"/>
        <v>0</v>
      </c>
      <c r="U850" s="385"/>
      <c r="V850" s="385"/>
      <c r="W850" s="385"/>
      <c r="X850" s="385"/>
    </row>
    <row r="851" spans="2:24" s="277" customFormat="1" x14ac:dyDescent="0.3">
      <c r="D851" s="356" t="s">
        <v>988</v>
      </c>
      <c r="E851" s="356"/>
      <c r="F851" s="356"/>
      <c r="G851" s="356"/>
      <c r="I851" s="48">
        <v>0</v>
      </c>
      <c r="K851" s="48">
        <v>0</v>
      </c>
      <c r="M851" s="279">
        <f t="shared" si="56"/>
        <v>0</v>
      </c>
      <c r="O851" s="279">
        <f t="shared" si="57"/>
        <v>0</v>
      </c>
      <c r="Q851" s="279">
        <f t="shared" si="58"/>
        <v>0</v>
      </c>
      <c r="S851" s="279">
        <f t="shared" si="59"/>
        <v>0</v>
      </c>
      <c r="U851" s="385"/>
      <c r="V851" s="385"/>
      <c r="W851" s="385"/>
      <c r="X851" s="385"/>
    </row>
    <row r="852" spans="2:24" s="277" customFormat="1" x14ac:dyDescent="0.3">
      <c r="D852" s="356" t="s">
        <v>989</v>
      </c>
      <c r="E852" s="356"/>
      <c r="F852" s="356"/>
      <c r="G852" s="356"/>
      <c r="I852" s="48">
        <v>0</v>
      </c>
      <c r="K852" s="48">
        <v>0</v>
      </c>
      <c r="M852" s="279">
        <f t="shared" si="56"/>
        <v>0</v>
      </c>
      <c r="O852" s="279">
        <f t="shared" si="57"/>
        <v>0</v>
      </c>
      <c r="Q852" s="279">
        <f t="shared" si="58"/>
        <v>0</v>
      </c>
      <c r="S852" s="279">
        <f t="shared" si="59"/>
        <v>0</v>
      </c>
      <c r="U852" s="385"/>
      <c r="V852" s="385"/>
      <c r="W852" s="385"/>
      <c r="X852" s="385"/>
    </row>
    <row r="853" spans="2:24" s="277" customFormat="1" x14ac:dyDescent="0.3">
      <c r="D853" s="356" t="s">
        <v>990</v>
      </c>
      <c r="E853" s="356"/>
      <c r="F853" s="356"/>
      <c r="G853" s="356"/>
      <c r="I853" s="48">
        <v>0</v>
      </c>
      <c r="K853" s="48">
        <v>0</v>
      </c>
      <c r="M853" s="279">
        <f t="shared" si="56"/>
        <v>0</v>
      </c>
      <c r="O853" s="279">
        <f t="shared" si="57"/>
        <v>0</v>
      </c>
      <c r="Q853" s="279">
        <f t="shared" si="58"/>
        <v>0</v>
      </c>
      <c r="S853" s="279">
        <f t="shared" si="59"/>
        <v>0</v>
      </c>
      <c r="U853" s="385"/>
      <c r="V853" s="385"/>
      <c r="W853" s="385"/>
      <c r="X853" s="385"/>
    </row>
    <row r="854" spans="2:24" ht="14.4" x14ac:dyDescent="0.3">
      <c r="D854" s="420" t="s">
        <v>90</v>
      </c>
      <c r="E854" s="421"/>
      <c r="F854" s="421"/>
      <c r="G854" s="421"/>
      <c r="I854" s="40"/>
      <c r="K854" s="40">
        <f>SUM(K829:K853)</f>
        <v>0</v>
      </c>
      <c r="M854" s="40"/>
      <c r="O854" s="40"/>
      <c r="Q854" s="294">
        <f>SUM(Q829:Q853)</f>
        <v>0</v>
      </c>
      <c r="S854" s="294">
        <f>SUM(S829:S853)</f>
        <v>0</v>
      </c>
    </row>
    <row r="856" spans="2:24" ht="27.6" x14ac:dyDescent="0.3">
      <c r="Q856" s="44" t="str">
        <f>"FINANCIAL COST ("&amp;INDEX(LU_ACT_5_Meet_Curr,DD_ACT_5_Meet1_Curr)&amp;")"</f>
        <v>FINANCIAL COST (GOZ)</v>
      </c>
      <c r="S856" s="44" t="str">
        <f>"ECONOMIC COST ("&amp;INDEX(LU_ACT_5_Meet_Curr,DD_ACT_5_Meet1_Curr)&amp;")"</f>
        <v>ECONOMIC COST (GOZ)</v>
      </c>
      <c r="U856" s="44" t="str">
        <f>"FINANCIAL COST ("&amp;IF(DD_ACT_5_Meet1_Curr=2,$D$861,$D$862)&amp;")"</f>
        <v>FINANCIAL COST (USD)</v>
      </c>
      <c r="W856" s="44" t="str">
        <f>"ECONOMIC COST ("&amp;IF(DD_ACT_5_Meet1_Curr=2,$D$861,$D$862)&amp;")"</f>
        <v>ECONOMIC COST (USD)</v>
      </c>
    </row>
    <row r="857" spans="2:24" ht="15" thickBot="1" x14ac:dyDescent="0.35">
      <c r="B857" s="228" t="str">
        <f>"Total Estimated Costs - "&amp;B705</f>
        <v>Total Estimated Costs - Sensitisation Activity #3 [not in use]</v>
      </c>
      <c r="Q857" s="46">
        <f>SUM(Q735,Q764,Q795,Q824,Q854)</f>
        <v>0</v>
      </c>
      <c r="S857" s="46">
        <f>SUM(S735,S764,S795,S824,S854)</f>
        <v>0</v>
      </c>
      <c r="U857" s="47">
        <f>IFERROR(IF(DD_ACT_5_Meet1_Curr=2,$Q857/$I$862,$Q857*$I$862), 0)</f>
        <v>0</v>
      </c>
      <c r="W857" s="47">
        <f>IFERROR(IF(DD_ACT_5_Meet1_Curr=2,$S857/$I$862,$S857*$I$862), 0)</f>
        <v>0</v>
      </c>
    </row>
    <row r="858" spans="2:24" ht="14.4" thickTop="1" x14ac:dyDescent="0.3"/>
    <row r="859" spans="2:24" x14ac:dyDescent="0.3">
      <c r="C859" s="91" t="s">
        <v>589</v>
      </c>
    </row>
    <row r="860" spans="2:24" hidden="1" outlineLevel="1" x14ac:dyDescent="0.3"/>
    <row r="861" spans="2:24" ht="12.9" hidden="1" customHeight="1" outlineLevel="1" x14ac:dyDescent="0.3">
      <c r="D861" s="422" t="str">
        <f>CURR_TA!D13</f>
        <v>USD</v>
      </c>
      <c r="E861" s="423"/>
      <c r="F861" s="423"/>
      <c r="G861" s="423"/>
      <c r="I861" s="279">
        <f>CURR_TA!J13</f>
        <v>1</v>
      </c>
      <c r="J861" s="279">
        <f>CURR_TA!K13</f>
        <v>0</v>
      </c>
      <c r="K861" s="279">
        <f>CURR_TA!L13</f>
        <v>0</v>
      </c>
      <c r="L861" s="279">
        <f>CURR_TA!M13</f>
        <v>0</v>
      </c>
    </row>
    <row r="862" spans="2:24" ht="12.9" hidden="1" customHeight="1" outlineLevel="1" x14ac:dyDescent="0.3">
      <c r="D862" s="422" t="str">
        <f>CURR_TA!D14</f>
        <v>GOZ</v>
      </c>
      <c r="E862" s="423"/>
      <c r="F862" s="423"/>
      <c r="G862" s="423"/>
      <c r="I862" s="279">
        <f>CURR_TA!J14</f>
        <v>0</v>
      </c>
      <c r="J862" s="279">
        <f>CURR_TA!K14</f>
        <v>0</v>
      </c>
      <c r="K862" s="279">
        <f>CURR_TA!L14</f>
        <v>0</v>
      </c>
      <c r="L862" s="279">
        <f>CURR_TA!M14</f>
        <v>0</v>
      </c>
    </row>
    <row r="863" spans="2:24" collapsed="1" x14ac:dyDescent="0.3"/>
    <row r="865" spans="3:19" x14ac:dyDescent="0.3">
      <c r="C865" s="91" t="s">
        <v>590</v>
      </c>
    </row>
    <row r="866" spans="3:19" hidden="1" outlineLevel="1" x14ac:dyDescent="0.3">
      <c r="M866" s="40" t="str">
        <f>$D$861</f>
        <v>USD</v>
      </c>
      <c r="O866" s="40" t="str">
        <f>$D$861</f>
        <v>USD</v>
      </c>
      <c r="Q866" s="40" t="str">
        <f>$D$862</f>
        <v>GOZ</v>
      </c>
      <c r="S866" s="40" t="str">
        <f>$D$862</f>
        <v>GOZ</v>
      </c>
    </row>
    <row r="867" spans="3:19" hidden="1" outlineLevel="1" x14ac:dyDescent="0.3">
      <c r="C867" s="89" t="str">
        <f>RES_BA!D14</f>
        <v>Personnel Cadre - Other 1</v>
      </c>
      <c r="M867" s="40">
        <f>RES_BA!R14</f>
        <v>0</v>
      </c>
      <c r="O867" s="40">
        <f>RES_BA!S14</f>
        <v>0</v>
      </c>
      <c r="Q867" s="40">
        <f>RES_BA!T14</f>
        <v>0</v>
      </c>
      <c r="S867" s="40">
        <f>RES_BA!U14</f>
        <v>0</v>
      </c>
    </row>
    <row r="868" spans="3:19" hidden="1" outlineLevel="1" x14ac:dyDescent="0.3">
      <c r="C868" s="89" t="str">
        <f>RES_BA!D15</f>
        <v>Personnel Cadre - Other 2</v>
      </c>
      <c r="M868" s="40">
        <f>RES_BA!R15</f>
        <v>0</v>
      </c>
      <c r="O868" s="40">
        <f>RES_BA!S15</f>
        <v>0</v>
      </c>
      <c r="Q868" s="40">
        <f>RES_BA!T15</f>
        <v>0</v>
      </c>
      <c r="S868" s="40">
        <f>RES_BA!U15</f>
        <v>0</v>
      </c>
    </row>
    <row r="869" spans="3:19" hidden="1" outlineLevel="1" x14ac:dyDescent="0.3">
      <c r="C869" s="89" t="str">
        <f>RES_BA!D16</f>
        <v>Personnel Cadre - Other 3</v>
      </c>
      <c r="M869" s="40">
        <f>RES_BA!R16</f>
        <v>0</v>
      </c>
      <c r="O869" s="40">
        <f>RES_BA!S16</f>
        <v>0</v>
      </c>
      <c r="Q869" s="40">
        <f>RES_BA!T16</f>
        <v>0</v>
      </c>
      <c r="S869" s="40">
        <f>RES_BA!U16</f>
        <v>0</v>
      </c>
    </row>
    <row r="870" spans="3:19" hidden="1" outlineLevel="1" x14ac:dyDescent="0.3">
      <c r="C870" s="89" t="str">
        <f>RES_BA!D17</f>
        <v>Personnel Cadre - Other 4</v>
      </c>
      <c r="M870" s="40">
        <f>RES_BA!R17</f>
        <v>0</v>
      </c>
      <c r="O870" s="40">
        <f>RES_BA!S17</f>
        <v>0</v>
      </c>
      <c r="Q870" s="40">
        <f>RES_BA!T17</f>
        <v>0</v>
      </c>
      <c r="S870" s="40">
        <f>RES_BA!U17</f>
        <v>0</v>
      </c>
    </row>
    <row r="871" spans="3:19" hidden="1" outlineLevel="1" x14ac:dyDescent="0.3">
      <c r="C871" s="89" t="str">
        <f>RES_BA!D18</f>
        <v>Personnel Cadre - Other 5</v>
      </c>
      <c r="M871" s="40">
        <f>RES_BA!R18</f>
        <v>0</v>
      </c>
      <c r="O871" s="40">
        <f>RES_BA!S18</f>
        <v>0</v>
      </c>
      <c r="Q871" s="40">
        <f>RES_BA!T18</f>
        <v>0</v>
      </c>
      <c r="S871" s="40">
        <f>RES_BA!U18</f>
        <v>0</v>
      </c>
    </row>
    <row r="872" spans="3:19" hidden="1" outlineLevel="1" x14ac:dyDescent="0.3">
      <c r="C872" s="89" t="str">
        <f>RES_BA!D19</f>
        <v>Personnel Cadre - Other 6</v>
      </c>
      <c r="M872" s="40">
        <f>RES_BA!R19</f>
        <v>0</v>
      </c>
      <c r="O872" s="40">
        <f>RES_BA!S19</f>
        <v>0</v>
      </c>
      <c r="Q872" s="40">
        <f>RES_BA!T19</f>
        <v>0</v>
      </c>
      <c r="S872" s="40">
        <f>RES_BA!U19</f>
        <v>0</v>
      </c>
    </row>
    <row r="873" spans="3:19" hidden="1" outlineLevel="1" x14ac:dyDescent="0.3">
      <c r="C873" s="89" t="str">
        <f>RES_BA!D20</f>
        <v>Personnel Cadre - Other 7</v>
      </c>
      <c r="M873" s="40">
        <f>RES_BA!R20</f>
        <v>0</v>
      </c>
      <c r="O873" s="40">
        <f>RES_BA!S20</f>
        <v>0</v>
      </c>
      <c r="Q873" s="40">
        <f>RES_BA!T20</f>
        <v>0</v>
      </c>
      <c r="S873" s="40">
        <f>RES_BA!U20</f>
        <v>0</v>
      </c>
    </row>
    <row r="874" spans="3:19" hidden="1" outlineLevel="1" x14ac:dyDescent="0.3">
      <c r="C874" s="89" t="str">
        <f>RES_BA!D21</f>
        <v>Personnel Cadre - Other 8</v>
      </c>
      <c r="M874" s="40">
        <f>RES_BA!R21</f>
        <v>0</v>
      </c>
      <c r="O874" s="40">
        <f>RES_BA!S21</f>
        <v>0</v>
      </c>
      <c r="Q874" s="40">
        <f>RES_BA!T21</f>
        <v>0</v>
      </c>
      <c r="S874" s="40">
        <f>RES_BA!U21</f>
        <v>0</v>
      </c>
    </row>
    <row r="875" spans="3:19" hidden="1" outlineLevel="1" x14ac:dyDescent="0.3">
      <c r="C875" s="89" t="str">
        <f>RES_BA!D22</f>
        <v>Personnel Cadre - Other 9</v>
      </c>
      <c r="M875" s="40">
        <f>RES_BA!R22</f>
        <v>0</v>
      </c>
      <c r="O875" s="40">
        <f>RES_BA!S22</f>
        <v>0</v>
      </c>
      <c r="Q875" s="40">
        <f>RES_BA!T22</f>
        <v>0</v>
      </c>
      <c r="S875" s="40">
        <f>RES_BA!U22</f>
        <v>0</v>
      </c>
    </row>
    <row r="876" spans="3:19" hidden="1" outlineLevel="1" x14ac:dyDescent="0.3">
      <c r="C876" s="89" t="str">
        <f>RES_BA!D23</f>
        <v>Personnel Cadre - Other 10</v>
      </c>
      <c r="M876" s="40">
        <f>RES_BA!R23</f>
        <v>0</v>
      </c>
      <c r="O876" s="40">
        <f>RES_BA!S23</f>
        <v>0</v>
      </c>
      <c r="Q876" s="40">
        <f>RES_BA!T23</f>
        <v>0</v>
      </c>
      <c r="S876" s="40">
        <f>RES_BA!U23</f>
        <v>0</v>
      </c>
    </row>
    <row r="877" spans="3:19" hidden="1" outlineLevel="1" x14ac:dyDescent="0.3">
      <c r="C877" s="89" t="str">
        <f>RES_BA!D24</f>
        <v>Personnel Cadre - Other 11</v>
      </c>
      <c r="M877" s="40">
        <f>RES_BA!R24</f>
        <v>0</v>
      </c>
      <c r="O877" s="40">
        <f>RES_BA!S24</f>
        <v>0</v>
      </c>
      <c r="Q877" s="40">
        <f>RES_BA!T24</f>
        <v>0</v>
      </c>
      <c r="S877" s="40">
        <f>RES_BA!U24</f>
        <v>0</v>
      </c>
    </row>
    <row r="878" spans="3:19" hidden="1" outlineLevel="1" x14ac:dyDescent="0.3">
      <c r="C878" s="89" t="str">
        <f>RES_BA!D25</f>
        <v>Personnel Cadre - Other 12</v>
      </c>
      <c r="M878" s="40">
        <f>RES_BA!R25</f>
        <v>0</v>
      </c>
      <c r="O878" s="40">
        <f>RES_BA!S25</f>
        <v>0</v>
      </c>
      <c r="Q878" s="40">
        <f>RES_BA!T25</f>
        <v>0</v>
      </c>
      <c r="S878" s="40">
        <f>RES_BA!U25</f>
        <v>0</v>
      </c>
    </row>
    <row r="879" spans="3:19" hidden="1" outlineLevel="1" x14ac:dyDescent="0.3">
      <c r="C879" s="89" t="str">
        <f>RES_BA!D26</f>
        <v>Personnel Cadre - Other 13</v>
      </c>
      <c r="M879" s="40">
        <f>RES_BA!R26</f>
        <v>0</v>
      </c>
      <c r="O879" s="40">
        <f>RES_BA!S26</f>
        <v>0</v>
      </c>
      <c r="Q879" s="40">
        <f>RES_BA!T26</f>
        <v>0</v>
      </c>
      <c r="S879" s="40">
        <f>RES_BA!U26</f>
        <v>0</v>
      </c>
    </row>
    <row r="880" spans="3:19" hidden="1" outlineLevel="1" x14ac:dyDescent="0.3">
      <c r="C880" s="89" t="str">
        <f>RES_BA!D27</f>
        <v>Personnel Cadre - Other 14</v>
      </c>
      <c r="M880" s="40">
        <f>RES_BA!R27</f>
        <v>0</v>
      </c>
      <c r="O880" s="40">
        <f>RES_BA!S27</f>
        <v>0</v>
      </c>
      <c r="Q880" s="40">
        <f>RES_BA!T27</f>
        <v>0</v>
      </c>
      <c r="S880" s="40">
        <f>RES_BA!U27</f>
        <v>0</v>
      </c>
    </row>
    <row r="881" spans="3:19" hidden="1" outlineLevel="1" x14ac:dyDescent="0.3">
      <c r="C881" s="89" t="str">
        <f>RES_BA!D28</f>
        <v>Personnel Cadre - Other 15</v>
      </c>
      <c r="M881" s="40">
        <f>RES_BA!R28</f>
        <v>0</v>
      </c>
      <c r="O881" s="40">
        <f>RES_BA!S28</f>
        <v>0</v>
      </c>
      <c r="Q881" s="40">
        <f>RES_BA!T28</f>
        <v>0</v>
      </c>
      <c r="S881" s="40">
        <f>RES_BA!U28</f>
        <v>0</v>
      </c>
    </row>
    <row r="882" spans="3:19" s="277" customFormat="1" hidden="1" outlineLevel="1" collapsed="1" x14ac:dyDescent="0.3">
      <c r="C882" s="283" t="str">
        <f>RES_BA!D29</f>
        <v>Personnel Cadre - Other 16</v>
      </c>
      <c r="M882" s="279">
        <f>RES_BA!R29</f>
        <v>0</v>
      </c>
      <c r="O882" s="279">
        <f>RES_BA!S29</f>
        <v>0</v>
      </c>
      <c r="Q882" s="279">
        <f>RES_BA!T29</f>
        <v>0</v>
      </c>
      <c r="S882" s="279">
        <f>RES_BA!U29</f>
        <v>0</v>
      </c>
    </row>
    <row r="883" spans="3:19" s="277" customFormat="1" hidden="1" outlineLevel="1" collapsed="1" x14ac:dyDescent="0.3">
      <c r="C883" s="283" t="str">
        <f>RES_BA!D30</f>
        <v>Personnel Cadre - Other 17</v>
      </c>
      <c r="M883" s="279">
        <f>RES_BA!R30</f>
        <v>0</v>
      </c>
      <c r="O883" s="279">
        <f>RES_BA!S30</f>
        <v>0</v>
      </c>
      <c r="Q883" s="279">
        <f>RES_BA!T30</f>
        <v>0</v>
      </c>
      <c r="S883" s="279">
        <f>RES_BA!U30</f>
        <v>0</v>
      </c>
    </row>
    <row r="884" spans="3:19" s="277" customFormat="1" hidden="1" outlineLevel="1" collapsed="1" x14ac:dyDescent="0.3">
      <c r="C884" s="283" t="str">
        <f>RES_BA!D31</f>
        <v>Personnel Cadre - Other 18</v>
      </c>
      <c r="M884" s="279">
        <f>RES_BA!R31</f>
        <v>0</v>
      </c>
      <c r="O884" s="279">
        <f>RES_BA!S31</f>
        <v>0</v>
      </c>
      <c r="Q884" s="279">
        <f>RES_BA!T31</f>
        <v>0</v>
      </c>
      <c r="S884" s="279">
        <f>RES_BA!U31</f>
        <v>0</v>
      </c>
    </row>
    <row r="885" spans="3:19" s="277" customFormat="1" hidden="1" outlineLevel="1" x14ac:dyDescent="0.3">
      <c r="C885" s="283" t="str">
        <f>RES_BA!D32</f>
        <v>Personnel Cadre - Other 19</v>
      </c>
      <c r="M885" s="279">
        <f>RES_BA!R32</f>
        <v>0</v>
      </c>
      <c r="O885" s="279">
        <f>RES_BA!S32</f>
        <v>0</v>
      </c>
      <c r="Q885" s="279">
        <f>RES_BA!T32</f>
        <v>0</v>
      </c>
      <c r="S885" s="279">
        <f>RES_BA!U32</f>
        <v>0</v>
      </c>
    </row>
    <row r="886" spans="3:19" s="277" customFormat="1" hidden="1" outlineLevel="1" x14ac:dyDescent="0.3">
      <c r="C886" s="283" t="str">
        <f>RES_BA!D33</f>
        <v>Personnel Cadre - Other 20</v>
      </c>
      <c r="M886" s="279">
        <f>RES_BA!R33</f>
        <v>0</v>
      </c>
      <c r="O886" s="279">
        <f>RES_BA!S33</f>
        <v>0</v>
      </c>
      <c r="Q886" s="279">
        <f>RES_BA!T33</f>
        <v>0</v>
      </c>
      <c r="S886" s="279">
        <f>RES_BA!U33</f>
        <v>0</v>
      </c>
    </row>
    <row r="887" spans="3:19" s="277" customFormat="1" hidden="1" outlineLevel="1" collapsed="1" x14ac:dyDescent="0.3">
      <c r="C887" s="283" t="str">
        <f>RES_BA!D34</f>
        <v>Personnel Cadre - Other 21</v>
      </c>
      <c r="M887" s="279">
        <f>RES_BA!R34</f>
        <v>0</v>
      </c>
      <c r="O887" s="279">
        <f>RES_BA!S34</f>
        <v>0</v>
      </c>
      <c r="Q887" s="279">
        <f>RES_BA!T34</f>
        <v>0</v>
      </c>
      <c r="S887" s="279">
        <f>RES_BA!U34</f>
        <v>0</v>
      </c>
    </row>
    <row r="888" spans="3:19" s="277" customFormat="1" hidden="1" outlineLevel="1" x14ac:dyDescent="0.3">
      <c r="C888" s="283" t="str">
        <f>RES_BA!D35</f>
        <v>Personnel Cadre - Other 22</v>
      </c>
      <c r="M888" s="279">
        <f>RES_BA!R35</f>
        <v>0</v>
      </c>
      <c r="O888" s="279">
        <f>RES_BA!S35</f>
        <v>0</v>
      </c>
      <c r="Q888" s="279">
        <f>RES_BA!T35</f>
        <v>0</v>
      </c>
      <c r="S888" s="279">
        <f>RES_BA!U35</f>
        <v>0</v>
      </c>
    </row>
    <row r="889" spans="3:19" s="277" customFormat="1" hidden="1" outlineLevel="1" x14ac:dyDescent="0.3">
      <c r="C889" s="283" t="str">
        <f>RES_BA!D36</f>
        <v>Personnel Cadre - Other 23</v>
      </c>
      <c r="M889" s="279">
        <f>RES_BA!R36</f>
        <v>0</v>
      </c>
      <c r="O889" s="279">
        <f>RES_BA!S36</f>
        <v>0</v>
      </c>
      <c r="Q889" s="279">
        <f>RES_BA!T36</f>
        <v>0</v>
      </c>
      <c r="S889" s="279">
        <f>RES_BA!U36</f>
        <v>0</v>
      </c>
    </row>
    <row r="890" spans="3:19" s="277" customFormat="1" hidden="1" outlineLevel="1" x14ac:dyDescent="0.3">
      <c r="C890" s="283" t="str">
        <f>RES_BA!D37</f>
        <v>Personnel Cadre - Other 24</v>
      </c>
      <c r="M890" s="279">
        <f>RES_BA!R37</f>
        <v>0</v>
      </c>
      <c r="O890" s="279">
        <f>RES_BA!S37</f>
        <v>0</v>
      </c>
      <c r="Q890" s="279">
        <f>RES_BA!T37</f>
        <v>0</v>
      </c>
      <c r="S890" s="279">
        <f>RES_BA!U37</f>
        <v>0</v>
      </c>
    </row>
    <row r="891" spans="3:19" s="277" customFormat="1" hidden="1" outlineLevel="1" x14ac:dyDescent="0.3">
      <c r="C891" s="283" t="str">
        <f>RES_BA!D38</f>
        <v>Personnel Cadre - Other 25</v>
      </c>
      <c r="M891" s="279">
        <f>RES_BA!R38</f>
        <v>0</v>
      </c>
      <c r="O891" s="279">
        <f>RES_BA!S38</f>
        <v>0</v>
      </c>
      <c r="Q891" s="279">
        <f>RES_BA!T38</f>
        <v>0</v>
      </c>
      <c r="S891" s="279">
        <f>RES_BA!U38</f>
        <v>0</v>
      </c>
    </row>
    <row r="892" spans="3:19" s="277" customFormat="1" hidden="1" outlineLevel="1" x14ac:dyDescent="0.3">
      <c r="C892" s="283" t="str">
        <f>RES_BA!D39</f>
        <v>Personnel Cadre - Other 26</v>
      </c>
      <c r="M892" s="279">
        <f>RES_BA!R39</f>
        <v>0</v>
      </c>
      <c r="O892" s="279">
        <f>RES_BA!S39</f>
        <v>0</v>
      </c>
      <c r="Q892" s="279">
        <f>RES_BA!T39</f>
        <v>0</v>
      </c>
      <c r="S892" s="279">
        <f>RES_BA!U39</f>
        <v>0</v>
      </c>
    </row>
    <row r="893" spans="3:19" s="277" customFormat="1" hidden="1" outlineLevel="1" x14ac:dyDescent="0.3">
      <c r="C893" s="283" t="str">
        <f>RES_BA!D40</f>
        <v>Personnel Cadre - Other 27</v>
      </c>
      <c r="M893" s="279">
        <f>RES_BA!R40</f>
        <v>0</v>
      </c>
      <c r="O893" s="279">
        <f>RES_BA!S40</f>
        <v>0</v>
      </c>
      <c r="Q893" s="279">
        <f>RES_BA!T40</f>
        <v>0</v>
      </c>
      <c r="S893" s="279">
        <f>RES_BA!U40</f>
        <v>0</v>
      </c>
    </row>
    <row r="894" spans="3:19" s="277" customFormat="1" hidden="1" outlineLevel="1" x14ac:dyDescent="0.3">
      <c r="C894" s="283" t="str">
        <f>RES_BA!D41</f>
        <v>Personnel Cadre - Other 28</v>
      </c>
      <c r="M894" s="279">
        <f>RES_BA!R41</f>
        <v>0</v>
      </c>
      <c r="O894" s="279">
        <f>RES_BA!S41</f>
        <v>0</v>
      </c>
      <c r="Q894" s="279">
        <f>RES_BA!T41</f>
        <v>0</v>
      </c>
      <c r="S894" s="279">
        <f>RES_BA!U41</f>
        <v>0</v>
      </c>
    </row>
    <row r="895" spans="3:19" s="277" customFormat="1" hidden="1" outlineLevel="1" x14ac:dyDescent="0.3">
      <c r="C895" s="283" t="str">
        <f>RES_BA!D42</f>
        <v>Personnel Cadre - Other 29</v>
      </c>
      <c r="M895" s="279">
        <f>RES_BA!R42</f>
        <v>0</v>
      </c>
      <c r="O895" s="279">
        <f>RES_BA!S42</f>
        <v>0</v>
      </c>
      <c r="Q895" s="279">
        <f>RES_BA!T42</f>
        <v>0</v>
      </c>
      <c r="S895" s="279">
        <f>RES_BA!U42</f>
        <v>0</v>
      </c>
    </row>
    <row r="896" spans="3:19" s="277" customFormat="1" hidden="1" outlineLevel="1" x14ac:dyDescent="0.3">
      <c r="C896" s="283" t="str">
        <f>RES_BA!D43</f>
        <v>Personnel Cadre - Other 30</v>
      </c>
      <c r="M896" s="279">
        <f>RES_BA!R43</f>
        <v>0</v>
      </c>
      <c r="O896" s="279">
        <f>RES_BA!S43</f>
        <v>0</v>
      </c>
      <c r="Q896" s="279">
        <f>RES_BA!T43</f>
        <v>0</v>
      </c>
      <c r="S896" s="279">
        <f>RES_BA!U43</f>
        <v>0</v>
      </c>
    </row>
    <row r="897" spans="3:19" s="277" customFormat="1" hidden="1" outlineLevel="1" x14ac:dyDescent="0.3">
      <c r="C897" s="283" t="str">
        <f>RES_BA!D44</f>
        <v>Personnel Cadre - Other 31</v>
      </c>
      <c r="M897" s="279">
        <f>RES_BA!R44</f>
        <v>0</v>
      </c>
      <c r="O897" s="279">
        <f>RES_BA!S44</f>
        <v>0</v>
      </c>
      <c r="Q897" s="279">
        <f>RES_BA!T44</f>
        <v>0</v>
      </c>
      <c r="S897" s="279">
        <f>RES_BA!U44</f>
        <v>0</v>
      </c>
    </row>
    <row r="898" spans="3:19" s="277" customFormat="1" hidden="1" outlineLevel="1" x14ac:dyDescent="0.3">
      <c r="C898" s="283" t="str">
        <f>RES_BA!D45</f>
        <v>Personnel Cadre - Other 32</v>
      </c>
      <c r="M898" s="279">
        <f>RES_BA!R45</f>
        <v>0</v>
      </c>
      <c r="O898" s="279">
        <f>RES_BA!S45</f>
        <v>0</v>
      </c>
      <c r="Q898" s="279">
        <f>RES_BA!T45</f>
        <v>0</v>
      </c>
      <c r="S898" s="279">
        <f>RES_BA!U45</f>
        <v>0</v>
      </c>
    </row>
    <row r="899" spans="3:19" s="277" customFormat="1" hidden="1" outlineLevel="1" x14ac:dyDescent="0.3">
      <c r="C899" s="283" t="str">
        <f>RES_BA!D46</f>
        <v>Personnel Cadre - Other 33</v>
      </c>
      <c r="M899" s="279">
        <f>RES_BA!R46</f>
        <v>0</v>
      </c>
      <c r="O899" s="279">
        <f>RES_BA!S46</f>
        <v>0</v>
      </c>
      <c r="Q899" s="279">
        <f>RES_BA!T46</f>
        <v>0</v>
      </c>
      <c r="S899" s="279">
        <f>RES_BA!U46</f>
        <v>0</v>
      </c>
    </row>
    <row r="900" spans="3:19" s="277" customFormat="1" hidden="1" outlineLevel="1" x14ac:dyDescent="0.3">
      <c r="C900" s="283" t="str">
        <f>RES_BA!D47</f>
        <v>Personnel Cadre - Other 34</v>
      </c>
      <c r="M900" s="279">
        <f>RES_BA!R47</f>
        <v>0</v>
      </c>
      <c r="O900" s="279">
        <f>RES_BA!S47</f>
        <v>0</v>
      </c>
      <c r="Q900" s="279">
        <f>RES_BA!T47</f>
        <v>0</v>
      </c>
      <c r="S900" s="279">
        <f>RES_BA!U47</f>
        <v>0</v>
      </c>
    </row>
    <row r="901" spans="3:19" s="277" customFormat="1" hidden="1" outlineLevel="1" x14ac:dyDescent="0.3">
      <c r="C901" s="283" t="str">
        <f>RES_BA!D48</f>
        <v>Personnel Cadre - Other 35</v>
      </c>
      <c r="M901" s="279">
        <f>RES_BA!R48</f>
        <v>0</v>
      </c>
      <c r="O901" s="279">
        <f>RES_BA!S48</f>
        <v>0</v>
      </c>
      <c r="Q901" s="279">
        <f>RES_BA!T48</f>
        <v>0</v>
      </c>
      <c r="S901" s="279">
        <f>RES_BA!U48</f>
        <v>0</v>
      </c>
    </row>
    <row r="902" spans="3:19" hidden="1" outlineLevel="1" x14ac:dyDescent="0.3"/>
    <row r="903" spans="3:19" hidden="1" outlineLevel="1" x14ac:dyDescent="0.3">
      <c r="M903" s="40" t="str">
        <f>$D$861</f>
        <v>USD</v>
      </c>
      <c r="O903" s="40" t="str">
        <f>$D$861</f>
        <v>USD</v>
      </c>
      <c r="Q903" s="40" t="str">
        <f>$D$862</f>
        <v>GOZ</v>
      </c>
      <c r="S903" s="40" t="str">
        <f>$D$862</f>
        <v>GOZ</v>
      </c>
    </row>
    <row r="904" spans="3:19" hidden="1" outlineLevel="1" x14ac:dyDescent="0.3">
      <c r="C904" s="89" t="str">
        <f>RES_BA!D53</f>
        <v>Allowances Category 1</v>
      </c>
      <c r="M904" s="40">
        <f>RES_BA!R53</f>
        <v>0</v>
      </c>
      <c r="O904" s="40">
        <f>RES_BA!S53</f>
        <v>0</v>
      </c>
      <c r="Q904" s="40">
        <f>RES_BA!T53</f>
        <v>0</v>
      </c>
      <c r="S904" s="40">
        <f>RES_BA!U53</f>
        <v>0</v>
      </c>
    </row>
    <row r="905" spans="3:19" hidden="1" outlineLevel="1" x14ac:dyDescent="0.3">
      <c r="C905" s="89" t="str">
        <f>RES_BA!D54</f>
        <v>Allowances Category 2</v>
      </c>
      <c r="M905" s="40">
        <f>RES_BA!R54</f>
        <v>0</v>
      </c>
      <c r="O905" s="40">
        <f>RES_BA!S54</f>
        <v>0</v>
      </c>
      <c r="Q905" s="40">
        <f>RES_BA!T54</f>
        <v>0</v>
      </c>
      <c r="S905" s="40">
        <f>RES_BA!U54</f>
        <v>0</v>
      </c>
    </row>
    <row r="906" spans="3:19" hidden="1" outlineLevel="1" x14ac:dyDescent="0.3">
      <c r="C906" s="89" t="str">
        <f>RES_BA!D55</f>
        <v>Allowances Category 3</v>
      </c>
      <c r="M906" s="40">
        <f>RES_BA!R55</f>
        <v>0</v>
      </c>
      <c r="O906" s="40">
        <f>RES_BA!S55</f>
        <v>0</v>
      </c>
      <c r="Q906" s="40">
        <f>RES_BA!T55</f>
        <v>0</v>
      </c>
      <c r="S906" s="40">
        <f>RES_BA!U55</f>
        <v>0</v>
      </c>
    </row>
    <row r="907" spans="3:19" hidden="1" outlineLevel="1" x14ac:dyDescent="0.3">
      <c r="C907" s="89" t="str">
        <f>RES_BA!D56</f>
        <v>Allowances Category 4</v>
      </c>
      <c r="M907" s="40">
        <f>RES_BA!R56</f>
        <v>0</v>
      </c>
      <c r="O907" s="40">
        <f>RES_BA!S56</f>
        <v>0</v>
      </c>
      <c r="Q907" s="40">
        <f>RES_BA!T56</f>
        <v>0</v>
      </c>
      <c r="S907" s="40">
        <f>RES_BA!U56</f>
        <v>0</v>
      </c>
    </row>
    <row r="908" spans="3:19" hidden="1" outlineLevel="1" x14ac:dyDescent="0.3">
      <c r="C908" s="89" t="str">
        <f>RES_BA!D57</f>
        <v>Allowances Category 5</v>
      </c>
      <c r="M908" s="40">
        <f>RES_BA!R57</f>
        <v>0</v>
      </c>
      <c r="O908" s="40">
        <f>RES_BA!S57</f>
        <v>0</v>
      </c>
      <c r="Q908" s="40">
        <f>RES_BA!T57</f>
        <v>0</v>
      </c>
      <c r="S908" s="40">
        <f>RES_BA!U57</f>
        <v>0</v>
      </c>
    </row>
    <row r="909" spans="3:19" s="277" customFormat="1" hidden="1" outlineLevel="1" collapsed="1" x14ac:dyDescent="0.3">
      <c r="C909" s="283" t="str">
        <f>RES_BA!D58</f>
        <v>Allowances Category 6</v>
      </c>
      <c r="M909" s="279">
        <f>RES_BA!R58</f>
        <v>0</v>
      </c>
      <c r="O909" s="279">
        <f>RES_BA!S58</f>
        <v>0</v>
      </c>
      <c r="Q909" s="279">
        <f>RES_BA!T58</f>
        <v>0</v>
      </c>
      <c r="S909" s="279">
        <f>RES_BA!U58</f>
        <v>0</v>
      </c>
    </row>
    <row r="910" spans="3:19" s="277" customFormat="1" hidden="1" outlineLevel="1" x14ac:dyDescent="0.3">
      <c r="C910" s="283" t="str">
        <f>RES_BA!D59</f>
        <v>Allowances Category 7</v>
      </c>
      <c r="M910" s="279">
        <f>RES_BA!R59</f>
        <v>0</v>
      </c>
      <c r="O910" s="279">
        <f>RES_BA!S59</f>
        <v>0</v>
      </c>
      <c r="Q910" s="279">
        <f>RES_BA!T59</f>
        <v>0</v>
      </c>
      <c r="S910" s="279">
        <f>RES_BA!U59</f>
        <v>0</v>
      </c>
    </row>
    <row r="911" spans="3:19" s="277" customFormat="1" hidden="1" outlineLevel="1" x14ac:dyDescent="0.3">
      <c r="C911" s="283" t="str">
        <f>RES_BA!D60</f>
        <v>Allowances Category 8</v>
      </c>
      <c r="M911" s="279">
        <f>RES_BA!R60</f>
        <v>0</v>
      </c>
      <c r="O911" s="279">
        <f>RES_BA!S60</f>
        <v>0</v>
      </c>
      <c r="Q911" s="279">
        <f>RES_BA!T60</f>
        <v>0</v>
      </c>
      <c r="S911" s="279">
        <f>RES_BA!U60</f>
        <v>0</v>
      </c>
    </row>
    <row r="912" spans="3:19" s="277" customFormat="1" hidden="1" outlineLevel="1" x14ac:dyDescent="0.3">
      <c r="C912" s="283" t="str">
        <f>RES_BA!D61</f>
        <v>Allowances Category 9</v>
      </c>
      <c r="M912" s="279">
        <f>RES_BA!R61</f>
        <v>0</v>
      </c>
      <c r="O912" s="279">
        <f>RES_BA!S61</f>
        <v>0</v>
      </c>
      <c r="Q912" s="279">
        <f>RES_BA!T61</f>
        <v>0</v>
      </c>
      <c r="S912" s="279">
        <f>RES_BA!U61</f>
        <v>0</v>
      </c>
    </row>
    <row r="913" spans="3:19" s="277" customFormat="1" hidden="1" outlineLevel="1" x14ac:dyDescent="0.3">
      <c r="C913" s="283" t="str">
        <f>RES_BA!D62</f>
        <v>Allowances Category 10</v>
      </c>
      <c r="M913" s="279">
        <f>RES_BA!R62</f>
        <v>0</v>
      </c>
      <c r="O913" s="279">
        <f>RES_BA!S62</f>
        <v>0</v>
      </c>
      <c r="Q913" s="279">
        <f>RES_BA!T62</f>
        <v>0</v>
      </c>
      <c r="S913" s="279">
        <f>RES_BA!U62</f>
        <v>0</v>
      </c>
    </row>
    <row r="914" spans="3:19" s="277" customFormat="1" hidden="1" outlineLevel="1" x14ac:dyDescent="0.3">
      <c r="C914" s="283" t="str">
        <f>RES_BA!D63</f>
        <v>Allowances Category 11</v>
      </c>
      <c r="M914" s="279">
        <f>RES_BA!R63</f>
        <v>0</v>
      </c>
      <c r="O914" s="279">
        <f>RES_BA!S63</f>
        <v>0</v>
      </c>
      <c r="Q914" s="279">
        <f>RES_BA!T63</f>
        <v>0</v>
      </c>
      <c r="S914" s="279">
        <f>RES_BA!U63</f>
        <v>0</v>
      </c>
    </row>
    <row r="915" spans="3:19" s="277" customFormat="1" hidden="1" outlineLevel="1" x14ac:dyDescent="0.3">
      <c r="C915" s="283" t="str">
        <f>RES_BA!D64</f>
        <v>Allowances Category 12</v>
      </c>
      <c r="M915" s="279">
        <f>RES_BA!R64</f>
        <v>0</v>
      </c>
      <c r="O915" s="279">
        <f>RES_BA!S64</f>
        <v>0</v>
      </c>
      <c r="Q915" s="279">
        <f>RES_BA!T64</f>
        <v>0</v>
      </c>
      <c r="S915" s="279">
        <f>RES_BA!U64</f>
        <v>0</v>
      </c>
    </row>
    <row r="916" spans="3:19" s="277" customFormat="1" hidden="1" outlineLevel="1" x14ac:dyDescent="0.3">
      <c r="C916" s="283" t="str">
        <f>RES_BA!D65</f>
        <v>Allowances Category 13</v>
      </c>
      <c r="M916" s="279">
        <f>RES_BA!R65</f>
        <v>0</v>
      </c>
      <c r="O916" s="279">
        <f>RES_BA!S65</f>
        <v>0</v>
      </c>
      <c r="Q916" s="279">
        <f>RES_BA!T65</f>
        <v>0</v>
      </c>
      <c r="S916" s="279">
        <f>RES_BA!U65</f>
        <v>0</v>
      </c>
    </row>
    <row r="917" spans="3:19" s="277" customFormat="1" hidden="1" outlineLevel="1" x14ac:dyDescent="0.3">
      <c r="C917" s="283" t="str">
        <f>RES_BA!D66</f>
        <v>Allowances Category 14</v>
      </c>
      <c r="M917" s="279">
        <f>RES_BA!R66</f>
        <v>0</v>
      </c>
      <c r="O917" s="279">
        <f>RES_BA!S66</f>
        <v>0</v>
      </c>
      <c r="Q917" s="279">
        <f>RES_BA!T66</f>
        <v>0</v>
      </c>
      <c r="S917" s="279">
        <f>RES_BA!U66</f>
        <v>0</v>
      </c>
    </row>
    <row r="918" spans="3:19" s="277" customFormat="1" hidden="1" outlineLevel="1" x14ac:dyDescent="0.3">
      <c r="C918" s="283" t="str">
        <f>RES_BA!D67</f>
        <v>Allowances Category 15</v>
      </c>
      <c r="M918" s="279">
        <f>RES_BA!R67</f>
        <v>0</v>
      </c>
      <c r="O918" s="279">
        <f>RES_BA!S67</f>
        <v>0</v>
      </c>
      <c r="Q918" s="279">
        <f>RES_BA!T67</f>
        <v>0</v>
      </c>
      <c r="S918" s="279">
        <f>RES_BA!U67</f>
        <v>0</v>
      </c>
    </row>
    <row r="919" spans="3:19" s="277" customFormat="1" hidden="1" outlineLevel="1" x14ac:dyDescent="0.3">
      <c r="C919" s="283" t="str">
        <f>RES_BA!D68</f>
        <v>Allowances Category 16</v>
      </c>
      <c r="M919" s="279">
        <f>RES_BA!R68</f>
        <v>0</v>
      </c>
      <c r="O919" s="279">
        <f>RES_BA!S68</f>
        <v>0</v>
      </c>
      <c r="Q919" s="279">
        <f>RES_BA!T68</f>
        <v>0</v>
      </c>
      <c r="S919" s="279">
        <f>RES_BA!U68</f>
        <v>0</v>
      </c>
    </row>
    <row r="920" spans="3:19" hidden="1" outlineLevel="1" x14ac:dyDescent="0.3">
      <c r="C920" s="89" t="str">
        <f>RES_BA!D69</f>
        <v>Allowances Category 17</v>
      </c>
      <c r="M920" s="40">
        <f>RES_BA!R69</f>
        <v>0</v>
      </c>
      <c r="O920" s="40">
        <f>RES_BA!S69</f>
        <v>0</v>
      </c>
      <c r="Q920" s="40">
        <f>RES_BA!T69</f>
        <v>0</v>
      </c>
      <c r="S920" s="40">
        <f>RES_BA!U69</f>
        <v>0</v>
      </c>
    </row>
    <row r="921" spans="3:19" hidden="1" outlineLevel="1" x14ac:dyDescent="0.3">
      <c r="C921" s="89" t="str">
        <f>RES_BA!D70</f>
        <v>Allowances Category 18</v>
      </c>
      <c r="M921" s="40">
        <f>RES_BA!R70</f>
        <v>0</v>
      </c>
      <c r="O921" s="40">
        <f>RES_BA!S70</f>
        <v>0</v>
      </c>
      <c r="Q921" s="40">
        <f>RES_BA!T70</f>
        <v>0</v>
      </c>
      <c r="S921" s="40">
        <f>RES_BA!U70</f>
        <v>0</v>
      </c>
    </row>
    <row r="922" spans="3:19" hidden="1" outlineLevel="1" x14ac:dyDescent="0.3">
      <c r="C922" s="89" t="str">
        <f>RES_BA!D71</f>
        <v>Allowances Category 19</v>
      </c>
      <c r="M922" s="40">
        <f>RES_BA!R71</f>
        <v>0</v>
      </c>
      <c r="O922" s="40">
        <f>RES_BA!S71</f>
        <v>0</v>
      </c>
      <c r="Q922" s="40">
        <f>RES_BA!T71</f>
        <v>0</v>
      </c>
      <c r="S922" s="40">
        <f>RES_BA!U71</f>
        <v>0</v>
      </c>
    </row>
    <row r="923" spans="3:19" hidden="1" outlineLevel="1" x14ac:dyDescent="0.3">
      <c r="C923" s="89" t="str">
        <f>RES_BA!D72</f>
        <v>Allowances Category 20</v>
      </c>
      <c r="M923" s="40">
        <f>RES_BA!R72</f>
        <v>0</v>
      </c>
      <c r="O923" s="40">
        <f>RES_BA!S72</f>
        <v>0</v>
      </c>
      <c r="Q923" s="40">
        <f>RES_BA!T72</f>
        <v>0</v>
      </c>
      <c r="S923" s="40">
        <f>RES_BA!U72</f>
        <v>0</v>
      </c>
    </row>
    <row r="924" spans="3:19" hidden="1" outlineLevel="1" x14ac:dyDescent="0.3">
      <c r="C924" s="89" t="str">
        <f>RES_BA!D73</f>
        <v>Allowances Category 21</v>
      </c>
      <c r="M924" s="40">
        <f>RES_BA!R73</f>
        <v>0</v>
      </c>
      <c r="O924" s="40">
        <f>RES_BA!S73</f>
        <v>0</v>
      </c>
      <c r="Q924" s="40">
        <f>RES_BA!T73</f>
        <v>0</v>
      </c>
      <c r="S924" s="40">
        <f>RES_BA!U73</f>
        <v>0</v>
      </c>
    </row>
    <row r="925" spans="3:19" hidden="1" outlineLevel="1" x14ac:dyDescent="0.3">
      <c r="C925" s="89" t="str">
        <f>RES_BA!D74</f>
        <v>Allowances Category 22</v>
      </c>
      <c r="M925" s="40">
        <f>RES_BA!R74</f>
        <v>0</v>
      </c>
      <c r="O925" s="40">
        <f>RES_BA!S74</f>
        <v>0</v>
      </c>
      <c r="Q925" s="40">
        <f>RES_BA!T74</f>
        <v>0</v>
      </c>
      <c r="S925" s="40">
        <f>RES_BA!U74</f>
        <v>0</v>
      </c>
    </row>
    <row r="926" spans="3:19" hidden="1" outlineLevel="1" x14ac:dyDescent="0.3">
      <c r="C926" s="89" t="str">
        <f>RES_BA!D75</f>
        <v>Allowances Category 23</v>
      </c>
      <c r="M926" s="40">
        <f>RES_BA!R75</f>
        <v>0</v>
      </c>
      <c r="O926" s="40">
        <f>RES_BA!S75</f>
        <v>0</v>
      </c>
      <c r="Q926" s="40">
        <f>RES_BA!T75</f>
        <v>0</v>
      </c>
      <c r="S926" s="40">
        <f>RES_BA!U75</f>
        <v>0</v>
      </c>
    </row>
    <row r="927" spans="3:19" s="277" customFormat="1" hidden="1" outlineLevel="1" collapsed="1" x14ac:dyDescent="0.3">
      <c r="C927" s="283" t="str">
        <f>RES_BA!D76</f>
        <v>Allowances Category 24</v>
      </c>
      <c r="M927" s="279">
        <f>RES_BA!R76</f>
        <v>0</v>
      </c>
      <c r="O927" s="279">
        <f>RES_BA!S76</f>
        <v>0</v>
      </c>
      <c r="Q927" s="279">
        <f>RES_BA!T76</f>
        <v>0</v>
      </c>
      <c r="S927" s="279">
        <f>RES_BA!U76</f>
        <v>0</v>
      </c>
    </row>
    <row r="928" spans="3:19" s="277" customFormat="1" hidden="1" outlineLevel="1" x14ac:dyDescent="0.3">
      <c r="C928" s="283" t="str">
        <f>RES_BA!D77</f>
        <v>Allowances Category 25</v>
      </c>
      <c r="M928" s="279">
        <f>RES_BA!R77</f>
        <v>0</v>
      </c>
      <c r="O928" s="279">
        <f>RES_BA!S77</f>
        <v>0</v>
      </c>
      <c r="Q928" s="279">
        <f>RES_BA!T77</f>
        <v>0</v>
      </c>
      <c r="S928" s="279">
        <f>RES_BA!U77</f>
        <v>0</v>
      </c>
    </row>
    <row r="929" spans="3:19" s="277" customFormat="1" hidden="1" outlineLevel="1" x14ac:dyDescent="0.3">
      <c r="C929" s="283" t="str">
        <f>RES_BA!D78</f>
        <v>Allowances Category 26</v>
      </c>
      <c r="M929" s="279">
        <f>RES_BA!R78</f>
        <v>0</v>
      </c>
      <c r="O929" s="279">
        <f>RES_BA!S78</f>
        <v>0</v>
      </c>
      <c r="Q929" s="279">
        <f>RES_BA!T78</f>
        <v>0</v>
      </c>
      <c r="S929" s="279">
        <f>RES_BA!U78</f>
        <v>0</v>
      </c>
    </row>
    <row r="930" spans="3:19" s="277" customFormat="1" hidden="1" outlineLevel="1" x14ac:dyDescent="0.3">
      <c r="C930" s="283" t="str">
        <f>RES_BA!D79</f>
        <v>Allowances Category 27</v>
      </c>
      <c r="M930" s="279">
        <f>RES_BA!R79</f>
        <v>0</v>
      </c>
      <c r="O930" s="279">
        <f>RES_BA!S79</f>
        <v>0</v>
      </c>
      <c r="Q930" s="279">
        <f>RES_BA!T79</f>
        <v>0</v>
      </c>
      <c r="S930" s="279">
        <f>RES_BA!U79</f>
        <v>0</v>
      </c>
    </row>
    <row r="931" spans="3:19" s="277" customFormat="1" hidden="1" outlineLevel="1" x14ac:dyDescent="0.3">
      <c r="C931" s="283" t="str">
        <f>RES_BA!D80</f>
        <v>Allowances Category 28</v>
      </c>
      <c r="M931" s="279">
        <f>RES_BA!R80</f>
        <v>0</v>
      </c>
      <c r="O931" s="279">
        <f>RES_BA!S80</f>
        <v>0</v>
      </c>
      <c r="Q931" s="279">
        <f>RES_BA!T80</f>
        <v>0</v>
      </c>
      <c r="S931" s="279">
        <f>RES_BA!U80</f>
        <v>0</v>
      </c>
    </row>
    <row r="932" spans="3:19" s="277" customFormat="1" hidden="1" outlineLevel="1" x14ac:dyDescent="0.3">
      <c r="C932" s="283" t="str">
        <f>RES_BA!D81</f>
        <v>Allowances Category 29</v>
      </c>
      <c r="M932" s="279">
        <f>RES_BA!R81</f>
        <v>0</v>
      </c>
      <c r="O932" s="279">
        <f>RES_BA!S81</f>
        <v>0</v>
      </c>
      <c r="Q932" s="279">
        <f>RES_BA!T81</f>
        <v>0</v>
      </c>
      <c r="S932" s="279">
        <f>RES_BA!U81</f>
        <v>0</v>
      </c>
    </row>
    <row r="933" spans="3:19" s="277" customFormat="1" hidden="1" outlineLevel="1" x14ac:dyDescent="0.3">
      <c r="C933" s="283" t="str">
        <f>RES_BA!D82</f>
        <v>Allowances Category 30</v>
      </c>
      <c r="M933" s="279">
        <f>RES_BA!R82</f>
        <v>0</v>
      </c>
      <c r="O933" s="279">
        <f>RES_BA!S82</f>
        <v>0</v>
      </c>
      <c r="Q933" s="279">
        <f>RES_BA!T82</f>
        <v>0</v>
      </c>
      <c r="S933" s="279">
        <f>RES_BA!U82</f>
        <v>0</v>
      </c>
    </row>
    <row r="934" spans="3:19" hidden="1" outlineLevel="1" x14ac:dyDescent="0.3">
      <c r="C934" s="89" t="str">
        <f>RES_BA!D83</f>
        <v>Allowances Category 31</v>
      </c>
      <c r="M934" s="40">
        <f>RES_BA!R83</f>
        <v>0</v>
      </c>
      <c r="O934" s="40">
        <f>RES_BA!S83</f>
        <v>0</v>
      </c>
      <c r="Q934" s="40">
        <f>RES_BA!T83</f>
        <v>0</v>
      </c>
      <c r="S934" s="40">
        <f>RES_BA!U83</f>
        <v>0</v>
      </c>
    </row>
    <row r="935" spans="3:19" hidden="1" outlineLevel="1" x14ac:dyDescent="0.3">
      <c r="C935" s="89" t="str">
        <f>RES_BA!D84</f>
        <v>Allowances Category 32</v>
      </c>
      <c r="M935" s="40">
        <f>RES_BA!R84</f>
        <v>0</v>
      </c>
      <c r="O935" s="40">
        <f>RES_BA!S84</f>
        <v>0</v>
      </c>
      <c r="Q935" s="40">
        <f>RES_BA!T84</f>
        <v>0</v>
      </c>
      <c r="S935" s="40">
        <f>RES_BA!U84</f>
        <v>0</v>
      </c>
    </row>
    <row r="936" spans="3:19" hidden="1" outlineLevel="1" x14ac:dyDescent="0.3">
      <c r="C936" s="89" t="str">
        <f>RES_BA!D85</f>
        <v>Allowances Category 33</v>
      </c>
      <c r="M936" s="40">
        <f>RES_BA!R85</f>
        <v>0</v>
      </c>
      <c r="O936" s="40">
        <f>RES_BA!S85</f>
        <v>0</v>
      </c>
      <c r="Q936" s="40">
        <f>RES_BA!T85</f>
        <v>0</v>
      </c>
      <c r="S936" s="40">
        <f>RES_BA!U85</f>
        <v>0</v>
      </c>
    </row>
    <row r="937" spans="3:19" hidden="1" outlineLevel="1" x14ac:dyDescent="0.3">
      <c r="C937" s="89" t="str">
        <f>RES_BA!D86</f>
        <v>Allowances Category 34</v>
      </c>
      <c r="M937" s="40">
        <f>RES_BA!R86</f>
        <v>0</v>
      </c>
      <c r="O937" s="40">
        <f>RES_BA!S86</f>
        <v>0</v>
      </c>
      <c r="Q937" s="40">
        <f>RES_BA!T86</f>
        <v>0</v>
      </c>
      <c r="S937" s="40">
        <f>RES_BA!U86</f>
        <v>0</v>
      </c>
    </row>
    <row r="938" spans="3:19" hidden="1" outlineLevel="1" x14ac:dyDescent="0.3">
      <c r="C938" s="89" t="str">
        <f>RES_BA!D87</f>
        <v>Allowances Category 35</v>
      </c>
      <c r="M938" s="40">
        <f>RES_BA!R87</f>
        <v>0</v>
      </c>
      <c r="O938" s="40">
        <f>RES_BA!S87</f>
        <v>0</v>
      </c>
      <c r="Q938" s="40">
        <f>RES_BA!T87</f>
        <v>0</v>
      </c>
      <c r="S938" s="40">
        <f>RES_BA!U87</f>
        <v>0</v>
      </c>
    </row>
    <row r="939" spans="3:19" hidden="1" outlineLevel="1" x14ac:dyDescent="0.3"/>
    <row r="940" spans="3:19" hidden="1" outlineLevel="1" x14ac:dyDescent="0.3"/>
    <row r="941" spans="3:19" hidden="1" outlineLevel="1" x14ac:dyDescent="0.3">
      <c r="M941" s="40" t="str">
        <f>$D$861</f>
        <v>USD</v>
      </c>
      <c r="O941" s="40" t="str">
        <f>$D$861</f>
        <v>USD</v>
      </c>
      <c r="Q941" s="40" t="str">
        <f>$D$862</f>
        <v>GOZ</v>
      </c>
      <c r="S941" s="40" t="str">
        <f>$D$862</f>
        <v>GOZ</v>
      </c>
    </row>
    <row r="942" spans="3:19" hidden="1" outlineLevel="1" x14ac:dyDescent="0.3">
      <c r="C942" s="89" t="str">
        <f>RES_BA!D91</f>
        <v>Supplies Category 1</v>
      </c>
      <c r="M942" s="40">
        <f>RES_BA!R91</f>
        <v>0</v>
      </c>
      <c r="O942" s="40">
        <f>RES_BA!S91</f>
        <v>0</v>
      </c>
      <c r="Q942" s="40">
        <f>RES_BA!T91</f>
        <v>0</v>
      </c>
      <c r="S942" s="40">
        <f>RES_BA!U91</f>
        <v>0</v>
      </c>
    </row>
    <row r="943" spans="3:19" hidden="1" outlineLevel="1" x14ac:dyDescent="0.3">
      <c r="C943" s="89" t="str">
        <f>RES_BA!D92</f>
        <v>Supplies Category 2</v>
      </c>
      <c r="M943" s="40">
        <f>RES_BA!R92</f>
        <v>0</v>
      </c>
      <c r="O943" s="40">
        <f>RES_BA!S92</f>
        <v>0</v>
      </c>
      <c r="Q943" s="40">
        <f>RES_BA!T92</f>
        <v>0</v>
      </c>
      <c r="S943" s="40">
        <f>RES_BA!U92</f>
        <v>0</v>
      </c>
    </row>
    <row r="944" spans="3:19" hidden="1" outlineLevel="1" x14ac:dyDescent="0.3">
      <c r="C944" s="89" t="str">
        <f>RES_BA!D93</f>
        <v>Supplies Category 3</v>
      </c>
      <c r="M944" s="40">
        <f>RES_BA!R93</f>
        <v>0</v>
      </c>
      <c r="O944" s="40">
        <f>RES_BA!S93</f>
        <v>0</v>
      </c>
      <c r="Q944" s="40">
        <f>RES_BA!T93</f>
        <v>0</v>
      </c>
      <c r="S944" s="40">
        <f>RES_BA!U93</f>
        <v>0</v>
      </c>
    </row>
    <row r="945" spans="3:19" hidden="1" outlineLevel="1" x14ac:dyDescent="0.3">
      <c r="C945" s="89" t="str">
        <f>RES_BA!D94</f>
        <v>Supplies Category 4</v>
      </c>
      <c r="M945" s="40">
        <f>RES_BA!R94</f>
        <v>0</v>
      </c>
      <c r="O945" s="40">
        <f>RES_BA!S94</f>
        <v>0</v>
      </c>
      <c r="Q945" s="40">
        <f>RES_BA!T94</f>
        <v>0</v>
      </c>
      <c r="S945" s="40">
        <f>RES_BA!U94</f>
        <v>0</v>
      </c>
    </row>
    <row r="946" spans="3:19" hidden="1" outlineLevel="1" x14ac:dyDescent="0.3">
      <c r="C946" s="89" t="str">
        <f>RES_BA!D95</f>
        <v>Supplies Category 5</v>
      </c>
      <c r="M946" s="40">
        <f>RES_BA!R95</f>
        <v>0</v>
      </c>
      <c r="O946" s="40">
        <f>RES_BA!S95</f>
        <v>0</v>
      </c>
      <c r="Q946" s="40">
        <f>RES_BA!T95</f>
        <v>0</v>
      </c>
      <c r="S946" s="40">
        <f>RES_BA!U95</f>
        <v>0</v>
      </c>
    </row>
    <row r="947" spans="3:19" hidden="1" outlineLevel="1" x14ac:dyDescent="0.3">
      <c r="C947" s="89" t="str">
        <f>RES_BA!D96</f>
        <v>Supplies Category 6</v>
      </c>
      <c r="M947" s="40">
        <f>RES_BA!R96</f>
        <v>0</v>
      </c>
      <c r="O947" s="40">
        <f>RES_BA!S96</f>
        <v>0</v>
      </c>
      <c r="Q947" s="40">
        <f>RES_BA!T96</f>
        <v>0</v>
      </c>
      <c r="S947" s="40">
        <f>RES_BA!U96</f>
        <v>0</v>
      </c>
    </row>
    <row r="948" spans="3:19" hidden="1" outlineLevel="1" x14ac:dyDescent="0.3">
      <c r="C948" s="89" t="str">
        <f>RES_BA!D97</f>
        <v>Supplies Category 7</v>
      </c>
      <c r="M948" s="40">
        <f>RES_BA!R97</f>
        <v>0</v>
      </c>
      <c r="O948" s="40">
        <f>RES_BA!S97</f>
        <v>0</v>
      </c>
      <c r="Q948" s="40">
        <f>RES_BA!T97</f>
        <v>0</v>
      </c>
      <c r="S948" s="40">
        <f>RES_BA!U97</f>
        <v>0</v>
      </c>
    </row>
    <row r="949" spans="3:19" hidden="1" outlineLevel="1" x14ac:dyDescent="0.3">
      <c r="C949" s="89" t="str">
        <f>RES_BA!D98</f>
        <v>Supplies Category 8</v>
      </c>
      <c r="M949" s="40">
        <f>RES_BA!R98</f>
        <v>0</v>
      </c>
      <c r="O949" s="40">
        <f>RES_BA!S98</f>
        <v>0</v>
      </c>
      <c r="Q949" s="40">
        <f>RES_BA!T98</f>
        <v>0</v>
      </c>
      <c r="S949" s="40">
        <f>RES_BA!U98</f>
        <v>0</v>
      </c>
    </row>
    <row r="950" spans="3:19" hidden="1" outlineLevel="1" x14ac:dyDescent="0.3">
      <c r="C950" s="89" t="str">
        <f>RES_BA!D99</f>
        <v>Supplies Category 9</v>
      </c>
      <c r="M950" s="40">
        <f>RES_BA!R99</f>
        <v>0</v>
      </c>
      <c r="O950" s="40">
        <f>RES_BA!S99</f>
        <v>0</v>
      </c>
      <c r="Q950" s="40">
        <f>RES_BA!T99</f>
        <v>0</v>
      </c>
      <c r="S950" s="40">
        <f>RES_BA!U99</f>
        <v>0</v>
      </c>
    </row>
    <row r="951" spans="3:19" hidden="1" outlineLevel="1" x14ac:dyDescent="0.3">
      <c r="C951" s="89" t="str">
        <f>RES_BA!D100</f>
        <v>Supplies Category 10</v>
      </c>
      <c r="M951" s="40">
        <f>RES_BA!R100</f>
        <v>0</v>
      </c>
      <c r="O951" s="40">
        <f>RES_BA!S100</f>
        <v>0</v>
      </c>
      <c r="Q951" s="40">
        <f>RES_BA!T100</f>
        <v>0</v>
      </c>
      <c r="S951" s="40">
        <f>RES_BA!U100</f>
        <v>0</v>
      </c>
    </row>
    <row r="952" spans="3:19" hidden="1" outlineLevel="1" x14ac:dyDescent="0.3">
      <c r="C952" s="89" t="str">
        <f>RES_BA!D101</f>
        <v>Supplies Category 11</v>
      </c>
      <c r="M952" s="40">
        <f>RES_BA!R101</f>
        <v>0</v>
      </c>
      <c r="O952" s="40">
        <f>RES_BA!S101</f>
        <v>0</v>
      </c>
      <c r="Q952" s="40">
        <f>RES_BA!T101</f>
        <v>0</v>
      </c>
      <c r="S952" s="40">
        <f>RES_BA!U101</f>
        <v>0</v>
      </c>
    </row>
    <row r="953" spans="3:19" hidden="1" outlineLevel="1" x14ac:dyDescent="0.3">
      <c r="C953" s="89" t="str">
        <f>RES_BA!D102</f>
        <v>Supplies Category 12</v>
      </c>
      <c r="M953" s="40">
        <f>RES_BA!R102</f>
        <v>0</v>
      </c>
      <c r="O953" s="40">
        <f>RES_BA!S102</f>
        <v>0</v>
      </c>
      <c r="Q953" s="40">
        <f>RES_BA!T102</f>
        <v>0</v>
      </c>
      <c r="S953" s="40">
        <f>RES_BA!U102</f>
        <v>0</v>
      </c>
    </row>
    <row r="954" spans="3:19" hidden="1" outlineLevel="1" x14ac:dyDescent="0.3">
      <c r="C954" s="89" t="str">
        <f>RES_BA!D103</f>
        <v>Supplies Category 13</v>
      </c>
      <c r="M954" s="40">
        <f>RES_BA!R103</f>
        <v>0</v>
      </c>
      <c r="O954" s="40">
        <f>RES_BA!S103</f>
        <v>0</v>
      </c>
      <c r="Q954" s="40">
        <f>RES_BA!T103</f>
        <v>0</v>
      </c>
      <c r="S954" s="40">
        <f>RES_BA!U103</f>
        <v>0</v>
      </c>
    </row>
    <row r="955" spans="3:19" hidden="1" outlineLevel="1" x14ac:dyDescent="0.3">
      <c r="C955" s="89" t="str">
        <f>RES_BA!D104</f>
        <v>Supplies Category 14</v>
      </c>
      <c r="M955" s="40">
        <f>RES_BA!R104</f>
        <v>0</v>
      </c>
      <c r="O955" s="40">
        <f>RES_BA!S104</f>
        <v>0</v>
      </c>
      <c r="Q955" s="40">
        <f>RES_BA!T104</f>
        <v>0</v>
      </c>
      <c r="S955" s="40">
        <f>RES_BA!U104</f>
        <v>0</v>
      </c>
    </row>
    <row r="956" spans="3:19" hidden="1" outlineLevel="1" x14ac:dyDescent="0.3">
      <c r="C956" s="89" t="str">
        <f>RES_BA!D105</f>
        <v>Supplies Category 15</v>
      </c>
      <c r="M956" s="40">
        <f>RES_BA!R105</f>
        <v>0</v>
      </c>
      <c r="O956" s="40">
        <f>RES_BA!S105</f>
        <v>0</v>
      </c>
      <c r="Q956" s="40">
        <f>RES_BA!T105</f>
        <v>0</v>
      </c>
      <c r="S956" s="40">
        <f>RES_BA!U105</f>
        <v>0</v>
      </c>
    </row>
    <row r="957" spans="3:19" hidden="1" outlineLevel="1" x14ac:dyDescent="0.3">
      <c r="C957" s="89" t="str">
        <f>RES_BA!D106</f>
        <v>Supplies Category 16</v>
      </c>
      <c r="M957" s="40">
        <f>RES_BA!R106</f>
        <v>0</v>
      </c>
      <c r="O957" s="40">
        <f>RES_BA!S106</f>
        <v>0</v>
      </c>
      <c r="Q957" s="40">
        <f>RES_BA!T106</f>
        <v>0</v>
      </c>
      <c r="S957" s="40">
        <f>RES_BA!U106</f>
        <v>0</v>
      </c>
    </row>
    <row r="958" spans="3:19" s="277" customFormat="1" hidden="1" outlineLevel="1" collapsed="1" x14ac:dyDescent="0.3">
      <c r="C958" s="283" t="str">
        <f>RES_BA!D107</f>
        <v>Supplies Category 17</v>
      </c>
      <c r="M958" s="279">
        <f>RES_BA!R107</f>
        <v>0</v>
      </c>
      <c r="O958" s="279">
        <f>RES_BA!S107</f>
        <v>0</v>
      </c>
      <c r="Q958" s="279">
        <f>RES_BA!T107</f>
        <v>0</v>
      </c>
      <c r="S958" s="279">
        <f>RES_BA!U107</f>
        <v>0</v>
      </c>
    </row>
    <row r="959" spans="3:19" s="277" customFormat="1" hidden="1" outlineLevel="1" x14ac:dyDescent="0.3">
      <c r="C959" s="283" t="str">
        <f>RES_BA!D108</f>
        <v>Supplies Category 18</v>
      </c>
      <c r="M959" s="279">
        <f>RES_BA!R108</f>
        <v>0</v>
      </c>
      <c r="O959" s="279">
        <f>RES_BA!S108</f>
        <v>0</v>
      </c>
      <c r="Q959" s="279">
        <f>RES_BA!T108</f>
        <v>0</v>
      </c>
      <c r="S959" s="279">
        <f>RES_BA!U108</f>
        <v>0</v>
      </c>
    </row>
    <row r="960" spans="3:19" s="277" customFormat="1" hidden="1" outlineLevel="1" x14ac:dyDescent="0.3">
      <c r="C960" s="283" t="str">
        <f>RES_BA!D109</f>
        <v>Supplies Category 19</v>
      </c>
      <c r="M960" s="279">
        <f>RES_BA!R109</f>
        <v>0</v>
      </c>
      <c r="O960" s="279">
        <f>RES_BA!S109</f>
        <v>0</v>
      </c>
      <c r="Q960" s="279">
        <f>RES_BA!T109</f>
        <v>0</v>
      </c>
      <c r="S960" s="279">
        <f>RES_BA!U109</f>
        <v>0</v>
      </c>
    </row>
    <row r="961" spans="3:19" s="277" customFormat="1" hidden="1" outlineLevel="1" x14ac:dyDescent="0.3">
      <c r="C961" s="283" t="str">
        <f>RES_BA!D110</f>
        <v>Supplies Category 20</v>
      </c>
      <c r="M961" s="279">
        <f>RES_BA!R110</f>
        <v>0</v>
      </c>
      <c r="O961" s="279">
        <f>RES_BA!S110</f>
        <v>0</v>
      </c>
      <c r="Q961" s="279">
        <f>RES_BA!T110</f>
        <v>0</v>
      </c>
      <c r="S961" s="279">
        <f>RES_BA!U110</f>
        <v>0</v>
      </c>
    </row>
    <row r="962" spans="3:19" s="277" customFormat="1" hidden="1" outlineLevel="1" x14ac:dyDescent="0.3">
      <c r="C962" s="283" t="str">
        <f>RES_BA!D111</f>
        <v>Supplies Category 21</v>
      </c>
      <c r="M962" s="279">
        <f>RES_BA!R111</f>
        <v>0</v>
      </c>
      <c r="O962" s="279">
        <f>RES_BA!S111</f>
        <v>0</v>
      </c>
      <c r="Q962" s="279">
        <f>RES_BA!T111</f>
        <v>0</v>
      </c>
      <c r="S962" s="279">
        <f>RES_BA!U111</f>
        <v>0</v>
      </c>
    </row>
    <row r="963" spans="3:19" s="277" customFormat="1" hidden="1" outlineLevel="1" x14ac:dyDescent="0.3">
      <c r="C963" s="283" t="str">
        <f>RES_BA!D112</f>
        <v>Supplies Category 22</v>
      </c>
      <c r="M963" s="279">
        <f>RES_BA!R112</f>
        <v>0</v>
      </c>
      <c r="O963" s="279">
        <f>RES_BA!S112</f>
        <v>0</v>
      </c>
      <c r="Q963" s="279">
        <f>RES_BA!T112</f>
        <v>0</v>
      </c>
      <c r="S963" s="279">
        <f>RES_BA!U112</f>
        <v>0</v>
      </c>
    </row>
    <row r="964" spans="3:19" s="277" customFormat="1" hidden="1" outlineLevel="1" x14ac:dyDescent="0.3">
      <c r="C964" s="283" t="str">
        <f>RES_BA!D113</f>
        <v>Supplies Category 23</v>
      </c>
      <c r="M964" s="279">
        <f>RES_BA!R113</f>
        <v>0</v>
      </c>
      <c r="O964" s="279">
        <f>RES_BA!S113</f>
        <v>0</v>
      </c>
      <c r="Q964" s="279">
        <f>RES_BA!T113</f>
        <v>0</v>
      </c>
      <c r="S964" s="279">
        <f>RES_BA!U113</f>
        <v>0</v>
      </c>
    </row>
    <row r="965" spans="3:19" s="277" customFormat="1" hidden="1" outlineLevel="1" x14ac:dyDescent="0.3">
      <c r="C965" s="283" t="str">
        <f>RES_BA!D114</f>
        <v>Supplies Category 24</v>
      </c>
      <c r="M965" s="279">
        <f>RES_BA!R114</f>
        <v>0</v>
      </c>
      <c r="O965" s="279">
        <f>RES_BA!S114</f>
        <v>0</v>
      </c>
      <c r="Q965" s="279">
        <f>RES_BA!T114</f>
        <v>0</v>
      </c>
      <c r="S965" s="279">
        <f>RES_BA!U114</f>
        <v>0</v>
      </c>
    </row>
    <row r="966" spans="3:19" s="277" customFormat="1" hidden="1" outlineLevel="1" x14ac:dyDescent="0.3">
      <c r="C966" s="283" t="str">
        <f>RES_BA!D115</f>
        <v>Supplies Category 25</v>
      </c>
      <c r="M966" s="279">
        <f>RES_BA!R115</f>
        <v>0</v>
      </c>
      <c r="O966" s="279">
        <f>RES_BA!S115</f>
        <v>0</v>
      </c>
      <c r="Q966" s="279">
        <f>RES_BA!T115</f>
        <v>0</v>
      </c>
      <c r="S966" s="279">
        <f>RES_BA!U115</f>
        <v>0</v>
      </c>
    </row>
    <row r="967" spans="3:19" s="277" customFormat="1" hidden="1" outlineLevel="1" x14ac:dyDescent="0.3">
      <c r="C967" s="283" t="str">
        <f>RES_BA!D116</f>
        <v>Supplies Category 26</v>
      </c>
      <c r="M967" s="279">
        <f>RES_BA!R116</f>
        <v>0</v>
      </c>
      <c r="O967" s="279">
        <f>RES_BA!S116</f>
        <v>0</v>
      </c>
      <c r="Q967" s="279">
        <f>RES_BA!T116</f>
        <v>0</v>
      </c>
      <c r="S967" s="279">
        <f>RES_BA!U116</f>
        <v>0</v>
      </c>
    </row>
    <row r="968" spans="3:19" s="277" customFormat="1" hidden="1" outlineLevel="1" x14ac:dyDescent="0.3">
      <c r="C968" s="283" t="str">
        <f>RES_BA!D117</f>
        <v>Supplies Category 27</v>
      </c>
      <c r="M968" s="279">
        <f>RES_BA!R117</f>
        <v>0</v>
      </c>
      <c r="O968" s="279">
        <f>RES_BA!S117</f>
        <v>0</v>
      </c>
      <c r="Q968" s="279">
        <f>RES_BA!T117</f>
        <v>0</v>
      </c>
      <c r="S968" s="279">
        <f>RES_BA!U117</f>
        <v>0</v>
      </c>
    </row>
    <row r="969" spans="3:19" s="277" customFormat="1" hidden="1" outlineLevel="1" x14ac:dyDescent="0.3">
      <c r="C969" s="283" t="str">
        <f>RES_BA!D118</f>
        <v>Supplies Category 28</v>
      </c>
      <c r="M969" s="279">
        <f>RES_BA!R118</f>
        <v>0</v>
      </c>
      <c r="O969" s="279">
        <f>RES_BA!S118</f>
        <v>0</v>
      </c>
      <c r="Q969" s="279">
        <f>RES_BA!T118</f>
        <v>0</v>
      </c>
      <c r="S969" s="279">
        <f>RES_BA!U118</f>
        <v>0</v>
      </c>
    </row>
    <row r="970" spans="3:19" s="277" customFormat="1" hidden="1" outlineLevel="1" x14ac:dyDescent="0.3">
      <c r="C970" s="283" t="str">
        <f>RES_BA!D119</f>
        <v>Supplies Category 29</v>
      </c>
      <c r="M970" s="279">
        <f>RES_BA!R119</f>
        <v>0</v>
      </c>
      <c r="O970" s="279">
        <f>RES_BA!S119</f>
        <v>0</v>
      </c>
      <c r="Q970" s="279">
        <f>RES_BA!T119</f>
        <v>0</v>
      </c>
      <c r="S970" s="279">
        <f>RES_BA!U119</f>
        <v>0</v>
      </c>
    </row>
    <row r="971" spans="3:19" s="277" customFormat="1" hidden="1" outlineLevel="1" collapsed="1" x14ac:dyDescent="0.3">
      <c r="C971" s="283" t="str">
        <f>RES_BA!D120</f>
        <v>Supplies Category 30</v>
      </c>
      <c r="M971" s="279">
        <f>RES_BA!R120</f>
        <v>0</v>
      </c>
      <c r="O971" s="279">
        <f>RES_BA!S120</f>
        <v>0</v>
      </c>
      <c r="Q971" s="279">
        <f>RES_BA!T120</f>
        <v>0</v>
      </c>
      <c r="S971" s="279">
        <f>RES_BA!U120</f>
        <v>0</v>
      </c>
    </row>
    <row r="972" spans="3:19" s="277" customFormat="1" hidden="1" outlineLevel="1" x14ac:dyDescent="0.3">
      <c r="C972" s="283" t="str">
        <f>RES_BA!D121</f>
        <v>Supplies Category 31</v>
      </c>
      <c r="M972" s="279">
        <f>RES_BA!R121</f>
        <v>0</v>
      </c>
      <c r="O972" s="279">
        <f>RES_BA!S121</f>
        <v>0</v>
      </c>
      <c r="Q972" s="279">
        <f>RES_BA!T121</f>
        <v>0</v>
      </c>
      <c r="S972" s="279">
        <f>RES_BA!U121</f>
        <v>0</v>
      </c>
    </row>
    <row r="973" spans="3:19" s="277" customFormat="1" hidden="1" outlineLevel="1" x14ac:dyDescent="0.3">
      <c r="C973" s="283" t="str">
        <f>RES_BA!D122</f>
        <v>Supplies Category 32</v>
      </c>
      <c r="M973" s="279">
        <f>RES_BA!R122</f>
        <v>0</v>
      </c>
      <c r="O973" s="279">
        <f>RES_BA!S122</f>
        <v>0</v>
      </c>
      <c r="Q973" s="279">
        <f>RES_BA!T122</f>
        <v>0</v>
      </c>
      <c r="S973" s="279">
        <f>RES_BA!U122</f>
        <v>0</v>
      </c>
    </row>
    <row r="974" spans="3:19" s="277" customFormat="1" hidden="1" outlineLevel="1" x14ac:dyDescent="0.3">
      <c r="C974" s="283" t="str">
        <f>RES_BA!D123</f>
        <v>Supplies Category 33</v>
      </c>
      <c r="M974" s="279">
        <f>RES_BA!R123</f>
        <v>0</v>
      </c>
      <c r="O974" s="279">
        <f>RES_BA!S123</f>
        <v>0</v>
      </c>
      <c r="Q974" s="279">
        <f>RES_BA!T123</f>
        <v>0</v>
      </c>
      <c r="S974" s="279">
        <f>RES_BA!U123</f>
        <v>0</v>
      </c>
    </row>
    <row r="975" spans="3:19" s="277" customFormat="1" hidden="1" outlineLevel="1" x14ac:dyDescent="0.3">
      <c r="C975" s="283" t="str">
        <f>RES_BA!D124</f>
        <v>Supplies Category 34</v>
      </c>
      <c r="M975" s="279">
        <f>RES_BA!R124</f>
        <v>0</v>
      </c>
      <c r="O975" s="279">
        <f>RES_BA!S124</f>
        <v>0</v>
      </c>
      <c r="Q975" s="279">
        <f>RES_BA!T124</f>
        <v>0</v>
      </c>
      <c r="S975" s="279">
        <f>RES_BA!U124</f>
        <v>0</v>
      </c>
    </row>
    <row r="976" spans="3:19" s="277" customFormat="1" hidden="1" outlineLevel="1" x14ac:dyDescent="0.3">
      <c r="C976" s="283" t="str">
        <f>RES_BA!D125</f>
        <v>Supplies Category 35</v>
      </c>
      <c r="M976" s="279">
        <f>RES_BA!R125</f>
        <v>0</v>
      </c>
      <c r="O976" s="279">
        <f>RES_BA!S125</f>
        <v>0</v>
      </c>
      <c r="Q976" s="279">
        <f>RES_BA!T125</f>
        <v>0</v>
      </c>
      <c r="S976" s="279">
        <f>RES_BA!U125</f>
        <v>0</v>
      </c>
    </row>
    <row r="977" spans="3:19" hidden="1" outlineLevel="1" x14ac:dyDescent="0.3"/>
    <row r="978" spans="3:19" hidden="1" outlineLevel="1" x14ac:dyDescent="0.3">
      <c r="M978" s="40" t="str">
        <f>$D$861</f>
        <v>USD</v>
      </c>
      <c r="O978" s="40" t="str">
        <f>$D$861</f>
        <v>USD</v>
      </c>
      <c r="Q978" s="40" t="str">
        <f>$D$862</f>
        <v>GOZ</v>
      </c>
      <c r="S978" s="40" t="str">
        <f>$D$862</f>
        <v>GOZ</v>
      </c>
    </row>
    <row r="979" spans="3:19" hidden="1" outlineLevel="1" x14ac:dyDescent="0.3">
      <c r="C979" s="89" t="str">
        <f>RES_BA!D130</f>
        <v>Equipment Category 1</v>
      </c>
      <c r="M979" s="40">
        <f>RES_BA!R130</f>
        <v>0</v>
      </c>
      <c r="O979" s="40">
        <f>RES_BA!S130</f>
        <v>0</v>
      </c>
      <c r="Q979" s="40">
        <f>RES_BA!T130</f>
        <v>0</v>
      </c>
      <c r="S979" s="40">
        <f>RES_BA!U130</f>
        <v>0</v>
      </c>
    </row>
    <row r="980" spans="3:19" hidden="1" outlineLevel="1" x14ac:dyDescent="0.3">
      <c r="C980" s="89" t="str">
        <f>RES_BA!D131</f>
        <v>Equipment Category 2</v>
      </c>
      <c r="M980" s="40">
        <f>RES_BA!R131</f>
        <v>0</v>
      </c>
      <c r="O980" s="40">
        <f>RES_BA!S131</f>
        <v>0</v>
      </c>
      <c r="Q980" s="40">
        <f>RES_BA!T131</f>
        <v>0</v>
      </c>
      <c r="S980" s="40">
        <f>RES_BA!U131</f>
        <v>0</v>
      </c>
    </row>
    <row r="981" spans="3:19" hidden="1" outlineLevel="1" x14ac:dyDescent="0.3">
      <c r="C981" s="89" t="str">
        <f>RES_BA!D132</f>
        <v>Equipment Category 3</v>
      </c>
      <c r="M981" s="40">
        <f>RES_BA!R132</f>
        <v>0</v>
      </c>
      <c r="O981" s="40">
        <f>RES_BA!S132</f>
        <v>0</v>
      </c>
      <c r="Q981" s="40">
        <f>RES_BA!T132</f>
        <v>0</v>
      </c>
      <c r="S981" s="40">
        <f>RES_BA!U132</f>
        <v>0</v>
      </c>
    </row>
    <row r="982" spans="3:19" hidden="1" outlineLevel="1" x14ac:dyDescent="0.3">
      <c r="C982" s="89" t="str">
        <f>RES_BA!D133</f>
        <v>Equipment Category 4</v>
      </c>
      <c r="M982" s="40">
        <f>RES_BA!R133</f>
        <v>0</v>
      </c>
      <c r="O982" s="40">
        <f>RES_BA!S133</f>
        <v>0</v>
      </c>
      <c r="Q982" s="40">
        <f>RES_BA!T133</f>
        <v>0</v>
      </c>
      <c r="S982" s="40">
        <f>RES_BA!U133</f>
        <v>0</v>
      </c>
    </row>
    <row r="983" spans="3:19" hidden="1" outlineLevel="1" x14ac:dyDescent="0.3">
      <c r="C983" s="89" t="str">
        <f>RES_BA!D134</f>
        <v>Equipment Category 5</v>
      </c>
      <c r="M983" s="40">
        <f>RES_BA!R134</f>
        <v>0</v>
      </c>
      <c r="O983" s="40">
        <f>RES_BA!S134</f>
        <v>0</v>
      </c>
      <c r="Q983" s="40">
        <f>RES_BA!T134</f>
        <v>0</v>
      </c>
      <c r="S983" s="40">
        <f>RES_BA!U134</f>
        <v>0</v>
      </c>
    </row>
    <row r="984" spans="3:19" hidden="1" outlineLevel="1" x14ac:dyDescent="0.3">
      <c r="C984" s="89" t="str">
        <f>RES_BA!D135</f>
        <v>Equipment Category 6</v>
      </c>
      <c r="M984" s="40">
        <f>RES_BA!R135</f>
        <v>0</v>
      </c>
      <c r="O984" s="40">
        <f>RES_BA!S135</f>
        <v>0</v>
      </c>
      <c r="Q984" s="40">
        <f>RES_BA!T135</f>
        <v>0</v>
      </c>
      <c r="S984" s="40">
        <f>RES_BA!U135</f>
        <v>0</v>
      </c>
    </row>
    <row r="985" spans="3:19" s="277" customFormat="1" hidden="1" outlineLevel="1" collapsed="1" x14ac:dyDescent="0.3">
      <c r="C985" s="283" t="str">
        <f>RES_BA!D136</f>
        <v>Equipment Category 7</v>
      </c>
      <c r="M985" s="279">
        <f>RES_BA!R136</f>
        <v>0</v>
      </c>
      <c r="O985" s="279">
        <f>RES_BA!S136</f>
        <v>0</v>
      </c>
      <c r="Q985" s="279">
        <f>RES_BA!T136</f>
        <v>0</v>
      </c>
      <c r="S985" s="279">
        <f>RES_BA!U136</f>
        <v>0</v>
      </c>
    </row>
    <row r="986" spans="3:19" s="277" customFormat="1" hidden="1" outlineLevel="1" x14ac:dyDescent="0.3">
      <c r="C986" s="283" t="str">
        <f>RES_BA!D137</f>
        <v>Equipment Category 8</v>
      </c>
      <c r="M986" s="279">
        <f>RES_BA!R137</f>
        <v>0</v>
      </c>
      <c r="O986" s="279">
        <f>RES_BA!S137</f>
        <v>0</v>
      </c>
      <c r="Q986" s="279">
        <f>RES_BA!T137</f>
        <v>0</v>
      </c>
      <c r="S986" s="279">
        <f>RES_BA!U137</f>
        <v>0</v>
      </c>
    </row>
    <row r="987" spans="3:19" s="277" customFormat="1" hidden="1" outlineLevel="1" x14ac:dyDescent="0.3">
      <c r="C987" s="283" t="str">
        <f>RES_BA!D138</f>
        <v>Equipment Category 9</v>
      </c>
      <c r="M987" s="279">
        <f>RES_BA!R138</f>
        <v>0</v>
      </c>
      <c r="O987" s="279">
        <f>RES_BA!S138</f>
        <v>0</v>
      </c>
      <c r="Q987" s="279">
        <f>RES_BA!T138</f>
        <v>0</v>
      </c>
      <c r="S987" s="279">
        <f>RES_BA!U138</f>
        <v>0</v>
      </c>
    </row>
    <row r="988" spans="3:19" s="277" customFormat="1" hidden="1" outlineLevel="1" x14ac:dyDescent="0.3">
      <c r="C988" s="283" t="str">
        <f>RES_BA!D139</f>
        <v>Equipment Category 10</v>
      </c>
      <c r="M988" s="279">
        <f>RES_BA!R139</f>
        <v>0</v>
      </c>
      <c r="O988" s="279">
        <f>RES_BA!S139</f>
        <v>0</v>
      </c>
      <c r="Q988" s="279">
        <f>RES_BA!T139</f>
        <v>0</v>
      </c>
      <c r="S988" s="279">
        <f>RES_BA!U139</f>
        <v>0</v>
      </c>
    </row>
    <row r="989" spans="3:19" s="277" customFormat="1" hidden="1" outlineLevel="1" x14ac:dyDescent="0.3">
      <c r="C989" s="283" t="str">
        <f>RES_BA!D140</f>
        <v>Equipment Category 11</v>
      </c>
      <c r="M989" s="279">
        <f>RES_BA!R140</f>
        <v>0</v>
      </c>
      <c r="O989" s="279">
        <f>RES_BA!S140</f>
        <v>0</v>
      </c>
      <c r="Q989" s="279">
        <f>RES_BA!T140</f>
        <v>0</v>
      </c>
      <c r="S989" s="279">
        <f>RES_BA!U140</f>
        <v>0</v>
      </c>
    </row>
    <row r="990" spans="3:19" s="277" customFormat="1" hidden="1" outlineLevel="1" x14ac:dyDescent="0.3">
      <c r="C990" s="283" t="str">
        <f>RES_BA!D141</f>
        <v>Equipment Category 12</v>
      </c>
      <c r="M990" s="279">
        <f>RES_BA!R141</f>
        <v>0</v>
      </c>
      <c r="O990" s="279">
        <f>RES_BA!S141</f>
        <v>0</v>
      </c>
      <c r="Q990" s="279">
        <f>RES_BA!T141</f>
        <v>0</v>
      </c>
      <c r="S990" s="279">
        <f>RES_BA!U141</f>
        <v>0</v>
      </c>
    </row>
    <row r="991" spans="3:19" s="277" customFormat="1" hidden="1" outlineLevel="1" collapsed="1" x14ac:dyDescent="0.3">
      <c r="C991" s="283" t="str">
        <f>RES_BA!D142</f>
        <v>Equipment Category 13</v>
      </c>
      <c r="M991" s="279">
        <f>RES_BA!R142</f>
        <v>0</v>
      </c>
      <c r="O991" s="279">
        <f>RES_BA!S142</f>
        <v>0</v>
      </c>
      <c r="Q991" s="279">
        <f>RES_BA!T142</f>
        <v>0</v>
      </c>
      <c r="S991" s="279">
        <f>RES_BA!U142</f>
        <v>0</v>
      </c>
    </row>
    <row r="992" spans="3:19" s="277" customFormat="1" hidden="1" outlineLevel="1" x14ac:dyDescent="0.3">
      <c r="C992" s="283" t="str">
        <f>RES_BA!D143</f>
        <v>Equipment Category 14</v>
      </c>
      <c r="M992" s="279">
        <f>RES_BA!R143</f>
        <v>0</v>
      </c>
      <c r="O992" s="279">
        <f>RES_BA!S143</f>
        <v>0</v>
      </c>
      <c r="Q992" s="279">
        <f>RES_BA!T143</f>
        <v>0</v>
      </c>
      <c r="S992" s="279">
        <f>RES_BA!U143</f>
        <v>0</v>
      </c>
    </row>
    <row r="993" spans="3:19" s="277" customFormat="1" hidden="1" outlineLevel="1" x14ac:dyDescent="0.3">
      <c r="C993" s="283" t="str">
        <f>RES_BA!D144</f>
        <v>Equipment Category 15</v>
      </c>
      <c r="M993" s="279">
        <f>RES_BA!R144</f>
        <v>0</v>
      </c>
      <c r="O993" s="279">
        <f>RES_BA!S144</f>
        <v>0</v>
      </c>
      <c r="Q993" s="279">
        <f>RES_BA!T144</f>
        <v>0</v>
      </c>
      <c r="S993" s="279">
        <f>RES_BA!U144</f>
        <v>0</v>
      </c>
    </row>
    <row r="994" spans="3:19" s="277" customFormat="1" hidden="1" outlineLevel="1" x14ac:dyDescent="0.3">
      <c r="C994" s="283" t="str">
        <f>RES_BA!D145</f>
        <v>Equipment Category 16</v>
      </c>
      <c r="M994" s="279">
        <f>RES_BA!R145</f>
        <v>0</v>
      </c>
      <c r="O994" s="279">
        <f>RES_BA!S145</f>
        <v>0</v>
      </c>
      <c r="Q994" s="279">
        <f>RES_BA!T145</f>
        <v>0</v>
      </c>
      <c r="S994" s="279">
        <f>RES_BA!U145</f>
        <v>0</v>
      </c>
    </row>
    <row r="995" spans="3:19" s="277" customFormat="1" hidden="1" outlineLevel="1" x14ac:dyDescent="0.3">
      <c r="C995" s="283" t="str">
        <f>RES_BA!D146</f>
        <v>Equipment Category 17</v>
      </c>
      <c r="M995" s="279">
        <f>RES_BA!R146</f>
        <v>0</v>
      </c>
      <c r="O995" s="279">
        <f>RES_BA!S146</f>
        <v>0</v>
      </c>
      <c r="Q995" s="279">
        <f>RES_BA!T146</f>
        <v>0</v>
      </c>
      <c r="S995" s="279">
        <f>RES_BA!U146</f>
        <v>0</v>
      </c>
    </row>
    <row r="996" spans="3:19" s="277" customFormat="1" hidden="1" outlineLevel="1" x14ac:dyDescent="0.3">
      <c r="C996" s="283" t="str">
        <f>RES_BA!D147</f>
        <v>Equipment Category 18</v>
      </c>
      <c r="M996" s="279">
        <f>RES_BA!R147</f>
        <v>0</v>
      </c>
      <c r="O996" s="279">
        <f>RES_BA!S147</f>
        <v>0</v>
      </c>
      <c r="Q996" s="279">
        <f>RES_BA!T147</f>
        <v>0</v>
      </c>
      <c r="S996" s="279">
        <f>RES_BA!U147</f>
        <v>0</v>
      </c>
    </row>
    <row r="997" spans="3:19" s="277" customFormat="1" hidden="1" outlineLevel="1" x14ac:dyDescent="0.3">
      <c r="C997" s="283" t="str">
        <f>RES_BA!D148</f>
        <v>Equipment Category 19</v>
      </c>
      <c r="M997" s="279">
        <f>RES_BA!R148</f>
        <v>0</v>
      </c>
      <c r="O997" s="279">
        <f>RES_BA!S148</f>
        <v>0</v>
      </c>
      <c r="Q997" s="279">
        <f>RES_BA!T148</f>
        <v>0</v>
      </c>
      <c r="S997" s="279">
        <f>RES_BA!U148</f>
        <v>0</v>
      </c>
    </row>
    <row r="998" spans="3:19" s="277" customFormat="1" hidden="1" outlineLevel="1" x14ac:dyDescent="0.3">
      <c r="C998" s="283" t="str">
        <f>RES_BA!D149</f>
        <v>Equipment Category 20</v>
      </c>
      <c r="M998" s="279">
        <f>RES_BA!R149</f>
        <v>0</v>
      </c>
      <c r="O998" s="279">
        <f>RES_BA!S149</f>
        <v>0</v>
      </c>
      <c r="Q998" s="279">
        <f>RES_BA!T149</f>
        <v>0</v>
      </c>
      <c r="S998" s="279">
        <f>RES_BA!U149</f>
        <v>0</v>
      </c>
    </row>
    <row r="999" spans="3:19" s="277" customFormat="1" hidden="1" outlineLevel="1" x14ac:dyDescent="0.3">
      <c r="C999" s="283" t="str">
        <f>RES_BA!D150</f>
        <v>Equipment Category 21</v>
      </c>
      <c r="M999" s="279">
        <f>RES_BA!R150</f>
        <v>0</v>
      </c>
      <c r="O999" s="279">
        <f>RES_BA!S150</f>
        <v>0</v>
      </c>
      <c r="Q999" s="279">
        <f>RES_BA!T150</f>
        <v>0</v>
      </c>
      <c r="S999" s="279">
        <f>RES_BA!U150</f>
        <v>0</v>
      </c>
    </row>
    <row r="1000" spans="3:19" s="277" customFormat="1" hidden="1" outlineLevel="1" x14ac:dyDescent="0.3">
      <c r="C1000" s="283" t="str">
        <f>RES_BA!D151</f>
        <v>Equipment Category 22</v>
      </c>
      <c r="M1000" s="279">
        <f>RES_BA!R151</f>
        <v>0</v>
      </c>
      <c r="O1000" s="279">
        <f>RES_BA!S151</f>
        <v>0</v>
      </c>
      <c r="Q1000" s="279">
        <f>RES_BA!T151</f>
        <v>0</v>
      </c>
      <c r="S1000" s="279">
        <f>RES_BA!U151</f>
        <v>0</v>
      </c>
    </row>
    <row r="1001" spans="3:19" s="277" customFormat="1" hidden="1" outlineLevel="1" x14ac:dyDescent="0.3">
      <c r="C1001" s="283" t="str">
        <f>RES_BA!D152</f>
        <v>Equipment Category 23</v>
      </c>
      <c r="M1001" s="279">
        <f>RES_BA!R152</f>
        <v>0</v>
      </c>
      <c r="O1001" s="279">
        <f>RES_BA!S152</f>
        <v>0</v>
      </c>
      <c r="Q1001" s="279">
        <f>RES_BA!T152</f>
        <v>0</v>
      </c>
      <c r="S1001" s="279">
        <f>RES_BA!U152</f>
        <v>0</v>
      </c>
    </row>
    <row r="1002" spans="3:19" s="277" customFormat="1" hidden="1" outlineLevel="1" collapsed="1" x14ac:dyDescent="0.3">
      <c r="C1002" s="283" t="str">
        <f>RES_BA!D153</f>
        <v>Equipment Category 24</v>
      </c>
      <c r="M1002" s="279">
        <f>RES_BA!R153</f>
        <v>0</v>
      </c>
      <c r="O1002" s="279">
        <f>RES_BA!S153</f>
        <v>0</v>
      </c>
      <c r="Q1002" s="279">
        <f>RES_BA!T153</f>
        <v>0</v>
      </c>
      <c r="S1002" s="279">
        <f>RES_BA!U153</f>
        <v>0</v>
      </c>
    </row>
    <row r="1003" spans="3:19" s="277" customFormat="1" hidden="1" outlineLevel="1" x14ac:dyDescent="0.3">
      <c r="C1003" s="283" t="str">
        <f>RES_BA!D154</f>
        <v>Equipment Category 25</v>
      </c>
      <c r="M1003" s="279">
        <f>RES_BA!R154</f>
        <v>0</v>
      </c>
      <c r="O1003" s="279">
        <f>RES_BA!S154</f>
        <v>0</v>
      </c>
      <c r="Q1003" s="279">
        <f>RES_BA!T154</f>
        <v>0</v>
      </c>
      <c r="S1003" s="279">
        <f>RES_BA!U154</f>
        <v>0</v>
      </c>
    </row>
    <row r="1004" spans="3:19" s="277" customFormat="1" hidden="1" outlineLevel="1" x14ac:dyDescent="0.3">
      <c r="C1004" s="283" t="str">
        <f>RES_BA!D155</f>
        <v>Equipment Category 26</v>
      </c>
      <c r="M1004" s="279">
        <f>RES_BA!R155</f>
        <v>0</v>
      </c>
      <c r="O1004" s="279">
        <f>RES_BA!S155</f>
        <v>0</v>
      </c>
      <c r="Q1004" s="279">
        <f>RES_BA!T155</f>
        <v>0</v>
      </c>
      <c r="S1004" s="279">
        <f>RES_BA!U155</f>
        <v>0</v>
      </c>
    </row>
    <row r="1005" spans="3:19" s="277" customFormat="1" hidden="1" outlineLevel="1" x14ac:dyDescent="0.3">
      <c r="C1005" s="283" t="str">
        <f>RES_BA!D156</f>
        <v>Equipment Category 27</v>
      </c>
      <c r="M1005" s="279">
        <f>RES_BA!R156</f>
        <v>0</v>
      </c>
      <c r="O1005" s="279">
        <f>RES_BA!S156</f>
        <v>0</v>
      </c>
      <c r="Q1005" s="279">
        <f>RES_BA!T156</f>
        <v>0</v>
      </c>
      <c r="S1005" s="279">
        <f>RES_BA!U156</f>
        <v>0</v>
      </c>
    </row>
    <row r="1006" spans="3:19" s="277" customFormat="1" hidden="1" outlineLevel="1" x14ac:dyDescent="0.3">
      <c r="C1006" s="283" t="str">
        <f>RES_BA!D157</f>
        <v>Equipment Category 28</v>
      </c>
      <c r="M1006" s="279">
        <f>RES_BA!R157</f>
        <v>0</v>
      </c>
      <c r="O1006" s="279">
        <f>RES_BA!S157</f>
        <v>0</v>
      </c>
      <c r="Q1006" s="279">
        <f>RES_BA!T157</f>
        <v>0</v>
      </c>
      <c r="S1006" s="279">
        <f>RES_BA!U157</f>
        <v>0</v>
      </c>
    </row>
    <row r="1007" spans="3:19" s="277" customFormat="1" hidden="1" outlineLevel="1" x14ac:dyDescent="0.3">
      <c r="C1007" s="283" t="str">
        <f>RES_BA!D158</f>
        <v>Equipment Category 29</v>
      </c>
      <c r="M1007" s="279">
        <f>RES_BA!R158</f>
        <v>0</v>
      </c>
      <c r="O1007" s="279">
        <f>RES_BA!S158</f>
        <v>0</v>
      </c>
      <c r="Q1007" s="279">
        <f>RES_BA!T158</f>
        <v>0</v>
      </c>
      <c r="S1007" s="279">
        <f>RES_BA!U158</f>
        <v>0</v>
      </c>
    </row>
    <row r="1008" spans="3:19" s="277" customFormat="1" hidden="1" outlineLevel="1" x14ac:dyDescent="0.3">
      <c r="C1008" s="283" t="str">
        <f>RES_BA!D159</f>
        <v>Equipment Category 30</v>
      </c>
      <c r="M1008" s="279">
        <f>RES_BA!R159</f>
        <v>0</v>
      </c>
      <c r="O1008" s="279">
        <f>RES_BA!S159</f>
        <v>0</v>
      </c>
      <c r="Q1008" s="279">
        <f>RES_BA!T159</f>
        <v>0</v>
      </c>
      <c r="S1008" s="279">
        <f>RES_BA!U159</f>
        <v>0</v>
      </c>
    </row>
    <row r="1009" spans="3:19" s="277" customFormat="1" hidden="1" outlineLevel="1" x14ac:dyDescent="0.3">
      <c r="C1009" s="283" t="str">
        <f>RES_BA!D160</f>
        <v>Equipment Category 31</v>
      </c>
      <c r="M1009" s="279">
        <f>RES_BA!R160</f>
        <v>0</v>
      </c>
      <c r="O1009" s="279">
        <f>RES_BA!S160</f>
        <v>0</v>
      </c>
      <c r="Q1009" s="279">
        <f>RES_BA!T160</f>
        <v>0</v>
      </c>
      <c r="S1009" s="279">
        <f>RES_BA!U160</f>
        <v>0</v>
      </c>
    </row>
    <row r="1010" spans="3:19" s="277" customFormat="1" hidden="1" outlineLevel="1" x14ac:dyDescent="0.3">
      <c r="C1010" s="283" t="str">
        <f>RES_BA!D161</f>
        <v>Equipment Category 32</v>
      </c>
      <c r="M1010" s="279">
        <f>RES_BA!R161</f>
        <v>0</v>
      </c>
      <c r="O1010" s="279">
        <f>RES_BA!S161</f>
        <v>0</v>
      </c>
      <c r="Q1010" s="279">
        <f>RES_BA!T161</f>
        <v>0</v>
      </c>
      <c r="S1010" s="279">
        <f>RES_BA!U161</f>
        <v>0</v>
      </c>
    </row>
    <row r="1011" spans="3:19" s="277" customFormat="1" hidden="1" outlineLevel="1" x14ac:dyDescent="0.3">
      <c r="C1011" s="283" t="str">
        <f>RES_BA!D162</f>
        <v>Equipment Category 33</v>
      </c>
      <c r="M1011" s="279">
        <f>RES_BA!R162</f>
        <v>0</v>
      </c>
      <c r="O1011" s="279">
        <f>RES_BA!S162</f>
        <v>0</v>
      </c>
      <c r="Q1011" s="279">
        <f>RES_BA!T162</f>
        <v>0</v>
      </c>
      <c r="S1011" s="279">
        <f>RES_BA!U162</f>
        <v>0</v>
      </c>
    </row>
    <row r="1012" spans="3:19" s="277" customFormat="1" hidden="1" outlineLevel="1" collapsed="1" x14ac:dyDescent="0.3">
      <c r="C1012" s="283" t="str">
        <f>RES_BA!D163</f>
        <v>Equipment Category 34</v>
      </c>
      <c r="M1012" s="279">
        <f>RES_BA!R163</f>
        <v>0</v>
      </c>
      <c r="O1012" s="279">
        <f>RES_BA!S163</f>
        <v>0</v>
      </c>
      <c r="Q1012" s="279">
        <f>RES_BA!T163</f>
        <v>0</v>
      </c>
      <c r="S1012" s="279">
        <f>RES_BA!U163</f>
        <v>0</v>
      </c>
    </row>
    <row r="1013" spans="3:19" s="277" customFormat="1" hidden="1" outlineLevel="1" x14ac:dyDescent="0.3">
      <c r="C1013" s="283" t="str">
        <f>RES_BA!D164</f>
        <v>Equipment Category 35</v>
      </c>
      <c r="M1013" s="279">
        <f>RES_BA!R164</f>
        <v>0</v>
      </c>
      <c r="O1013" s="279">
        <f>RES_BA!S164</f>
        <v>0</v>
      </c>
      <c r="Q1013" s="279">
        <f>RES_BA!T164</f>
        <v>0</v>
      </c>
      <c r="S1013" s="279">
        <f>RES_BA!U164</f>
        <v>0</v>
      </c>
    </row>
    <row r="1014" spans="3:19" hidden="1" outlineLevel="1" x14ac:dyDescent="0.3"/>
    <row r="1015" spans="3:19" hidden="1" outlineLevel="1" x14ac:dyDescent="0.3"/>
    <row r="1016" spans="3:19" hidden="1" outlineLevel="1" x14ac:dyDescent="0.3">
      <c r="M1016" s="40" t="str">
        <f>$D$861</f>
        <v>USD</v>
      </c>
      <c r="O1016" s="40" t="str">
        <f>$D$861</f>
        <v>USD</v>
      </c>
      <c r="Q1016" s="40" t="str">
        <f>$D$862</f>
        <v>GOZ</v>
      </c>
      <c r="S1016" s="40" t="str">
        <f>$D$862</f>
        <v>GOZ</v>
      </c>
    </row>
    <row r="1017" spans="3:19" hidden="1" outlineLevel="1" x14ac:dyDescent="0.3">
      <c r="C1017" s="89" t="str">
        <f>RES_BA!D169</f>
        <v>Other Direct Costs Category 1</v>
      </c>
      <c r="M1017" s="40">
        <f>RES_BA!R169</f>
        <v>0</v>
      </c>
      <c r="O1017" s="40">
        <f>RES_BA!S169</f>
        <v>0</v>
      </c>
      <c r="Q1017" s="40">
        <f>RES_BA!T169</f>
        <v>0</v>
      </c>
      <c r="S1017" s="40">
        <f>RES_BA!U169</f>
        <v>0</v>
      </c>
    </row>
    <row r="1018" spans="3:19" hidden="1" outlineLevel="1" x14ac:dyDescent="0.3">
      <c r="C1018" s="89" t="str">
        <f>RES_BA!D170</f>
        <v>Other Direct Costs Category 2</v>
      </c>
      <c r="M1018" s="40">
        <f>RES_BA!R170</f>
        <v>0</v>
      </c>
      <c r="O1018" s="40">
        <f>RES_BA!S170</f>
        <v>0</v>
      </c>
      <c r="Q1018" s="40">
        <f>RES_BA!T170</f>
        <v>0</v>
      </c>
      <c r="S1018" s="40">
        <f>RES_BA!U170</f>
        <v>0</v>
      </c>
    </row>
    <row r="1019" spans="3:19" hidden="1" outlineLevel="1" x14ac:dyDescent="0.3">
      <c r="C1019" s="89" t="str">
        <f>RES_BA!D171</f>
        <v>Other Direct Costs Category 3</v>
      </c>
      <c r="M1019" s="40">
        <f>RES_BA!R171</f>
        <v>0</v>
      </c>
      <c r="O1019" s="40">
        <f>RES_BA!S171</f>
        <v>0</v>
      </c>
      <c r="Q1019" s="40">
        <f>RES_BA!T171</f>
        <v>0</v>
      </c>
      <c r="S1019" s="40">
        <f>RES_BA!U171</f>
        <v>0</v>
      </c>
    </row>
    <row r="1020" spans="3:19" hidden="1" outlineLevel="1" collapsed="1" x14ac:dyDescent="0.3">
      <c r="C1020" s="289" t="str">
        <f>RES_BA!D172</f>
        <v>Other Direct Costs Category 4</v>
      </c>
      <c r="M1020" s="290">
        <f>RES_BA!R172</f>
        <v>0</v>
      </c>
      <c r="O1020" s="290">
        <f>RES_BA!S172</f>
        <v>0</v>
      </c>
      <c r="Q1020" s="290">
        <f>RES_BA!T172</f>
        <v>0</v>
      </c>
      <c r="S1020" s="290">
        <f>RES_BA!U172</f>
        <v>0</v>
      </c>
    </row>
    <row r="1021" spans="3:19" hidden="1" outlineLevel="1" x14ac:dyDescent="0.3">
      <c r="C1021" s="289" t="str">
        <f>RES_BA!D173</f>
        <v>Other Direct Costs Category 5</v>
      </c>
      <c r="M1021" s="290">
        <f>RES_BA!R173</f>
        <v>0</v>
      </c>
      <c r="O1021" s="290">
        <f>RES_BA!S173</f>
        <v>0</v>
      </c>
      <c r="Q1021" s="290">
        <f>RES_BA!T173</f>
        <v>0</v>
      </c>
      <c r="S1021" s="290">
        <f>RES_BA!U173</f>
        <v>0</v>
      </c>
    </row>
    <row r="1022" spans="3:19" hidden="1" outlineLevel="1" x14ac:dyDescent="0.3">
      <c r="C1022" s="289" t="str">
        <f>RES_BA!D174</f>
        <v>Other Direct Costs Category 6</v>
      </c>
      <c r="M1022" s="290">
        <f>RES_BA!R174</f>
        <v>0</v>
      </c>
      <c r="O1022" s="290">
        <f>RES_BA!S174</f>
        <v>0</v>
      </c>
      <c r="Q1022" s="290">
        <f>RES_BA!T174</f>
        <v>0</v>
      </c>
      <c r="S1022" s="290">
        <f>RES_BA!U174</f>
        <v>0</v>
      </c>
    </row>
    <row r="1023" spans="3:19" hidden="1" outlineLevel="1" x14ac:dyDescent="0.3">
      <c r="C1023" s="289" t="str">
        <f>RES_BA!D175</f>
        <v>Other Direct Costs Category 7</v>
      </c>
      <c r="M1023" s="290">
        <f>RES_BA!R175</f>
        <v>0</v>
      </c>
      <c r="O1023" s="290">
        <f>RES_BA!S175</f>
        <v>0</v>
      </c>
      <c r="Q1023" s="290">
        <f>RES_BA!T175</f>
        <v>0</v>
      </c>
      <c r="S1023" s="290">
        <f>RES_BA!U175</f>
        <v>0</v>
      </c>
    </row>
    <row r="1024" spans="3:19" hidden="1" outlineLevel="1" x14ac:dyDescent="0.3">
      <c r="C1024" s="289" t="str">
        <f>RES_BA!D176</f>
        <v>Other Direct Costs Category 8</v>
      </c>
      <c r="M1024" s="290">
        <f>RES_BA!R176</f>
        <v>0</v>
      </c>
      <c r="O1024" s="290">
        <f>RES_BA!S176</f>
        <v>0</v>
      </c>
      <c r="Q1024" s="290">
        <f>RES_BA!T176</f>
        <v>0</v>
      </c>
      <c r="S1024" s="290">
        <f>RES_BA!U176</f>
        <v>0</v>
      </c>
    </row>
    <row r="1025" spans="3:19" hidden="1" outlineLevel="1" x14ac:dyDescent="0.3">
      <c r="C1025" s="289" t="str">
        <f>RES_BA!D177</f>
        <v>Other Direct Costs Category 9</v>
      </c>
      <c r="M1025" s="290">
        <f>RES_BA!R177</f>
        <v>0</v>
      </c>
      <c r="O1025" s="290">
        <f>RES_BA!S177</f>
        <v>0</v>
      </c>
      <c r="Q1025" s="290">
        <f>RES_BA!T177</f>
        <v>0</v>
      </c>
      <c r="S1025" s="290">
        <f>RES_BA!U177</f>
        <v>0</v>
      </c>
    </row>
    <row r="1026" spans="3:19" hidden="1" outlineLevel="1" x14ac:dyDescent="0.3">
      <c r="C1026" s="289" t="str">
        <f>RES_BA!D178</f>
        <v>Other Direct Costs Category 10</v>
      </c>
      <c r="M1026" s="290">
        <f>RES_BA!R178</f>
        <v>0</v>
      </c>
      <c r="O1026" s="290">
        <f>RES_BA!S178</f>
        <v>0</v>
      </c>
      <c r="Q1026" s="290">
        <f>RES_BA!T178</f>
        <v>0</v>
      </c>
      <c r="S1026" s="290">
        <f>RES_BA!U178</f>
        <v>0</v>
      </c>
    </row>
    <row r="1027" spans="3:19" hidden="1" outlineLevel="1" x14ac:dyDescent="0.3">
      <c r="C1027" s="289" t="str">
        <f>RES_BA!D179</f>
        <v>Other Direct Costs Category 11</v>
      </c>
      <c r="M1027" s="290">
        <f>RES_BA!R179</f>
        <v>0</v>
      </c>
      <c r="O1027" s="290">
        <f>RES_BA!S179</f>
        <v>0</v>
      </c>
      <c r="Q1027" s="290">
        <f>RES_BA!T179</f>
        <v>0</v>
      </c>
      <c r="S1027" s="290">
        <f>RES_BA!U179</f>
        <v>0</v>
      </c>
    </row>
    <row r="1028" spans="3:19" s="277" customFormat="1" hidden="1" outlineLevel="1" collapsed="1" x14ac:dyDescent="0.3">
      <c r="C1028" s="283" t="str">
        <f>RES_BA!D180</f>
        <v>Other Direct Costs Category 12</v>
      </c>
      <c r="M1028" s="279">
        <f>RES_BA!R180</f>
        <v>0</v>
      </c>
      <c r="O1028" s="279">
        <f>RES_BA!S180</f>
        <v>0</v>
      </c>
      <c r="Q1028" s="279">
        <f>RES_BA!T180</f>
        <v>0</v>
      </c>
      <c r="S1028" s="279">
        <f>RES_BA!U180</f>
        <v>0</v>
      </c>
    </row>
    <row r="1029" spans="3:19" s="277" customFormat="1" hidden="1" outlineLevel="1" x14ac:dyDescent="0.3">
      <c r="C1029" s="283" t="str">
        <f>RES_BA!D181</f>
        <v>Other Direct Costs Category 13</v>
      </c>
      <c r="M1029" s="279">
        <f>RES_BA!R181</f>
        <v>0</v>
      </c>
      <c r="O1029" s="279">
        <f>RES_BA!S181</f>
        <v>0</v>
      </c>
      <c r="Q1029" s="279">
        <f>RES_BA!T181</f>
        <v>0</v>
      </c>
      <c r="S1029" s="279">
        <f>RES_BA!U181</f>
        <v>0</v>
      </c>
    </row>
    <row r="1030" spans="3:19" s="277" customFormat="1" hidden="1" outlineLevel="1" x14ac:dyDescent="0.3">
      <c r="C1030" s="283" t="str">
        <f>RES_BA!D182</f>
        <v>Other Direct Costs Category 14</v>
      </c>
      <c r="M1030" s="279">
        <f>RES_BA!R182</f>
        <v>0</v>
      </c>
      <c r="O1030" s="279">
        <f>RES_BA!S182</f>
        <v>0</v>
      </c>
      <c r="Q1030" s="279">
        <f>RES_BA!T182</f>
        <v>0</v>
      </c>
      <c r="S1030" s="279">
        <f>RES_BA!U182</f>
        <v>0</v>
      </c>
    </row>
    <row r="1031" spans="3:19" s="277" customFormat="1" hidden="1" outlineLevel="1" x14ac:dyDescent="0.3">
      <c r="C1031" s="283" t="str">
        <f>RES_BA!D183</f>
        <v>Other Direct Costs Category 15</v>
      </c>
      <c r="M1031" s="279">
        <f>RES_BA!R183</f>
        <v>0</v>
      </c>
      <c r="O1031" s="279">
        <f>RES_BA!S183</f>
        <v>0</v>
      </c>
      <c r="Q1031" s="279">
        <f>RES_BA!T183</f>
        <v>0</v>
      </c>
      <c r="S1031" s="279">
        <f>RES_BA!U183</f>
        <v>0</v>
      </c>
    </row>
    <row r="1032" spans="3:19" s="277" customFormat="1" hidden="1" outlineLevel="1" x14ac:dyDescent="0.3">
      <c r="C1032" s="283" t="str">
        <f>RES_BA!D184</f>
        <v>Other Direct Costs Category 16</v>
      </c>
      <c r="M1032" s="279">
        <f>RES_BA!R184</f>
        <v>0</v>
      </c>
      <c r="O1032" s="279">
        <f>RES_BA!S184</f>
        <v>0</v>
      </c>
      <c r="Q1032" s="279">
        <f>RES_BA!T184</f>
        <v>0</v>
      </c>
      <c r="S1032" s="279">
        <f>RES_BA!U184</f>
        <v>0</v>
      </c>
    </row>
    <row r="1033" spans="3:19" s="277" customFormat="1" hidden="1" outlineLevel="1" x14ac:dyDescent="0.3">
      <c r="C1033" s="283" t="str">
        <f>RES_BA!D185</f>
        <v>Other Direct Costs Category 17</v>
      </c>
      <c r="M1033" s="279">
        <f>RES_BA!R185</f>
        <v>0</v>
      </c>
      <c r="O1033" s="279">
        <f>RES_BA!S185</f>
        <v>0</v>
      </c>
      <c r="Q1033" s="279">
        <f>RES_BA!T185</f>
        <v>0</v>
      </c>
      <c r="S1033" s="279">
        <f>RES_BA!U185</f>
        <v>0</v>
      </c>
    </row>
    <row r="1034" spans="3:19" s="277" customFormat="1" hidden="1" outlineLevel="1" x14ac:dyDescent="0.3">
      <c r="C1034" s="283" t="str">
        <f>RES_BA!D186</f>
        <v>Other Direct Costs Category 18</v>
      </c>
      <c r="M1034" s="279">
        <f>RES_BA!R186</f>
        <v>0</v>
      </c>
      <c r="O1034" s="279">
        <f>RES_BA!S186</f>
        <v>0</v>
      </c>
      <c r="Q1034" s="279">
        <f>RES_BA!T186</f>
        <v>0</v>
      </c>
      <c r="S1034" s="279">
        <f>RES_BA!U186</f>
        <v>0</v>
      </c>
    </row>
    <row r="1035" spans="3:19" s="277" customFormat="1" hidden="1" outlineLevel="1" x14ac:dyDescent="0.3">
      <c r="C1035" s="283" t="str">
        <f>RES_BA!D187</f>
        <v>Other Direct Costs Category 19</v>
      </c>
      <c r="M1035" s="279">
        <f>RES_BA!R187</f>
        <v>0</v>
      </c>
      <c r="O1035" s="279">
        <f>RES_BA!S187</f>
        <v>0</v>
      </c>
      <c r="Q1035" s="279">
        <f>RES_BA!T187</f>
        <v>0</v>
      </c>
      <c r="S1035" s="279">
        <f>RES_BA!U187</f>
        <v>0</v>
      </c>
    </row>
    <row r="1036" spans="3:19" s="277" customFormat="1" hidden="1" outlineLevel="1" x14ac:dyDescent="0.3">
      <c r="C1036" s="283" t="str">
        <f>RES_BA!D188</f>
        <v>Other Direct Costs Category 20</v>
      </c>
      <c r="M1036" s="279">
        <f>RES_BA!R188</f>
        <v>0</v>
      </c>
      <c r="O1036" s="279">
        <f>RES_BA!S188</f>
        <v>0</v>
      </c>
      <c r="Q1036" s="279">
        <f>RES_BA!T188</f>
        <v>0</v>
      </c>
      <c r="S1036" s="279">
        <f>RES_BA!U188</f>
        <v>0</v>
      </c>
    </row>
    <row r="1037" spans="3:19" s="277" customFormat="1" hidden="1" outlineLevel="1" x14ac:dyDescent="0.3">
      <c r="C1037" s="283" t="str">
        <f>RES_BA!D189</f>
        <v>Other Direct Costs Category 21</v>
      </c>
      <c r="M1037" s="279">
        <f>RES_BA!R189</f>
        <v>0</v>
      </c>
      <c r="O1037" s="279">
        <f>RES_BA!S189</f>
        <v>0</v>
      </c>
      <c r="Q1037" s="279">
        <f>RES_BA!T189</f>
        <v>0</v>
      </c>
      <c r="S1037" s="279">
        <f>RES_BA!U189</f>
        <v>0</v>
      </c>
    </row>
    <row r="1038" spans="3:19" hidden="1" outlineLevel="1" x14ac:dyDescent="0.3">
      <c r="C1038" s="289" t="str">
        <f>RES_BA!D190</f>
        <v>Other Direct Costs Category 22</v>
      </c>
      <c r="M1038" s="290">
        <f>RES_BA!R190</f>
        <v>0</v>
      </c>
      <c r="O1038" s="290">
        <f>RES_BA!S190</f>
        <v>0</v>
      </c>
      <c r="Q1038" s="290">
        <f>RES_BA!T190</f>
        <v>0</v>
      </c>
      <c r="S1038" s="290">
        <f>RES_BA!U190</f>
        <v>0</v>
      </c>
    </row>
    <row r="1039" spans="3:19" hidden="1" outlineLevel="1" x14ac:dyDescent="0.3">
      <c r="C1039" s="289" t="str">
        <f>RES_BA!D191</f>
        <v>Other Direct Costs Category 23</v>
      </c>
      <c r="M1039" s="290">
        <f>RES_BA!R191</f>
        <v>0</v>
      </c>
      <c r="O1039" s="290">
        <f>RES_BA!S191</f>
        <v>0</v>
      </c>
      <c r="Q1039" s="290">
        <f>RES_BA!T191</f>
        <v>0</v>
      </c>
      <c r="S1039" s="290">
        <f>RES_BA!U191</f>
        <v>0</v>
      </c>
    </row>
    <row r="1040" spans="3:19" hidden="1" outlineLevel="1" collapsed="1" x14ac:dyDescent="0.3">
      <c r="C1040" s="289" t="str">
        <f>RES_BA!D192</f>
        <v>Other Direct Costs Category 24</v>
      </c>
      <c r="M1040" s="290">
        <f>RES_BA!R192</f>
        <v>0</v>
      </c>
      <c r="O1040" s="290">
        <f>RES_BA!S192</f>
        <v>0</v>
      </c>
      <c r="Q1040" s="290">
        <f>RES_BA!T192</f>
        <v>0</v>
      </c>
      <c r="S1040" s="290">
        <f>RES_BA!U192</f>
        <v>0</v>
      </c>
    </row>
    <row r="1041" spans="3:19" hidden="1" outlineLevel="1" x14ac:dyDescent="0.3">
      <c r="C1041" s="289" t="str">
        <f>RES_BA!D193</f>
        <v>Other Direct Costs Category 25</v>
      </c>
      <c r="M1041" s="290">
        <f>RES_BA!R193</f>
        <v>0</v>
      </c>
      <c r="O1041" s="290">
        <f>RES_BA!S193</f>
        <v>0</v>
      </c>
      <c r="Q1041" s="290">
        <f>RES_BA!T193</f>
        <v>0</v>
      </c>
      <c r="S1041" s="290">
        <f>RES_BA!U193</f>
        <v>0</v>
      </c>
    </row>
    <row r="1042" spans="3:19" hidden="1" outlineLevel="1" x14ac:dyDescent="0.3">
      <c r="C1042" s="289" t="str">
        <f>RES_BA!D194</f>
        <v>Other Direct Costs Category 26</v>
      </c>
      <c r="M1042" s="290">
        <f>RES_BA!R194</f>
        <v>0</v>
      </c>
      <c r="O1042" s="290">
        <f>RES_BA!S194</f>
        <v>0</v>
      </c>
      <c r="Q1042" s="290">
        <f>RES_BA!T194</f>
        <v>0</v>
      </c>
      <c r="S1042" s="290">
        <f>RES_BA!U194</f>
        <v>0</v>
      </c>
    </row>
    <row r="1043" spans="3:19" hidden="1" outlineLevel="1" x14ac:dyDescent="0.3">
      <c r="C1043" s="289" t="str">
        <f>RES_BA!D195</f>
        <v>Other Direct Costs Category 27</v>
      </c>
      <c r="M1043" s="290">
        <f>RES_BA!R195</f>
        <v>0</v>
      </c>
      <c r="O1043" s="290">
        <f>RES_BA!S195</f>
        <v>0</v>
      </c>
      <c r="Q1043" s="290">
        <f>RES_BA!T195</f>
        <v>0</v>
      </c>
      <c r="S1043" s="290">
        <f>RES_BA!U195</f>
        <v>0</v>
      </c>
    </row>
    <row r="1044" spans="3:19" hidden="1" outlineLevel="1" x14ac:dyDescent="0.3">
      <c r="C1044" s="289" t="str">
        <f>RES_BA!D196</f>
        <v>Other Direct Costs Category 28</v>
      </c>
      <c r="M1044" s="290">
        <f>RES_BA!R196</f>
        <v>0</v>
      </c>
      <c r="O1044" s="290">
        <f>RES_BA!S196</f>
        <v>0</v>
      </c>
      <c r="Q1044" s="290">
        <f>RES_BA!T196</f>
        <v>0</v>
      </c>
      <c r="S1044" s="290">
        <f>RES_BA!U196</f>
        <v>0</v>
      </c>
    </row>
    <row r="1045" spans="3:19" hidden="1" outlineLevel="1" x14ac:dyDescent="0.3">
      <c r="C1045" s="289" t="str">
        <f>RES_BA!D197</f>
        <v>Other Direct Costs Category 29</v>
      </c>
      <c r="M1045" s="290">
        <f>RES_BA!R197</f>
        <v>0</v>
      </c>
      <c r="O1045" s="290">
        <f>RES_BA!S197</f>
        <v>0</v>
      </c>
      <c r="Q1045" s="290">
        <f>RES_BA!T197</f>
        <v>0</v>
      </c>
      <c r="S1045" s="290">
        <f>RES_BA!U197</f>
        <v>0</v>
      </c>
    </row>
    <row r="1046" spans="3:19" hidden="1" outlineLevel="1" x14ac:dyDescent="0.3">
      <c r="C1046" s="289" t="str">
        <f>RES_BA!D198</f>
        <v>Other Direct Costs Category 30</v>
      </c>
      <c r="M1046" s="290">
        <f>RES_BA!R198</f>
        <v>0</v>
      </c>
      <c r="O1046" s="290">
        <f>RES_BA!S198</f>
        <v>0</v>
      </c>
      <c r="Q1046" s="290">
        <f>RES_BA!T198</f>
        <v>0</v>
      </c>
      <c r="S1046" s="290">
        <f>RES_BA!U198</f>
        <v>0</v>
      </c>
    </row>
    <row r="1047" spans="3:19" hidden="1" outlineLevel="1" x14ac:dyDescent="0.3">
      <c r="C1047" s="289" t="str">
        <f>RES_BA!D199</f>
        <v>Other Direct Costs Category 31</v>
      </c>
      <c r="M1047" s="290">
        <f>RES_BA!R199</f>
        <v>0</v>
      </c>
      <c r="O1047" s="290">
        <f>RES_BA!S199</f>
        <v>0</v>
      </c>
      <c r="Q1047" s="290">
        <f>RES_BA!T199</f>
        <v>0</v>
      </c>
      <c r="S1047" s="290">
        <f>RES_BA!U199</f>
        <v>0</v>
      </c>
    </row>
    <row r="1048" spans="3:19" hidden="1" outlineLevel="1" x14ac:dyDescent="0.3">
      <c r="C1048" s="289" t="str">
        <f>RES_BA!D200</f>
        <v>Other Direct Costs Category 32</v>
      </c>
      <c r="M1048" s="290">
        <f>RES_BA!R200</f>
        <v>0</v>
      </c>
      <c r="O1048" s="290">
        <f>RES_BA!S200</f>
        <v>0</v>
      </c>
      <c r="Q1048" s="290">
        <f>RES_BA!T200</f>
        <v>0</v>
      </c>
      <c r="S1048" s="290">
        <f>RES_BA!U200</f>
        <v>0</v>
      </c>
    </row>
    <row r="1049" spans="3:19" hidden="1" outlineLevel="1" x14ac:dyDescent="0.3">
      <c r="C1049" s="289" t="str">
        <f>RES_BA!D201</f>
        <v>Other Direct Costs Category 33</v>
      </c>
      <c r="M1049" s="290">
        <f>RES_BA!R201</f>
        <v>0</v>
      </c>
      <c r="O1049" s="290">
        <f>RES_BA!S201</f>
        <v>0</v>
      </c>
      <c r="Q1049" s="290">
        <f>RES_BA!T201</f>
        <v>0</v>
      </c>
      <c r="S1049" s="290">
        <f>RES_BA!U201</f>
        <v>0</v>
      </c>
    </row>
    <row r="1050" spans="3:19" hidden="1" outlineLevel="1" x14ac:dyDescent="0.3">
      <c r="C1050" s="289" t="str">
        <f>RES_BA!D202</f>
        <v>Other Direct Costs Category 34</v>
      </c>
      <c r="M1050" s="290">
        <f>RES_BA!R202</f>
        <v>0</v>
      </c>
      <c r="O1050" s="290">
        <f>RES_BA!S202</f>
        <v>0</v>
      </c>
      <c r="Q1050" s="290">
        <f>RES_BA!T202</f>
        <v>0</v>
      </c>
      <c r="S1050" s="290">
        <f>RES_BA!U202</f>
        <v>0</v>
      </c>
    </row>
    <row r="1051" spans="3:19" hidden="1" outlineLevel="1" x14ac:dyDescent="0.3">
      <c r="C1051" s="289" t="str">
        <f>RES_BA!D203</f>
        <v>Other Direct Costs Category 35</v>
      </c>
      <c r="M1051" s="290">
        <f>RES_BA!R203</f>
        <v>0</v>
      </c>
      <c r="O1051" s="290">
        <f>RES_BA!S203</f>
        <v>0</v>
      </c>
      <c r="Q1051" s="290">
        <f>RES_BA!T203</f>
        <v>0</v>
      </c>
      <c r="S1051" s="290">
        <f>RES_BA!U203</f>
        <v>0</v>
      </c>
    </row>
    <row r="1052" spans="3:19" collapsed="1" x14ac:dyDescent="0.3"/>
  </sheetData>
  <sheetProtection algorithmName="SHA-512" hashValue="u4p4aFUH1NgXDLpMS9Co9xRRdqreKbmlYc+xXI0rf/hQ++rVE1XOlRILEIqihT6gUQ7dvMzHvVvbeeTlidif1w==" saltValue="Bqr5ihgCrirWjXNqAY5TLA==" spinCount="100000" sheet="1" objects="1" scenarios="1" formatColumns="0" formatRows="0"/>
  <mergeCells count="790">
    <mergeCell ref="D853:G853"/>
    <mergeCell ref="U834:X834"/>
    <mergeCell ref="U835:X835"/>
    <mergeCell ref="U836:X836"/>
    <mergeCell ref="U837:X837"/>
    <mergeCell ref="U838:X838"/>
    <mergeCell ref="U839:X839"/>
    <mergeCell ref="U840:X840"/>
    <mergeCell ref="U841:X841"/>
    <mergeCell ref="U842:X842"/>
    <mergeCell ref="U843:X843"/>
    <mergeCell ref="U844:X844"/>
    <mergeCell ref="U845:X845"/>
    <mergeCell ref="U846:X846"/>
    <mergeCell ref="U847:X847"/>
    <mergeCell ref="U848:X848"/>
    <mergeCell ref="U849:X849"/>
    <mergeCell ref="U850:X850"/>
    <mergeCell ref="U851:X851"/>
    <mergeCell ref="U852:X852"/>
    <mergeCell ref="U853:X853"/>
    <mergeCell ref="U790:X790"/>
    <mergeCell ref="U791:X791"/>
    <mergeCell ref="U792:X792"/>
    <mergeCell ref="U793:X793"/>
    <mergeCell ref="U794:X794"/>
    <mergeCell ref="D834:G834"/>
    <mergeCell ref="D835:G835"/>
    <mergeCell ref="D836:G836"/>
    <mergeCell ref="D837:G837"/>
    <mergeCell ref="U823:X823"/>
    <mergeCell ref="D790:G790"/>
    <mergeCell ref="D791:G791"/>
    <mergeCell ref="D792:G792"/>
    <mergeCell ref="D793:G793"/>
    <mergeCell ref="D794:G794"/>
    <mergeCell ref="D822:G822"/>
    <mergeCell ref="D823:G823"/>
    <mergeCell ref="U801:X801"/>
    <mergeCell ref="U802:X802"/>
    <mergeCell ref="U803:X803"/>
    <mergeCell ref="U804:X804"/>
    <mergeCell ref="U805:X805"/>
    <mergeCell ref="U806:X806"/>
    <mergeCell ref="U807:X807"/>
    <mergeCell ref="U781:X781"/>
    <mergeCell ref="U782:X782"/>
    <mergeCell ref="U783:X783"/>
    <mergeCell ref="U784:X784"/>
    <mergeCell ref="U785:X785"/>
    <mergeCell ref="U786:X786"/>
    <mergeCell ref="U787:X787"/>
    <mergeCell ref="U788:X788"/>
    <mergeCell ref="U789:X789"/>
    <mergeCell ref="U772:X772"/>
    <mergeCell ref="U773:X773"/>
    <mergeCell ref="U774:X774"/>
    <mergeCell ref="U775:X775"/>
    <mergeCell ref="U776:X776"/>
    <mergeCell ref="U777:X777"/>
    <mergeCell ref="U778:X778"/>
    <mergeCell ref="U779:X779"/>
    <mergeCell ref="U780:X780"/>
    <mergeCell ref="D772:G772"/>
    <mergeCell ref="D773:G773"/>
    <mergeCell ref="D774:G774"/>
    <mergeCell ref="D775:G775"/>
    <mergeCell ref="D776:G776"/>
    <mergeCell ref="D777:G777"/>
    <mergeCell ref="D778:G778"/>
    <mergeCell ref="D779:G779"/>
    <mergeCell ref="D780:G780"/>
    <mergeCell ref="D781:G781"/>
    <mergeCell ref="D782:G782"/>
    <mergeCell ref="D783:G783"/>
    <mergeCell ref="D784:G784"/>
    <mergeCell ref="D785:G785"/>
    <mergeCell ref="D786:G786"/>
    <mergeCell ref="D787:G787"/>
    <mergeCell ref="D788:G788"/>
    <mergeCell ref="D789:G789"/>
    <mergeCell ref="U808:X808"/>
    <mergeCell ref="U809:X809"/>
    <mergeCell ref="U810:X810"/>
    <mergeCell ref="U811:X811"/>
    <mergeCell ref="U812:X812"/>
    <mergeCell ref="U813:X813"/>
    <mergeCell ref="U814:X814"/>
    <mergeCell ref="U815:X815"/>
    <mergeCell ref="U816:X816"/>
    <mergeCell ref="U817:X817"/>
    <mergeCell ref="U818:X818"/>
    <mergeCell ref="U819:X819"/>
    <mergeCell ref="U820:X820"/>
    <mergeCell ref="U821:X821"/>
    <mergeCell ref="U822:X822"/>
    <mergeCell ref="D813:G813"/>
    <mergeCell ref="D814:G814"/>
    <mergeCell ref="D815:G815"/>
    <mergeCell ref="D816:G816"/>
    <mergeCell ref="D817:G817"/>
    <mergeCell ref="D818:G818"/>
    <mergeCell ref="D819:G819"/>
    <mergeCell ref="D820:G820"/>
    <mergeCell ref="D821:G821"/>
    <mergeCell ref="D759:G759"/>
    <mergeCell ref="D760:G760"/>
    <mergeCell ref="D761:G761"/>
    <mergeCell ref="D762:G762"/>
    <mergeCell ref="D763:G763"/>
    <mergeCell ref="U747:X747"/>
    <mergeCell ref="U748:X748"/>
    <mergeCell ref="U749:X749"/>
    <mergeCell ref="U750:X750"/>
    <mergeCell ref="U751:X751"/>
    <mergeCell ref="U752:X752"/>
    <mergeCell ref="U753:X753"/>
    <mergeCell ref="U754:X754"/>
    <mergeCell ref="U755:X755"/>
    <mergeCell ref="U756:X756"/>
    <mergeCell ref="U757:X757"/>
    <mergeCell ref="U758:X758"/>
    <mergeCell ref="U759:X759"/>
    <mergeCell ref="U760:X760"/>
    <mergeCell ref="U761:X761"/>
    <mergeCell ref="U762:X762"/>
    <mergeCell ref="U763:X763"/>
    <mergeCell ref="D733:G733"/>
    <mergeCell ref="D734:G734"/>
    <mergeCell ref="U718:X718"/>
    <mergeCell ref="U719:X719"/>
    <mergeCell ref="U720:X720"/>
    <mergeCell ref="U721:X721"/>
    <mergeCell ref="U722:X722"/>
    <mergeCell ref="U723:X723"/>
    <mergeCell ref="U724:X724"/>
    <mergeCell ref="U725:X725"/>
    <mergeCell ref="U726:X726"/>
    <mergeCell ref="U727:X727"/>
    <mergeCell ref="U728:X728"/>
    <mergeCell ref="U729:X729"/>
    <mergeCell ref="U730:X730"/>
    <mergeCell ref="U731:X731"/>
    <mergeCell ref="U732:X732"/>
    <mergeCell ref="U733:X733"/>
    <mergeCell ref="U734:X734"/>
    <mergeCell ref="D724:G724"/>
    <mergeCell ref="D725:G725"/>
    <mergeCell ref="D726:G726"/>
    <mergeCell ref="D727:G727"/>
    <mergeCell ref="D728:G728"/>
    <mergeCell ref="U501:X501"/>
    <mergeCell ref="D729:G729"/>
    <mergeCell ref="D730:G730"/>
    <mergeCell ref="D731:G731"/>
    <mergeCell ref="D732:G732"/>
    <mergeCell ref="U502:X502"/>
    <mergeCell ref="U503:X503"/>
    <mergeCell ref="U504:X504"/>
    <mergeCell ref="D718:G718"/>
    <mergeCell ref="D719:G719"/>
    <mergeCell ref="D720:G720"/>
    <mergeCell ref="D721:G721"/>
    <mergeCell ref="D722:G722"/>
    <mergeCell ref="D723:G723"/>
    <mergeCell ref="D513:G513"/>
    <mergeCell ref="I706:M706"/>
    <mergeCell ref="U709:X709"/>
    <mergeCell ref="D710:G710"/>
    <mergeCell ref="U710:X710"/>
    <mergeCell ref="D711:G711"/>
    <mergeCell ref="U711:X711"/>
    <mergeCell ref="D717:G717"/>
    <mergeCell ref="U717:X717"/>
    <mergeCell ref="D497:G497"/>
    <mergeCell ref="D498:G498"/>
    <mergeCell ref="D499:G499"/>
    <mergeCell ref="D500:G500"/>
    <mergeCell ref="D501:G501"/>
    <mergeCell ref="D502:G502"/>
    <mergeCell ref="D503:G503"/>
    <mergeCell ref="D504:G504"/>
    <mergeCell ref="U485:X485"/>
    <mergeCell ref="U486:X486"/>
    <mergeCell ref="U487:X487"/>
    <mergeCell ref="U488:X488"/>
    <mergeCell ref="U489:X489"/>
    <mergeCell ref="U490:X490"/>
    <mergeCell ref="U491:X491"/>
    <mergeCell ref="U492:X492"/>
    <mergeCell ref="U493:X493"/>
    <mergeCell ref="U494:X494"/>
    <mergeCell ref="U495:X495"/>
    <mergeCell ref="U496:X496"/>
    <mergeCell ref="U497:X497"/>
    <mergeCell ref="U498:X498"/>
    <mergeCell ref="U499:X499"/>
    <mergeCell ref="U500:X500"/>
    <mergeCell ref="U441:X441"/>
    <mergeCell ref="U442:X442"/>
    <mergeCell ref="U443:X443"/>
    <mergeCell ref="U444:X444"/>
    <mergeCell ref="U445:X445"/>
    <mergeCell ref="D485:G485"/>
    <mergeCell ref="D486:G486"/>
    <mergeCell ref="D487:G487"/>
    <mergeCell ref="D488:G488"/>
    <mergeCell ref="U474:X474"/>
    <mergeCell ref="D441:G441"/>
    <mergeCell ref="D442:G442"/>
    <mergeCell ref="D443:G443"/>
    <mergeCell ref="D444:G444"/>
    <mergeCell ref="D445:G445"/>
    <mergeCell ref="D473:G473"/>
    <mergeCell ref="D474:G474"/>
    <mergeCell ref="U452:X452"/>
    <mergeCell ref="U453:X453"/>
    <mergeCell ref="U454:X454"/>
    <mergeCell ref="U455:X455"/>
    <mergeCell ref="U456:X456"/>
    <mergeCell ref="U457:X457"/>
    <mergeCell ref="U458:X458"/>
    <mergeCell ref="U432:X432"/>
    <mergeCell ref="U433:X433"/>
    <mergeCell ref="U434:X434"/>
    <mergeCell ref="U435:X435"/>
    <mergeCell ref="U436:X436"/>
    <mergeCell ref="U437:X437"/>
    <mergeCell ref="U438:X438"/>
    <mergeCell ref="U439:X439"/>
    <mergeCell ref="U440:X440"/>
    <mergeCell ref="U423:X423"/>
    <mergeCell ref="U424:X424"/>
    <mergeCell ref="U425:X425"/>
    <mergeCell ref="U426:X426"/>
    <mergeCell ref="U427:X427"/>
    <mergeCell ref="U428:X428"/>
    <mergeCell ref="U429:X429"/>
    <mergeCell ref="U430:X430"/>
    <mergeCell ref="U431:X431"/>
    <mergeCell ref="D423:G423"/>
    <mergeCell ref="D424:G424"/>
    <mergeCell ref="D425:G425"/>
    <mergeCell ref="D426:G426"/>
    <mergeCell ref="D427:G427"/>
    <mergeCell ref="D428:G428"/>
    <mergeCell ref="D429:G429"/>
    <mergeCell ref="D430:G430"/>
    <mergeCell ref="D431:G431"/>
    <mergeCell ref="D432:G432"/>
    <mergeCell ref="D433:G433"/>
    <mergeCell ref="D434:G434"/>
    <mergeCell ref="D435:G435"/>
    <mergeCell ref="D436:G436"/>
    <mergeCell ref="D437:G437"/>
    <mergeCell ref="D438:G438"/>
    <mergeCell ref="D439:G439"/>
    <mergeCell ref="D440:G440"/>
    <mergeCell ref="U459:X459"/>
    <mergeCell ref="U460:X460"/>
    <mergeCell ref="U461:X461"/>
    <mergeCell ref="U462:X462"/>
    <mergeCell ref="U463:X463"/>
    <mergeCell ref="U464:X464"/>
    <mergeCell ref="U465:X465"/>
    <mergeCell ref="U466:X466"/>
    <mergeCell ref="U467:X467"/>
    <mergeCell ref="U468:X468"/>
    <mergeCell ref="U469:X469"/>
    <mergeCell ref="U470:X470"/>
    <mergeCell ref="U471:X471"/>
    <mergeCell ref="U472:X472"/>
    <mergeCell ref="U473:X473"/>
    <mergeCell ref="D464:G464"/>
    <mergeCell ref="D465:G465"/>
    <mergeCell ref="D466:G466"/>
    <mergeCell ref="D467:G467"/>
    <mergeCell ref="D468:G468"/>
    <mergeCell ref="D469:G469"/>
    <mergeCell ref="D470:G470"/>
    <mergeCell ref="D471:G471"/>
    <mergeCell ref="D472:G472"/>
    <mergeCell ref="D414:G414"/>
    <mergeCell ref="U398:X398"/>
    <mergeCell ref="U399:X399"/>
    <mergeCell ref="U400:X400"/>
    <mergeCell ref="U401:X401"/>
    <mergeCell ref="U402:X402"/>
    <mergeCell ref="U403:X403"/>
    <mergeCell ref="U404:X404"/>
    <mergeCell ref="U405:X405"/>
    <mergeCell ref="U406:X406"/>
    <mergeCell ref="U407:X407"/>
    <mergeCell ref="U408:X408"/>
    <mergeCell ref="U409:X409"/>
    <mergeCell ref="U410:X410"/>
    <mergeCell ref="U411:X411"/>
    <mergeCell ref="U412:X412"/>
    <mergeCell ref="U413:X413"/>
    <mergeCell ref="U414:X414"/>
    <mergeCell ref="U153:X153"/>
    <mergeCell ref="U154:X154"/>
    <mergeCell ref="U155:X155"/>
    <mergeCell ref="D369:G369"/>
    <mergeCell ref="D370:G370"/>
    <mergeCell ref="D371:G371"/>
    <mergeCell ref="D372:G372"/>
    <mergeCell ref="D373:G373"/>
    <mergeCell ref="D374:G374"/>
    <mergeCell ref="U369:X369"/>
    <mergeCell ref="U370:X370"/>
    <mergeCell ref="U371:X371"/>
    <mergeCell ref="U372:X372"/>
    <mergeCell ref="U373:X373"/>
    <mergeCell ref="U374:X374"/>
    <mergeCell ref="D361:G361"/>
    <mergeCell ref="U361:X361"/>
    <mergeCell ref="D362:G362"/>
    <mergeCell ref="U362:X362"/>
    <mergeCell ref="D164:G164"/>
    <mergeCell ref="D363:G363"/>
    <mergeCell ref="U363:X363"/>
    <mergeCell ref="D367:G367"/>
    <mergeCell ref="U367:X367"/>
    <mergeCell ref="D149:G149"/>
    <mergeCell ref="D150:G150"/>
    <mergeCell ref="D151:G151"/>
    <mergeCell ref="D152:G152"/>
    <mergeCell ref="D153:G153"/>
    <mergeCell ref="D154:G154"/>
    <mergeCell ref="D155:G155"/>
    <mergeCell ref="U136:X136"/>
    <mergeCell ref="U137:X137"/>
    <mergeCell ref="U138:X138"/>
    <mergeCell ref="U139:X139"/>
    <mergeCell ref="U140:X140"/>
    <mergeCell ref="U141:X141"/>
    <mergeCell ref="U142:X142"/>
    <mergeCell ref="U143:X143"/>
    <mergeCell ref="U144:X144"/>
    <mergeCell ref="U145:X145"/>
    <mergeCell ref="U146:X146"/>
    <mergeCell ref="U147:X147"/>
    <mergeCell ref="U148:X148"/>
    <mergeCell ref="U149:X149"/>
    <mergeCell ref="U150:X150"/>
    <mergeCell ref="U151:X151"/>
    <mergeCell ref="U152:X152"/>
    <mergeCell ref="D140:G140"/>
    <mergeCell ref="D141:G141"/>
    <mergeCell ref="D142:G142"/>
    <mergeCell ref="D143:G143"/>
    <mergeCell ref="D144:G144"/>
    <mergeCell ref="D145:G145"/>
    <mergeCell ref="D146:G146"/>
    <mergeCell ref="D147:G147"/>
    <mergeCell ref="D148:G148"/>
    <mergeCell ref="D137:G137"/>
    <mergeCell ref="D138:G138"/>
    <mergeCell ref="D139:G139"/>
    <mergeCell ref="U118:X118"/>
    <mergeCell ref="U119:X119"/>
    <mergeCell ref="U120:X120"/>
    <mergeCell ref="U121:X121"/>
    <mergeCell ref="U122:X122"/>
    <mergeCell ref="U123:X123"/>
    <mergeCell ref="U124:X124"/>
    <mergeCell ref="U125:X125"/>
    <mergeCell ref="D118:G118"/>
    <mergeCell ref="D131:G131"/>
    <mergeCell ref="U131:X131"/>
    <mergeCell ref="U89:X89"/>
    <mergeCell ref="U90:X90"/>
    <mergeCell ref="U91:X91"/>
    <mergeCell ref="U92:X92"/>
    <mergeCell ref="U93:X93"/>
    <mergeCell ref="U94:X94"/>
    <mergeCell ref="U95:X95"/>
    <mergeCell ref="U96:X96"/>
    <mergeCell ref="D136:G136"/>
    <mergeCell ref="D112:G112"/>
    <mergeCell ref="D113:G113"/>
    <mergeCell ref="D114:G114"/>
    <mergeCell ref="D115:G115"/>
    <mergeCell ref="D116:G116"/>
    <mergeCell ref="D117:G117"/>
    <mergeCell ref="U114:X114"/>
    <mergeCell ref="U115:X115"/>
    <mergeCell ref="U116:X116"/>
    <mergeCell ref="U117:X117"/>
    <mergeCell ref="U112:X112"/>
    <mergeCell ref="D133:G133"/>
    <mergeCell ref="U133:X133"/>
    <mergeCell ref="D134:G134"/>
    <mergeCell ref="U134:X134"/>
    <mergeCell ref="U80:X80"/>
    <mergeCell ref="U81:X81"/>
    <mergeCell ref="U82:X82"/>
    <mergeCell ref="U83:X83"/>
    <mergeCell ref="U84:X84"/>
    <mergeCell ref="U85:X85"/>
    <mergeCell ref="U86:X86"/>
    <mergeCell ref="U87:X87"/>
    <mergeCell ref="U88:X88"/>
    <mergeCell ref="D97:G97"/>
    <mergeCell ref="D80:G80"/>
    <mergeCell ref="D81:G81"/>
    <mergeCell ref="D82:G82"/>
    <mergeCell ref="D83:G83"/>
    <mergeCell ref="D84:G84"/>
    <mergeCell ref="D85:G85"/>
    <mergeCell ref="D86:G86"/>
    <mergeCell ref="D87:G87"/>
    <mergeCell ref="D88:G88"/>
    <mergeCell ref="D96:G96"/>
    <mergeCell ref="D65:G65"/>
    <mergeCell ref="D89:G89"/>
    <mergeCell ref="D90:G90"/>
    <mergeCell ref="D91:G91"/>
    <mergeCell ref="D92:G92"/>
    <mergeCell ref="D93:G93"/>
    <mergeCell ref="D94:G94"/>
    <mergeCell ref="D95:G95"/>
    <mergeCell ref="D66:G66"/>
    <mergeCell ref="U71:X71"/>
    <mergeCell ref="D72:G72"/>
    <mergeCell ref="U72:X72"/>
    <mergeCell ref="D73:G73"/>
    <mergeCell ref="U73:X73"/>
    <mergeCell ref="U65:X65"/>
    <mergeCell ref="D111:G111"/>
    <mergeCell ref="U50:X50"/>
    <mergeCell ref="U51:X51"/>
    <mergeCell ref="U52:X52"/>
    <mergeCell ref="U53:X53"/>
    <mergeCell ref="U54:X54"/>
    <mergeCell ref="U55:X55"/>
    <mergeCell ref="U56:X56"/>
    <mergeCell ref="U57:X57"/>
    <mergeCell ref="U103:X103"/>
    <mergeCell ref="U104:X104"/>
    <mergeCell ref="U105:X105"/>
    <mergeCell ref="U106:X106"/>
    <mergeCell ref="U107:X107"/>
    <mergeCell ref="U108:X108"/>
    <mergeCell ref="U109:X109"/>
    <mergeCell ref="U110:X110"/>
    <mergeCell ref="U58:X58"/>
    <mergeCell ref="U59:X59"/>
    <mergeCell ref="U60:X60"/>
    <mergeCell ref="U61:X61"/>
    <mergeCell ref="U62:X62"/>
    <mergeCell ref="U63:X63"/>
    <mergeCell ref="U64:X64"/>
    <mergeCell ref="D53:G53"/>
    <mergeCell ref="D54:G54"/>
    <mergeCell ref="D55:G55"/>
    <mergeCell ref="D56:G56"/>
    <mergeCell ref="D57:G57"/>
    <mergeCell ref="D58:G58"/>
    <mergeCell ref="D59:G59"/>
    <mergeCell ref="D60:G60"/>
    <mergeCell ref="D61:G61"/>
    <mergeCell ref="D62:G62"/>
    <mergeCell ref="D63:G63"/>
    <mergeCell ref="D64:G64"/>
    <mergeCell ref="U29:X29"/>
    <mergeCell ref="U30:X30"/>
    <mergeCell ref="U31:X31"/>
    <mergeCell ref="U32:X32"/>
    <mergeCell ref="U33:X33"/>
    <mergeCell ref="U34:X34"/>
    <mergeCell ref="U35:X35"/>
    <mergeCell ref="U36:X36"/>
    <mergeCell ref="D49:G49"/>
    <mergeCell ref="D29:G29"/>
    <mergeCell ref="D30:G30"/>
    <mergeCell ref="D31:G31"/>
    <mergeCell ref="D32:G32"/>
    <mergeCell ref="D33:G33"/>
    <mergeCell ref="D34:G34"/>
    <mergeCell ref="D35:G35"/>
    <mergeCell ref="D36:G36"/>
    <mergeCell ref="U43:X43"/>
    <mergeCell ref="U49:X49"/>
    <mergeCell ref="U20:X20"/>
    <mergeCell ref="U21:X21"/>
    <mergeCell ref="U22:X22"/>
    <mergeCell ref="U23:X23"/>
    <mergeCell ref="U24:X24"/>
    <mergeCell ref="U25:X25"/>
    <mergeCell ref="U26:X26"/>
    <mergeCell ref="U27:X27"/>
    <mergeCell ref="U28:X28"/>
    <mergeCell ref="D20:G20"/>
    <mergeCell ref="D21:G21"/>
    <mergeCell ref="D22:G22"/>
    <mergeCell ref="D23:G23"/>
    <mergeCell ref="D24:G24"/>
    <mergeCell ref="D25:G25"/>
    <mergeCell ref="D26:G26"/>
    <mergeCell ref="D27:G27"/>
    <mergeCell ref="D28:G28"/>
    <mergeCell ref="D384:G384"/>
    <mergeCell ref="D385:G385"/>
    <mergeCell ref="D398:G398"/>
    <mergeCell ref="D399:G399"/>
    <mergeCell ref="D400:G400"/>
    <mergeCell ref="D401:G401"/>
    <mergeCell ref="D393:G393"/>
    <mergeCell ref="D50:G50"/>
    <mergeCell ref="D51:G51"/>
    <mergeCell ref="D52:G52"/>
    <mergeCell ref="D375:G375"/>
    <mergeCell ref="D376:G376"/>
    <mergeCell ref="D377:G377"/>
    <mergeCell ref="D378:G378"/>
    <mergeCell ref="D379:G379"/>
    <mergeCell ref="D380:G380"/>
    <mergeCell ref="D106:G106"/>
    <mergeCell ref="D107:G107"/>
    <mergeCell ref="D108:G108"/>
    <mergeCell ref="D109:G109"/>
    <mergeCell ref="D110:G110"/>
    <mergeCell ref="D119:G119"/>
    <mergeCell ref="D120:G120"/>
    <mergeCell ref="D121:G121"/>
    <mergeCell ref="B3:F3"/>
    <mergeCell ref="D135:G135"/>
    <mergeCell ref="U135:X135"/>
    <mergeCell ref="D102:G102"/>
    <mergeCell ref="U102:X102"/>
    <mergeCell ref="D126:G126"/>
    <mergeCell ref="U130:X130"/>
    <mergeCell ref="D156:G156"/>
    <mergeCell ref="D163:G163"/>
    <mergeCell ref="D44:G44"/>
    <mergeCell ref="U44:X44"/>
    <mergeCell ref="D45:G45"/>
    <mergeCell ref="U45:X45"/>
    <mergeCell ref="D46:G46"/>
    <mergeCell ref="U46:X46"/>
    <mergeCell ref="D47:G47"/>
    <mergeCell ref="U47:X47"/>
    <mergeCell ref="D48:G48"/>
    <mergeCell ref="U48:X48"/>
    <mergeCell ref="D19:G19"/>
    <mergeCell ref="U19:X19"/>
    <mergeCell ref="D37:G37"/>
    <mergeCell ref="U40:X40"/>
    <mergeCell ref="D41:G41"/>
    <mergeCell ref="U100:X100"/>
    <mergeCell ref="D101:G101"/>
    <mergeCell ref="U101:X101"/>
    <mergeCell ref="D122:G122"/>
    <mergeCell ref="D123:G123"/>
    <mergeCell ref="D124:G124"/>
    <mergeCell ref="D125:G125"/>
    <mergeCell ref="D74:G74"/>
    <mergeCell ref="D75:G75"/>
    <mergeCell ref="D76:G76"/>
    <mergeCell ref="U113:X113"/>
    <mergeCell ref="U79:X79"/>
    <mergeCell ref="U111:X111"/>
    <mergeCell ref="U74:X74"/>
    <mergeCell ref="U75:X75"/>
    <mergeCell ref="U76:X76"/>
    <mergeCell ref="U77:X77"/>
    <mergeCell ref="U78:X78"/>
    <mergeCell ref="D77:G77"/>
    <mergeCell ref="D78:G78"/>
    <mergeCell ref="D79:G79"/>
    <mergeCell ref="D103:G103"/>
    <mergeCell ref="D104:G104"/>
    <mergeCell ref="D105:G105"/>
    <mergeCell ref="I8:M8"/>
    <mergeCell ref="U11:X11"/>
    <mergeCell ref="D12:G12"/>
    <mergeCell ref="U12:X12"/>
    <mergeCell ref="I357:M357"/>
    <mergeCell ref="U360:X360"/>
    <mergeCell ref="D13:G13"/>
    <mergeCell ref="U13:X13"/>
    <mergeCell ref="D14:G14"/>
    <mergeCell ref="U14:X14"/>
    <mergeCell ref="D15:G15"/>
    <mergeCell ref="U15:X15"/>
    <mergeCell ref="D16:G16"/>
    <mergeCell ref="U16:X16"/>
    <mergeCell ref="D17:G17"/>
    <mergeCell ref="U17:X17"/>
    <mergeCell ref="D18:G18"/>
    <mergeCell ref="U18:X18"/>
    <mergeCell ref="U41:X41"/>
    <mergeCell ref="D42:G42"/>
    <mergeCell ref="U42:X42"/>
    <mergeCell ref="D43:G43"/>
    <mergeCell ref="D132:G132"/>
    <mergeCell ref="U132:X132"/>
    <mergeCell ref="D368:G368"/>
    <mergeCell ref="U368:X368"/>
    <mergeCell ref="D386:G386"/>
    <mergeCell ref="U389:X389"/>
    <mergeCell ref="D364:G364"/>
    <mergeCell ref="U364:X364"/>
    <mergeCell ref="D365:G365"/>
    <mergeCell ref="U365:X365"/>
    <mergeCell ref="D366:G366"/>
    <mergeCell ref="U366:X366"/>
    <mergeCell ref="U375:X375"/>
    <mergeCell ref="U376:X376"/>
    <mergeCell ref="U377:X377"/>
    <mergeCell ref="U378:X378"/>
    <mergeCell ref="U379:X379"/>
    <mergeCell ref="U380:X380"/>
    <mergeCell ref="U381:X381"/>
    <mergeCell ref="U382:X382"/>
    <mergeCell ref="U383:X383"/>
    <mergeCell ref="U384:X384"/>
    <mergeCell ref="U385:X385"/>
    <mergeCell ref="D381:G381"/>
    <mergeCell ref="D382:G382"/>
    <mergeCell ref="D383:G383"/>
    <mergeCell ref="U393:X393"/>
    <mergeCell ref="D394:G394"/>
    <mergeCell ref="U394:X394"/>
    <mergeCell ref="D395:G395"/>
    <mergeCell ref="U395:X395"/>
    <mergeCell ref="D390:G390"/>
    <mergeCell ref="U390:X390"/>
    <mergeCell ref="D391:G391"/>
    <mergeCell ref="U391:X391"/>
    <mergeCell ref="D392:G392"/>
    <mergeCell ref="U392:X392"/>
    <mergeCell ref="D421:G421"/>
    <mergeCell ref="U421:X421"/>
    <mergeCell ref="D422:G422"/>
    <mergeCell ref="U422:X422"/>
    <mergeCell ref="D446:G446"/>
    <mergeCell ref="U449:X449"/>
    <mergeCell ref="D396:G396"/>
    <mergeCell ref="U396:X396"/>
    <mergeCell ref="D397:G397"/>
    <mergeCell ref="U397:X397"/>
    <mergeCell ref="D415:G415"/>
    <mergeCell ref="U420:X420"/>
    <mergeCell ref="D402:G402"/>
    <mergeCell ref="D403:G403"/>
    <mergeCell ref="D404:G404"/>
    <mergeCell ref="D405:G405"/>
    <mergeCell ref="D406:G406"/>
    <mergeCell ref="D407:G407"/>
    <mergeCell ref="D408:G408"/>
    <mergeCell ref="D409:G409"/>
    <mergeCell ref="D410:G410"/>
    <mergeCell ref="D411:G411"/>
    <mergeCell ref="D412:G412"/>
    <mergeCell ref="D413:G413"/>
    <mergeCell ref="D480:G480"/>
    <mergeCell ref="U480:X480"/>
    <mergeCell ref="D481:G481"/>
    <mergeCell ref="U481:X481"/>
    <mergeCell ref="D482:G482"/>
    <mergeCell ref="U482:X482"/>
    <mergeCell ref="D450:G450"/>
    <mergeCell ref="U450:X450"/>
    <mergeCell ref="D451:G451"/>
    <mergeCell ref="U451:X451"/>
    <mergeCell ref="D475:G475"/>
    <mergeCell ref="U479:X479"/>
    <mergeCell ref="D452:G452"/>
    <mergeCell ref="D453:G453"/>
    <mergeCell ref="D454:G454"/>
    <mergeCell ref="D455:G455"/>
    <mergeCell ref="D456:G456"/>
    <mergeCell ref="D457:G457"/>
    <mergeCell ref="D458:G458"/>
    <mergeCell ref="D459:G459"/>
    <mergeCell ref="D460:G460"/>
    <mergeCell ref="D461:G461"/>
    <mergeCell ref="D462:G462"/>
    <mergeCell ref="D463:G463"/>
    <mergeCell ref="D483:G483"/>
    <mergeCell ref="U483:X483"/>
    <mergeCell ref="D484:G484"/>
    <mergeCell ref="U484:X484"/>
    <mergeCell ref="D505:G505"/>
    <mergeCell ref="D512:G512"/>
    <mergeCell ref="D715:G715"/>
    <mergeCell ref="U715:X715"/>
    <mergeCell ref="D716:G716"/>
    <mergeCell ref="U716:X716"/>
    <mergeCell ref="D712:G712"/>
    <mergeCell ref="U712:X712"/>
    <mergeCell ref="D713:G713"/>
    <mergeCell ref="U713:X713"/>
    <mergeCell ref="D714:G714"/>
    <mergeCell ref="U714:X714"/>
    <mergeCell ref="D489:G489"/>
    <mergeCell ref="D490:G490"/>
    <mergeCell ref="D491:G491"/>
    <mergeCell ref="D492:G492"/>
    <mergeCell ref="D493:G493"/>
    <mergeCell ref="D494:G494"/>
    <mergeCell ref="D495:G495"/>
    <mergeCell ref="D496:G496"/>
    <mergeCell ref="D741:G741"/>
    <mergeCell ref="U741:X741"/>
    <mergeCell ref="D742:G742"/>
    <mergeCell ref="U742:X742"/>
    <mergeCell ref="D743:G743"/>
    <mergeCell ref="U743:X743"/>
    <mergeCell ref="D735:G735"/>
    <mergeCell ref="U738:X738"/>
    <mergeCell ref="D739:G739"/>
    <mergeCell ref="U739:X739"/>
    <mergeCell ref="D740:G740"/>
    <mergeCell ref="U740:X740"/>
    <mergeCell ref="D764:G764"/>
    <mergeCell ref="U769:X769"/>
    <mergeCell ref="D770:G770"/>
    <mergeCell ref="U770:X770"/>
    <mergeCell ref="D771:G771"/>
    <mergeCell ref="U771:X771"/>
    <mergeCell ref="D744:G744"/>
    <mergeCell ref="U744:X744"/>
    <mergeCell ref="D745:G745"/>
    <mergeCell ref="U745:X745"/>
    <mergeCell ref="D746:G746"/>
    <mergeCell ref="U746:X746"/>
    <mergeCell ref="D747:G747"/>
    <mergeCell ref="D748:G748"/>
    <mergeCell ref="D749:G749"/>
    <mergeCell ref="D750:G750"/>
    <mergeCell ref="D751:G751"/>
    <mergeCell ref="D752:G752"/>
    <mergeCell ref="D753:G753"/>
    <mergeCell ref="D754:G754"/>
    <mergeCell ref="D755:G755"/>
    <mergeCell ref="D756:G756"/>
    <mergeCell ref="D757:G757"/>
    <mergeCell ref="D758:G758"/>
    <mergeCell ref="D824:G824"/>
    <mergeCell ref="U828:X828"/>
    <mergeCell ref="D829:G829"/>
    <mergeCell ref="U829:X829"/>
    <mergeCell ref="D830:G830"/>
    <mergeCell ref="U830:X830"/>
    <mergeCell ref="D795:G795"/>
    <mergeCell ref="U798:X798"/>
    <mergeCell ref="D799:G799"/>
    <mergeCell ref="U799:X799"/>
    <mergeCell ref="D800:G800"/>
    <mergeCell ref="U800:X800"/>
    <mergeCell ref="D801:G801"/>
    <mergeCell ref="D802:G802"/>
    <mergeCell ref="D803:G803"/>
    <mergeCell ref="D804:G804"/>
    <mergeCell ref="D805:G805"/>
    <mergeCell ref="D806:G806"/>
    <mergeCell ref="D807:G807"/>
    <mergeCell ref="D808:G808"/>
    <mergeCell ref="D809:G809"/>
    <mergeCell ref="D810:G810"/>
    <mergeCell ref="D811:G811"/>
    <mergeCell ref="D812:G812"/>
    <mergeCell ref="D854:G854"/>
    <mergeCell ref="D861:G861"/>
    <mergeCell ref="D862:G862"/>
    <mergeCell ref="D831:G831"/>
    <mergeCell ref="U831:X831"/>
    <mergeCell ref="D832:G832"/>
    <mergeCell ref="U832:X832"/>
    <mergeCell ref="D833:G833"/>
    <mergeCell ref="U833:X833"/>
    <mergeCell ref="D838:G838"/>
    <mergeCell ref="D839:G839"/>
    <mergeCell ref="D840:G840"/>
    <mergeCell ref="D841:G841"/>
    <mergeCell ref="D842:G842"/>
    <mergeCell ref="D843:G843"/>
    <mergeCell ref="D844:G844"/>
    <mergeCell ref="D845:G845"/>
    <mergeCell ref="D846:G846"/>
    <mergeCell ref="D847:G847"/>
    <mergeCell ref="D848:G848"/>
    <mergeCell ref="D849:G849"/>
    <mergeCell ref="D850:G850"/>
    <mergeCell ref="D851:G851"/>
    <mergeCell ref="D852:G852"/>
  </mergeCells>
  <dataValidations count="18">
    <dataValidation type="list" allowBlank="1" showInputMessage="1" showErrorMessage="1" sqref="D131:G135 D136:G155" xr:uid="{00000000-0002-0000-1100-000000000000}">
      <formula1>LU_ACT_3_ODCS</formula1>
    </dataValidation>
    <dataValidation type="list" allowBlank="1" showInputMessage="1" showErrorMessage="1" sqref="D101:G102 D103:G125" xr:uid="{00000000-0002-0000-1100-000001000000}">
      <formula1>LU_ACT_3_Equipment</formula1>
    </dataValidation>
    <dataValidation type="list" allowBlank="1" showInputMessage="1" showErrorMessage="1" sqref="D72:G73 D74:G96" xr:uid="{00000000-0002-0000-1100-000002000000}">
      <formula1>LU_ACT_3_Supplies</formula1>
    </dataValidation>
    <dataValidation type="list" allowBlank="1" showInputMessage="1" showErrorMessage="1" sqref="D41:G48 D49:G65" xr:uid="{00000000-0002-0000-1100-000003000000}">
      <formula1>LU_ACT_3_Allowances</formula1>
    </dataValidation>
    <dataValidation type="list" allowBlank="1" showInputMessage="1" showErrorMessage="1" sqref="D12:G19 D20:G36" xr:uid="{00000000-0002-0000-1100-000004000000}">
      <formula1>LU_ACT_3_Pers_Res</formula1>
    </dataValidation>
    <dataValidation type="list" allowBlank="1" showInputMessage="1" showErrorMessage="1" sqref="D361:G368 D369:G385" xr:uid="{00000000-0002-0000-1100-000006000000}">
      <formula1>LU_ACT_4_Pers_Res</formula1>
    </dataValidation>
    <dataValidation type="list" allowBlank="1" showInputMessage="1" showErrorMessage="1" sqref="D390:G397 D398:G414" xr:uid="{00000000-0002-0000-1100-000007000000}">
      <formula1>LU_ACT_4_Allowances</formula1>
    </dataValidation>
    <dataValidation type="list" allowBlank="1" showInputMessage="1" showErrorMessage="1" sqref="D421:G422 D423:G445" xr:uid="{00000000-0002-0000-1100-000008000000}">
      <formula1>LU_ACT_4_Supplies</formula1>
    </dataValidation>
    <dataValidation type="list" allowBlank="1" showInputMessage="1" showErrorMessage="1" sqref="D450:G451 D452:G474" xr:uid="{00000000-0002-0000-1100-000009000000}">
      <formula1>LU_ACT_4_Equipment</formula1>
    </dataValidation>
    <dataValidation type="list" allowBlank="1" showInputMessage="1" showErrorMessage="1" sqref="D480:G484 D485:G504" xr:uid="{00000000-0002-0000-1100-00000A000000}">
      <formula1>LU_ACT_4_ODCS</formula1>
    </dataValidation>
    <dataValidation type="list" allowBlank="1" showInputMessage="1" showErrorMessage="1" sqref="D710:G717 D718:G734" xr:uid="{00000000-0002-0000-1100-00000C000000}">
      <formula1>LU_ACT_5_Pers_Res</formula1>
    </dataValidation>
    <dataValidation type="list" allowBlank="1" showInputMessage="1" showErrorMessage="1" sqref="D739:G746 D747:G763" xr:uid="{00000000-0002-0000-1100-00000D000000}">
      <formula1>LU_ACT_5_Allowances</formula1>
    </dataValidation>
    <dataValidation type="list" allowBlank="1" showInputMessage="1" showErrorMessage="1" sqref="D770:G771 D772:G794" xr:uid="{00000000-0002-0000-1100-00000E000000}">
      <formula1>LU_ACT_5_Supplies</formula1>
    </dataValidation>
    <dataValidation type="list" allowBlank="1" showInputMessage="1" showErrorMessage="1" sqref="D799:G800 D801:G823" xr:uid="{00000000-0002-0000-1100-00000F000000}">
      <formula1>LU_ACT_5_Equipment</formula1>
    </dataValidation>
    <dataValidation type="list" allowBlank="1" showInputMessage="1" showErrorMessage="1" sqref="D829:G833 D834:G853" xr:uid="{00000000-0002-0000-1100-000010000000}">
      <formula1>LU_ACT_5_ODCS</formula1>
    </dataValidation>
    <dataValidation type="whole" showDropDown="1" showErrorMessage="1" errorTitle="Drop Down Box Cell Link" error="The value in a drop down box cell link must be a whole number within the control's lookup range rows." sqref="I9" xr:uid="{FF41B8FC-3339-4B1B-8F58-16DEA5F1B8C4}">
      <formula1>1</formula1>
      <formula2>ROWS(LU_ACT_3_Meet_Curr)</formula2>
    </dataValidation>
    <dataValidation type="whole" showDropDown="1" showErrorMessage="1" errorTitle="Drop Down Box Cell Link" error="The value in a drop down box cell link must be a whole number within the control's lookup range rows." sqref="I358" xr:uid="{85FC95DB-26DA-47F9-885A-5DEDF45A0ED6}">
      <formula1>1</formula1>
      <formula2>ROWS(LU_ACT_4_Meet_Curr)</formula2>
    </dataValidation>
    <dataValidation type="whole" showDropDown="1" showErrorMessage="1" errorTitle="Drop Down Box Cell Link" error="The value in a drop down box cell link must be a whole number within the control's lookup range rows." sqref="I707" xr:uid="{AC9BD0C4-BDFA-4189-A37A-2B5D0AD497AE}">
      <formula1>1</formula1>
      <formula2>ROWS(LU_ACT_5_Meet_Curr)</formula2>
    </dataValidation>
  </dataValidations>
  <hyperlinks>
    <hyperlink ref="A4" location="$B$5" tooltip="Go to Top of Sheet" display="$B$5" xr:uid="{00000000-0004-0000-1100-000000000000}"/>
    <hyperlink ref="B4" location="HL_Sheet_Main_35" tooltip="Go to Previous Sheet" display="HL_Sheet_Main_35" xr:uid="{00000000-0004-0000-1100-000001000000}"/>
    <hyperlink ref="C4" location="HL_Sheet_Main_33" tooltip="Go to Next Sheet" display="HL_Sheet_Main_33" xr:uid="{00000000-0004-0000-1100-000002000000}"/>
    <hyperlink ref="B3" location="HL_Home" tooltip="Go to Table of Contents" display="HL_Home" xr:uid="{00000000-0004-0000-1100-000003000000}"/>
    <hyperlink ref="D4" location="HL_Err_Chk" tooltip="Go to Error Checks" display="HL_Err_Chk" xr:uid="{00000000-0004-0000-1100-000004000000}"/>
    <hyperlink ref="F4" location="HL_Alt_Chk" tooltip="Go to Alert Checks" display="HL_Alt_Chk" xr:uid="{00000000-0004-0000-11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pmDropDownACT_3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56323" r:id="rId5" name="bpmDropDownACT_41">
              <controlPr defaultSize="0" autoFill="0" autoPict="0">
                <anchor moveWithCells="1">
                  <from>
                    <xdr:col>8</xdr:col>
                    <xdr:colOff>0</xdr:colOff>
                    <xdr:row>357</xdr:row>
                    <xdr:rowOff>0</xdr:rowOff>
                  </from>
                  <to>
                    <xdr:col>9</xdr:col>
                    <xdr:colOff>0</xdr:colOff>
                    <xdr:row>358</xdr:row>
                    <xdr:rowOff>0</xdr:rowOff>
                  </to>
                </anchor>
              </controlPr>
            </control>
          </mc:Choice>
        </mc:AlternateContent>
        <mc:AlternateContent xmlns:mc="http://schemas.openxmlformats.org/markup-compatibility/2006">
          <mc:Choice Requires="x14">
            <control shapeId="56324" r:id="rId6" name="bpmDropDownACT_51">
              <controlPr defaultSize="0" autoFill="0" autoPict="0">
                <anchor moveWithCells="1">
                  <from>
                    <xdr:col>8</xdr:col>
                    <xdr:colOff>0</xdr:colOff>
                    <xdr:row>706</xdr:row>
                    <xdr:rowOff>0</xdr:rowOff>
                  </from>
                  <to>
                    <xdr:col>9</xdr:col>
                    <xdr:colOff>0</xdr:colOff>
                    <xdr:row>707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autoPageBreaks="0"/>
  </sheetPr>
  <dimension ref="A1:X1397"/>
  <sheetViews>
    <sheetView showGridLines="0" zoomScaleNormal="100" workbookViewId="0">
      <pane xSplit="1" ySplit="4" topLeftCell="B5" activePane="bottomRight" state="frozen"/>
      <selection pane="topRight" activeCell="B1" sqref="B1"/>
      <selection pane="bottomLeft" activeCell="A5" sqref="A5"/>
      <selection pane="bottomRight" activeCell="W1202" sqref="W1202"/>
    </sheetView>
  </sheetViews>
  <sheetFormatPr defaultColWidth="11.6640625" defaultRowHeight="13.8" outlineLevelRow="1" x14ac:dyDescent="0.3"/>
  <cols>
    <col min="1" max="5" width="3.6640625" style="22" customWidth="1"/>
    <col min="6" max="7" width="11.6640625" style="22"/>
    <col min="8" max="8" width="2" style="22" customWidth="1"/>
    <col min="9" max="9" width="11.6640625" style="22"/>
    <col min="10" max="10" width="2" style="22" customWidth="1"/>
    <col min="11" max="11" width="11.6640625" style="22"/>
    <col min="12" max="12" width="2.6640625" style="22" bestFit="1" customWidth="1"/>
    <col min="13" max="13" width="11.6640625" style="22"/>
    <col min="14" max="14" width="4.44140625" style="22" customWidth="1"/>
    <col min="15" max="15" width="11.6640625" style="22"/>
    <col min="16" max="16" width="3.109375" style="22" customWidth="1"/>
    <col min="17" max="17" width="11.6640625" style="22"/>
    <col min="18" max="18" width="3.5546875" style="22" customWidth="1"/>
    <col min="19" max="19" width="11.6640625" style="22"/>
    <col min="20" max="20" width="4" style="22" customWidth="1"/>
    <col min="21" max="16384" width="11.6640625" style="22"/>
  </cols>
  <sheetData>
    <row r="1" spans="1:24" ht="23.4" x14ac:dyDescent="0.3">
      <c r="B1" s="24" t="s">
        <v>458</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row>
    <row r="7" spans="1:24" ht="18" x14ac:dyDescent="0.3">
      <c r="B7" s="31" t="str">
        <f>I8</f>
        <v>Social Mobilisation Activity #1 [not in use]</v>
      </c>
    </row>
    <row r="8" spans="1:24" x14ac:dyDescent="0.3">
      <c r="G8" s="41" t="s">
        <v>119</v>
      </c>
      <c r="I8" s="356" t="s">
        <v>1001</v>
      </c>
      <c r="J8" s="356"/>
      <c r="K8" s="356"/>
      <c r="L8" s="356"/>
      <c r="M8" s="356"/>
    </row>
    <row r="9" spans="1:24" ht="10.5" customHeight="1" x14ac:dyDescent="0.3">
      <c r="G9" s="41" t="s">
        <v>644</v>
      </c>
      <c r="I9" s="32">
        <v>2</v>
      </c>
    </row>
    <row r="10" spans="1:24" ht="15.6" x14ac:dyDescent="0.3">
      <c r="C10" s="92" t="s">
        <v>77</v>
      </c>
      <c r="M10" s="108" t="str">
        <f>IF(DD_ACT_7_Meet1_Curr=1,$D$161,$D$162)</f>
        <v>GOZ</v>
      </c>
      <c r="O10" s="108" t="str">
        <f>IF(DD_ACT_7_Meet1_Curr=1,$D$161,$D$162)</f>
        <v>GOZ</v>
      </c>
      <c r="Q10" s="108" t="str">
        <f>IF(DD_ACT_7_Meet1_Curr=1,$D$161,$D$162)</f>
        <v>GOZ</v>
      </c>
      <c r="S10" s="108" t="str">
        <f>IF(DD_ACT_7_Meet1_Curr=1,$D$161,$D$162)</f>
        <v>GOZ</v>
      </c>
    </row>
    <row r="11" spans="1:24" ht="27.6" x14ac:dyDescent="0.3">
      <c r="D11" s="90" t="s">
        <v>77</v>
      </c>
      <c r="I11" s="88" t="s">
        <v>80</v>
      </c>
      <c r="K11" s="91" t="s">
        <v>432</v>
      </c>
      <c r="M11" s="42" t="s">
        <v>103</v>
      </c>
      <c r="O11" s="42" t="s">
        <v>104</v>
      </c>
      <c r="Q11" s="42" t="s">
        <v>105</v>
      </c>
      <c r="S11" s="42" t="s">
        <v>106</v>
      </c>
      <c r="U11" s="367" t="s">
        <v>185</v>
      </c>
      <c r="V11" s="430"/>
      <c r="W11" s="430"/>
      <c r="X11" s="430"/>
    </row>
    <row r="12" spans="1:24" x14ac:dyDescent="0.3">
      <c r="D12" s="356" t="s">
        <v>188</v>
      </c>
      <c r="E12" s="356"/>
      <c r="F12" s="356"/>
      <c r="G12" s="356"/>
      <c r="I12" s="48">
        <v>0</v>
      </c>
      <c r="K12" s="48">
        <v>0</v>
      </c>
      <c r="M12" s="40">
        <f t="shared" ref="M12:M36" si="0">IFERROR(IF(DD_ACT_7_Meet1_Curr=1,INDEX($M$167:$M$201,MATCH(D12,LU_ACT_7_Pers_Res,0)),INDEX($Q$167:$Q$201,MATCH(D12,LU_ACT_7_Pers_Res,0))),0)</f>
        <v>0</v>
      </c>
      <c r="O12" s="40">
        <f t="shared" ref="O12:O36" si="1">IFERROR(IF(DD_ACT_7_Meet1_Curr=1,INDEX($O$167:$O$201,MATCH(D12,LU_ACT_7_Pers_Res,0)),INDEX($S$167:$S$201,MATCH(D12,LU_ACT_7_Pers_Res,0))),0)</f>
        <v>0</v>
      </c>
      <c r="Q12" s="293">
        <f t="shared" ref="Q12:Q36" si="2">I12*K12*M12</f>
        <v>0</v>
      </c>
      <c r="S12" s="293">
        <f t="shared" ref="S12:S36" si="3">I12*K12*O12</f>
        <v>0</v>
      </c>
      <c r="U12" s="356"/>
      <c r="V12" s="356"/>
      <c r="W12" s="356"/>
      <c r="X12" s="356"/>
    </row>
    <row r="13" spans="1:24" x14ac:dyDescent="0.3">
      <c r="D13" s="356" t="s">
        <v>189</v>
      </c>
      <c r="E13" s="356"/>
      <c r="F13" s="356"/>
      <c r="G13" s="356"/>
      <c r="I13" s="48">
        <v>0</v>
      </c>
      <c r="K13" s="48">
        <v>0</v>
      </c>
      <c r="M13" s="40">
        <f t="shared" si="0"/>
        <v>0</v>
      </c>
      <c r="O13" s="40">
        <f t="shared" si="1"/>
        <v>0</v>
      </c>
      <c r="Q13" s="293">
        <f t="shared" si="2"/>
        <v>0</v>
      </c>
      <c r="S13" s="293">
        <f t="shared" si="3"/>
        <v>0</v>
      </c>
      <c r="U13" s="356"/>
      <c r="V13" s="356"/>
      <c r="W13" s="356"/>
      <c r="X13" s="356"/>
    </row>
    <row r="14" spans="1:24" x14ac:dyDescent="0.3">
      <c r="D14" s="356" t="s">
        <v>190</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191</v>
      </c>
      <c r="E15" s="356"/>
      <c r="F15" s="356"/>
      <c r="G15" s="356"/>
      <c r="I15" s="48">
        <v>0</v>
      </c>
      <c r="K15" s="48">
        <v>0</v>
      </c>
      <c r="M15" s="40">
        <f t="shared" si="0"/>
        <v>0</v>
      </c>
      <c r="O15" s="40">
        <f t="shared" si="1"/>
        <v>0</v>
      </c>
      <c r="Q15" s="293">
        <f t="shared" si="2"/>
        <v>0</v>
      </c>
      <c r="S15" s="293">
        <f t="shared" si="3"/>
        <v>0</v>
      </c>
      <c r="U15" s="356"/>
      <c r="V15" s="356"/>
      <c r="W15" s="356"/>
      <c r="X15" s="356"/>
    </row>
    <row r="16" spans="1:24" x14ac:dyDescent="0.3">
      <c r="D16" s="356" t="s">
        <v>192</v>
      </c>
      <c r="E16" s="356"/>
      <c r="F16" s="356"/>
      <c r="G16" s="356"/>
      <c r="I16" s="48">
        <v>0</v>
      </c>
      <c r="K16" s="48">
        <v>0</v>
      </c>
      <c r="M16" s="40">
        <f t="shared" si="0"/>
        <v>0</v>
      </c>
      <c r="O16" s="40">
        <f t="shared" si="1"/>
        <v>0</v>
      </c>
      <c r="Q16" s="293">
        <f t="shared" si="2"/>
        <v>0</v>
      </c>
      <c r="S16" s="293">
        <f t="shared" si="3"/>
        <v>0</v>
      </c>
      <c r="U16" s="356"/>
      <c r="V16" s="356"/>
      <c r="W16" s="356"/>
      <c r="X16" s="356"/>
    </row>
    <row r="17" spans="4:24" x14ac:dyDescent="0.3">
      <c r="D17" s="356" t="s">
        <v>193</v>
      </c>
      <c r="E17" s="356"/>
      <c r="F17" s="356"/>
      <c r="G17" s="356"/>
      <c r="I17" s="48">
        <v>0</v>
      </c>
      <c r="K17" s="48">
        <v>0</v>
      </c>
      <c r="M17" s="40">
        <f t="shared" si="0"/>
        <v>0</v>
      </c>
      <c r="O17" s="40">
        <f t="shared" si="1"/>
        <v>0</v>
      </c>
      <c r="Q17" s="293">
        <f t="shared" si="2"/>
        <v>0</v>
      </c>
      <c r="S17" s="293">
        <f t="shared" si="3"/>
        <v>0</v>
      </c>
      <c r="U17" s="356"/>
      <c r="V17" s="356"/>
      <c r="W17" s="356"/>
      <c r="X17" s="356"/>
    </row>
    <row r="18" spans="4:24" x14ac:dyDescent="0.3">
      <c r="D18" s="356" t="s">
        <v>120</v>
      </c>
      <c r="E18" s="356"/>
      <c r="F18" s="356"/>
      <c r="G18" s="356"/>
      <c r="I18" s="48">
        <v>0</v>
      </c>
      <c r="K18" s="48">
        <v>0</v>
      </c>
      <c r="M18" s="40">
        <f t="shared" si="0"/>
        <v>0</v>
      </c>
      <c r="O18" s="40">
        <f t="shared" si="1"/>
        <v>0</v>
      </c>
      <c r="Q18" s="293">
        <f t="shared" si="2"/>
        <v>0</v>
      </c>
      <c r="S18" s="293">
        <f t="shared" si="3"/>
        <v>0</v>
      </c>
      <c r="U18" s="356"/>
      <c r="V18" s="356"/>
      <c r="W18" s="356"/>
      <c r="X18" s="356"/>
    </row>
    <row r="19" spans="4:24" x14ac:dyDescent="0.3">
      <c r="D19" s="356" t="s">
        <v>121</v>
      </c>
      <c r="E19" s="356"/>
      <c r="F19" s="356"/>
      <c r="G19" s="356"/>
      <c r="I19" s="48">
        <v>0</v>
      </c>
      <c r="K19" s="48">
        <v>0</v>
      </c>
      <c r="M19" s="40">
        <f t="shared" si="0"/>
        <v>0</v>
      </c>
      <c r="O19" s="40">
        <f t="shared" si="1"/>
        <v>0</v>
      </c>
      <c r="Q19" s="293">
        <f t="shared" si="2"/>
        <v>0</v>
      </c>
      <c r="S19" s="293">
        <f t="shared" si="3"/>
        <v>0</v>
      </c>
      <c r="U19" s="356"/>
      <c r="V19" s="356"/>
      <c r="W19" s="356"/>
      <c r="X19" s="356"/>
    </row>
    <row r="20" spans="4:24" s="277" customFormat="1" x14ac:dyDescent="0.3">
      <c r="D20" s="356" t="s">
        <v>830</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831</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832</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833</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834</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835</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836</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837</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846</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847</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848</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849</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971</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973</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974</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975</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976</v>
      </c>
      <c r="E36" s="356"/>
      <c r="F36" s="356"/>
      <c r="G36" s="356"/>
      <c r="I36" s="48">
        <v>0</v>
      </c>
      <c r="K36" s="48">
        <v>0</v>
      </c>
      <c r="M36" s="279">
        <f t="shared" si="0"/>
        <v>0</v>
      </c>
      <c r="O36" s="279">
        <f t="shared" si="1"/>
        <v>0</v>
      </c>
      <c r="Q36" s="293">
        <f t="shared" si="2"/>
        <v>0</v>
      </c>
      <c r="S36" s="293">
        <f t="shared" si="3"/>
        <v>0</v>
      </c>
      <c r="U36" s="385"/>
      <c r="V36" s="385"/>
      <c r="W36" s="385"/>
      <c r="X36" s="385"/>
    </row>
    <row r="37" spans="3:24" ht="14.4" collapsed="1" x14ac:dyDescent="0.3">
      <c r="D37" s="420" t="s">
        <v>79</v>
      </c>
      <c r="E37" s="421"/>
      <c r="F37" s="421"/>
      <c r="G37" s="421"/>
      <c r="I37" s="43"/>
      <c r="K37" s="43"/>
      <c r="M37" s="43"/>
      <c r="O37" s="43"/>
      <c r="Q37" s="294">
        <f>SUM(Q12:Q36)</f>
        <v>0</v>
      </c>
      <c r="S37" s="294">
        <f>SUM(S12:S36)</f>
        <v>0</v>
      </c>
    </row>
    <row r="39" spans="3:24" ht="15.6" x14ac:dyDescent="0.3">
      <c r="C39" s="92" t="s">
        <v>164</v>
      </c>
      <c r="M39" s="108" t="str">
        <f>IF(DD_ACT_7_Meet1_Curr=1,$D$161,$D$162)</f>
        <v>GOZ</v>
      </c>
      <c r="O39" s="108" t="str">
        <f>IF(DD_ACT_7_Meet1_Curr=1,$D$161,$D$162)</f>
        <v>GOZ</v>
      </c>
      <c r="Q39" s="108" t="str">
        <f>IF(DD_ACT_7_Meet1_Curr=1,$D$161,$D$162)</f>
        <v>GOZ</v>
      </c>
      <c r="S39" s="108" t="str">
        <f>IF(DD_ACT_7_Meet1_Curr=1,$D$161,$D$162)</f>
        <v>GOZ</v>
      </c>
    </row>
    <row r="40" spans="3:24" ht="27.6" x14ac:dyDescent="0.3">
      <c r="D40" s="90" t="s">
        <v>102</v>
      </c>
      <c r="I40" s="91" t="s">
        <v>80</v>
      </c>
      <c r="K40" s="91" t="s">
        <v>432</v>
      </c>
      <c r="M40" s="42" t="s">
        <v>103</v>
      </c>
      <c r="O40" s="42" t="s">
        <v>104</v>
      </c>
      <c r="Q40" s="42" t="s">
        <v>105</v>
      </c>
      <c r="S40" s="42" t="s">
        <v>106</v>
      </c>
      <c r="U40" s="350" t="s">
        <v>185</v>
      </c>
      <c r="V40" s="351"/>
      <c r="W40" s="351"/>
      <c r="X40" s="351"/>
    </row>
    <row r="41" spans="3:24" x14ac:dyDescent="0.3">
      <c r="D41" s="356" t="s">
        <v>109</v>
      </c>
      <c r="E41" s="356"/>
      <c r="F41" s="356"/>
      <c r="G41" s="356"/>
      <c r="I41" s="48">
        <v>0</v>
      </c>
      <c r="K41" s="48">
        <v>0</v>
      </c>
      <c r="M41" s="40">
        <f t="shared" ref="M41:M65" si="4">IFERROR(IF(DD_ACT_7_Meet1_Curr=1,INDEX($M$204:$M$238,MATCH(D41,LU_ACT_7_Allowances,0)),INDEX($Q$204:$Q$238,MATCH(D41,LU_ACT_7_Allowances,0))),0)</f>
        <v>0</v>
      </c>
      <c r="O41" s="40">
        <f t="shared" ref="O41:O65" si="5">IFERROR(IF(DD_ACT_7_Meet1_Curr=1,INDEX($O$204:$O$238,MATCH(D41,LU_ACT_7_Allowances,0)),INDEX($S$204:$S$238,MATCH(D41,LU_ACT_7_Allowances,0))),0)</f>
        <v>0</v>
      </c>
      <c r="Q41" s="293">
        <f t="shared" ref="Q41:Q65" si="6">I41*K41*M41</f>
        <v>0</v>
      </c>
      <c r="S41" s="293">
        <f t="shared" ref="S41:S65" si="7">I41*K41*O41</f>
        <v>0</v>
      </c>
      <c r="U41" s="356"/>
      <c r="V41" s="356"/>
      <c r="W41" s="356"/>
      <c r="X41" s="356"/>
    </row>
    <row r="42" spans="3:24" x14ac:dyDescent="0.3">
      <c r="D42" s="356" t="s">
        <v>110</v>
      </c>
      <c r="E42" s="356"/>
      <c r="F42" s="356"/>
      <c r="G42" s="356"/>
      <c r="I42" s="48">
        <v>0</v>
      </c>
      <c r="K42" s="48">
        <v>0</v>
      </c>
      <c r="M42" s="40">
        <f t="shared" si="4"/>
        <v>0</v>
      </c>
      <c r="O42" s="40">
        <f t="shared" si="5"/>
        <v>0</v>
      </c>
      <c r="Q42" s="293">
        <f t="shared" si="6"/>
        <v>0</v>
      </c>
      <c r="S42" s="293">
        <f t="shared" si="7"/>
        <v>0</v>
      </c>
      <c r="U42" s="356"/>
      <c r="V42" s="356"/>
      <c r="W42" s="356"/>
      <c r="X42" s="356"/>
    </row>
    <row r="43" spans="3:24" x14ac:dyDescent="0.3">
      <c r="D43" s="356" t="s">
        <v>111</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112</v>
      </c>
      <c r="E44" s="356"/>
      <c r="F44" s="356"/>
      <c r="G44" s="356"/>
      <c r="I44" s="48">
        <v>0</v>
      </c>
      <c r="K44" s="48">
        <v>0</v>
      </c>
      <c r="M44" s="40">
        <f t="shared" si="4"/>
        <v>0</v>
      </c>
      <c r="O44" s="40">
        <f t="shared" si="5"/>
        <v>0</v>
      </c>
      <c r="Q44" s="293">
        <f t="shared" si="6"/>
        <v>0</v>
      </c>
      <c r="S44" s="293">
        <f t="shared" si="7"/>
        <v>0</v>
      </c>
      <c r="U44" s="356"/>
      <c r="V44" s="356"/>
      <c r="W44" s="356"/>
      <c r="X44" s="356"/>
    </row>
    <row r="45" spans="3:24" x14ac:dyDescent="0.3">
      <c r="D45" s="356" t="s">
        <v>113</v>
      </c>
      <c r="E45" s="356"/>
      <c r="F45" s="356"/>
      <c r="G45" s="356"/>
      <c r="I45" s="48">
        <v>0</v>
      </c>
      <c r="K45" s="48">
        <v>0</v>
      </c>
      <c r="M45" s="40">
        <f t="shared" si="4"/>
        <v>0</v>
      </c>
      <c r="O45" s="40">
        <f t="shared" si="5"/>
        <v>0</v>
      </c>
      <c r="Q45" s="293">
        <f t="shared" si="6"/>
        <v>0</v>
      </c>
      <c r="S45" s="293">
        <f t="shared" si="7"/>
        <v>0</v>
      </c>
      <c r="U45" s="356"/>
      <c r="V45" s="356"/>
      <c r="W45" s="356"/>
      <c r="X45" s="356"/>
    </row>
    <row r="46" spans="3:24" x14ac:dyDescent="0.3">
      <c r="D46" s="356" t="s">
        <v>114</v>
      </c>
      <c r="E46" s="356"/>
      <c r="F46" s="356"/>
      <c r="G46" s="356"/>
      <c r="I46" s="48">
        <v>0</v>
      </c>
      <c r="K46" s="48">
        <v>0</v>
      </c>
      <c r="M46" s="40">
        <f t="shared" si="4"/>
        <v>0</v>
      </c>
      <c r="O46" s="40">
        <f t="shared" si="5"/>
        <v>0</v>
      </c>
      <c r="Q46" s="293">
        <f t="shared" si="6"/>
        <v>0</v>
      </c>
      <c r="S46" s="293">
        <f t="shared" si="7"/>
        <v>0</v>
      </c>
      <c r="U46" s="356"/>
      <c r="V46" s="356"/>
      <c r="W46" s="356"/>
      <c r="X46" s="356"/>
    </row>
    <row r="47" spans="3:24" x14ac:dyDescent="0.3">
      <c r="D47" s="356" t="s">
        <v>115</v>
      </c>
      <c r="E47" s="356"/>
      <c r="F47" s="356"/>
      <c r="G47" s="356"/>
      <c r="I47" s="48">
        <v>0</v>
      </c>
      <c r="K47" s="48">
        <v>0</v>
      </c>
      <c r="M47" s="40">
        <f t="shared" si="4"/>
        <v>0</v>
      </c>
      <c r="O47" s="40">
        <f t="shared" si="5"/>
        <v>0</v>
      </c>
      <c r="Q47" s="293">
        <f t="shared" si="6"/>
        <v>0</v>
      </c>
      <c r="S47" s="293">
        <f t="shared" si="7"/>
        <v>0</v>
      </c>
      <c r="U47" s="356"/>
      <c r="V47" s="356"/>
      <c r="W47" s="356"/>
      <c r="X47" s="356"/>
    </row>
    <row r="48" spans="3:24" x14ac:dyDescent="0.3">
      <c r="D48" s="356" t="s">
        <v>116</v>
      </c>
      <c r="E48" s="356"/>
      <c r="F48" s="356"/>
      <c r="G48" s="356"/>
      <c r="I48" s="48">
        <v>0</v>
      </c>
      <c r="K48" s="48">
        <v>0</v>
      </c>
      <c r="M48" s="40">
        <f t="shared" si="4"/>
        <v>0</v>
      </c>
      <c r="O48" s="40">
        <f t="shared" si="5"/>
        <v>0</v>
      </c>
      <c r="Q48" s="293">
        <f t="shared" si="6"/>
        <v>0</v>
      </c>
      <c r="S48" s="293">
        <f t="shared" si="7"/>
        <v>0</v>
      </c>
      <c r="U48" s="356"/>
      <c r="V48" s="356"/>
      <c r="W48" s="356"/>
      <c r="X48" s="356"/>
    </row>
    <row r="49" spans="4:24" s="277" customFormat="1" x14ac:dyDescent="0.3">
      <c r="D49" s="356" t="s">
        <v>838</v>
      </c>
      <c r="E49" s="356"/>
      <c r="F49" s="356"/>
      <c r="G49" s="356"/>
      <c r="I49" s="48">
        <v>0</v>
      </c>
      <c r="K49" s="48">
        <v>0</v>
      </c>
      <c r="M49" s="279">
        <f t="shared" si="4"/>
        <v>0</v>
      </c>
      <c r="O49" s="279">
        <f t="shared" si="5"/>
        <v>0</v>
      </c>
      <c r="Q49" s="293">
        <f t="shared" si="6"/>
        <v>0</v>
      </c>
      <c r="S49" s="293">
        <f t="shared" si="7"/>
        <v>0</v>
      </c>
      <c r="U49" s="385"/>
      <c r="V49" s="385"/>
      <c r="W49" s="385"/>
      <c r="X49" s="385"/>
    </row>
    <row r="50" spans="4:24" s="277" customFormat="1" x14ac:dyDescent="0.3">
      <c r="D50" s="356" t="s">
        <v>839</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840</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841</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842</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843</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844</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845</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850</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851</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852</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853</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972</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977</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978</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979</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980</v>
      </c>
      <c r="E65" s="356"/>
      <c r="F65" s="356"/>
      <c r="G65" s="356"/>
      <c r="I65" s="48">
        <v>0</v>
      </c>
      <c r="K65" s="48">
        <v>0</v>
      </c>
      <c r="M65" s="279">
        <f t="shared" si="4"/>
        <v>0</v>
      </c>
      <c r="O65" s="279">
        <f t="shared" si="5"/>
        <v>0</v>
      </c>
      <c r="Q65" s="293">
        <f t="shared" si="6"/>
        <v>0</v>
      </c>
      <c r="S65" s="293">
        <f t="shared" si="7"/>
        <v>0</v>
      </c>
      <c r="U65" s="385"/>
      <c r="V65" s="385"/>
      <c r="W65" s="385"/>
      <c r="X65" s="385"/>
    </row>
    <row r="66" spans="3:24" ht="14.4" collapsed="1" x14ac:dyDescent="0.3">
      <c r="D66" s="420" t="s">
        <v>82</v>
      </c>
      <c r="E66" s="421"/>
      <c r="F66" s="421"/>
      <c r="G66" s="421"/>
      <c r="I66" s="43"/>
      <c r="K66" s="43"/>
      <c r="M66" s="43"/>
      <c r="O66" s="43"/>
      <c r="Q66" s="294">
        <f>SUM(Q41:Q65)</f>
        <v>0</v>
      </c>
      <c r="S66" s="294">
        <f>SUM(S41:S65)</f>
        <v>0</v>
      </c>
    </row>
    <row r="69" spans="3:24" ht="15.6" x14ac:dyDescent="0.3">
      <c r="C69" s="92" t="s">
        <v>84</v>
      </c>
      <c r="M69" s="108" t="str">
        <f>IF(DD_ACT_7_Meet1_Curr=1,$D$161,$D$162)</f>
        <v>GOZ</v>
      </c>
      <c r="O69" s="108" t="str">
        <f>IF(DD_ACT_7_Meet1_Curr=1,$D$161,$D$162)</f>
        <v>GOZ</v>
      </c>
      <c r="Q69" s="108" t="str">
        <f>IF(DD_ACT_7_Meet1_Curr=1,$D$161,$D$162)</f>
        <v>GOZ</v>
      </c>
      <c r="S69" s="108" t="str">
        <f>IF(DD_ACT_7_Meet1_Curr=1,$D$161,$D$162)</f>
        <v>GOZ</v>
      </c>
    </row>
    <row r="70" spans="3:24" ht="27.6" x14ac:dyDescent="0.3">
      <c r="D70" s="90" t="s">
        <v>102</v>
      </c>
      <c r="I70" s="91" t="s">
        <v>87</v>
      </c>
      <c r="K70" s="91" t="s">
        <v>432</v>
      </c>
      <c r="M70" s="42" t="s">
        <v>107</v>
      </c>
      <c r="O70" s="42" t="s">
        <v>108</v>
      </c>
      <c r="Q70" s="42" t="s">
        <v>105</v>
      </c>
      <c r="S70" s="42" t="s">
        <v>106</v>
      </c>
      <c r="U70" s="350" t="s">
        <v>185</v>
      </c>
      <c r="V70" s="351"/>
      <c r="W70" s="351"/>
      <c r="X70" s="351"/>
    </row>
    <row r="71" spans="3:24" x14ac:dyDescent="0.3">
      <c r="D71" s="356" t="s">
        <v>892</v>
      </c>
      <c r="E71" s="356"/>
      <c r="F71" s="356"/>
      <c r="G71" s="356"/>
      <c r="I71" s="48">
        <v>0</v>
      </c>
      <c r="K71" s="48">
        <v>0</v>
      </c>
      <c r="M71" s="40">
        <f t="shared" ref="M71:M95" si="8">IFERROR(IF(DD_ACT_7_Meet1_Curr=1,INDEX($M$242:$M$276,MATCH(D71,LU_ACT_7_Supplies,0)),INDEX($Q$242:$Q$276,MATCH(D71,LU_ACT_7_Supplies,0))),0)</f>
        <v>0</v>
      </c>
      <c r="O71" s="40">
        <f t="shared" ref="O71:O95" si="9">IFERROR(IF(DD_ACT_7_Meet1_Curr=1,INDEX($O$242:$O$276,MATCH(D71,LU_ACT_7_Supplies,0)),INDEX($S$242:$S$276,MATCH(D71,LU_ACT_7_Supplies,0))),0)</f>
        <v>0</v>
      </c>
      <c r="Q71" s="295">
        <f t="shared" ref="Q71:Q95" si="10">I71*K71*M71</f>
        <v>0</v>
      </c>
      <c r="S71" s="293">
        <f t="shared" ref="S71:S95" si="11">I71*K71*O71</f>
        <v>0</v>
      </c>
      <c r="U71" s="356"/>
      <c r="V71" s="356"/>
      <c r="W71" s="356"/>
      <c r="X71" s="356"/>
    </row>
    <row r="72" spans="3:24" x14ac:dyDescent="0.3">
      <c r="D72" s="356" t="s">
        <v>893</v>
      </c>
      <c r="E72" s="356"/>
      <c r="F72" s="356"/>
      <c r="G72" s="356"/>
      <c r="I72" s="48">
        <v>0</v>
      </c>
      <c r="K72" s="48">
        <v>0</v>
      </c>
      <c r="M72" s="40">
        <f t="shared" si="8"/>
        <v>0</v>
      </c>
      <c r="O72" s="40">
        <f t="shared" si="9"/>
        <v>0</v>
      </c>
      <c r="Q72" s="295">
        <f t="shared" si="10"/>
        <v>0</v>
      </c>
      <c r="S72" s="293">
        <f t="shared" si="11"/>
        <v>0</v>
      </c>
      <c r="U72" s="356"/>
      <c r="V72" s="356"/>
      <c r="W72" s="356"/>
      <c r="X72" s="356"/>
    </row>
    <row r="73" spans="3:24" x14ac:dyDescent="0.3">
      <c r="D73" s="356" t="s">
        <v>854</v>
      </c>
      <c r="E73" s="356"/>
      <c r="F73" s="356"/>
      <c r="G73" s="356"/>
      <c r="I73" s="48">
        <v>0</v>
      </c>
      <c r="K73" s="48">
        <v>0</v>
      </c>
      <c r="M73" s="40">
        <f t="shared" si="8"/>
        <v>0</v>
      </c>
      <c r="O73" s="40">
        <f t="shared" si="9"/>
        <v>0</v>
      </c>
      <c r="Q73" s="295">
        <f t="shared" si="10"/>
        <v>0</v>
      </c>
      <c r="S73" s="293">
        <f t="shared" si="11"/>
        <v>0</v>
      </c>
      <c r="U73" s="356"/>
      <c r="V73" s="356"/>
      <c r="W73" s="356"/>
      <c r="X73" s="356"/>
    </row>
    <row r="74" spans="3:24" x14ac:dyDescent="0.3">
      <c r="D74" s="356" t="s">
        <v>855</v>
      </c>
      <c r="E74" s="356"/>
      <c r="F74" s="356"/>
      <c r="G74" s="356"/>
      <c r="I74" s="48">
        <v>0</v>
      </c>
      <c r="K74" s="48">
        <v>0</v>
      </c>
      <c r="M74" s="40">
        <f t="shared" si="8"/>
        <v>0</v>
      </c>
      <c r="O74" s="40">
        <f t="shared" si="9"/>
        <v>0</v>
      </c>
      <c r="Q74" s="295">
        <f t="shared" si="10"/>
        <v>0</v>
      </c>
      <c r="S74" s="293">
        <f t="shared" si="11"/>
        <v>0</v>
      </c>
      <c r="U74" s="356"/>
      <c r="V74" s="356"/>
      <c r="W74" s="356"/>
      <c r="X74" s="356"/>
    </row>
    <row r="75" spans="3:24" s="277" customFormat="1" x14ac:dyDescent="0.3">
      <c r="D75" s="356" t="s">
        <v>856</v>
      </c>
      <c r="E75" s="356"/>
      <c r="F75" s="356"/>
      <c r="G75" s="356"/>
      <c r="I75" s="48">
        <v>0</v>
      </c>
      <c r="K75" s="48">
        <v>0</v>
      </c>
      <c r="M75" s="279">
        <f t="shared" si="8"/>
        <v>0</v>
      </c>
      <c r="O75" s="279">
        <f t="shared" si="9"/>
        <v>0</v>
      </c>
      <c r="Q75" s="295">
        <f t="shared" si="10"/>
        <v>0</v>
      </c>
      <c r="S75" s="293">
        <f t="shared" si="11"/>
        <v>0</v>
      </c>
      <c r="U75" s="385"/>
      <c r="V75" s="385"/>
      <c r="W75" s="385"/>
      <c r="X75" s="385"/>
    </row>
    <row r="76" spans="3:24" s="277" customFormat="1" x14ac:dyDescent="0.3">
      <c r="D76" s="356" t="s">
        <v>857</v>
      </c>
      <c r="E76" s="356"/>
      <c r="F76" s="356"/>
      <c r="G76" s="356"/>
      <c r="I76" s="48">
        <v>0</v>
      </c>
      <c r="K76" s="48">
        <v>0</v>
      </c>
      <c r="M76" s="279">
        <f t="shared" si="8"/>
        <v>0</v>
      </c>
      <c r="O76" s="279">
        <f t="shared" si="9"/>
        <v>0</v>
      </c>
      <c r="Q76" s="295">
        <f t="shared" si="10"/>
        <v>0</v>
      </c>
      <c r="S76" s="293">
        <f t="shared" si="11"/>
        <v>0</v>
      </c>
      <c r="U76" s="385"/>
      <c r="V76" s="385"/>
      <c r="W76" s="385"/>
      <c r="X76" s="385"/>
    </row>
    <row r="77" spans="3:24" s="277" customFormat="1" x14ac:dyDescent="0.3">
      <c r="D77" s="356" t="s">
        <v>858</v>
      </c>
      <c r="E77" s="356"/>
      <c r="F77" s="356"/>
      <c r="G77" s="356"/>
      <c r="I77" s="48">
        <v>0</v>
      </c>
      <c r="K77" s="48">
        <v>0</v>
      </c>
      <c r="M77" s="279">
        <f t="shared" si="8"/>
        <v>0</v>
      </c>
      <c r="O77" s="279">
        <f t="shared" si="9"/>
        <v>0</v>
      </c>
      <c r="Q77" s="295">
        <f t="shared" si="10"/>
        <v>0</v>
      </c>
      <c r="S77" s="293">
        <f t="shared" si="11"/>
        <v>0</v>
      </c>
      <c r="U77" s="385"/>
      <c r="V77" s="385"/>
      <c r="W77" s="385"/>
      <c r="X77" s="385"/>
    </row>
    <row r="78" spans="3:24" s="277" customFormat="1" x14ac:dyDescent="0.3">
      <c r="D78" s="356" t="s">
        <v>859</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860</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861</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862</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863</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864</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865</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866</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867</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868</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869</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870</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871</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981</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982</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983</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984</v>
      </c>
      <c r="E94" s="356"/>
      <c r="F94" s="356"/>
      <c r="G94" s="356"/>
      <c r="I94" s="48">
        <v>0</v>
      </c>
      <c r="K94" s="48">
        <v>0</v>
      </c>
      <c r="M94" s="279">
        <f t="shared" si="8"/>
        <v>0</v>
      </c>
      <c r="O94" s="279">
        <f t="shared" si="9"/>
        <v>0</v>
      </c>
      <c r="Q94" s="295">
        <f t="shared" si="10"/>
        <v>0</v>
      </c>
      <c r="S94" s="293">
        <f t="shared" si="11"/>
        <v>0</v>
      </c>
      <c r="U94" s="385"/>
      <c r="V94" s="385"/>
      <c r="W94" s="385"/>
      <c r="X94" s="385"/>
    </row>
    <row r="95" spans="4:24" s="277" customFormat="1" x14ac:dyDescent="0.3">
      <c r="D95" s="356" t="s">
        <v>985</v>
      </c>
      <c r="E95" s="356"/>
      <c r="F95" s="356"/>
      <c r="G95" s="356"/>
      <c r="I95" s="48">
        <v>0</v>
      </c>
      <c r="K95" s="48">
        <v>0</v>
      </c>
      <c r="M95" s="279">
        <f t="shared" si="8"/>
        <v>0</v>
      </c>
      <c r="O95" s="279">
        <f t="shared" si="9"/>
        <v>0</v>
      </c>
      <c r="Q95" s="295">
        <f t="shared" si="10"/>
        <v>0</v>
      </c>
      <c r="S95" s="293">
        <f t="shared" si="11"/>
        <v>0</v>
      </c>
      <c r="U95" s="385"/>
      <c r="V95" s="385"/>
      <c r="W95" s="385"/>
      <c r="X95" s="385"/>
    </row>
    <row r="96" spans="4:24" ht="14.4" collapsed="1" x14ac:dyDescent="0.3">
      <c r="D96" s="420" t="s">
        <v>85</v>
      </c>
      <c r="E96" s="421"/>
      <c r="F96" s="421"/>
      <c r="G96" s="421"/>
      <c r="I96" s="43"/>
      <c r="K96" s="43"/>
      <c r="M96" s="43"/>
      <c r="O96" s="43"/>
      <c r="Q96" s="296">
        <f>SUM(Q71:Q95)</f>
        <v>0</v>
      </c>
      <c r="S96" s="294">
        <f>SUM(S71:S95)</f>
        <v>0</v>
      </c>
      <c r="U96" s="43"/>
      <c r="V96" s="43"/>
      <c r="W96" s="43"/>
      <c r="X96" s="43"/>
    </row>
    <row r="98" spans="3:24" ht="15.6" x14ac:dyDescent="0.3">
      <c r="C98" s="92" t="s">
        <v>130</v>
      </c>
      <c r="M98" s="108" t="str">
        <f>IF(DD_ACT_7_Meet1_Curr=1,$D$161,$D$162)</f>
        <v>GOZ</v>
      </c>
      <c r="O98" s="108" t="str">
        <f>IF(DD_ACT_7_Meet1_Curr=1,$D$161,$D$162)</f>
        <v>GOZ</v>
      </c>
      <c r="Q98" s="108" t="str">
        <f>IF(DD_ACT_7_Meet1_Curr=1,$D$161,$D$162)</f>
        <v>GOZ</v>
      </c>
      <c r="S98" s="108" t="str">
        <f>IF(DD_ACT_7_Meet1_Curr=1,$D$161,$D$162)</f>
        <v>GOZ</v>
      </c>
    </row>
    <row r="99" spans="3:24" ht="27.6" x14ac:dyDescent="0.3">
      <c r="D99" s="90" t="s">
        <v>86</v>
      </c>
      <c r="I99" s="91" t="s">
        <v>186</v>
      </c>
      <c r="M99" s="42" t="s">
        <v>107</v>
      </c>
      <c r="O99" s="42" t="s">
        <v>108</v>
      </c>
      <c r="Q99" s="42" t="s">
        <v>105</v>
      </c>
      <c r="S99" s="42" t="s">
        <v>106</v>
      </c>
      <c r="U99" s="350" t="s">
        <v>185</v>
      </c>
      <c r="V99" s="351"/>
      <c r="W99" s="351"/>
      <c r="X99" s="351"/>
    </row>
    <row r="100" spans="3:24" x14ac:dyDescent="0.3">
      <c r="D100" s="356" t="s">
        <v>70</v>
      </c>
      <c r="E100" s="356"/>
      <c r="F100" s="356"/>
      <c r="G100" s="356"/>
      <c r="I100" s="48">
        <v>0</v>
      </c>
      <c r="M100" s="40">
        <f t="shared" ref="M100:M124" si="12">IFERROR(IF(DD_ACT_7_Meet1_Curr=1,INDEX($M$279:$M$313,MATCH(D100,LU_ACT_7_Equipment,0)),INDEX($Q$279:$Q$313,MATCH(D100,LU_ACT_7_Equipment,0))),0)</f>
        <v>0</v>
      </c>
      <c r="O100" s="40">
        <f t="shared" ref="O100:O124" si="13">IFERROR(IF(DD_ACT_7_Meet1_Curr=1,INDEX($O$279:$O$313,MATCH(D100,LU_ACT_7_Equipment,0)),INDEX($S$279:$S$313,MATCH(D100,LU_ACT_7_Equipment,0))),0)</f>
        <v>0</v>
      </c>
      <c r="Q100" s="279">
        <f t="shared" ref="Q100:Q124" si="14">I100*M100</f>
        <v>0</v>
      </c>
      <c r="S100" s="279">
        <f t="shared" ref="S100:S124" si="15">I100*O100</f>
        <v>0</v>
      </c>
      <c r="U100" s="356"/>
      <c r="V100" s="356"/>
      <c r="W100" s="356"/>
      <c r="X100" s="356"/>
    </row>
    <row r="101" spans="3:24" x14ac:dyDescent="0.3">
      <c r="D101" s="356" t="s">
        <v>122</v>
      </c>
      <c r="E101" s="356"/>
      <c r="F101" s="356"/>
      <c r="G101" s="356"/>
      <c r="I101" s="48">
        <v>0</v>
      </c>
      <c r="M101" s="40">
        <f t="shared" si="12"/>
        <v>0</v>
      </c>
      <c r="O101" s="40">
        <f t="shared" si="13"/>
        <v>0</v>
      </c>
      <c r="Q101" s="279">
        <f t="shared" si="14"/>
        <v>0</v>
      </c>
      <c r="S101" s="279">
        <f t="shared" si="15"/>
        <v>0</v>
      </c>
      <c r="U101" s="356"/>
      <c r="V101" s="356"/>
      <c r="W101" s="356"/>
      <c r="X101" s="356"/>
    </row>
    <row r="102" spans="3:24" s="277" customFormat="1" x14ac:dyDescent="0.3">
      <c r="D102" s="356" t="s">
        <v>872</v>
      </c>
      <c r="E102" s="356"/>
      <c r="F102" s="356"/>
      <c r="G102" s="356"/>
      <c r="I102" s="48">
        <v>0</v>
      </c>
      <c r="M102" s="279">
        <f t="shared" si="12"/>
        <v>0</v>
      </c>
      <c r="O102" s="279">
        <f t="shared" si="13"/>
        <v>0</v>
      </c>
      <c r="Q102" s="279">
        <f t="shared" si="14"/>
        <v>0</v>
      </c>
      <c r="S102" s="279">
        <f t="shared" si="15"/>
        <v>0</v>
      </c>
      <c r="U102" s="385"/>
      <c r="V102" s="385"/>
      <c r="W102" s="385"/>
      <c r="X102" s="385"/>
    </row>
    <row r="103" spans="3:24" s="277" customFormat="1" x14ac:dyDescent="0.3">
      <c r="D103" s="356" t="s">
        <v>873</v>
      </c>
      <c r="E103" s="356"/>
      <c r="F103" s="356"/>
      <c r="G103" s="356"/>
      <c r="I103" s="48">
        <v>0</v>
      </c>
      <c r="M103" s="279">
        <f t="shared" si="12"/>
        <v>0</v>
      </c>
      <c r="O103" s="279">
        <f t="shared" si="13"/>
        <v>0</v>
      </c>
      <c r="Q103" s="279">
        <f t="shared" si="14"/>
        <v>0</v>
      </c>
      <c r="S103" s="279">
        <f t="shared" si="15"/>
        <v>0</v>
      </c>
      <c r="U103" s="385"/>
      <c r="V103" s="385"/>
      <c r="W103" s="385"/>
      <c r="X103" s="385"/>
    </row>
    <row r="104" spans="3:24" s="277" customFormat="1" x14ac:dyDescent="0.3">
      <c r="D104" s="356" t="s">
        <v>874</v>
      </c>
      <c r="E104" s="356"/>
      <c r="F104" s="356"/>
      <c r="G104" s="356"/>
      <c r="I104" s="48">
        <v>0</v>
      </c>
      <c r="M104" s="279">
        <f t="shared" si="12"/>
        <v>0</v>
      </c>
      <c r="O104" s="279">
        <f t="shared" si="13"/>
        <v>0</v>
      </c>
      <c r="Q104" s="279">
        <f t="shared" si="14"/>
        <v>0</v>
      </c>
      <c r="S104" s="279">
        <f t="shared" si="15"/>
        <v>0</v>
      </c>
      <c r="U104" s="385"/>
      <c r="V104" s="385"/>
      <c r="W104" s="385"/>
      <c r="X104" s="385"/>
    </row>
    <row r="105" spans="3:24" s="277" customFormat="1" x14ac:dyDescent="0.3">
      <c r="D105" s="356" t="s">
        <v>875</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778</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779</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780</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781</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782</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783</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784</v>
      </c>
      <c r="E112" s="356"/>
      <c r="F112" s="356"/>
      <c r="G112" s="356"/>
      <c r="I112" s="48">
        <v>0</v>
      </c>
      <c r="M112" s="279">
        <f t="shared" si="12"/>
        <v>0</v>
      </c>
      <c r="O112" s="279">
        <f t="shared" si="13"/>
        <v>0</v>
      </c>
      <c r="Q112" s="279">
        <f t="shared" si="14"/>
        <v>0</v>
      </c>
      <c r="S112" s="279">
        <f t="shared" si="15"/>
        <v>0</v>
      </c>
      <c r="U112" s="385"/>
      <c r="V112" s="385"/>
      <c r="W112" s="385"/>
      <c r="X112" s="385"/>
    </row>
    <row r="113" spans="3:24" s="277" customFormat="1" x14ac:dyDescent="0.3">
      <c r="D113" s="356" t="s">
        <v>785</v>
      </c>
      <c r="E113" s="356"/>
      <c r="F113" s="356"/>
      <c r="G113" s="356"/>
      <c r="I113" s="48">
        <v>0</v>
      </c>
      <c r="M113" s="279">
        <f t="shared" si="12"/>
        <v>0</v>
      </c>
      <c r="O113" s="279">
        <f t="shared" si="13"/>
        <v>0</v>
      </c>
      <c r="Q113" s="279">
        <f t="shared" si="14"/>
        <v>0</v>
      </c>
      <c r="S113" s="279">
        <f t="shared" si="15"/>
        <v>0</v>
      </c>
      <c r="U113" s="385"/>
      <c r="V113" s="385"/>
      <c r="W113" s="385"/>
      <c r="X113" s="385"/>
    </row>
    <row r="114" spans="3:24" s="277" customFormat="1" x14ac:dyDescent="0.3">
      <c r="D114" s="356" t="s">
        <v>786</v>
      </c>
      <c r="E114" s="356"/>
      <c r="F114" s="356"/>
      <c r="G114" s="356"/>
      <c r="I114" s="48">
        <v>0</v>
      </c>
      <c r="M114" s="279">
        <f t="shared" si="12"/>
        <v>0</v>
      </c>
      <c r="O114" s="279">
        <f t="shared" si="13"/>
        <v>0</v>
      </c>
      <c r="Q114" s="279">
        <f t="shared" si="14"/>
        <v>0</v>
      </c>
      <c r="S114" s="279">
        <f t="shared" si="15"/>
        <v>0</v>
      </c>
      <c r="U114" s="385"/>
      <c r="V114" s="385"/>
      <c r="W114" s="385"/>
      <c r="X114" s="385"/>
    </row>
    <row r="115" spans="3:24" s="277" customFormat="1" x14ac:dyDescent="0.3">
      <c r="D115" s="356" t="s">
        <v>787</v>
      </c>
      <c r="E115" s="356"/>
      <c r="F115" s="356"/>
      <c r="G115" s="356"/>
      <c r="I115" s="48">
        <v>0</v>
      </c>
      <c r="M115" s="279">
        <f t="shared" si="12"/>
        <v>0</v>
      </c>
      <c r="O115" s="279">
        <f t="shared" si="13"/>
        <v>0</v>
      </c>
      <c r="Q115" s="279">
        <f t="shared" si="14"/>
        <v>0</v>
      </c>
      <c r="S115" s="279">
        <f t="shared" si="15"/>
        <v>0</v>
      </c>
      <c r="U115" s="385"/>
      <c r="V115" s="385"/>
      <c r="W115" s="385"/>
      <c r="X115" s="385"/>
    </row>
    <row r="116" spans="3:24" s="277" customFormat="1" x14ac:dyDescent="0.3">
      <c r="D116" s="356" t="s">
        <v>788</v>
      </c>
      <c r="E116" s="356"/>
      <c r="F116" s="356"/>
      <c r="G116" s="356"/>
      <c r="I116" s="48">
        <v>0</v>
      </c>
      <c r="M116" s="279">
        <f t="shared" si="12"/>
        <v>0</v>
      </c>
      <c r="O116" s="279">
        <f t="shared" si="13"/>
        <v>0</v>
      </c>
      <c r="Q116" s="279">
        <f t="shared" si="14"/>
        <v>0</v>
      </c>
      <c r="S116" s="279">
        <f t="shared" si="15"/>
        <v>0</v>
      </c>
      <c r="U116" s="385"/>
      <c r="V116" s="385"/>
      <c r="W116" s="385"/>
      <c r="X116" s="385"/>
    </row>
    <row r="117" spans="3:24" s="277" customFormat="1" x14ac:dyDescent="0.3">
      <c r="D117" s="356" t="s">
        <v>789</v>
      </c>
      <c r="E117" s="356"/>
      <c r="F117" s="356"/>
      <c r="G117" s="356"/>
      <c r="I117" s="48">
        <v>0</v>
      </c>
      <c r="M117" s="279">
        <f t="shared" si="12"/>
        <v>0</v>
      </c>
      <c r="O117" s="279">
        <f t="shared" si="13"/>
        <v>0</v>
      </c>
      <c r="Q117" s="279">
        <f t="shared" si="14"/>
        <v>0</v>
      </c>
      <c r="S117" s="279">
        <f t="shared" si="15"/>
        <v>0</v>
      </c>
      <c r="U117" s="385"/>
      <c r="V117" s="385"/>
      <c r="W117" s="385"/>
      <c r="X117" s="385"/>
    </row>
    <row r="118" spans="3:24" s="277" customFormat="1" x14ac:dyDescent="0.3">
      <c r="D118" s="356" t="s">
        <v>790</v>
      </c>
      <c r="E118" s="356"/>
      <c r="F118" s="356"/>
      <c r="G118" s="356"/>
      <c r="I118" s="48">
        <v>0</v>
      </c>
      <c r="M118" s="279">
        <f t="shared" si="12"/>
        <v>0</v>
      </c>
      <c r="O118" s="279">
        <f t="shared" si="13"/>
        <v>0</v>
      </c>
      <c r="Q118" s="279">
        <f t="shared" si="14"/>
        <v>0</v>
      </c>
      <c r="S118" s="279">
        <f t="shared" si="15"/>
        <v>0</v>
      </c>
      <c r="U118" s="385"/>
      <c r="V118" s="385"/>
      <c r="W118" s="385"/>
      <c r="X118" s="385"/>
    </row>
    <row r="119" spans="3:24" s="277" customFormat="1" x14ac:dyDescent="0.3">
      <c r="D119" s="356" t="s">
        <v>791</v>
      </c>
      <c r="E119" s="356"/>
      <c r="F119" s="356"/>
      <c r="G119" s="356"/>
      <c r="I119" s="48">
        <v>0</v>
      </c>
      <c r="M119" s="279">
        <f t="shared" si="12"/>
        <v>0</v>
      </c>
      <c r="O119" s="279">
        <f t="shared" si="13"/>
        <v>0</v>
      </c>
      <c r="Q119" s="279">
        <f t="shared" si="14"/>
        <v>0</v>
      </c>
      <c r="S119" s="279">
        <f t="shared" si="15"/>
        <v>0</v>
      </c>
      <c r="U119" s="385"/>
      <c r="V119" s="385"/>
      <c r="W119" s="385"/>
      <c r="X119" s="385"/>
    </row>
    <row r="120" spans="3:24" s="277" customFormat="1" x14ac:dyDescent="0.3">
      <c r="D120" s="356" t="s">
        <v>792</v>
      </c>
      <c r="E120" s="356"/>
      <c r="F120" s="356"/>
      <c r="G120" s="356"/>
      <c r="I120" s="48">
        <v>0</v>
      </c>
      <c r="M120" s="279">
        <f t="shared" si="12"/>
        <v>0</v>
      </c>
      <c r="O120" s="279">
        <f t="shared" si="13"/>
        <v>0</v>
      </c>
      <c r="Q120" s="279">
        <f t="shared" si="14"/>
        <v>0</v>
      </c>
      <c r="S120" s="279">
        <f t="shared" si="15"/>
        <v>0</v>
      </c>
      <c r="U120" s="385"/>
      <c r="V120" s="385"/>
      <c r="W120" s="385"/>
      <c r="X120" s="385"/>
    </row>
    <row r="121" spans="3:24" s="277" customFormat="1" x14ac:dyDescent="0.3">
      <c r="D121" s="356" t="s">
        <v>793</v>
      </c>
      <c r="E121" s="356"/>
      <c r="F121" s="356"/>
      <c r="G121" s="356"/>
      <c r="I121" s="48">
        <v>0</v>
      </c>
      <c r="M121" s="279">
        <f t="shared" si="12"/>
        <v>0</v>
      </c>
      <c r="O121" s="279">
        <f t="shared" si="13"/>
        <v>0</v>
      </c>
      <c r="Q121" s="279">
        <f t="shared" si="14"/>
        <v>0</v>
      </c>
      <c r="S121" s="279">
        <f t="shared" si="15"/>
        <v>0</v>
      </c>
      <c r="U121" s="385"/>
      <c r="V121" s="385"/>
      <c r="W121" s="385"/>
      <c r="X121" s="385"/>
    </row>
    <row r="122" spans="3:24" s="277" customFormat="1" x14ac:dyDescent="0.3">
      <c r="D122" s="356" t="s">
        <v>794</v>
      </c>
      <c r="E122" s="356"/>
      <c r="F122" s="356"/>
      <c r="G122" s="356"/>
      <c r="I122" s="48">
        <v>0</v>
      </c>
      <c r="M122" s="279">
        <f t="shared" si="12"/>
        <v>0</v>
      </c>
      <c r="O122" s="279">
        <f t="shared" si="13"/>
        <v>0</v>
      </c>
      <c r="Q122" s="279">
        <f t="shared" si="14"/>
        <v>0</v>
      </c>
      <c r="S122" s="279">
        <f t="shared" si="15"/>
        <v>0</v>
      </c>
      <c r="U122" s="385"/>
      <c r="V122" s="385"/>
      <c r="W122" s="385"/>
      <c r="X122" s="385"/>
    </row>
    <row r="123" spans="3:24" s="277" customFormat="1" x14ac:dyDescent="0.3">
      <c r="D123" s="356" t="s">
        <v>795</v>
      </c>
      <c r="E123" s="356"/>
      <c r="F123" s="356"/>
      <c r="G123" s="356"/>
      <c r="I123" s="48">
        <v>0</v>
      </c>
      <c r="M123" s="279">
        <f t="shared" si="12"/>
        <v>0</v>
      </c>
      <c r="O123" s="279">
        <f t="shared" si="13"/>
        <v>0</v>
      </c>
      <c r="Q123" s="279">
        <f t="shared" si="14"/>
        <v>0</v>
      </c>
      <c r="S123" s="279">
        <f t="shared" si="15"/>
        <v>0</v>
      </c>
      <c r="U123" s="385"/>
      <c r="V123" s="385"/>
      <c r="W123" s="385"/>
      <c r="X123" s="385"/>
    </row>
    <row r="124" spans="3:24" s="277" customFormat="1" x14ac:dyDescent="0.3">
      <c r="D124" s="356" t="s">
        <v>796</v>
      </c>
      <c r="E124" s="356"/>
      <c r="F124" s="356"/>
      <c r="G124" s="356"/>
      <c r="I124" s="48">
        <v>0</v>
      </c>
      <c r="M124" s="279">
        <f t="shared" si="12"/>
        <v>0</v>
      </c>
      <c r="O124" s="279">
        <f t="shared" si="13"/>
        <v>0</v>
      </c>
      <c r="Q124" s="279">
        <f t="shared" si="14"/>
        <v>0</v>
      </c>
      <c r="S124" s="279">
        <f t="shared" si="15"/>
        <v>0</v>
      </c>
      <c r="U124" s="385"/>
      <c r="V124" s="385"/>
      <c r="W124" s="385"/>
      <c r="X124" s="385"/>
    </row>
    <row r="125" spans="3:24" ht="14.4" x14ac:dyDescent="0.3">
      <c r="D125" s="420" t="s">
        <v>88</v>
      </c>
      <c r="E125" s="421"/>
      <c r="F125" s="421"/>
      <c r="G125" s="421"/>
      <c r="I125" s="40"/>
      <c r="M125" s="40"/>
      <c r="O125" s="40"/>
      <c r="Q125" s="294">
        <f>SUM(Q100:Q124)</f>
        <v>0</v>
      </c>
      <c r="S125" s="294">
        <f>SUM(S100:S124)</f>
        <v>0</v>
      </c>
    </row>
    <row r="127" spans="3:24" ht="15.6" x14ac:dyDescent="0.3">
      <c r="C127" s="92" t="s">
        <v>89</v>
      </c>
      <c r="M127" s="108" t="str">
        <f>IF(DD_ACT_7_Meet1_Curr=1,$D$161,$D$162)</f>
        <v>GOZ</v>
      </c>
      <c r="O127" s="108" t="str">
        <f>IF(DD_ACT_7_Meet1_Curr=1,$D$161,$D$162)</f>
        <v>GOZ</v>
      </c>
      <c r="Q127" s="108" t="str">
        <f>IF(DD_ACT_7_Meet1_Curr=1,$D$161,$D$162)</f>
        <v>GOZ</v>
      </c>
      <c r="S127" s="108" t="str">
        <f>IF(DD_ACT_7_Meet1_Curr=1,$D$161,$D$162)</f>
        <v>GOZ</v>
      </c>
    </row>
    <row r="128" spans="3:24" ht="27.6" x14ac:dyDescent="0.3">
      <c r="D128" s="90" t="s">
        <v>86</v>
      </c>
      <c r="I128" s="91" t="s">
        <v>186</v>
      </c>
      <c r="K128" s="91" t="s">
        <v>432</v>
      </c>
      <c r="M128" s="42" t="s">
        <v>81</v>
      </c>
      <c r="O128" s="42" t="s">
        <v>83</v>
      </c>
      <c r="Q128" s="42" t="s">
        <v>105</v>
      </c>
      <c r="S128" s="42" t="s">
        <v>106</v>
      </c>
      <c r="U128" s="350" t="s">
        <v>185</v>
      </c>
      <c r="V128" s="351"/>
      <c r="W128" s="351"/>
      <c r="X128" s="351"/>
    </row>
    <row r="129" spans="4:24" x14ac:dyDescent="0.3">
      <c r="D129" s="356" t="s">
        <v>71</v>
      </c>
      <c r="E129" s="356"/>
      <c r="F129" s="356"/>
      <c r="G129" s="356"/>
      <c r="I129" s="48">
        <v>0</v>
      </c>
      <c r="K129" s="48">
        <v>0</v>
      </c>
      <c r="M129" s="40">
        <f t="shared" ref="M129:M153" si="16">IFERROR(IF(DD_ACT_7_Meet1_Curr=1,INDEX($M$317:$M$351,MATCH(D129,LU_ACT_7_ODCS,0)),INDEX($Q$317:$Q$351,MATCH(D129,LU_ACT_7_ODCS,0))),0)</f>
        <v>0</v>
      </c>
      <c r="O129" s="40">
        <f t="shared" ref="O129:O153" si="17">IFERROR(IF(DD_ACT_7_Meet1_Curr=1,INDEX($O$317:$O$351,MATCH(D129,LU_ACT_7_ODCS,0)),INDEX($S$317:$S$351,MATCH(D129,LU_ACT_7_ODCS,0))),0)</f>
        <v>0</v>
      </c>
      <c r="Q129" s="279">
        <f t="shared" ref="Q129:Q153" si="18">I129*K129*M129</f>
        <v>0</v>
      </c>
      <c r="S129" s="279">
        <f t="shared" ref="S129:S153" si="19">I129*K129*O129</f>
        <v>0</v>
      </c>
      <c r="U129" s="356"/>
      <c r="V129" s="356"/>
      <c r="W129" s="356"/>
      <c r="X129" s="356"/>
    </row>
    <row r="130" spans="4:24" x14ac:dyDescent="0.3">
      <c r="D130" s="356" t="s">
        <v>72</v>
      </c>
      <c r="E130" s="356"/>
      <c r="F130" s="356"/>
      <c r="G130" s="356"/>
      <c r="I130" s="48">
        <v>0</v>
      </c>
      <c r="K130" s="48">
        <v>0</v>
      </c>
      <c r="M130" s="40">
        <f t="shared" si="16"/>
        <v>0</v>
      </c>
      <c r="O130" s="40">
        <f t="shared" si="17"/>
        <v>0</v>
      </c>
      <c r="Q130" s="279">
        <f t="shared" si="18"/>
        <v>0</v>
      </c>
      <c r="S130" s="279">
        <f t="shared" si="19"/>
        <v>0</v>
      </c>
      <c r="U130" s="356"/>
      <c r="V130" s="356"/>
      <c r="W130" s="356"/>
      <c r="X130" s="356"/>
    </row>
    <row r="131" spans="4:24" x14ac:dyDescent="0.3">
      <c r="D131" s="356" t="s">
        <v>73</v>
      </c>
      <c r="E131" s="356"/>
      <c r="F131" s="356"/>
      <c r="G131" s="356"/>
      <c r="I131" s="48">
        <v>0</v>
      </c>
      <c r="K131" s="48">
        <v>0</v>
      </c>
      <c r="M131" s="40">
        <f t="shared" si="16"/>
        <v>0</v>
      </c>
      <c r="O131" s="40">
        <f t="shared" si="17"/>
        <v>0</v>
      </c>
      <c r="Q131" s="279">
        <f t="shared" si="18"/>
        <v>0</v>
      </c>
      <c r="S131" s="279">
        <f t="shared" si="19"/>
        <v>0</v>
      </c>
      <c r="U131" s="356"/>
      <c r="V131" s="356"/>
      <c r="W131" s="356"/>
      <c r="X131" s="356"/>
    </row>
    <row r="132" spans="4:24" x14ac:dyDescent="0.3">
      <c r="D132" s="356" t="s">
        <v>74</v>
      </c>
      <c r="E132" s="356"/>
      <c r="F132" s="356"/>
      <c r="G132" s="356"/>
      <c r="I132" s="48">
        <v>0</v>
      </c>
      <c r="K132" s="48">
        <v>0</v>
      </c>
      <c r="M132" s="40">
        <f t="shared" si="16"/>
        <v>0</v>
      </c>
      <c r="O132" s="40">
        <f t="shared" si="17"/>
        <v>0</v>
      </c>
      <c r="Q132" s="279">
        <f t="shared" si="18"/>
        <v>0</v>
      </c>
      <c r="S132" s="279">
        <f t="shared" si="19"/>
        <v>0</v>
      </c>
      <c r="U132" s="356"/>
      <c r="V132" s="356"/>
      <c r="W132" s="356"/>
      <c r="X132" s="356"/>
    </row>
    <row r="133" spans="4:24" x14ac:dyDescent="0.3">
      <c r="D133" s="356" t="s">
        <v>75</v>
      </c>
      <c r="E133" s="356"/>
      <c r="F133" s="356"/>
      <c r="G133" s="356"/>
      <c r="I133" s="48">
        <v>0</v>
      </c>
      <c r="K133" s="48">
        <v>0</v>
      </c>
      <c r="M133" s="40">
        <f t="shared" si="16"/>
        <v>0</v>
      </c>
      <c r="O133" s="40">
        <f t="shared" si="17"/>
        <v>0</v>
      </c>
      <c r="Q133" s="279">
        <f t="shared" si="18"/>
        <v>0</v>
      </c>
      <c r="S133" s="279">
        <f t="shared" si="19"/>
        <v>0</v>
      </c>
      <c r="U133" s="356"/>
      <c r="V133" s="356"/>
      <c r="W133" s="356"/>
      <c r="X133" s="356"/>
    </row>
    <row r="134" spans="4:24" s="277" customFormat="1" x14ac:dyDescent="0.3">
      <c r="D134" s="356" t="s">
        <v>876</v>
      </c>
      <c r="E134" s="356"/>
      <c r="F134" s="356"/>
      <c r="G134" s="356"/>
      <c r="I134" s="48">
        <v>0</v>
      </c>
      <c r="K134" s="48">
        <v>0</v>
      </c>
      <c r="M134" s="279">
        <f t="shared" si="16"/>
        <v>0</v>
      </c>
      <c r="O134" s="279">
        <f t="shared" si="17"/>
        <v>0</v>
      </c>
      <c r="Q134" s="279">
        <f t="shared" si="18"/>
        <v>0</v>
      </c>
      <c r="S134" s="279">
        <f t="shared" si="19"/>
        <v>0</v>
      </c>
      <c r="U134" s="385"/>
      <c r="V134" s="385"/>
      <c r="W134" s="385"/>
      <c r="X134" s="385"/>
    </row>
    <row r="135" spans="4:24" s="277" customFormat="1" x14ac:dyDescent="0.3">
      <c r="D135" s="356" t="s">
        <v>877</v>
      </c>
      <c r="E135" s="356"/>
      <c r="F135" s="356"/>
      <c r="G135" s="356"/>
      <c r="I135" s="48">
        <v>0</v>
      </c>
      <c r="K135" s="48">
        <v>0</v>
      </c>
      <c r="M135" s="279">
        <f t="shared" si="16"/>
        <v>0</v>
      </c>
      <c r="O135" s="279">
        <f t="shared" si="17"/>
        <v>0</v>
      </c>
      <c r="Q135" s="279">
        <f t="shared" si="18"/>
        <v>0</v>
      </c>
      <c r="S135" s="279">
        <f t="shared" si="19"/>
        <v>0</v>
      </c>
      <c r="U135" s="385"/>
      <c r="V135" s="385"/>
      <c r="W135" s="385"/>
      <c r="X135" s="385"/>
    </row>
    <row r="136" spans="4:24" s="277" customFormat="1" x14ac:dyDescent="0.3">
      <c r="D136" s="356" t="s">
        <v>878</v>
      </c>
      <c r="E136" s="356"/>
      <c r="F136" s="356"/>
      <c r="G136" s="356"/>
      <c r="I136" s="48">
        <v>0</v>
      </c>
      <c r="K136" s="48">
        <v>0</v>
      </c>
      <c r="M136" s="279">
        <f t="shared" si="16"/>
        <v>0</v>
      </c>
      <c r="O136" s="279">
        <f t="shared" si="17"/>
        <v>0</v>
      </c>
      <c r="Q136" s="279">
        <f t="shared" si="18"/>
        <v>0</v>
      </c>
      <c r="S136" s="279">
        <f t="shared" si="19"/>
        <v>0</v>
      </c>
      <c r="U136" s="385"/>
      <c r="V136" s="385"/>
      <c r="W136" s="385"/>
      <c r="X136" s="385"/>
    </row>
    <row r="137" spans="4:24" s="277" customFormat="1" x14ac:dyDescent="0.3">
      <c r="D137" s="356" t="s">
        <v>879</v>
      </c>
      <c r="E137" s="356"/>
      <c r="F137" s="356"/>
      <c r="G137" s="356"/>
      <c r="I137" s="48">
        <v>0</v>
      </c>
      <c r="K137" s="48">
        <v>0</v>
      </c>
      <c r="M137" s="279">
        <f t="shared" si="16"/>
        <v>0</v>
      </c>
      <c r="O137" s="279">
        <f t="shared" si="17"/>
        <v>0</v>
      </c>
      <c r="Q137" s="279">
        <f t="shared" si="18"/>
        <v>0</v>
      </c>
      <c r="S137" s="279">
        <f t="shared" si="19"/>
        <v>0</v>
      </c>
      <c r="U137" s="385"/>
      <c r="V137" s="385"/>
      <c r="W137" s="385"/>
      <c r="X137" s="385"/>
    </row>
    <row r="138" spans="4:24" s="277" customFormat="1" x14ac:dyDescent="0.3">
      <c r="D138" s="356" t="s">
        <v>880</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4:24" s="277" customFormat="1" x14ac:dyDescent="0.3">
      <c r="D139" s="356" t="s">
        <v>881</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4:24" s="277" customFormat="1" x14ac:dyDescent="0.3">
      <c r="D140" s="356" t="s">
        <v>882</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4:24" s="277" customFormat="1" x14ac:dyDescent="0.3">
      <c r="D141" s="356" t="s">
        <v>883</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4:24" s="277" customFormat="1" x14ac:dyDescent="0.3">
      <c r="D142" s="356" t="s">
        <v>884</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4:24" s="277" customFormat="1" x14ac:dyDescent="0.3">
      <c r="D143" s="356" t="s">
        <v>885</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4:24" s="277" customFormat="1" x14ac:dyDescent="0.3">
      <c r="D144" s="356" t="s">
        <v>886</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2:24" s="277" customFormat="1" x14ac:dyDescent="0.3">
      <c r="D145" s="356" t="s">
        <v>887</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2:24" s="277" customFormat="1" x14ac:dyDescent="0.3">
      <c r="D146" s="356" t="s">
        <v>888</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2:24" s="277" customFormat="1" x14ac:dyDescent="0.3">
      <c r="D147" s="356" t="s">
        <v>889</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2:24" s="277" customFormat="1" x14ac:dyDescent="0.3">
      <c r="D148" s="356" t="s">
        <v>890</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2:24" s="277" customFormat="1" x14ac:dyDescent="0.3">
      <c r="D149" s="356" t="s">
        <v>986</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2:24" s="277" customFormat="1" x14ac:dyDescent="0.3">
      <c r="D150" s="356" t="s">
        <v>987</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2:24" s="277" customFormat="1" x14ac:dyDescent="0.3">
      <c r="D151" s="356" t="s">
        <v>988</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2:24" s="277" customFormat="1" x14ac:dyDescent="0.3">
      <c r="D152" s="356" t="s">
        <v>989</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2:24" s="277" customFormat="1" x14ac:dyDescent="0.3">
      <c r="D153" s="356" t="s">
        <v>990</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2:24" ht="14.4" x14ac:dyDescent="0.3">
      <c r="D154" s="420" t="s">
        <v>90</v>
      </c>
      <c r="E154" s="421"/>
      <c r="F154" s="421"/>
      <c r="G154" s="421"/>
      <c r="I154" s="40"/>
      <c r="K154" s="40">
        <f>SUM(K129:K153)</f>
        <v>0</v>
      </c>
      <c r="M154" s="40"/>
      <c r="O154" s="40"/>
      <c r="Q154" s="294">
        <f>SUM(Q129:Q153)</f>
        <v>0</v>
      </c>
      <c r="S154" s="294">
        <f>SUM(S129:S153)</f>
        <v>0</v>
      </c>
    </row>
    <row r="156" spans="2:24" ht="27.6" x14ac:dyDescent="0.3">
      <c r="Q156" s="44" t="str">
        <f>"FINANCIAL COST ("&amp;INDEX(LU_ACT_7_Meet_Curr,DD_ACT_7_Meet1_Curr)&amp;")"</f>
        <v>FINANCIAL COST (GOZ)</v>
      </c>
      <c r="S156" s="44" t="str">
        <f>"ECONOMIC COST ("&amp;INDEX(LU_ACT_7_Meet_Curr,DD_ACT_7_Meet1_Curr)&amp;")"</f>
        <v>ECONOMIC COST (GOZ)</v>
      </c>
      <c r="U156" s="44" t="str">
        <f>"FINANCIAL COST ("&amp;IF(DD_ACT_7_Meet1_Curr=2,$D$161,$D$162)&amp;")"</f>
        <v>FINANCIAL COST (USD)</v>
      </c>
      <c r="W156" s="44" t="str">
        <f>"ECONOMIC COST ("&amp;IF(DD_ACT_7_Meet1_Curr=2,$D$161,$D$162)&amp;")"</f>
        <v>ECONOMIC COST (USD)</v>
      </c>
    </row>
    <row r="157" spans="2:24" ht="15" thickBot="1" x14ac:dyDescent="0.35">
      <c r="B157" s="228" t="str">
        <f>"Total Estimated Costs -"&amp;B7</f>
        <v>Total Estimated Costs -Social Mobilisation Activity #1 [not in use]</v>
      </c>
      <c r="Q157" s="46">
        <f>SUM(Q37,Q66,Q96,Q125,Q154)</f>
        <v>0</v>
      </c>
      <c r="S157" s="46">
        <f>SUM(S37,S66,S96,S125,S154)</f>
        <v>0</v>
      </c>
      <c r="U157" s="47">
        <f>IFERROR(IF(DD_ACT_7_Meet1_Curr=2,$Q157/$I$162,$Q157*$I$162), 0)</f>
        <v>0</v>
      </c>
      <c r="W157" s="47">
        <f>IFERROR(IF(DD_ACT_7_Meet1_Curr=2,$S157/$I$162,$S157*$I$162), 0)</f>
        <v>0</v>
      </c>
    </row>
    <row r="158" spans="2:24" ht="14.4" thickTop="1" x14ac:dyDescent="0.3"/>
    <row r="159" spans="2:24" x14ac:dyDescent="0.3">
      <c r="C159" s="91" t="s">
        <v>589</v>
      </c>
    </row>
    <row r="160" spans="2:24" hidden="1" outlineLevel="1" x14ac:dyDescent="0.3"/>
    <row r="161" spans="3:19" ht="12.9" hidden="1" customHeight="1" outlineLevel="1" x14ac:dyDescent="0.3">
      <c r="D161" s="422" t="str">
        <f>CURR_TA!D13</f>
        <v>USD</v>
      </c>
      <c r="E161" s="423"/>
      <c r="F161" s="423"/>
      <c r="G161" s="423"/>
      <c r="I161" s="279">
        <f>CURR_TA!J13</f>
        <v>1</v>
      </c>
      <c r="J161" s="279">
        <f>CURR_TA!K13</f>
        <v>0</v>
      </c>
      <c r="K161" s="279">
        <f>CURR_TA!L13</f>
        <v>0</v>
      </c>
      <c r="L161" s="279">
        <f>CURR_TA!M13</f>
        <v>0</v>
      </c>
    </row>
    <row r="162" spans="3:19" ht="12.9" hidden="1" customHeight="1" outlineLevel="1" x14ac:dyDescent="0.3">
      <c r="D162" s="422" t="str">
        <f>CURR_TA!D14</f>
        <v>GOZ</v>
      </c>
      <c r="E162" s="423"/>
      <c r="F162" s="423"/>
      <c r="G162" s="423"/>
      <c r="I162" s="279">
        <f>CURR_TA!J14</f>
        <v>0</v>
      </c>
      <c r="J162" s="279">
        <f>CURR_TA!K14</f>
        <v>0</v>
      </c>
      <c r="K162" s="279">
        <f>CURR_TA!L14</f>
        <v>0</v>
      </c>
      <c r="L162" s="279">
        <f>CURR_TA!M14</f>
        <v>0</v>
      </c>
    </row>
    <row r="163" spans="3:19" collapsed="1" x14ac:dyDescent="0.3"/>
    <row r="165" spans="3:19" x14ac:dyDescent="0.3">
      <c r="C165" s="91" t="s">
        <v>590</v>
      </c>
    </row>
    <row r="166" spans="3:19" hidden="1" outlineLevel="1" x14ac:dyDescent="0.3">
      <c r="M166" s="40" t="str">
        <f>$D$161</f>
        <v>USD</v>
      </c>
      <c r="O166" s="40" t="str">
        <f>$D$161</f>
        <v>USD</v>
      </c>
      <c r="Q166" s="40" t="str">
        <f>$D$162</f>
        <v>GOZ</v>
      </c>
      <c r="S166" s="40" t="str">
        <f>$D$162</f>
        <v>GOZ</v>
      </c>
    </row>
    <row r="167" spans="3:19" hidden="1" outlineLevel="1" x14ac:dyDescent="0.3">
      <c r="C167" s="89" t="str">
        <f>RES_BA!D14</f>
        <v>Personnel Cadre - Other 1</v>
      </c>
      <c r="M167" s="40">
        <f>RES_BA!R14</f>
        <v>0</v>
      </c>
      <c r="O167" s="40">
        <f>RES_BA!S14</f>
        <v>0</v>
      </c>
      <c r="Q167" s="40">
        <f>RES_BA!T14</f>
        <v>0</v>
      </c>
      <c r="S167" s="40">
        <f>RES_BA!U14</f>
        <v>0</v>
      </c>
    </row>
    <row r="168" spans="3:19" hidden="1" outlineLevel="1" x14ac:dyDescent="0.3">
      <c r="C168" s="89" t="str">
        <f>RES_BA!D15</f>
        <v>Personnel Cadre - Other 2</v>
      </c>
      <c r="M168" s="40">
        <f>RES_BA!R15</f>
        <v>0</v>
      </c>
      <c r="O168" s="40">
        <f>RES_BA!S15</f>
        <v>0</v>
      </c>
      <c r="Q168" s="40">
        <f>RES_BA!T15</f>
        <v>0</v>
      </c>
      <c r="S168" s="40">
        <f>RES_BA!U15</f>
        <v>0</v>
      </c>
    </row>
    <row r="169" spans="3:19" hidden="1" outlineLevel="1" x14ac:dyDescent="0.3">
      <c r="C169" s="89" t="str">
        <f>RES_BA!D16</f>
        <v>Personnel Cadre - Other 3</v>
      </c>
      <c r="M169" s="40">
        <f>RES_BA!R16</f>
        <v>0</v>
      </c>
      <c r="O169" s="40">
        <f>RES_BA!S16</f>
        <v>0</v>
      </c>
      <c r="Q169" s="40">
        <f>RES_BA!T16</f>
        <v>0</v>
      </c>
      <c r="S169" s="40">
        <f>RES_BA!U16</f>
        <v>0</v>
      </c>
    </row>
    <row r="170" spans="3:19" hidden="1" outlineLevel="1" x14ac:dyDescent="0.3">
      <c r="C170" s="89" t="str">
        <f>RES_BA!D17</f>
        <v>Personnel Cadre - Other 4</v>
      </c>
      <c r="M170" s="40">
        <f>RES_BA!R17</f>
        <v>0</v>
      </c>
      <c r="O170" s="40">
        <f>RES_BA!S17</f>
        <v>0</v>
      </c>
      <c r="Q170" s="40">
        <f>RES_BA!T17</f>
        <v>0</v>
      </c>
      <c r="S170" s="40">
        <f>RES_BA!U17</f>
        <v>0</v>
      </c>
    </row>
    <row r="171" spans="3:19" hidden="1" outlineLevel="1" x14ac:dyDescent="0.3">
      <c r="C171" s="89" t="str">
        <f>RES_BA!D18</f>
        <v>Personnel Cadre - Other 5</v>
      </c>
      <c r="M171" s="40">
        <f>RES_BA!R18</f>
        <v>0</v>
      </c>
      <c r="O171" s="40">
        <f>RES_BA!S18</f>
        <v>0</v>
      </c>
      <c r="Q171" s="40">
        <f>RES_BA!T18</f>
        <v>0</v>
      </c>
      <c r="S171" s="40">
        <f>RES_BA!U18</f>
        <v>0</v>
      </c>
    </row>
    <row r="172" spans="3:19" hidden="1" outlineLevel="1" x14ac:dyDescent="0.3">
      <c r="C172" s="89" t="str">
        <f>RES_BA!D19</f>
        <v>Personnel Cadre - Other 6</v>
      </c>
      <c r="M172" s="40">
        <f>RES_BA!R19</f>
        <v>0</v>
      </c>
      <c r="O172" s="40">
        <f>RES_BA!S19</f>
        <v>0</v>
      </c>
      <c r="Q172" s="40">
        <f>RES_BA!T19</f>
        <v>0</v>
      </c>
      <c r="S172" s="40">
        <f>RES_BA!U19</f>
        <v>0</v>
      </c>
    </row>
    <row r="173" spans="3:19" hidden="1" outlineLevel="1" x14ac:dyDescent="0.3">
      <c r="C173" s="89" t="str">
        <f>RES_BA!D20</f>
        <v>Personnel Cadre - Other 7</v>
      </c>
      <c r="M173" s="40">
        <f>RES_BA!R20</f>
        <v>0</v>
      </c>
      <c r="O173" s="40">
        <f>RES_BA!S20</f>
        <v>0</v>
      </c>
      <c r="Q173" s="40">
        <f>RES_BA!T20</f>
        <v>0</v>
      </c>
      <c r="S173" s="40">
        <f>RES_BA!U20</f>
        <v>0</v>
      </c>
    </row>
    <row r="174" spans="3:19" hidden="1" outlineLevel="1" x14ac:dyDescent="0.3">
      <c r="C174" s="89" t="str">
        <f>RES_BA!D21</f>
        <v>Personnel Cadre - Other 8</v>
      </c>
      <c r="M174" s="40">
        <f>RES_BA!R21</f>
        <v>0</v>
      </c>
      <c r="O174" s="40">
        <f>RES_BA!S21</f>
        <v>0</v>
      </c>
      <c r="Q174" s="40">
        <f>RES_BA!T21</f>
        <v>0</v>
      </c>
      <c r="S174" s="40">
        <f>RES_BA!U21</f>
        <v>0</v>
      </c>
    </row>
    <row r="175" spans="3:19" hidden="1" outlineLevel="1" x14ac:dyDescent="0.3">
      <c r="C175" s="89" t="str">
        <f>RES_BA!D22</f>
        <v>Personnel Cadre - Other 9</v>
      </c>
      <c r="M175" s="40">
        <f>RES_BA!R22</f>
        <v>0</v>
      </c>
      <c r="O175" s="40">
        <f>RES_BA!S22</f>
        <v>0</v>
      </c>
      <c r="Q175" s="40">
        <f>RES_BA!T22</f>
        <v>0</v>
      </c>
      <c r="S175" s="40">
        <f>RES_BA!U22</f>
        <v>0</v>
      </c>
    </row>
    <row r="176" spans="3:19" hidden="1" outlineLevel="1" x14ac:dyDescent="0.3">
      <c r="C176" s="89" t="str">
        <f>RES_BA!D23</f>
        <v>Personnel Cadre - Other 10</v>
      </c>
      <c r="M176" s="40">
        <f>RES_BA!R23</f>
        <v>0</v>
      </c>
      <c r="O176" s="40">
        <f>RES_BA!S23</f>
        <v>0</v>
      </c>
      <c r="Q176" s="40">
        <f>RES_BA!T23</f>
        <v>0</v>
      </c>
      <c r="S176" s="40">
        <f>RES_BA!U23</f>
        <v>0</v>
      </c>
    </row>
    <row r="177" spans="3:19" hidden="1" outlineLevel="1" x14ac:dyDescent="0.3">
      <c r="C177" s="89" t="str">
        <f>RES_BA!D24</f>
        <v>Personnel Cadre - Other 11</v>
      </c>
      <c r="M177" s="40">
        <f>RES_BA!R24</f>
        <v>0</v>
      </c>
      <c r="O177" s="40">
        <f>RES_BA!S24</f>
        <v>0</v>
      </c>
      <c r="Q177" s="40">
        <f>RES_BA!T24</f>
        <v>0</v>
      </c>
      <c r="S177" s="40">
        <f>RES_BA!U24</f>
        <v>0</v>
      </c>
    </row>
    <row r="178" spans="3:19" hidden="1" outlineLevel="1" x14ac:dyDescent="0.3">
      <c r="C178" s="89" t="str">
        <f>RES_BA!D25</f>
        <v>Personnel Cadre - Other 12</v>
      </c>
      <c r="M178" s="40">
        <f>RES_BA!R25</f>
        <v>0</v>
      </c>
      <c r="O178" s="40">
        <f>RES_BA!S25</f>
        <v>0</v>
      </c>
      <c r="Q178" s="40">
        <f>RES_BA!T25</f>
        <v>0</v>
      </c>
      <c r="S178" s="40">
        <f>RES_BA!U25</f>
        <v>0</v>
      </c>
    </row>
    <row r="179" spans="3:19" hidden="1" outlineLevel="1" x14ac:dyDescent="0.3">
      <c r="C179" s="89" t="str">
        <f>RES_BA!D26</f>
        <v>Personnel Cadre - Other 13</v>
      </c>
      <c r="M179" s="40">
        <f>RES_BA!R26</f>
        <v>0</v>
      </c>
      <c r="O179" s="40">
        <f>RES_BA!S26</f>
        <v>0</v>
      </c>
      <c r="Q179" s="40">
        <f>RES_BA!T26</f>
        <v>0</v>
      </c>
      <c r="S179" s="40">
        <f>RES_BA!U26</f>
        <v>0</v>
      </c>
    </row>
    <row r="180" spans="3:19" hidden="1" outlineLevel="1" x14ac:dyDescent="0.3">
      <c r="C180" s="89" t="str">
        <f>RES_BA!D27</f>
        <v>Personnel Cadre - Other 14</v>
      </c>
      <c r="M180" s="40">
        <f>RES_BA!R27</f>
        <v>0</v>
      </c>
      <c r="O180" s="40">
        <f>RES_BA!S27</f>
        <v>0</v>
      </c>
      <c r="Q180" s="40">
        <f>RES_BA!T27</f>
        <v>0</v>
      </c>
      <c r="S180" s="40">
        <f>RES_BA!U27</f>
        <v>0</v>
      </c>
    </row>
    <row r="181" spans="3:19" hidden="1" outlineLevel="1" x14ac:dyDescent="0.3">
      <c r="C181" s="89" t="str">
        <f>RES_BA!D28</f>
        <v>Personnel Cadre - Other 15</v>
      </c>
      <c r="M181" s="40">
        <f>RES_BA!R28</f>
        <v>0</v>
      </c>
      <c r="O181" s="40">
        <f>RES_BA!S28</f>
        <v>0</v>
      </c>
      <c r="Q181" s="40">
        <f>RES_BA!T28</f>
        <v>0</v>
      </c>
      <c r="S181" s="40">
        <f>RES_BA!U28</f>
        <v>0</v>
      </c>
    </row>
    <row r="182" spans="3:19" s="277" customFormat="1" hidden="1" outlineLevel="1" collapsed="1" x14ac:dyDescent="0.3">
      <c r="C182" s="283" t="str">
        <f>RES_BA!D29</f>
        <v>Personnel Cadre - Other 16</v>
      </c>
      <c r="M182" s="279">
        <f>RES_BA!R29</f>
        <v>0</v>
      </c>
      <c r="O182" s="279">
        <f>RES_BA!S29</f>
        <v>0</v>
      </c>
      <c r="Q182" s="279">
        <f>RES_BA!T29</f>
        <v>0</v>
      </c>
      <c r="S182" s="279">
        <f>RES_BA!U29</f>
        <v>0</v>
      </c>
    </row>
    <row r="183" spans="3:19" s="277" customFormat="1" hidden="1" outlineLevel="1" collapsed="1" x14ac:dyDescent="0.3">
      <c r="C183" s="283" t="str">
        <f>RES_BA!D30</f>
        <v>Personnel Cadre - Other 17</v>
      </c>
      <c r="M183" s="279">
        <f>RES_BA!R30</f>
        <v>0</v>
      </c>
      <c r="O183" s="279">
        <f>RES_BA!S30</f>
        <v>0</v>
      </c>
      <c r="Q183" s="279">
        <f>RES_BA!T30</f>
        <v>0</v>
      </c>
      <c r="S183" s="279">
        <f>RES_BA!U30</f>
        <v>0</v>
      </c>
    </row>
    <row r="184" spans="3:19" s="277" customFormat="1" hidden="1" outlineLevel="1" collapsed="1" x14ac:dyDescent="0.3">
      <c r="C184" s="283" t="str">
        <f>RES_BA!D31</f>
        <v>Personnel Cadre - Other 18</v>
      </c>
      <c r="M184" s="279">
        <f>RES_BA!R31</f>
        <v>0</v>
      </c>
      <c r="O184" s="279">
        <f>RES_BA!S31</f>
        <v>0</v>
      </c>
      <c r="Q184" s="279">
        <f>RES_BA!T31</f>
        <v>0</v>
      </c>
      <c r="S184" s="279">
        <f>RES_BA!U31</f>
        <v>0</v>
      </c>
    </row>
    <row r="185" spans="3:19" s="277" customFormat="1" hidden="1" outlineLevel="1" x14ac:dyDescent="0.3">
      <c r="C185" s="283" t="str">
        <f>RES_BA!D32</f>
        <v>Personnel Cadre - Other 19</v>
      </c>
      <c r="M185" s="279">
        <f>RES_BA!R32</f>
        <v>0</v>
      </c>
      <c r="O185" s="279">
        <f>RES_BA!S32</f>
        <v>0</v>
      </c>
      <c r="Q185" s="279">
        <f>RES_BA!T32</f>
        <v>0</v>
      </c>
      <c r="S185" s="279">
        <f>RES_BA!U32</f>
        <v>0</v>
      </c>
    </row>
    <row r="186" spans="3:19" s="277" customFormat="1" hidden="1" outlineLevel="1" x14ac:dyDescent="0.3">
      <c r="C186" s="283" t="str">
        <f>RES_BA!D33</f>
        <v>Personnel Cadre - Other 20</v>
      </c>
      <c r="M186" s="279">
        <f>RES_BA!R33</f>
        <v>0</v>
      </c>
      <c r="O186" s="279">
        <f>RES_BA!S33</f>
        <v>0</v>
      </c>
      <c r="Q186" s="279">
        <f>RES_BA!T33</f>
        <v>0</v>
      </c>
      <c r="S186" s="279">
        <f>RES_BA!U33</f>
        <v>0</v>
      </c>
    </row>
    <row r="187" spans="3:19" s="277" customFormat="1" hidden="1" outlineLevel="1" collapsed="1" x14ac:dyDescent="0.3">
      <c r="C187" s="283" t="str">
        <f>RES_BA!D34</f>
        <v>Personnel Cadre - Other 21</v>
      </c>
      <c r="M187" s="279">
        <f>RES_BA!R34</f>
        <v>0</v>
      </c>
      <c r="O187" s="279">
        <f>RES_BA!S34</f>
        <v>0</v>
      </c>
      <c r="Q187" s="279">
        <f>RES_BA!T34</f>
        <v>0</v>
      </c>
      <c r="S187" s="279">
        <f>RES_BA!U34</f>
        <v>0</v>
      </c>
    </row>
    <row r="188" spans="3:19" s="277" customFormat="1" hidden="1" outlineLevel="1" x14ac:dyDescent="0.3">
      <c r="C188" s="283" t="str">
        <f>RES_BA!D35</f>
        <v>Personnel Cadre - Other 22</v>
      </c>
      <c r="M188" s="279">
        <f>RES_BA!R35</f>
        <v>0</v>
      </c>
      <c r="O188" s="279">
        <f>RES_BA!S35</f>
        <v>0</v>
      </c>
      <c r="Q188" s="279">
        <f>RES_BA!T35</f>
        <v>0</v>
      </c>
      <c r="S188" s="279">
        <f>RES_BA!U35</f>
        <v>0</v>
      </c>
    </row>
    <row r="189" spans="3:19" s="277" customFormat="1" hidden="1" outlineLevel="1" x14ac:dyDescent="0.3">
      <c r="C189" s="283" t="str">
        <f>RES_BA!D36</f>
        <v>Personnel Cadre - Other 23</v>
      </c>
      <c r="M189" s="279">
        <f>RES_BA!R36</f>
        <v>0</v>
      </c>
      <c r="O189" s="279">
        <f>RES_BA!S36</f>
        <v>0</v>
      </c>
      <c r="Q189" s="279">
        <f>RES_BA!T36</f>
        <v>0</v>
      </c>
      <c r="S189" s="279">
        <f>RES_BA!U36</f>
        <v>0</v>
      </c>
    </row>
    <row r="190" spans="3:19" s="277" customFormat="1" hidden="1" outlineLevel="1" x14ac:dyDescent="0.3">
      <c r="C190" s="283" t="str">
        <f>RES_BA!D37</f>
        <v>Personnel Cadre - Other 24</v>
      </c>
      <c r="M190" s="279">
        <f>RES_BA!R37</f>
        <v>0</v>
      </c>
      <c r="O190" s="279">
        <f>RES_BA!S37</f>
        <v>0</v>
      </c>
      <c r="Q190" s="279">
        <f>RES_BA!T37</f>
        <v>0</v>
      </c>
      <c r="S190" s="279">
        <f>RES_BA!U37</f>
        <v>0</v>
      </c>
    </row>
    <row r="191" spans="3:19" s="277" customFormat="1" hidden="1" outlineLevel="1" x14ac:dyDescent="0.3">
      <c r="C191" s="283" t="str">
        <f>RES_BA!D38</f>
        <v>Personnel Cadre - Other 25</v>
      </c>
      <c r="M191" s="279">
        <f>RES_BA!R38</f>
        <v>0</v>
      </c>
      <c r="O191" s="279">
        <f>RES_BA!S38</f>
        <v>0</v>
      </c>
      <c r="Q191" s="279">
        <f>RES_BA!T38</f>
        <v>0</v>
      </c>
      <c r="S191" s="279">
        <f>RES_BA!U38</f>
        <v>0</v>
      </c>
    </row>
    <row r="192" spans="3:19" s="277" customFormat="1" hidden="1" outlineLevel="1" x14ac:dyDescent="0.3">
      <c r="C192" s="283" t="str">
        <f>RES_BA!D39</f>
        <v>Personnel Cadre - Other 26</v>
      </c>
      <c r="M192" s="279">
        <f>RES_BA!R39</f>
        <v>0</v>
      </c>
      <c r="O192" s="279">
        <f>RES_BA!S39</f>
        <v>0</v>
      </c>
      <c r="Q192" s="279">
        <f>RES_BA!T39</f>
        <v>0</v>
      </c>
      <c r="S192" s="279">
        <f>RES_BA!U39</f>
        <v>0</v>
      </c>
    </row>
    <row r="193" spans="3:19" s="277" customFormat="1" hidden="1" outlineLevel="1" x14ac:dyDescent="0.3">
      <c r="C193" s="283" t="str">
        <f>RES_BA!D40</f>
        <v>Personnel Cadre - Other 27</v>
      </c>
      <c r="M193" s="279">
        <f>RES_BA!R40</f>
        <v>0</v>
      </c>
      <c r="O193" s="279">
        <f>RES_BA!S40</f>
        <v>0</v>
      </c>
      <c r="Q193" s="279">
        <f>RES_BA!T40</f>
        <v>0</v>
      </c>
      <c r="S193" s="279">
        <f>RES_BA!U40</f>
        <v>0</v>
      </c>
    </row>
    <row r="194" spans="3:19" s="277" customFormat="1" hidden="1" outlineLevel="1" x14ac:dyDescent="0.3">
      <c r="C194" s="283" t="str">
        <f>RES_BA!D41</f>
        <v>Personnel Cadre - Other 28</v>
      </c>
      <c r="M194" s="279">
        <f>RES_BA!R41</f>
        <v>0</v>
      </c>
      <c r="O194" s="279">
        <f>RES_BA!S41</f>
        <v>0</v>
      </c>
      <c r="Q194" s="279">
        <f>RES_BA!T41</f>
        <v>0</v>
      </c>
      <c r="S194" s="279">
        <f>RES_BA!U41</f>
        <v>0</v>
      </c>
    </row>
    <row r="195" spans="3:19" s="277" customFormat="1" hidden="1" outlineLevel="1" x14ac:dyDescent="0.3">
      <c r="C195" s="283" t="str">
        <f>RES_BA!D42</f>
        <v>Personnel Cadre - Other 29</v>
      </c>
      <c r="M195" s="279">
        <f>RES_BA!R42</f>
        <v>0</v>
      </c>
      <c r="O195" s="279">
        <f>RES_BA!S42</f>
        <v>0</v>
      </c>
      <c r="Q195" s="279">
        <f>RES_BA!T42</f>
        <v>0</v>
      </c>
      <c r="S195" s="279">
        <f>RES_BA!U42</f>
        <v>0</v>
      </c>
    </row>
    <row r="196" spans="3:19" s="277" customFormat="1" hidden="1" outlineLevel="1" x14ac:dyDescent="0.3">
      <c r="C196" s="283" t="str">
        <f>RES_BA!D43</f>
        <v>Personnel Cadre - Other 30</v>
      </c>
      <c r="M196" s="279">
        <f>RES_BA!R43</f>
        <v>0</v>
      </c>
      <c r="O196" s="279">
        <f>RES_BA!S43</f>
        <v>0</v>
      </c>
      <c r="Q196" s="279">
        <f>RES_BA!T43</f>
        <v>0</v>
      </c>
      <c r="S196" s="279">
        <f>RES_BA!U43</f>
        <v>0</v>
      </c>
    </row>
    <row r="197" spans="3:19" s="277" customFormat="1" hidden="1" outlineLevel="1" x14ac:dyDescent="0.3">
      <c r="C197" s="283" t="str">
        <f>RES_BA!D44</f>
        <v>Personnel Cadre - Other 31</v>
      </c>
      <c r="M197" s="279">
        <f>RES_BA!R44</f>
        <v>0</v>
      </c>
      <c r="O197" s="279">
        <f>RES_BA!S44</f>
        <v>0</v>
      </c>
      <c r="Q197" s="279">
        <f>RES_BA!T44</f>
        <v>0</v>
      </c>
      <c r="S197" s="279">
        <f>RES_BA!U44</f>
        <v>0</v>
      </c>
    </row>
    <row r="198" spans="3:19" s="277" customFormat="1" hidden="1" outlineLevel="1" x14ac:dyDescent="0.3">
      <c r="C198" s="283" t="str">
        <f>RES_BA!D45</f>
        <v>Personnel Cadre - Other 32</v>
      </c>
      <c r="M198" s="279">
        <f>RES_BA!R45</f>
        <v>0</v>
      </c>
      <c r="O198" s="279">
        <f>RES_BA!S45</f>
        <v>0</v>
      </c>
      <c r="Q198" s="279">
        <f>RES_BA!T45</f>
        <v>0</v>
      </c>
      <c r="S198" s="279">
        <f>RES_BA!U45</f>
        <v>0</v>
      </c>
    </row>
    <row r="199" spans="3:19" s="277" customFormat="1" hidden="1" outlineLevel="1" x14ac:dyDescent="0.3">
      <c r="C199" s="283" t="str">
        <f>RES_BA!D46</f>
        <v>Personnel Cadre - Other 33</v>
      </c>
      <c r="M199" s="279">
        <f>RES_BA!R46</f>
        <v>0</v>
      </c>
      <c r="O199" s="279">
        <f>RES_BA!S46</f>
        <v>0</v>
      </c>
      <c r="Q199" s="279">
        <f>RES_BA!T46</f>
        <v>0</v>
      </c>
      <c r="S199" s="279">
        <f>RES_BA!U46</f>
        <v>0</v>
      </c>
    </row>
    <row r="200" spans="3:19" s="277" customFormat="1" hidden="1" outlineLevel="1" x14ac:dyDescent="0.3">
      <c r="C200" s="283" t="str">
        <f>RES_BA!D47</f>
        <v>Personnel Cadre - Other 34</v>
      </c>
      <c r="M200" s="279">
        <f>RES_BA!R47</f>
        <v>0</v>
      </c>
      <c r="O200" s="279">
        <f>RES_BA!S47</f>
        <v>0</v>
      </c>
      <c r="Q200" s="279">
        <f>RES_BA!T47</f>
        <v>0</v>
      </c>
      <c r="S200" s="279">
        <f>RES_BA!U47</f>
        <v>0</v>
      </c>
    </row>
    <row r="201" spans="3:19" s="277" customFormat="1" hidden="1" outlineLevel="1" x14ac:dyDescent="0.3">
      <c r="C201" s="283" t="str">
        <f>RES_BA!D48</f>
        <v>Personnel Cadre - Other 35</v>
      </c>
      <c r="M201" s="279">
        <f>RES_BA!R48</f>
        <v>0</v>
      </c>
      <c r="O201" s="279">
        <f>RES_BA!S48</f>
        <v>0</v>
      </c>
      <c r="Q201" s="279">
        <f>RES_BA!T48</f>
        <v>0</v>
      </c>
      <c r="S201" s="279">
        <f>RES_BA!U48</f>
        <v>0</v>
      </c>
    </row>
    <row r="202" spans="3:19" hidden="1" outlineLevel="1" x14ac:dyDescent="0.3"/>
    <row r="203" spans="3:19" hidden="1" outlineLevel="1" x14ac:dyDescent="0.3">
      <c r="M203" s="40" t="str">
        <f>$D$161</f>
        <v>USD</v>
      </c>
      <c r="O203" s="40" t="str">
        <f>$D$161</f>
        <v>USD</v>
      </c>
      <c r="Q203" s="40" t="str">
        <f>$D$162</f>
        <v>GOZ</v>
      </c>
      <c r="S203" s="40" t="str">
        <f>$D$162</f>
        <v>GOZ</v>
      </c>
    </row>
    <row r="204" spans="3:19" hidden="1" outlineLevel="1" x14ac:dyDescent="0.3">
      <c r="C204" s="89" t="str">
        <f>RES_BA!D53</f>
        <v>Allowances Category 1</v>
      </c>
      <c r="M204" s="40">
        <f>RES_BA!R53</f>
        <v>0</v>
      </c>
      <c r="O204" s="40">
        <f>RES_BA!S53</f>
        <v>0</v>
      </c>
      <c r="Q204" s="40">
        <f>RES_BA!T53</f>
        <v>0</v>
      </c>
      <c r="S204" s="40">
        <f>RES_BA!U53</f>
        <v>0</v>
      </c>
    </row>
    <row r="205" spans="3:19" hidden="1" outlineLevel="1" x14ac:dyDescent="0.3">
      <c r="C205" s="89" t="str">
        <f>RES_BA!D54</f>
        <v>Allowances Category 2</v>
      </c>
      <c r="M205" s="40">
        <f>RES_BA!R54</f>
        <v>0</v>
      </c>
      <c r="O205" s="40">
        <f>RES_BA!S54</f>
        <v>0</v>
      </c>
      <c r="Q205" s="40">
        <f>RES_BA!T54</f>
        <v>0</v>
      </c>
      <c r="S205" s="40">
        <f>RES_BA!U54</f>
        <v>0</v>
      </c>
    </row>
    <row r="206" spans="3:19" hidden="1" outlineLevel="1" x14ac:dyDescent="0.3">
      <c r="C206" s="89" t="str">
        <f>RES_BA!D55</f>
        <v>Allowances Category 3</v>
      </c>
      <c r="M206" s="40">
        <f>RES_BA!R55</f>
        <v>0</v>
      </c>
      <c r="O206" s="40">
        <f>RES_BA!S55</f>
        <v>0</v>
      </c>
      <c r="Q206" s="40">
        <f>RES_BA!T55</f>
        <v>0</v>
      </c>
      <c r="S206" s="40">
        <f>RES_BA!U55</f>
        <v>0</v>
      </c>
    </row>
    <row r="207" spans="3:19" hidden="1" outlineLevel="1" x14ac:dyDescent="0.3">
      <c r="C207" s="89" t="str">
        <f>RES_BA!D56</f>
        <v>Allowances Category 4</v>
      </c>
      <c r="M207" s="40">
        <f>RES_BA!R56</f>
        <v>0</v>
      </c>
      <c r="O207" s="40">
        <f>RES_BA!S56</f>
        <v>0</v>
      </c>
      <c r="Q207" s="40">
        <f>RES_BA!T56</f>
        <v>0</v>
      </c>
      <c r="S207" s="40">
        <f>RES_BA!U56</f>
        <v>0</v>
      </c>
    </row>
    <row r="208" spans="3:19" hidden="1" outlineLevel="1" x14ac:dyDescent="0.3">
      <c r="C208" s="89" t="str">
        <f>RES_BA!D57</f>
        <v>Allowances Category 5</v>
      </c>
      <c r="M208" s="40">
        <f>RES_BA!R57</f>
        <v>0</v>
      </c>
      <c r="O208" s="40">
        <f>RES_BA!S57</f>
        <v>0</v>
      </c>
      <c r="Q208" s="40">
        <f>RES_BA!T57</f>
        <v>0</v>
      </c>
      <c r="S208" s="40">
        <f>RES_BA!U57</f>
        <v>0</v>
      </c>
    </row>
    <row r="209" spans="3:19" s="277" customFormat="1" hidden="1" outlineLevel="1" collapsed="1" x14ac:dyDescent="0.3">
      <c r="C209" s="283" t="str">
        <f>RES_BA!D58</f>
        <v>Allowances Category 6</v>
      </c>
      <c r="M209" s="279">
        <f>RES_BA!R58</f>
        <v>0</v>
      </c>
      <c r="O209" s="279">
        <f>RES_BA!S58</f>
        <v>0</v>
      </c>
      <c r="Q209" s="279">
        <f>RES_BA!T58</f>
        <v>0</v>
      </c>
      <c r="S209" s="279">
        <f>RES_BA!U58</f>
        <v>0</v>
      </c>
    </row>
    <row r="210" spans="3:19" s="277" customFormat="1" hidden="1" outlineLevel="1" x14ac:dyDescent="0.3">
      <c r="C210" s="283" t="str">
        <f>RES_BA!D59</f>
        <v>Allowances Category 7</v>
      </c>
      <c r="M210" s="279">
        <f>RES_BA!R59</f>
        <v>0</v>
      </c>
      <c r="O210" s="279">
        <f>RES_BA!S59</f>
        <v>0</v>
      </c>
      <c r="Q210" s="279">
        <f>RES_BA!T59</f>
        <v>0</v>
      </c>
      <c r="S210" s="279">
        <f>RES_BA!U59</f>
        <v>0</v>
      </c>
    </row>
    <row r="211" spans="3:19" s="277" customFormat="1" hidden="1" outlineLevel="1" x14ac:dyDescent="0.3">
      <c r="C211" s="283" t="str">
        <f>RES_BA!D60</f>
        <v>Allowances Category 8</v>
      </c>
      <c r="M211" s="279">
        <f>RES_BA!R60</f>
        <v>0</v>
      </c>
      <c r="O211" s="279">
        <f>RES_BA!S60</f>
        <v>0</v>
      </c>
      <c r="Q211" s="279">
        <f>RES_BA!T60</f>
        <v>0</v>
      </c>
      <c r="S211" s="279">
        <f>RES_BA!U60</f>
        <v>0</v>
      </c>
    </row>
    <row r="212" spans="3:19" s="277" customFormat="1" hidden="1" outlineLevel="1" x14ac:dyDescent="0.3">
      <c r="C212" s="283" t="str">
        <f>RES_BA!D61</f>
        <v>Allowances Category 9</v>
      </c>
      <c r="M212" s="279">
        <f>RES_BA!R61</f>
        <v>0</v>
      </c>
      <c r="O212" s="279">
        <f>RES_BA!S61</f>
        <v>0</v>
      </c>
      <c r="Q212" s="279">
        <f>RES_BA!T61</f>
        <v>0</v>
      </c>
      <c r="S212" s="279">
        <f>RES_BA!U61</f>
        <v>0</v>
      </c>
    </row>
    <row r="213" spans="3:19" s="277" customFormat="1" hidden="1" outlineLevel="1" x14ac:dyDescent="0.3">
      <c r="C213" s="283" t="str">
        <f>RES_BA!D62</f>
        <v>Allowances Category 10</v>
      </c>
      <c r="M213" s="279">
        <f>RES_BA!R62</f>
        <v>0</v>
      </c>
      <c r="O213" s="279">
        <f>RES_BA!S62</f>
        <v>0</v>
      </c>
      <c r="Q213" s="279">
        <f>RES_BA!T62</f>
        <v>0</v>
      </c>
      <c r="S213" s="279">
        <f>RES_BA!U62</f>
        <v>0</v>
      </c>
    </row>
    <row r="214" spans="3:19" s="277" customFormat="1" hidden="1" outlineLevel="1" x14ac:dyDescent="0.3">
      <c r="C214" s="283" t="str">
        <f>RES_BA!D63</f>
        <v>Allowances Category 11</v>
      </c>
      <c r="M214" s="279">
        <f>RES_BA!R63</f>
        <v>0</v>
      </c>
      <c r="O214" s="279">
        <f>RES_BA!S63</f>
        <v>0</v>
      </c>
      <c r="Q214" s="279">
        <f>RES_BA!T63</f>
        <v>0</v>
      </c>
      <c r="S214" s="279">
        <f>RES_BA!U63</f>
        <v>0</v>
      </c>
    </row>
    <row r="215" spans="3:19" s="277" customFormat="1" hidden="1" outlineLevel="1" x14ac:dyDescent="0.3">
      <c r="C215" s="283" t="str">
        <f>RES_BA!D64</f>
        <v>Allowances Category 12</v>
      </c>
      <c r="M215" s="279">
        <f>RES_BA!R64</f>
        <v>0</v>
      </c>
      <c r="O215" s="279">
        <f>RES_BA!S64</f>
        <v>0</v>
      </c>
      <c r="Q215" s="279">
        <f>RES_BA!T64</f>
        <v>0</v>
      </c>
      <c r="S215" s="279">
        <f>RES_BA!U64</f>
        <v>0</v>
      </c>
    </row>
    <row r="216" spans="3:19" s="277" customFormat="1" hidden="1" outlineLevel="1" x14ac:dyDescent="0.3">
      <c r="C216" s="283" t="str">
        <f>RES_BA!D65</f>
        <v>Allowances Category 13</v>
      </c>
      <c r="M216" s="279">
        <f>RES_BA!R65</f>
        <v>0</v>
      </c>
      <c r="O216" s="279">
        <f>RES_BA!S65</f>
        <v>0</v>
      </c>
      <c r="Q216" s="279">
        <f>RES_BA!T65</f>
        <v>0</v>
      </c>
      <c r="S216" s="279">
        <f>RES_BA!U65</f>
        <v>0</v>
      </c>
    </row>
    <row r="217" spans="3:19" s="277" customFormat="1" hidden="1" outlineLevel="1" x14ac:dyDescent="0.3">
      <c r="C217" s="283" t="str">
        <f>RES_BA!D66</f>
        <v>Allowances Category 14</v>
      </c>
      <c r="M217" s="279">
        <f>RES_BA!R66</f>
        <v>0</v>
      </c>
      <c r="O217" s="279">
        <f>RES_BA!S66</f>
        <v>0</v>
      </c>
      <c r="Q217" s="279">
        <f>RES_BA!T66</f>
        <v>0</v>
      </c>
      <c r="S217" s="279">
        <f>RES_BA!U66</f>
        <v>0</v>
      </c>
    </row>
    <row r="218" spans="3:19" s="277" customFormat="1" hidden="1" outlineLevel="1" x14ac:dyDescent="0.3">
      <c r="C218" s="283" t="str">
        <f>RES_BA!D67</f>
        <v>Allowances Category 15</v>
      </c>
      <c r="M218" s="279">
        <f>RES_BA!R67</f>
        <v>0</v>
      </c>
      <c r="O218" s="279">
        <f>RES_BA!S67</f>
        <v>0</v>
      </c>
      <c r="Q218" s="279">
        <f>RES_BA!T67</f>
        <v>0</v>
      </c>
      <c r="S218" s="279">
        <f>RES_BA!U67</f>
        <v>0</v>
      </c>
    </row>
    <row r="219" spans="3:19" s="277" customFormat="1" hidden="1" outlineLevel="1" x14ac:dyDescent="0.3">
      <c r="C219" s="283" t="str">
        <f>RES_BA!D68</f>
        <v>Allowances Category 16</v>
      </c>
      <c r="M219" s="279">
        <f>RES_BA!R68</f>
        <v>0</v>
      </c>
      <c r="O219" s="279">
        <f>RES_BA!S68</f>
        <v>0</v>
      </c>
      <c r="Q219" s="279">
        <f>RES_BA!T68</f>
        <v>0</v>
      </c>
      <c r="S219" s="279">
        <f>RES_BA!U68</f>
        <v>0</v>
      </c>
    </row>
    <row r="220" spans="3:19" hidden="1" outlineLevel="1" x14ac:dyDescent="0.3">
      <c r="C220" s="89" t="str">
        <f>RES_BA!D69</f>
        <v>Allowances Category 17</v>
      </c>
      <c r="M220" s="40">
        <f>RES_BA!R69</f>
        <v>0</v>
      </c>
      <c r="O220" s="40">
        <f>RES_BA!S69</f>
        <v>0</v>
      </c>
      <c r="Q220" s="40">
        <f>RES_BA!T69</f>
        <v>0</v>
      </c>
      <c r="S220" s="40">
        <f>RES_BA!U69</f>
        <v>0</v>
      </c>
    </row>
    <row r="221" spans="3:19" hidden="1" outlineLevel="1" x14ac:dyDescent="0.3">
      <c r="C221" s="89" t="str">
        <f>RES_BA!D70</f>
        <v>Allowances Category 18</v>
      </c>
      <c r="M221" s="40">
        <f>RES_BA!R70</f>
        <v>0</v>
      </c>
      <c r="O221" s="40">
        <f>RES_BA!S70</f>
        <v>0</v>
      </c>
      <c r="Q221" s="40">
        <f>RES_BA!T70</f>
        <v>0</v>
      </c>
      <c r="S221" s="40">
        <f>RES_BA!U70</f>
        <v>0</v>
      </c>
    </row>
    <row r="222" spans="3:19" hidden="1" outlineLevel="1" x14ac:dyDescent="0.3">
      <c r="C222" s="89" t="str">
        <f>RES_BA!D71</f>
        <v>Allowances Category 19</v>
      </c>
      <c r="M222" s="40">
        <f>RES_BA!R71</f>
        <v>0</v>
      </c>
      <c r="O222" s="40">
        <f>RES_BA!S71</f>
        <v>0</v>
      </c>
      <c r="Q222" s="40">
        <f>RES_BA!T71</f>
        <v>0</v>
      </c>
      <c r="S222" s="40">
        <f>RES_BA!U71</f>
        <v>0</v>
      </c>
    </row>
    <row r="223" spans="3:19" hidden="1" outlineLevel="1" x14ac:dyDescent="0.3">
      <c r="C223" s="89" t="str">
        <f>RES_BA!D72</f>
        <v>Allowances Category 20</v>
      </c>
      <c r="M223" s="40">
        <f>RES_BA!R72</f>
        <v>0</v>
      </c>
      <c r="O223" s="40">
        <f>RES_BA!S72</f>
        <v>0</v>
      </c>
      <c r="Q223" s="40">
        <f>RES_BA!T72</f>
        <v>0</v>
      </c>
      <c r="S223" s="40">
        <f>RES_BA!U72</f>
        <v>0</v>
      </c>
    </row>
    <row r="224" spans="3:19" hidden="1" outlineLevel="1" x14ac:dyDescent="0.3">
      <c r="C224" s="89" t="str">
        <f>RES_BA!D73</f>
        <v>Allowances Category 21</v>
      </c>
      <c r="M224" s="40">
        <f>RES_BA!R73</f>
        <v>0</v>
      </c>
      <c r="O224" s="40">
        <f>RES_BA!S73</f>
        <v>0</v>
      </c>
      <c r="Q224" s="40">
        <f>RES_BA!T73</f>
        <v>0</v>
      </c>
      <c r="S224" s="40">
        <f>RES_BA!U73</f>
        <v>0</v>
      </c>
    </row>
    <row r="225" spans="3:19" hidden="1" outlineLevel="1" x14ac:dyDescent="0.3">
      <c r="C225" s="89" t="str">
        <f>RES_BA!D74</f>
        <v>Allowances Category 22</v>
      </c>
      <c r="M225" s="40">
        <f>RES_BA!R74</f>
        <v>0</v>
      </c>
      <c r="O225" s="40">
        <f>RES_BA!S74</f>
        <v>0</v>
      </c>
      <c r="Q225" s="40">
        <f>RES_BA!T74</f>
        <v>0</v>
      </c>
      <c r="S225" s="40">
        <f>RES_BA!U74</f>
        <v>0</v>
      </c>
    </row>
    <row r="226" spans="3:19" hidden="1" outlineLevel="1" x14ac:dyDescent="0.3">
      <c r="C226" s="89" t="str">
        <f>RES_BA!D75</f>
        <v>Allowances Category 23</v>
      </c>
      <c r="M226" s="40">
        <f>RES_BA!R75</f>
        <v>0</v>
      </c>
      <c r="O226" s="40">
        <f>RES_BA!S75</f>
        <v>0</v>
      </c>
      <c r="Q226" s="40">
        <f>RES_BA!T75</f>
        <v>0</v>
      </c>
      <c r="S226" s="40">
        <f>RES_BA!U75</f>
        <v>0</v>
      </c>
    </row>
    <row r="227" spans="3:19" s="277" customFormat="1" hidden="1" outlineLevel="1" collapsed="1" x14ac:dyDescent="0.3">
      <c r="C227" s="283" t="str">
        <f>RES_BA!D76</f>
        <v>Allowances Category 24</v>
      </c>
      <c r="M227" s="279">
        <f>RES_BA!R76</f>
        <v>0</v>
      </c>
      <c r="O227" s="279">
        <f>RES_BA!S76</f>
        <v>0</v>
      </c>
      <c r="Q227" s="279">
        <f>RES_BA!T76</f>
        <v>0</v>
      </c>
      <c r="S227" s="279">
        <f>RES_BA!U76</f>
        <v>0</v>
      </c>
    </row>
    <row r="228" spans="3:19" s="277" customFormat="1" hidden="1" outlineLevel="1" x14ac:dyDescent="0.3">
      <c r="C228" s="283" t="str">
        <f>RES_BA!D77</f>
        <v>Allowances Category 25</v>
      </c>
      <c r="M228" s="279">
        <f>RES_BA!R77</f>
        <v>0</v>
      </c>
      <c r="O228" s="279">
        <f>RES_BA!S77</f>
        <v>0</v>
      </c>
      <c r="Q228" s="279">
        <f>RES_BA!T77</f>
        <v>0</v>
      </c>
      <c r="S228" s="279">
        <f>RES_BA!U77</f>
        <v>0</v>
      </c>
    </row>
    <row r="229" spans="3:19" s="277" customFormat="1" hidden="1" outlineLevel="1" x14ac:dyDescent="0.3">
      <c r="C229" s="283" t="str">
        <f>RES_BA!D78</f>
        <v>Allowances Category 26</v>
      </c>
      <c r="M229" s="279">
        <f>RES_BA!R78</f>
        <v>0</v>
      </c>
      <c r="O229" s="279">
        <f>RES_BA!S78</f>
        <v>0</v>
      </c>
      <c r="Q229" s="279">
        <f>RES_BA!T78</f>
        <v>0</v>
      </c>
      <c r="S229" s="279">
        <f>RES_BA!U78</f>
        <v>0</v>
      </c>
    </row>
    <row r="230" spans="3:19" s="277" customFormat="1" hidden="1" outlineLevel="1" x14ac:dyDescent="0.3">
      <c r="C230" s="283" t="str">
        <f>RES_BA!D79</f>
        <v>Allowances Category 27</v>
      </c>
      <c r="M230" s="279">
        <f>RES_BA!R79</f>
        <v>0</v>
      </c>
      <c r="O230" s="279">
        <f>RES_BA!S79</f>
        <v>0</v>
      </c>
      <c r="Q230" s="279">
        <f>RES_BA!T79</f>
        <v>0</v>
      </c>
      <c r="S230" s="279">
        <f>RES_BA!U79</f>
        <v>0</v>
      </c>
    </row>
    <row r="231" spans="3:19" s="277" customFormat="1" hidden="1" outlineLevel="1" x14ac:dyDescent="0.3">
      <c r="C231" s="283" t="str">
        <f>RES_BA!D80</f>
        <v>Allowances Category 28</v>
      </c>
      <c r="M231" s="279">
        <f>RES_BA!R80</f>
        <v>0</v>
      </c>
      <c r="O231" s="279">
        <f>RES_BA!S80</f>
        <v>0</v>
      </c>
      <c r="Q231" s="279">
        <f>RES_BA!T80</f>
        <v>0</v>
      </c>
      <c r="S231" s="279">
        <f>RES_BA!U80</f>
        <v>0</v>
      </c>
    </row>
    <row r="232" spans="3:19" s="277" customFormat="1" hidden="1" outlineLevel="1" x14ac:dyDescent="0.3">
      <c r="C232" s="283" t="str">
        <f>RES_BA!D81</f>
        <v>Allowances Category 29</v>
      </c>
      <c r="M232" s="279">
        <f>RES_BA!R81</f>
        <v>0</v>
      </c>
      <c r="O232" s="279">
        <f>RES_BA!S81</f>
        <v>0</v>
      </c>
      <c r="Q232" s="279">
        <f>RES_BA!T81</f>
        <v>0</v>
      </c>
      <c r="S232" s="279">
        <f>RES_BA!U81</f>
        <v>0</v>
      </c>
    </row>
    <row r="233" spans="3:19" s="277" customFormat="1" hidden="1" outlineLevel="1" x14ac:dyDescent="0.3">
      <c r="C233" s="283" t="str">
        <f>RES_BA!D82</f>
        <v>Allowances Category 30</v>
      </c>
      <c r="M233" s="279">
        <f>RES_BA!R82</f>
        <v>0</v>
      </c>
      <c r="O233" s="279">
        <f>RES_BA!S82</f>
        <v>0</v>
      </c>
      <c r="Q233" s="279">
        <f>RES_BA!T82</f>
        <v>0</v>
      </c>
      <c r="S233" s="279">
        <f>RES_BA!U82</f>
        <v>0</v>
      </c>
    </row>
    <row r="234" spans="3:19" hidden="1" outlineLevel="1" x14ac:dyDescent="0.3">
      <c r="C234" s="89" t="str">
        <f>RES_BA!D83</f>
        <v>Allowances Category 31</v>
      </c>
      <c r="M234" s="40">
        <f>RES_BA!R83</f>
        <v>0</v>
      </c>
      <c r="O234" s="40">
        <f>RES_BA!S83</f>
        <v>0</v>
      </c>
      <c r="Q234" s="40">
        <f>RES_BA!T83</f>
        <v>0</v>
      </c>
      <c r="S234" s="40">
        <f>RES_BA!U83</f>
        <v>0</v>
      </c>
    </row>
    <row r="235" spans="3:19" hidden="1" outlineLevel="1" x14ac:dyDescent="0.3">
      <c r="C235" s="89" t="str">
        <f>RES_BA!D84</f>
        <v>Allowances Category 32</v>
      </c>
      <c r="M235" s="40">
        <f>RES_BA!R84</f>
        <v>0</v>
      </c>
      <c r="O235" s="40">
        <f>RES_BA!S84</f>
        <v>0</v>
      </c>
      <c r="Q235" s="40">
        <f>RES_BA!T84</f>
        <v>0</v>
      </c>
      <c r="S235" s="40">
        <f>RES_BA!U84</f>
        <v>0</v>
      </c>
    </row>
    <row r="236" spans="3:19" hidden="1" outlineLevel="1" x14ac:dyDescent="0.3">
      <c r="C236" s="89" t="str">
        <f>RES_BA!D85</f>
        <v>Allowances Category 33</v>
      </c>
      <c r="M236" s="40">
        <f>RES_BA!R85</f>
        <v>0</v>
      </c>
      <c r="O236" s="40">
        <f>RES_BA!S85</f>
        <v>0</v>
      </c>
      <c r="Q236" s="40">
        <f>RES_BA!T85</f>
        <v>0</v>
      </c>
      <c r="S236" s="40">
        <f>RES_BA!U85</f>
        <v>0</v>
      </c>
    </row>
    <row r="237" spans="3:19" hidden="1" outlineLevel="1" x14ac:dyDescent="0.3">
      <c r="C237" s="89" t="str">
        <f>RES_BA!D86</f>
        <v>Allowances Category 34</v>
      </c>
      <c r="M237" s="40">
        <f>RES_BA!R86</f>
        <v>0</v>
      </c>
      <c r="O237" s="40">
        <f>RES_BA!S86</f>
        <v>0</v>
      </c>
      <c r="Q237" s="40">
        <f>RES_BA!T86</f>
        <v>0</v>
      </c>
      <c r="S237" s="40">
        <f>RES_BA!U86</f>
        <v>0</v>
      </c>
    </row>
    <row r="238" spans="3:19" hidden="1" outlineLevel="1" x14ac:dyDescent="0.3">
      <c r="C238" s="89" t="str">
        <f>RES_BA!D87</f>
        <v>Allowances Category 35</v>
      </c>
      <c r="M238" s="40">
        <f>RES_BA!R87</f>
        <v>0</v>
      </c>
      <c r="O238" s="40">
        <f>RES_BA!S87</f>
        <v>0</v>
      </c>
      <c r="Q238" s="40">
        <f>RES_BA!T87</f>
        <v>0</v>
      </c>
      <c r="S238" s="40">
        <f>RES_BA!U87</f>
        <v>0</v>
      </c>
    </row>
    <row r="239" spans="3:19" hidden="1" outlineLevel="1" x14ac:dyDescent="0.3"/>
    <row r="240" spans="3:19" hidden="1" outlineLevel="1" x14ac:dyDescent="0.3"/>
    <row r="241" spans="3:19" hidden="1" outlineLevel="1" x14ac:dyDescent="0.3">
      <c r="M241" s="40" t="str">
        <f>$D$161</f>
        <v>USD</v>
      </c>
      <c r="O241" s="40" t="str">
        <f>$D$161</f>
        <v>USD</v>
      </c>
      <c r="Q241" s="40" t="str">
        <f>$D$162</f>
        <v>GOZ</v>
      </c>
      <c r="S241" s="40" t="str">
        <f>$D$162</f>
        <v>GOZ</v>
      </c>
    </row>
    <row r="242" spans="3:19" hidden="1" outlineLevel="1" x14ac:dyDescent="0.3">
      <c r="C242" s="89" t="str">
        <f>RES_BA!D91</f>
        <v>Supplies Category 1</v>
      </c>
      <c r="M242" s="40">
        <f>RES_BA!R91</f>
        <v>0</v>
      </c>
      <c r="O242" s="40">
        <f>RES_BA!S91</f>
        <v>0</v>
      </c>
      <c r="Q242" s="40">
        <f>RES_BA!T91</f>
        <v>0</v>
      </c>
      <c r="S242" s="40">
        <f>RES_BA!U91</f>
        <v>0</v>
      </c>
    </row>
    <row r="243" spans="3:19" hidden="1" outlineLevel="1" x14ac:dyDescent="0.3">
      <c r="C243" s="89" t="str">
        <f>RES_BA!D92</f>
        <v>Supplies Category 2</v>
      </c>
      <c r="M243" s="40">
        <f>RES_BA!R92</f>
        <v>0</v>
      </c>
      <c r="O243" s="40">
        <f>RES_BA!S92</f>
        <v>0</v>
      </c>
      <c r="Q243" s="40">
        <f>RES_BA!T92</f>
        <v>0</v>
      </c>
      <c r="S243" s="40">
        <f>RES_BA!U92</f>
        <v>0</v>
      </c>
    </row>
    <row r="244" spans="3:19" hidden="1" outlineLevel="1" x14ac:dyDescent="0.3">
      <c r="C244" s="89" t="str">
        <f>RES_BA!D93</f>
        <v>Supplies Category 3</v>
      </c>
      <c r="M244" s="40">
        <f>RES_BA!R93</f>
        <v>0</v>
      </c>
      <c r="O244" s="40">
        <f>RES_BA!S93</f>
        <v>0</v>
      </c>
      <c r="Q244" s="40">
        <f>RES_BA!T93</f>
        <v>0</v>
      </c>
      <c r="S244" s="40">
        <f>RES_BA!U93</f>
        <v>0</v>
      </c>
    </row>
    <row r="245" spans="3:19" hidden="1" outlineLevel="1" x14ac:dyDescent="0.3">
      <c r="C245" s="89" t="str">
        <f>RES_BA!D94</f>
        <v>Supplies Category 4</v>
      </c>
      <c r="M245" s="40">
        <f>RES_BA!R94</f>
        <v>0</v>
      </c>
      <c r="O245" s="40">
        <f>RES_BA!S94</f>
        <v>0</v>
      </c>
      <c r="Q245" s="40">
        <f>RES_BA!T94</f>
        <v>0</v>
      </c>
      <c r="S245" s="40">
        <f>RES_BA!U94</f>
        <v>0</v>
      </c>
    </row>
    <row r="246" spans="3:19" hidden="1" outlineLevel="1" x14ac:dyDescent="0.3">
      <c r="C246" s="89" t="str">
        <f>RES_BA!D95</f>
        <v>Supplies Category 5</v>
      </c>
      <c r="M246" s="40">
        <f>RES_BA!R95</f>
        <v>0</v>
      </c>
      <c r="O246" s="40">
        <f>RES_BA!S95</f>
        <v>0</v>
      </c>
      <c r="Q246" s="40">
        <f>RES_BA!T95</f>
        <v>0</v>
      </c>
      <c r="S246" s="40">
        <f>RES_BA!U95</f>
        <v>0</v>
      </c>
    </row>
    <row r="247" spans="3:19" hidden="1" outlineLevel="1" x14ac:dyDescent="0.3">
      <c r="C247" s="89" t="str">
        <f>RES_BA!D96</f>
        <v>Supplies Category 6</v>
      </c>
      <c r="M247" s="40">
        <f>RES_BA!R96</f>
        <v>0</v>
      </c>
      <c r="O247" s="40">
        <f>RES_BA!S96</f>
        <v>0</v>
      </c>
      <c r="Q247" s="40">
        <f>RES_BA!T96</f>
        <v>0</v>
      </c>
      <c r="S247" s="40">
        <f>RES_BA!U96</f>
        <v>0</v>
      </c>
    </row>
    <row r="248" spans="3:19" hidden="1" outlineLevel="1" x14ac:dyDescent="0.3">
      <c r="C248" s="89" t="str">
        <f>RES_BA!D97</f>
        <v>Supplies Category 7</v>
      </c>
      <c r="M248" s="40">
        <f>RES_BA!R97</f>
        <v>0</v>
      </c>
      <c r="O248" s="40">
        <f>RES_BA!S97</f>
        <v>0</v>
      </c>
      <c r="Q248" s="40">
        <f>RES_BA!T97</f>
        <v>0</v>
      </c>
      <c r="S248" s="40">
        <f>RES_BA!U97</f>
        <v>0</v>
      </c>
    </row>
    <row r="249" spans="3:19" hidden="1" outlineLevel="1" x14ac:dyDescent="0.3">
      <c r="C249" s="89" t="str">
        <f>RES_BA!D98</f>
        <v>Supplies Category 8</v>
      </c>
      <c r="M249" s="40">
        <f>RES_BA!R98</f>
        <v>0</v>
      </c>
      <c r="O249" s="40">
        <f>RES_BA!S98</f>
        <v>0</v>
      </c>
      <c r="Q249" s="40">
        <f>RES_BA!T98</f>
        <v>0</v>
      </c>
      <c r="S249" s="40">
        <f>RES_BA!U98</f>
        <v>0</v>
      </c>
    </row>
    <row r="250" spans="3:19" hidden="1" outlineLevel="1" x14ac:dyDescent="0.3">
      <c r="C250" s="89" t="str">
        <f>RES_BA!D99</f>
        <v>Supplies Category 9</v>
      </c>
      <c r="M250" s="40">
        <f>RES_BA!R99</f>
        <v>0</v>
      </c>
      <c r="O250" s="40">
        <f>RES_BA!S99</f>
        <v>0</v>
      </c>
      <c r="Q250" s="40">
        <f>RES_BA!T99</f>
        <v>0</v>
      </c>
      <c r="S250" s="40">
        <f>RES_BA!U99</f>
        <v>0</v>
      </c>
    </row>
    <row r="251" spans="3:19" hidden="1" outlineLevel="1" x14ac:dyDescent="0.3">
      <c r="C251" s="89" t="str">
        <f>RES_BA!D100</f>
        <v>Supplies Category 10</v>
      </c>
      <c r="M251" s="40">
        <f>RES_BA!R100</f>
        <v>0</v>
      </c>
      <c r="O251" s="40">
        <f>RES_BA!S100</f>
        <v>0</v>
      </c>
      <c r="Q251" s="40">
        <f>RES_BA!T100</f>
        <v>0</v>
      </c>
      <c r="S251" s="40">
        <f>RES_BA!U100</f>
        <v>0</v>
      </c>
    </row>
    <row r="252" spans="3:19" hidden="1" outlineLevel="1" x14ac:dyDescent="0.3">
      <c r="C252" s="89" t="str">
        <f>RES_BA!D101</f>
        <v>Supplies Category 11</v>
      </c>
      <c r="M252" s="40">
        <f>RES_BA!R101</f>
        <v>0</v>
      </c>
      <c r="O252" s="40">
        <f>RES_BA!S101</f>
        <v>0</v>
      </c>
      <c r="Q252" s="40">
        <f>RES_BA!T101</f>
        <v>0</v>
      </c>
      <c r="S252" s="40">
        <f>RES_BA!U101</f>
        <v>0</v>
      </c>
    </row>
    <row r="253" spans="3:19" hidden="1" outlineLevel="1" x14ac:dyDescent="0.3">
      <c r="C253" s="89" t="str">
        <f>RES_BA!D102</f>
        <v>Supplies Category 12</v>
      </c>
      <c r="M253" s="40">
        <f>RES_BA!R102</f>
        <v>0</v>
      </c>
      <c r="O253" s="40">
        <f>RES_BA!S102</f>
        <v>0</v>
      </c>
      <c r="Q253" s="40">
        <f>RES_BA!T102</f>
        <v>0</v>
      </c>
      <c r="S253" s="40">
        <f>RES_BA!U102</f>
        <v>0</v>
      </c>
    </row>
    <row r="254" spans="3:19" hidden="1" outlineLevel="1" x14ac:dyDescent="0.3">
      <c r="C254" s="89" t="str">
        <f>RES_BA!D103</f>
        <v>Supplies Category 13</v>
      </c>
      <c r="M254" s="40">
        <f>RES_BA!R103</f>
        <v>0</v>
      </c>
      <c r="O254" s="40">
        <f>RES_BA!S103</f>
        <v>0</v>
      </c>
      <c r="Q254" s="40">
        <f>RES_BA!T103</f>
        <v>0</v>
      </c>
      <c r="S254" s="40">
        <f>RES_BA!U103</f>
        <v>0</v>
      </c>
    </row>
    <row r="255" spans="3:19" hidden="1" outlineLevel="1" x14ac:dyDescent="0.3">
      <c r="C255" s="89" t="str">
        <f>RES_BA!D104</f>
        <v>Supplies Category 14</v>
      </c>
      <c r="M255" s="40">
        <f>RES_BA!R104</f>
        <v>0</v>
      </c>
      <c r="O255" s="40">
        <f>RES_BA!S104</f>
        <v>0</v>
      </c>
      <c r="Q255" s="40">
        <f>RES_BA!T104</f>
        <v>0</v>
      </c>
      <c r="S255" s="40">
        <f>RES_BA!U104</f>
        <v>0</v>
      </c>
    </row>
    <row r="256" spans="3:19" hidden="1" outlineLevel="1" x14ac:dyDescent="0.3">
      <c r="C256" s="89" t="str">
        <f>RES_BA!D105</f>
        <v>Supplies Category 15</v>
      </c>
      <c r="M256" s="40">
        <f>RES_BA!R105</f>
        <v>0</v>
      </c>
      <c r="O256" s="40">
        <f>RES_BA!S105</f>
        <v>0</v>
      </c>
      <c r="Q256" s="40">
        <f>RES_BA!T105</f>
        <v>0</v>
      </c>
      <c r="S256" s="40">
        <f>RES_BA!U105</f>
        <v>0</v>
      </c>
    </row>
    <row r="257" spans="3:19" hidden="1" outlineLevel="1" x14ac:dyDescent="0.3">
      <c r="C257" s="89" t="str">
        <f>RES_BA!D106</f>
        <v>Supplies Category 16</v>
      </c>
      <c r="M257" s="40">
        <f>RES_BA!R106</f>
        <v>0</v>
      </c>
      <c r="O257" s="40">
        <f>RES_BA!S106</f>
        <v>0</v>
      </c>
      <c r="Q257" s="40">
        <f>RES_BA!T106</f>
        <v>0</v>
      </c>
      <c r="S257" s="40">
        <f>RES_BA!U106</f>
        <v>0</v>
      </c>
    </row>
    <row r="258" spans="3:19" s="277" customFormat="1" hidden="1" outlineLevel="1" collapsed="1" x14ac:dyDescent="0.3">
      <c r="C258" s="283" t="str">
        <f>RES_BA!D107</f>
        <v>Supplies Category 17</v>
      </c>
      <c r="M258" s="279">
        <f>RES_BA!R107</f>
        <v>0</v>
      </c>
      <c r="O258" s="279">
        <f>RES_BA!S107</f>
        <v>0</v>
      </c>
      <c r="Q258" s="279">
        <f>RES_BA!T107</f>
        <v>0</v>
      </c>
      <c r="S258" s="279">
        <f>RES_BA!U107</f>
        <v>0</v>
      </c>
    </row>
    <row r="259" spans="3:19" s="277" customFormat="1" hidden="1" outlineLevel="1" x14ac:dyDescent="0.3">
      <c r="C259" s="283" t="str">
        <f>RES_BA!D108</f>
        <v>Supplies Category 18</v>
      </c>
      <c r="M259" s="279">
        <f>RES_BA!R108</f>
        <v>0</v>
      </c>
      <c r="O259" s="279">
        <f>RES_BA!S108</f>
        <v>0</v>
      </c>
      <c r="Q259" s="279">
        <f>RES_BA!T108</f>
        <v>0</v>
      </c>
      <c r="S259" s="279">
        <f>RES_BA!U108</f>
        <v>0</v>
      </c>
    </row>
    <row r="260" spans="3:19" s="277" customFormat="1" hidden="1" outlineLevel="1" x14ac:dyDescent="0.3">
      <c r="C260" s="283" t="str">
        <f>RES_BA!D109</f>
        <v>Supplies Category 19</v>
      </c>
      <c r="M260" s="279">
        <f>RES_BA!R109</f>
        <v>0</v>
      </c>
      <c r="O260" s="279">
        <f>RES_BA!S109</f>
        <v>0</v>
      </c>
      <c r="Q260" s="279">
        <f>RES_BA!T109</f>
        <v>0</v>
      </c>
      <c r="S260" s="279">
        <f>RES_BA!U109</f>
        <v>0</v>
      </c>
    </row>
    <row r="261" spans="3:19" s="277" customFormat="1" hidden="1" outlineLevel="1" x14ac:dyDescent="0.3">
      <c r="C261" s="283" t="str">
        <f>RES_BA!D110</f>
        <v>Supplies Category 20</v>
      </c>
      <c r="M261" s="279">
        <f>RES_BA!R110</f>
        <v>0</v>
      </c>
      <c r="O261" s="279">
        <f>RES_BA!S110</f>
        <v>0</v>
      </c>
      <c r="Q261" s="279">
        <f>RES_BA!T110</f>
        <v>0</v>
      </c>
      <c r="S261" s="279">
        <f>RES_BA!U110</f>
        <v>0</v>
      </c>
    </row>
    <row r="262" spans="3:19" s="277" customFormat="1" hidden="1" outlineLevel="1" x14ac:dyDescent="0.3">
      <c r="C262" s="283" t="str">
        <f>RES_BA!D111</f>
        <v>Supplies Category 21</v>
      </c>
      <c r="M262" s="279">
        <f>RES_BA!R111</f>
        <v>0</v>
      </c>
      <c r="O262" s="279">
        <f>RES_BA!S111</f>
        <v>0</v>
      </c>
      <c r="Q262" s="279">
        <f>RES_BA!T111</f>
        <v>0</v>
      </c>
      <c r="S262" s="279">
        <f>RES_BA!U111</f>
        <v>0</v>
      </c>
    </row>
    <row r="263" spans="3:19" s="277" customFormat="1" hidden="1" outlineLevel="1" x14ac:dyDescent="0.3">
      <c r="C263" s="283" t="str">
        <f>RES_BA!D112</f>
        <v>Supplies Category 22</v>
      </c>
      <c r="M263" s="279">
        <f>RES_BA!R112</f>
        <v>0</v>
      </c>
      <c r="O263" s="279">
        <f>RES_BA!S112</f>
        <v>0</v>
      </c>
      <c r="Q263" s="279">
        <f>RES_BA!T112</f>
        <v>0</v>
      </c>
      <c r="S263" s="279">
        <f>RES_BA!U112</f>
        <v>0</v>
      </c>
    </row>
    <row r="264" spans="3:19" s="277" customFormat="1" hidden="1" outlineLevel="1" x14ac:dyDescent="0.3">
      <c r="C264" s="283" t="str">
        <f>RES_BA!D113</f>
        <v>Supplies Category 23</v>
      </c>
      <c r="M264" s="279">
        <f>RES_BA!R113</f>
        <v>0</v>
      </c>
      <c r="O264" s="279">
        <f>RES_BA!S113</f>
        <v>0</v>
      </c>
      <c r="Q264" s="279">
        <f>RES_BA!T113</f>
        <v>0</v>
      </c>
      <c r="S264" s="279">
        <f>RES_BA!U113</f>
        <v>0</v>
      </c>
    </row>
    <row r="265" spans="3:19" s="277" customFormat="1" hidden="1" outlineLevel="1" x14ac:dyDescent="0.3">
      <c r="C265" s="283" t="str">
        <f>RES_BA!D114</f>
        <v>Supplies Category 24</v>
      </c>
      <c r="M265" s="279">
        <f>RES_BA!R114</f>
        <v>0</v>
      </c>
      <c r="O265" s="279">
        <f>RES_BA!S114</f>
        <v>0</v>
      </c>
      <c r="Q265" s="279">
        <f>RES_BA!T114</f>
        <v>0</v>
      </c>
      <c r="S265" s="279">
        <f>RES_BA!U114</f>
        <v>0</v>
      </c>
    </row>
    <row r="266" spans="3:19" s="277" customFormat="1" hidden="1" outlineLevel="1" x14ac:dyDescent="0.3">
      <c r="C266" s="283" t="str">
        <f>RES_BA!D115</f>
        <v>Supplies Category 25</v>
      </c>
      <c r="M266" s="279">
        <f>RES_BA!R115</f>
        <v>0</v>
      </c>
      <c r="O266" s="279">
        <f>RES_BA!S115</f>
        <v>0</v>
      </c>
      <c r="Q266" s="279">
        <f>RES_BA!T115</f>
        <v>0</v>
      </c>
      <c r="S266" s="279">
        <f>RES_BA!U115</f>
        <v>0</v>
      </c>
    </row>
    <row r="267" spans="3:19" s="277" customFormat="1" hidden="1" outlineLevel="1" x14ac:dyDescent="0.3">
      <c r="C267" s="283" t="str">
        <f>RES_BA!D116</f>
        <v>Supplies Category 26</v>
      </c>
      <c r="M267" s="279">
        <f>RES_BA!R116</f>
        <v>0</v>
      </c>
      <c r="O267" s="279">
        <f>RES_BA!S116</f>
        <v>0</v>
      </c>
      <c r="Q267" s="279">
        <f>RES_BA!T116</f>
        <v>0</v>
      </c>
      <c r="S267" s="279">
        <f>RES_BA!U116</f>
        <v>0</v>
      </c>
    </row>
    <row r="268" spans="3:19" s="277" customFormat="1" hidden="1" outlineLevel="1" x14ac:dyDescent="0.3">
      <c r="C268" s="283" t="str">
        <f>RES_BA!D117</f>
        <v>Supplies Category 27</v>
      </c>
      <c r="M268" s="279">
        <f>RES_BA!R117</f>
        <v>0</v>
      </c>
      <c r="O268" s="279">
        <f>RES_BA!S117</f>
        <v>0</v>
      </c>
      <c r="Q268" s="279">
        <f>RES_BA!T117</f>
        <v>0</v>
      </c>
      <c r="S268" s="279">
        <f>RES_BA!U117</f>
        <v>0</v>
      </c>
    </row>
    <row r="269" spans="3:19" s="277" customFormat="1" hidden="1" outlineLevel="1" x14ac:dyDescent="0.3">
      <c r="C269" s="283" t="str">
        <f>RES_BA!D118</f>
        <v>Supplies Category 28</v>
      </c>
      <c r="M269" s="279">
        <f>RES_BA!R118</f>
        <v>0</v>
      </c>
      <c r="O269" s="279">
        <f>RES_BA!S118</f>
        <v>0</v>
      </c>
      <c r="Q269" s="279">
        <f>RES_BA!T118</f>
        <v>0</v>
      </c>
      <c r="S269" s="279">
        <f>RES_BA!U118</f>
        <v>0</v>
      </c>
    </row>
    <row r="270" spans="3:19" s="277" customFormat="1" hidden="1" outlineLevel="1" x14ac:dyDescent="0.3">
      <c r="C270" s="283" t="str">
        <f>RES_BA!D119</f>
        <v>Supplies Category 29</v>
      </c>
      <c r="M270" s="279">
        <f>RES_BA!R119</f>
        <v>0</v>
      </c>
      <c r="O270" s="279">
        <f>RES_BA!S119</f>
        <v>0</v>
      </c>
      <c r="Q270" s="279">
        <f>RES_BA!T119</f>
        <v>0</v>
      </c>
      <c r="S270" s="279">
        <f>RES_BA!U119</f>
        <v>0</v>
      </c>
    </row>
    <row r="271" spans="3:19" s="277" customFormat="1" hidden="1" outlineLevel="1" collapsed="1" x14ac:dyDescent="0.3">
      <c r="C271" s="283" t="str">
        <f>RES_BA!D120</f>
        <v>Supplies Category 30</v>
      </c>
      <c r="M271" s="279">
        <f>RES_BA!R120</f>
        <v>0</v>
      </c>
      <c r="O271" s="279">
        <f>RES_BA!S120</f>
        <v>0</v>
      </c>
      <c r="Q271" s="279">
        <f>RES_BA!T120</f>
        <v>0</v>
      </c>
      <c r="S271" s="279">
        <f>RES_BA!U120</f>
        <v>0</v>
      </c>
    </row>
    <row r="272" spans="3:19" s="277" customFormat="1" hidden="1" outlineLevel="1" x14ac:dyDescent="0.3">
      <c r="C272" s="283" t="str">
        <f>RES_BA!D121</f>
        <v>Supplies Category 31</v>
      </c>
      <c r="M272" s="279">
        <f>RES_BA!R121</f>
        <v>0</v>
      </c>
      <c r="O272" s="279">
        <f>RES_BA!S121</f>
        <v>0</v>
      </c>
      <c r="Q272" s="279">
        <f>RES_BA!T121</f>
        <v>0</v>
      </c>
      <c r="S272" s="279">
        <f>RES_BA!U121</f>
        <v>0</v>
      </c>
    </row>
    <row r="273" spans="3:19" s="277" customFormat="1" hidden="1" outlineLevel="1" x14ac:dyDescent="0.3">
      <c r="C273" s="283" t="str">
        <f>RES_BA!D122</f>
        <v>Supplies Category 32</v>
      </c>
      <c r="M273" s="279">
        <f>RES_BA!R122</f>
        <v>0</v>
      </c>
      <c r="O273" s="279">
        <f>RES_BA!S122</f>
        <v>0</v>
      </c>
      <c r="Q273" s="279">
        <f>RES_BA!T122</f>
        <v>0</v>
      </c>
      <c r="S273" s="279">
        <f>RES_BA!U122</f>
        <v>0</v>
      </c>
    </row>
    <row r="274" spans="3:19" s="277" customFormat="1" hidden="1" outlineLevel="1" x14ac:dyDescent="0.3">
      <c r="C274" s="283" t="str">
        <f>RES_BA!D123</f>
        <v>Supplies Category 33</v>
      </c>
      <c r="M274" s="279">
        <f>RES_BA!R123</f>
        <v>0</v>
      </c>
      <c r="O274" s="279">
        <f>RES_BA!S123</f>
        <v>0</v>
      </c>
      <c r="Q274" s="279">
        <f>RES_BA!T123</f>
        <v>0</v>
      </c>
      <c r="S274" s="279">
        <f>RES_BA!U123</f>
        <v>0</v>
      </c>
    </row>
    <row r="275" spans="3:19" s="277" customFormat="1" hidden="1" outlineLevel="1" x14ac:dyDescent="0.3">
      <c r="C275" s="283" t="str">
        <f>RES_BA!D124</f>
        <v>Supplies Category 34</v>
      </c>
      <c r="M275" s="279">
        <f>RES_BA!R124</f>
        <v>0</v>
      </c>
      <c r="O275" s="279">
        <f>RES_BA!S124</f>
        <v>0</v>
      </c>
      <c r="Q275" s="279">
        <f>RES_BA!T124</f>
        <v>0</v>
      </c>
      <c r="S275" s="279">
        <f>RES_BA!U124</f>
        <v>0</v>
      </c>
    </row>
    <row r="276" spans="3:19" s="277" customFormat="1" hidden="1" outlineLevel="1" x14ac:dyDescent="0.3">
      <c r="C276" s="283" t="str">
        <f>RES_BA!D125</f>
        <v>Supplies Category 35</v>
      </c>
      <c r="M276" s="279">
        <f>RES_BA!R125</f>
        <v>0</v>
      </c>
      <c r="O276" s="279">
        <f>RES_BA!S125</f>
        <v>0</v>
      </c>
      <c r="Q276" s="279">
        <f>RES_BA!T125</f>
        <v>0</v>
      </c>
      <c r="S276" s="279">
        <f>RES_BA!U125</f>
        <v>0</v>
      </c>
    </row>
    <row r="277" spans="3:19" hidden="1" outlineLevel="1" x14ac:dyDescent="0.3"/>
    <row r="278" spans="3:19" hidden="1" outlineLevel="1" x14ac:dyDescent="0.3">
      <c r="M278" s="40" t="str">
        <f>$D$161</f>
        <v>USD</v>
      </c>
      <c r="O278" s="40" t="str">
        <f>$D$161</f>
        <v>USD</v>
      </c>
      <c r="Q278" s="40" t="str">
        <f>$D$162</f>
        <v>GOZ</v>
      </c>
      <c r="S278" s="40" t="str">
        <f>$D$162</f>
        <v>GOZ</v>
      </c>
    </row>
    <row r="279" spans="3:19" hidden="1" outlineLevel="1" x14ac:dyDescent="0.3">
      <c r="C279" s="89" t="str">
        <f>RES_BA!D130</f>
        <v>Equipment Category 1</v>
      </c>
      <c r="M279" s="40">
        <f>RES_BA!R130</f>
        <v>0</v>
      </c>
      <c r="O279" s="40">
        <f>RES_BA!S130</f>
        <v>0</v>
      </c>
      <c r="Q279" s="40">
        <f>RES_BA!T130</f>
        <v>0</v>
      </c>
      <c r="S279" s="40">
        <f>RES_BA!U130</f>
        <v>0</v>
      </c>
    </row>
    <row r="280" spans="3:19" hidden="1" outlineLevel="1" x14ac:dyDescent="0.3">
      <c r="C280" s="89" t="str">
        <f>RES_BA!D131</f>
        <v>Equipment Category 2</v>
      </c>
      <c r="M280" s="40">
        <f>RES_BA!R131</f>
        <v>0</v>
      </c>
      <c r="O280" s="40">
        <f>RES_BA!S131</f>
        <v>0</v>
      </c>
      <c r="Q280" s="40">
        <f>RES_BA!T131</f>
        <v>0</v>
      </c>
      <c r="S280" s="40">
        <f>RES_BA!U131</f>
        <v>0</v>
      </c>
    </row>
    <row r="281" spans="3:19" hidden="1" outlineLevel="1" x14ac:dyDescent="0.3">
      <c r="C281" s="89" t="str">
        <f>RES_BA!D132</f>
        <v>Equipment Category 3</v>
      </c>
      <c r="M281" s="40">
        <f>RES_BA!R132</f>
        <v>0</v>
      </c>
      <c r="O281" s="40">
        <f>RES_BA!S132</f>
        <v>0</v>
      </c>
      <c r="Q281" s="40">
        <f>RES_BA!T132</f>
        <v>0</v>
      </c>
      <c r="S281" s="40">
        <f>RES_BA!U132</f>
        <v>0</v>
      </c>
    </row>
    <row r="282" spans="3:19" hidden="1" outlineLevel="1" x14ac:dyDescent="0.3">
      <c r="C282" s="89" t="str">
        <f>RES_BA!D133</f>
        <v>Equipment Category 4</v>
      </c>
      <c r="M282" s="40">
        <f>RES_BA!R133</f>
        <v>0</v>
      </c>
      <c r="O282" s="40">
        <f>RES_BA!S133</f>
        <v>0</v>
      </c>
      <c r="Q282" s="40">
        <f>RES_BA!T133</f>
        <v>0</v>
      </c>
      <c r="S282" s="40">
        <f>RES_BA!U133</f>
        <v>0</v>
      </c>
    </row>
    <row r="283" spans="3:19" hidden="1" outlineLevel="1" x14ac:dyDescent="0.3">
      <c r="C283" s="89" t="str">
        <f>RES_BA!D134</f>
        <v>Equipment Category 5</v>
      </c>
      <c r="M283" s="40">
        <f>RES_BA!R134</f>
        <v>0</v>
      </c>
      <c r="O283" s="40">
        <f>RES_BA!S134</f>
        <v>0</v>
      </c>
      <c r="Q283" s="40">
        <f>RES_BA!T134</f>
        <v>0</v>
      </c>
      <c r="S283" s="40">
        <f>RES_BA!U134</f>
        <v>0</v>
      </c>
    </row>
    <row r="284" spans="3:19" hidden="1" outlineLevel="1" x14ac:dyDescent="0.3">
      <c r="C284" s="89" t="str">
        <f>RES_BA!D135</f>
        <v>Equipment Category 6</v>
      </c>
      <c r="M284" s="40">
        <f>RES_BA!R135</f>
        <v>0</v>
      </c>
      <c r="O284" s="40">
        <f>RES_BA!S135</f>
        <v>0</v>
      </c>
      <c r="Q284" s="40">
        <f>RES_BA!T135</f>
        <v>0</v>
      </c>
      <c r="S284" s="40">
        <f>RES_BA!U135</f>
        <v>0</v>
      </c>
    </row>
    <row r="285" spans="3:19" s="277" customFormat="1" hidden="1" outlineLevel="1" collapsed="1" x14ac:dyDescent="0.3">
      <c r="C285" s="283" t="str">
        <f>RES_BA!D136</f>
        <v>Equipment Category 7</v>
      </c>
      <c r="M285" s="279">
        <f>RES_BA!R136</f>
        <v>0</v>
      </c>
      <c r="O285" s="279">
        <f>RES_BA!S136</f>
        <v>0</v>
      </c>
      <c r="Q285" s="279">
        <f>RES_BA!T136</f>
        <v>0</v>
      </c>
      <c r="S285" s="279">
        <f>RES_BA!U136</f>
        <v>0</v>
      </c>
    </row>
    <row r="286" spans="3:19" s="277" customFormat="1" hidden="1" outlineLevel="1" x14ac:dyDescent="0.3">
      <c r="C286" s="283" t="str">
        <f>RES_BA!D137</f>
        <v>Equipment Category 8</v>
      </c>
      <c r="M286" s="279">
        <f>RES_BA!R137</f>
        <v>0</v>
      </c>
      <c r="O286" s="279">
        <f>RES_BA!S137</f>
        <v>0</v>
      </c>
      <c r="Q286" s="279">
        <f>RES_BA!T137</f>
        <v>0</v>
      </c>
      <c r="S286" s="279">
        <f>RES_BA!U137</f>
        <v>0</v>
      </c>
    </row>
    <row r="287" spans="3:19" s="277" customFormat="1" hidden="1" outlineLevel="1" x14ac:dyDescent="0.3">
      <c r="C287" s="283" t="str">
        <f>RES_BA!D138</f>
        <v>Equipment Category 9</v>
      </c>
      <c r="M287" s="279">
        <f>RES_BA!R138</f>
        <v>0</v>
      </c>
      <c r="O287" s="279">
        <f>RES_BA!S138</f>
        <v>0</v>
      </c>
      <c r="Q287" s="279">
        <f>RES_BA!T138</f>
        <v>0</v>
      </c>
      <c r="S287" s="279">
        <f>RES_BA!U138</f>
        <v>0</v>
      </c>
    </row>
    <row r="288" spans="3:19" s="277" customFormat="1" hidden="1" outlineLevel="1" x14ac:dyDescent="0.3">
      <c r="C288" s="283" t="str">
        <f>RES_BA!D139</f>
        <v>Equipment Category 10</v>
      </c>
      <c r="M288" s="279">
        <f>RES_BA!R139</f>
        <v>0</v>
      </c>
      <c r="O288" s="279">
        <f>RES_BA!S139</f>
        <v>0</v>
      </c>
      <c r="Q288" s="279">
        <f>RES_BA!T139</f>
        <v>0</v>
      </c>
      <c r="S288" s="279">
        <f>RES_BA!U139</f>
        <v>0</v>
      </c>
    </row>
    <row r="289" spans="3:19" s="277" customFormat="1" hidden="1" outlineLevel="1" x14ac:dyDescent="0.3">
      <c r="C289" s="283" t="str">
        <f>RES_BA!D140</f>
        <v>Equipment Category 11</v>
      </c>
      <c r="M289" s="279">
        <f>RES_BA!R140</f>
        <v>0</v>
      </c>
      <c r="O289" s="279">
        <f>RES_BA!S140</f>
        <v>0</v>
      </c>
      <c r="Q289" s="279">
        <f>RES_BA!T140</f>
        <v>0</v>
      </c>
      <c r="S289" s="279">
        <f>RES_BA!U140</f>
        <v>0</v>
      </c>
    </row>
    <row r="290" spans="3:19" s="277" customFormat="1" hidden="1" outlineLevel="1" x14ac:dyDescent="0.3">
      <c r="C290" s="283" t="str">
        <f>RES_BA!D141</f>
        <v>Equipment Category 12</v>
      </c>
      <c r="M290" s="279">
        <f>RES_BA!R141</f>
        <v>0</v>
      </c>
      <c r="O290" s="279">
        <f>RES_BA!S141</f>
        <v>0</v>
      </c>
      <c r="Q290" s="279">
        <f>RES_BA!T141</f>
        <v>0</v>
      </c>
      <c r="S290" s="279">
        <f>RES_BA!U141</f>
        <v>0</v>
      </c>
    </row>
    <row r="291" spans="3:19" s="277" customFormat="1" hidden="1" outlineLevel="1" collapsed="1" x14ac:dyDescent="0.3">
      <c r="C291" s="283" t="str">
        <f>RES_BA!D142</f>
        <v>Equipment Category 13</v>
      </c>
      <c r="M291" s="279">
        <f>RES_BA!R142</f>
        <v>0</v>
      </c>
      <c r="O291" s="279">
        <f>RES_BA!S142</f>
        <v>0</v>
      </c>
      <c r="Q291" s="279">
        <f>RES_BA!T142</f>
        <v>0</v>
      </c>
      <c r="S291" s="279">
        <f>RES_BA!U142</f>
        <v>0</v>
      </c>
    </row>
    <row r="292" spans="3:19" s="277" customFormat="1" hidden="1" outlineLevel="1" x14ac:dyDescent="0.3">
      <c r="C292" s="283" t="str">
        <f>RES_BA!D143</f>
        <v>Equipment Category 14</v>
      </c>
      <c r="M292" s="279">
        <f>RES_BA!R143</f>
        <v>0</v>
      </c>
      <c r="O292" s="279">
        <f>RES_BA!S143</f>
        <v>0</v>
      </c>
      <c r="Q292" s="279">
        <f>RES_BA!T143</f>
        <v>0</v>
      </c>
      <c r="S292" s="279">
        <f>RES_BA!U143</f>
        <v>0</v>
      </c>
    </row>
    <row r="293" spans="3:19" s="277" customFormat="1" hidden="1" outlineLevel="1" x14ac:dyDescent="0.3">
      <c r="C293" s="283" t="str">
        <f>RES_BA!D144</f>
        <v>Equipment Category 15</v>
      </c>
      <c r="M293" s="279">
        <f>RES_BA!R144</f>
        <v>0</v>
      </c>
      <c r="O293" s="279">
        <f>RES_BA!S144</f>
        <v>0</v>
      </c>
      <c r="Q293" s="279">
        <f>RES_BA!T144</f>
        <v>0</v>
      </c>
      <c r="S293" s="279">
        <f>RES_BA!U144</f>
        <v>0</v>
      </c>
    </row>
    <row r="294" spans="3:19" s="277" customFormat="1" hidden="1" outlineLevel="1" x14ac:dyDescent="0.3">
      <c r="C294" s="283" t="str">
        <f>RES_BA!D145</f>
        <v>Equipment Category 16</v>
      </c>
      <c r="M294" s="279">
        <f>RES_BA!R145</f>
        <v>0</v>
      </c>
      <c r="O294" s="279">
        <f>RES_BA!S145</f>
        <v>0</v>
      </c>
      <c r="Q294" s="279">
        <f>RES_BA!T145</f>
        <v>0</v>
      </c>
      <c r="S294" s="279">
        <f>RES_BA!U145</f>
        <v>0</v>
      </c>
    </row>
    <row r="295" spans="3:19" s="277" customFormat="1" hidden="1" outlineLevel="1" x14ac:dyDescent="0.3">
      <c r="C295" s="283" t="str">
        <f>RES_BA!D146</f>
        <v>Equipment Category 17</v>
      </c>
      <c r="M295" s="279">
        <f>RES_BA!R146</f>
        <v>0</v>
      </c>
      <c r="O295" s="279">
        <f>RES_BA!S146</f>
        <v>0</v>
      </c>
      <c r="Q295" s="279">
        <f>RES_BA!T146</f>
        <v>0</v>
      </c>
      <c r="S295" s="279">
        <f>RES_BA!U146</f>
        <v>0</v>
      </c>
    </row>
    <row r="296" spans="3:19" s="277" customFormat="1" hidden="1" outlineLevel="1" x14ac:dyDescent="0.3">
      <c r="C296" s="283" t="str">
        <f>RES_BA!D147</f>
        <v>Equipment Category 18</v>
      </c>
      <c r="M296" s="279">
        <f>RES_BA!R147</f>
        <v>0</v>
      </c>
      <c r="O296" s="279">
        <f>RES_BA!S147</f>
        <v>0</v>
      </c>
      <c r="Q296" s="279">
        <f>RES_BA!T147</f>
        <v>0</v>
      </c>
      <c r="S296" s="279">
        <f>RES_BA!U147</f>
        <v>0</v>
      </c>
    </row>
    <row r="297" spans="3:19" s="277" customFormat="1" hidden="1" outlineLevel="1" x14ac:dyDescent="0.3">
      <c r="C297" s="283" t="str">
        <f>RES_BA!D148</f>
        <v>Equipment Category 19</v>
      </c>
      <c r="M297" s="279">
        <f>RES_BA!R148</f>
        <v>0</v>
      </c>
      <c r="O297" s="279">
        <f>RES_BA!S148</f>
        <v>0</v>
      </c>
      <c r="Q297" s="279">
        <f>RES_BA!T148</f>
        <v>0</v>
      </c>
      <c r="S297" s="279">
        <f>RES_BA!U148</f>
        <v>0</v>
      </c>
    </row>
    <row r="298" spans="3:19" s="277" customFormat="1" hidden="1" outlineLevel="1" x14ac:dyDescent="0.3">
      <c r="C298" s="283" t="str">
        <f>RES_BA!D149</f>
        <v>Equipment Category 20</v>
      </c>
      <c r="M298" s="279">
        <f>RES_BA!R149</f>
        <v>0</v>
      </c>
      <c r="O298" s="279">
        <f>RES_BA!S149</f>
        <v>0</v>
      </c>
      <c r="Q298" s="279">
        <f>RES_BA!T149</f>
        <v>0</v>
      </c>
      <c r="S298" s="279">
        <f>RES_BA!U149</f>
        <v>0</v>
      </c>
    </row>
    <row r="299" spans="3:19" s="277" customFormat="1" hidden="1" outlineLevel="1" x14ac:dyDescent="0.3">
      <c r="C299" s="283" t="str">
        <f>RES_BA!D150</f>
        <v>Equipment Category 21</v>
      </c>
      <c r="M299" s="279">
        <f>RES_BA!R150</f>
        <v>0</v>
      </c>
      <c r="O299" s="279">
        <f>RES_BA!S150</f>
        <v>0</v>
      </c>
      <c r="Q299" s="279">
        <f>RES_BA!T150</f>
        <v>0</v>
      </c>
      <c r="S299" s="279">
        <f>RES_BA!U150</f>
        <v>0</v>
      </c>
    </row>
    <row r="300" spans="3:19" s="277" customFormat="1" hidden="1" outlineLevel="1" x14ac:dyDescent="0.3">
      <c r="C300" s="283" t="str">
        <f>RES_BA!D151</f>
        <v>Equipment Category 22</v>
      </c>
      <c r="M300" s="279">
        <f>RES_BA!R151</f>
        <v>0</v>
      </c>
      <c r="O300" s="279">
        <f>RES_BA!S151</f>
        <v>0</v>
      </c>
      <c r="Q300" s="279">
        <f>RES_BA!T151</f>
        <v>0</v>
      </c>
      <c r="S300" s="279">
        <f>RES_BA!U151</f>
        <v>0</v>
      </c>
    </row>
    <row r="301" spans="3:19" s="277" customFormat="1" hidden="1" outlineLevel="1" x14ac:dyDescent="0.3">
      <c r="C301" s="283" t="str">
        <f>RES_BA!D152</f>
        <v>Equipment Category 23</v>
      </c>
      <c r="M301" s="279">
        <f>RES_BA!R152</f>
        <v>0</v>
      </c>
      <c r="O301" s="279">
        <f>RES_BA!S152</f>
        <v>0</v>
      </c>
      <c r="Q301" s="279">
        <f>RES_BA!T152</f>
        <v>0</v>
      </c>
      <c r="S301" s="279">
        <f>RES_BA!U152</f>
        <v>0</v>
      </c>
    </row>
    <row r="302" spans="3:19" s="277" customFormat="1" hidden="1" outlineLevel="1" collapsed="1" x14ac:dyDescent="0.3">
      <c r="C302" s="283" t="str">
        <f>RES_BA!D153</f>
        <v>Equipment Category 24</v>
      </c>
      <c r="M302" s="279">
        <f>RES_BA!R153</f>
        <v>0</v>
      </c>
      <c r="O302" s="279">
        <f>RES_BA!S153</f>
        <v>0</v>
      </c>
      <c r="Q302" s="279">
        <f>RES_BA!T153</f>
        <v>0</v>
      </c>
      <c r="S302" s="279">
        <f>RES_BA!U153</f>
        <v>0</v>
      </c>
    </row>
    <row r="303" spans="3:19" s="277" customFormat="1" hidden="1" outlineLevel="1" x14ac:dyDescent="0.3">
      <c r="C303" s="283" t="str">
        <f>RES_BA!D154</f>
        <v>Equipment Category 25</v>
      </c>
      <c r="M303" s="279">
        <f>RES_BA!R154</f>
        <v>0</v>
      </c>
      <c r="O303" s="279">
        <f>RES_BA!S154</f>
        <v>0</v>
      </c>
      <c r="Q303" s="279">
        <f>RES_BA!T154</f>
        <v>0</v>
      </c>
      <c r="S303" s="279">
        <f>RES_BA!U154</f>
        <v>0</v>
      </c>
    </row>
    <row r="304" spans="3:19" s="277" customFormat="1" hidden="1" outlineLevel="1" x14ac:dyDescent="0.3">
      <c r="C304" s="283" t="str">
        <f>RES_BA!D155</f>
        <v>Equipment Category 26</v>
      </c>
      <c r="M304" s="279">
        <f>RES_BA!R155</f>
        <v>0</v>
      </c>
      <c r="O304" s="279">
        <f>RES_BA!S155</f>
        <v>0</v>
      </c>
      <c r="Q304" s="279">
        <f>RES_BA!T155</f>
        <v>0</v>
      </c>
      <c r="S304" s="279">
        <f>RES_BA!U155</f>
        <v>0</v>
      </c>
    </row>
    <row r="305" spans="3:19" s="277" customFormat="1" hidden="1" outlineLevel="1" x14ac:dyDescent="0.3">
      <c r="C305" s="283" t="str">
        <f>RES_BA!D156</f>
        <v>Equipment Category 27</v>
      </c>
      <c r="M305" s="279">
        <f>RES_BA!R156</f>
        <v>0</v>
      </c>
      <c r="O305" s="279">
        <f>RES_BA!S156</f>
        <v>0</v>
      </c>
      <c r="Q305" s="279">
        <f>RES_BA!T156</f>
        <v>0</v>
      </c>
      <c r="S305" s="279">
        <f>RES_BA!U156</f>
        <v>0</v>
      </c>
    </row>
    <row r="306" spans="3:19" s="277" customFormat="1" hidden="1" outlineLevel="1" x14ac:dyDescent="0.3">
      <c r="C306" s="283" t="str">
        <f>RES_BA!D157</f>
        <v>Equipment Category 28</v>
      </c>
      <c r="M306" s="279">
        <f>RES_BA!R157</f>
        <v>0</v>
      </c>
      <c r="O306" s="279">
        <f>RES_BA!S157</f>
        <v>0</v>
      </c>
      <c r="Q306" s="279">
        <f>RES_BA!T157</f>
        <v>0</v>
      </c>
      <c r="S306" s="279">
        <f>RES_BA!U157</f>
        <v>0</v>
      </c>
    </row>
    <row r="307" spans="3:19" s="277" customFormat="1" hidden="1" outlineLevel="1" x14ac:dyDescent="0.3">
      <c r="C307" s="283" t="str">
        <f>RES_BA!D158</f>
        <v>Equipment Category 29</v>
      </c>
      <c r="M307" s="279">
        <f>RES_BA!R158</f>
        <v>0</v>
      </c>
      <c r="O307" s="279">
        <f>RES_BA!S158</f>
        <v>0</v>
      </c>
      <c r="Q307" s="279">
        <f>RES_BA!T158</f>
        <v>0</v>
      </c>
      <c r="S307" s="279">
        <f>RES_BA!U158</f>
        <v>0</v>
      </c>
    </row>
    <row r="308" spans="3:19" s="277" customFormat="1" hidden="1" outlineLevel="1" x14ac:dyDescent="0.3">
      <c r="C308" s="283" t="str">
        <f>RES_BA!D159</f>
        <v>Equipment Category 30</v>
      </c>
      <c r="M308" s="279">
        <f>RES_BA!R159</f>
        <v>0</v>
      </c>
      <c r="O308" s="279">
        <f>RES_BA!S159</f>
        <v>0</v>
      </c>
      <c r="Q308" s="279">
        <f>RES_BA!T159</f>
        <v>0</v>
      </c>
      <c r="S308" s="279">
        <f>RES_BA!U159</f>
        <v>0</v>
      </c>
    </row>
    <row r="309" spans="3:19" s="277" customFormat="1" hidden="1" outlineLevel="1" x14ac:dyDescent="0.3">
      <c r="C309" s="283" t="str">
        <f>RES_BA!D160</f>
        <v>Equipment Category 31</v>
      </c>
      <c r="M309" s="279">
        <f>RES_BA!R160</f>
        <v>0</v>
      </c>
      <c r="O309" s="279">
        <f>RES_BA!S160</f>
        <v>0</v>
      </c>
      <c r="Q309" s="279">
        <f>RES_BA!T160</f>
        <v>0</v>
      </c>
      <c r="S309" s="279">
        <f>RES_BA!U160</f>
        <v>0</v>
      </c>
    </row>
    <row r="310" spans="3:19" s="277" customFormat="1" hidden="1" outlineLevel="1" x14ac:dyDescent="0.3">
      <c r="C310" s="283" t="str">
        <f>RES_BA!D161</f>
        <v>Equipment Category 32</v>
      </c>
      <c r="M310" s="279">
        <f>RES_BA!R161</f>
        <v>0</v>
      </c>
      <c r="O310" s="279">
        <f>RES_BA!S161</f>
        <v>0</v>
      </c>
      <c r="Q310" s="279">
        <f>RES_BA!T161</f>
        <v>0</v>
      </c>
      <c r="S310" s="279">
        <f>RES_BA!U161</f>
        <v>0</v>
      </c>
    </row>
    <row r="311" spans="3:19" s="277" customFormat="1" hidden="1" outlineLevel="1" x14ac:dyDescent="0.3">
      <c r="C311" s="283" t="str">
        <f>RES_BA!D162</f>
        <v>Equipment Category 33</v>
      </c>
      <c r="M311" s="279">
        <f>RES_BA!R162</f>
        <v>0</v>
      </c>
      <c r="O311" s="279">
        <f>RES_BA!S162</f>
        <v>0</v>
      </c>
      <c r="Q311" s="279">
        <f>RES_BA!T162</f>
        <v>0</v>
      </c>
      <c r="S311" s="279">
        <f>RES_BA!U162</f>
        <v>0</v>
      </c>
    </row>
    <row r="312" spans="3:19" s="277" customFormat="1" hidden="1" outlineLevel="1" collapsed="1" x14ac:dyDescent="0.3">
      <c r="C312" s="283" t="str">
        <f>RES_BA!D163</f>
        <v>Equipment Category 34</v>
      </c>
      <c r="M312" s="279">
        <f>RES_BA!R163</f>
        <v>0</v>
      </c>
      <c r="O312" s="279">
        <f>RES_BA!S163</f>
        <v>0</v>
      </c>
      <c r="Q312" s="279">
        <f>RES_BA!T163</f>
        <v>0</v>
      </c>
      <c r="S312" s="279">
        <f>RES_BA!U163</f>
        <v>0</v>
      </c>
    </row>
    <row r="313" spans="3:19" s="277" customFormat="1" hidden="1" outlineLevel="1" x14ac:dyDescent="0.3">
      <c r="C313" s="283" t="str">
        <f>RES_BA!D164</f>
        <v>Equipment Category 35</v>
      </c>
      <c r="M313" s="279">
        <f>RES_BA!R164</f>
        <v>0</v>
      </c>
      <c r="O313" s="279">
        <f>RES_BA!S164</f>
        <v>0</v>
      </c>
      <c r="Q313" s="279">
        <f>RES_BA!T164</f>
        <v>0</v>
      </c>
      <c r="S313" s="279">
        <f>RES_BA!U164</f>
        <v>0</v>
      </c>
    </row>
    <row r="314" spans="3:19" hidden="1" outlineLevel="1" x14ac:dyDescent="0.3"/>
    <row r="315" spans="3:19" hidden="1" outlineLevel="1" x14ac:dyDescent="0.3"/>
    <row r="316" spans="3:19" hidden="1" outlineLevel="1" x14ac:dyDescent="0.3">
      <c r="M316" s="40" t="str">
        <f>$D$161</f>
        <v>USD</v>
      </c>
      <c r="O316" s="40" t="str">
        <f>$D$161</f>
        <v>USD</v>
      </c>
      <c r="Q316" s="40" t="str">
        <f>$D$162</f>
        <v>GOZ</v>
      </c>
      <c r="S316" s="40" t="str">
        <f>$D$162</f>
        <v>GOZ</v>
      </c>
    </row>
    <row r="317" spans="3:19" hidden="1" outlineLevel="1" x14ac:dyDescent="0.3">
      <c r="C317" s="89" t="str">
        <f>RES_BA!D169</f>
        <v>Other Direct Costs Category 1</v>
      </c>
      <c r="M317" s="40">
        <f>RES_BA!R169</f>
        <v>0</v>
      </c>
      <c r="O317" s="40">
        <f>RES_BA!S169</f>
        <v>0</v>
      </c>
      <c r="Q317" s="40">
        <f>RES_BA!T169</f>
        <v>0</v>
      </c>
      <c r="S317" s="40">
        <f>RES_BA!U169</f>
        <v>0</v>
      </c>
    </row>
    <row r="318" spans="3:19" hidden="1" outlineLevel="1" x14ac:dyDescent="0.3">
      <c r="C318" s="89" t="str">
        <f>RES_BA!D170</f>
        <v>Other Direct Costs Category 2</v>
      </c>
      <c r="M318" s="40">
        <f>RES_BA!R170</f>
        <v>0</v>
      </c>
      <c r="O318" s="40">
        <f>RES_BA!S170</f>
        <v>0</v>
      </c>
      <c r="Q318" s="40">
        <f>RES_BA!T170</f>
        <v>0</v>
      </c>
      <c r="S318" s="40">
        <f>RES_BA!U170</f>
        <v>0</v>
      </c>
    </row>
    <row r="319" spans="3:19" hidden="1" outlineLevel="1" x14ac:dyDescent="0.3">
      <c r="C319" s="89" t="str">
        <f>RES_BA!D171</f>
        <v>Other Direct Costs Category 3</v>
      </c>
      <c r="M319" s="40">
        <f>RES_BA!R171</f>
        <v>0</v>
      </c>
      <c r="O319" s="40">
        <f>RES_BA!S171</f>
        <v>0</v>
      </c>
      <c r="Q319" s="40">
        <f>RES_BA!T171</f>
        <v>0</v>
      </c>
      <c r="S319" s="40">
        <f>RES_BA!U171</f>
        <v>0</v>
      </c>
    </row>
    <row r="320" spans="3:19" s="277" customFormat="1" hidden="1" outlineLevel="1" collapsed="1" x14ac:dyDescent="0.3">
      <c r="C320" s="283" t="str">
        <f>RES_BA!D172</f>
        <v>Other Direct Costs Category 4</v>
      </c>
      <c r="M320" s="279">
        <f>RES_BA!R172</f>
        <v>0</v>
      </c>
      <c r="O320" s="279">
        <f>RES_BA!S172</f>
        <v>0</v>
      </c>
      <c r="Q320" s="279">
        <f>RES_BA!T172</f>
        <v>0</v>
      </c>
      <c r="S320" s="279">
        <f>RES_BA!U172</f>
        <v>0</v>
      </c>
    </row>
    <row r="321" spans="3:19" s="277" customFormat="1" hidden="1" outlineLevel="1" x14ac:dyDescent="0.3">
      <c r="C321" s="283" t="str">
        <f>RES_BA!D173</f>
        <v>Other Direct Costs Category 5</v>
      </c>
      <c r="M321" s="279">
        <f>RES_BA!R173</f>
        <v>0</v>
      </c>
      <c r="O321" s="279">
        <f>RES_BA!S173</f>
        <v>0</v>
      </c>
      <c r="Q321" s="279">
        <f>RES_BA!T173</f>
        <v>0</v>
      </c>
      <c r="S321" s="279">
        <f>RES_BA!U173</f>
        <v>0</v>
      </c>
    </row>
    <row r="322" spans="3:19" s="277" customFormat="1" hidden="1" outlineLevel="1" x14ac:dyDescent="0.3">
      <c r="C322" s="283" t="str">
        <f>RES_BA!D174</f>
        <v>Other Direct Costs Category 6</v>
      </c>
      <c r="M322" s="279">
        <f>RES_BA!R174</f>
        <v>0</v>
      </c>
      <c r="O322" s="279">
        <f>RES_BA!S174</f>
        <v>0</v>
      </c>
      <c r="Q322" s="279">
        <f>RES_BA!T174</f>
        <v>0</v>
      </c>
      <c r="S322" s="279">
        <f>RES_BA!U174</f>
        <v>0</v>
      </c>
    </row>
    <row r="323" spans="3:19" s="277" customFormat="1" hidden="1" outlineLevel="1" x14ac:dyDescent="0.3">
      <c r="C323" s="283" t="str">
        <f>RES_BA!D175</f>
        <v>Other Direct Costs Category 7</v>
      </c>
      <c r="M323" s="279">
        <f>RES_BA!R175</f>
        <v>0</v>
      </c>
      <c r="O323" s="279">
        <f>RES_BA!S175</f>
        <v>0</v>
      </c>
      <c r="Q323" s="279">
        <f>RES_BA!T175</f>
        <v>0</v>
      </c>
      <c r="S323" s="279">
        <f>RES_BA!U175</f>
        <v>0</v>
      </c>
    </row>
    <row r="324" spans="3:19" s="277" customFormat="1" hidden="1" outlineLevel="1" x14ac:dyDescent="0.3">
      <c r="C324" s="283" t="str">
        <f>RES_BA!D176</f>
        <v>Other Direct Costs Category 8</v>
      </c>
      <c r="M324" s="279">
        <f>RES_BA!R176</f>
        <v>0</v>
      </c>
      <c r="O324" s="279">
        <f>RES_BA!S176</f>
        <v>0</v>
      </c>
      <c r="Q324" s="279">
        <f>RES_BA!T176</f>
        <v>0</v>
      </c>
      <c r="S324" s="279">
        <f>RES_BA!U176</f>
        <v>0</v>
      </c>
    </row>
    <row r="325" spans="3:19" s="277" customFormat="1" hidden="1" outlineLevel="1" x14ac:dyDescent="0.3">
      <c r="C325" s="283" t="str">
        <f>RES_BA!D177</f>
        <v>Other Direct Costs Category 9</v>
      </c>
      <c r="M325" s="279">
        <f>RES_BA!R177</f>
        <v>0</v>
      </c>
      <c r="O325" s="279">
        <f>RES_BA!S177</f>
        <v>0</v>
      </c>
      <c r="Q325" s="279">
        <f>RES_BA!T177</f>
        <v>0</v>
      </c>
      <c r="S325" s="279">
        <f>RES_BA!U177</f>
        <v>0</v>
      </c>
    </row>
    <row r="326" spans="3:19" s="277" customFormat="1" hidden="1" outlineLevel="1" x14ac:dyDescent="0.3">
      <c r="C326" s="283" t="str">
        <f>RES_BA!D178</f>
        <v>Other Direct Costs Category 10</v>
      </c>
      <c r="M326" s="279">
        <f>RES_BA!R178</f>
        <v>0</v>
      </c>
      <c r="O326" s="279">
        <f>RES_BA!S178</f>
        <v>0</v>
      </c>
      <c r="Q326" s="279">
        <f>RES_BA!T178</f>
        <v>0</v>
      </c>
      <c r="S326" s="279">
        <f>RES_BA!U178</f>
        <v>0</v>
      </c>
    </row>
    <row r="327" spans="3:19" s="277" customFormat="1" hidden="1" outlineLevel="1" x14ac:dyDescent="0.3">
      <c r="C327" s="283" t="str">
        <f>RES_BA!D179</f>
        <v>Other Direct Costs Category 11</v>
      </c>
      <c r="M327" s="279">
        <f>RES_BA!R179</f>
        <v>0</v>
      </c>
      <c r="O327" s="279">
        <f>RES_BA!S179</f>
        <v>0</v>
      </c>
      <c r="Q327" s="279">
        <f>RES_BA!T179</f>
        <v>0</v>
      </c>
      <c r="S327" s="279">
        <f>RES_BA!U179</f>
        <v>0</v>
      </c>
    </row>
    <row r="328" spans="3:19" s="277" customFormat="1" hidden="1" outlineLevel="1" collapsed="1" x14ac:dyDescent="0.3">
      <c r="C328" s="283" t="str">
        <f>RES_BA!D180</f>
        <v>Other Direct Costs Category 12</v>
      </c>
      <c r="M328" s="279">
        <f>RES_BA!R180</f>
        <v>0</v>
      </c>
      <c r="O328" s="279">
        <f>RES_BA!S180</f>
        <v>0</v>
      </c>
      <c r="Q328" s="279">
        <f>RES_BA!T180</f>
        <v>0</v>
      </c>
      <c r="S328" s="279">
        <f>RES_BA!U180</f>
        <v>0</v>
      </c>
    </row>
    <row r="329" spans="3:19" s="277" customFormat="1" hidden="1" outlineLevel="1" x14ac:dyDescent="0.3">
      <c r="C329" s="283" t="str">
        <f>RES_BA!D181</f>
        <v>Other Direct Costs Category 13</v>
      </c>
      <c r="M329" s="279">
        <f>RES_BA!R181</f>
        <v>0</v>
      </c>
      <c r="O329" s="279">
        <f>RES_BA!S181</f>
        <v>0</v>
      </c>
      <c r="Q329" s="279">
        <f>RES_BA!T181</f>
        <v>0</v>
      </c>
      <c r="S329" s="279">
        <f>RES_BA!U181</f>
        <v>0</v>
      </c>
    </row>
    <row r="330" spans="3:19" s="277" customFormat="1" hidden="1" outlineLevel="1" x14ac:dyDescent="0.3">
      <c r="C330" s="283" t="str">
        <f>RES_BA!D182</f>
        <v>Other Direct Costs Category 14</v>
      </c>
      <c r="M330" s="279">
        <f>RES_BA!R182</f>
        <v>0</v>
      </c>
      <c r="O330" s="279">
        <f>RES_BA!S182</f>
        <v>0</v>
      </c>
      <c r="Q330" s="279">
        <f>RES_BA!T182</f>
        <v>0</v>
      </c>
      <c r="S330" s="279">
        <f>RES_BA!U182</f>
        <v>0</v>
      </c>
    </row>
    <row r="331" spans="3:19" s="277" customFormat="1" hidden="1" outlineLevel="1" x14ac:dyDescent="0.3">
      <c r="C331" s="283" t="str">
        <f>RES_BA!D183</f>
        <v>Other Direct Costs Category 15</v>
      </c>
      <c r="M331" s="279">
        <f>RES_BA!R183</f>
        <v>0</v>
      </c>
      <c r="O331" s="279">
        <f>RES_BA!S183</f>
        <v>0</v>
      </c>
      <c r="Q331" s="279">
        <f>RES_BA!T183</f>
        <v>0</v>
      </c>
      <c r="S331" s="279">
        <f>RES_BA!U183</f>
        <v>0</v>
      </c>
    </row>
    <row r="332" spans="3:19" s="277" customFormat="1" hidden="1" outlineLevel="1" x14ac:dyDescent="0.3">
      <c r="C332" s="283" t="str">
        <f>RES_BA!D184</f>
        <v>Other Direct Costs Category 16</v>
      </c>
      <c r="M332" s="279">
        <f>RES_BA!R184</f>
        <v>0</v>
      </c>
      <c r="O332" s="279">
        <f>RES_BA!S184</f>
        <v>0</v>
      </c>
      <c r="Q332" s="279">
        <f>RES_BA!T184</f>
        <v>0</v>
      </c>
      <c r="S332" s="279">
        <f>RES_BA!U184</f>
        <v>0</v>
      </c>
    </row>
    <row r="333" spans="3:19" s="277" customFormat="1" hidden="1" outlineLevel="1" x14ac:dyDescent="0.3">
      <c r="C333" s="283" t="str">
        <f>RES_BA!D185</f>
        <v>Other Direct Costs Category 17</v>
      </c>
      <c r="M333" s="279">
        <f>RES_BA!R185</f>
        <v>0</v>
      </c>
      <c r="O333" s="279">
        <f>RES_BA!S185</f>
        <v>0</v>
      </c>
      <c r="Q333" s="279">
        <f>RES_BA!T185</f>
        <v>0</v>
      </c>
      <c r="S333" s="279">
        <f>RES_BA!U185</f>
        <v>0</v>
      </c>
    </row>
    <row r="334" spans="3:19" s="277" customFormat="1" hidden="1" outlineLevel="1" x14ac:dyDescent="0.3">
      <c r="C334" s="283" t="str">
        <f>RES_BA!D186</f>
        <v>Other Direct Costs Category 18</v>
      </c>
      <c r="M334" s="279">
        <f>RES_BA!R186</f>
        <v>0</v>
      </c>
      <c r="O334" s="279">
        <f>RES_BA!S186</f>
        <v>0</v>
      </c>
      <c r="Q334" s="279">
        <f>RES_BA!T186</f>
        <v>0</v>
      </c>
      <c r="S334" s="279">
        <f>RES_BA!U186</f>
        <v>0</v>
      </c>
    </row>
    <row r="335" spans="3:19" s="277" customFormat="1" hidden="1" outlineLevel="1" x14ac:dyDescent="0.3">
      <c r="C335" s="283" t="str">
        <f>RES_BA!D187</f>
        <v>Other Direct Costs Category 19</v>
      </c>
      <c r="M335" s="279">
        <f>RES_BA!R187</f>
        <v>0</v>
      </c>
      <c r="O335" s="279">
        <f>RES_BA!S187</f>
        <v>0</v>
      </c>
      <c r="Q335" s="279">
        <f>RES_BA!T187</f>
        <v>0</v>
      </c>
      <c r="S335" s="279">
        <f>RES_BA!U187</f>
        <v>0</v>
      </c>
    </row>
    <row r="336" spans="3:19" s="277" customFormat="1" hidden="1" outlineLevel="1" x14ac:dyDescent="0.3">
      <c r="C336" s="283" t="str">
        <f>RES_BA!D188</f>
        <v>Other Direct Costs Category 20</v>
      </c>
      <c r="M336" s="279">
        <f>RES_BA!R188</f>
        <v>0</v>
      </c>
      <c r="O336" s="279">
        <f>RES_BA!S188</f>
        <v>0</v>
      </c>
      <c r="Q336" s="279">
        <f>RES_BA!T188</f>
        <v>0</v>
      </c>
      <c r="S336" s="279">
        <f>RES_BA!U188</f>
        <v>0</v>
      </c>
    </row>
    <row r="337" spans="3:19" s="277" customFormat="1" hidden="1" outlineLevel="1" x14ac:dyDescent="0.3">
      <c r="C337" s="283" t="str">
        <f>RES_BA!D189</f>
        <v>Other Direct Costs Category 21</v>
      </c>
      <c r="M337" s="279">
        <f>RES_BA!R189</f>
        <v>0</v>
      </c>
      <c r="O337" s="279">
        <f>RES_BA!S189</f>
        <v>0</v>
      </c>
      <c r="Q337" s="279">
        <f>RES_BA!T189</f>
        <v>0</v>
      </c>
      <c r="S337" s="279">
        <f>RES_BA!U189</f>
        <v>0</v>
      </c>
    </row>
    <row r="338" spans="3:19" s="277" customFormat="1" hidden="1" outlineLevel="1" x14ac:dyDescent="0.3">
      <c r="C338" s="283" t="str">
        <f>RES_BA!D190</f>
        <v>Other Direct Costs Category 22</v>
      </c>
      <c r="M338" s="279">
        <f>RES_BA!R190</f>
        <v>0</v>
      </c>
      <c r="O338" s="279">
        <f>RES_BA!S190</f>
        <v>0</v>
      </c>
      <c r="Q338" s="279">
        <f>RES_BA!T190</f>
        <v>0</v>
      </c>
      <c r="S338" s="279">
        <f>RES_BA!U190</f>
        <v>0</v>
      </c>
    </row>
    <row r="339" spans="3:19" s="277" customFormat="1" hidden="1" outlineLevel="1" x14ac:dyDescent="0.3">
      <c r="C339" s="283" t="str">
        <f>RES_BA!D191</f>
        <v>Other Direct Costs Category 23</v>
      </c>
      <c r="M339" s="279">
        <f>RES_BA!R191</f>
        <v>0</v>
      </c>
      <c r="O339" s="279">
        <f>RES_BA!S191</f>
        <v>0</v>
      </c>
      <c r="Q339" s="279">
        <f>RES_BA!T191</f>
        <v>0</v>
      </c>
      <c r="S339" s="279">
        <f>RES_BA!U191</f>
        <v>0</v>
      </c>
    </row>
    <row r="340" spans="3:19" s="277" customFormat="1" hidden="1" outlineLevel="1" collapsed="1" x14ac:dyDescent="0.3">
      <c r="C340" s="283" t="str">
        <f>RES_BA!D192</f>
        <v>Other Direct Costs Category 24</v>
      </c>
      <c r="M340" s="279">
        <f>RES_BA!R192</f>
        <v>0</v>
      </c>
      <c r="O340" s="279">
        <f>RES_BA!S192</f>
        <v>0</v>
      </c>
      <c r="Q340" s="279">
        <f>RES_BA!T192</f>
        <v>0</v>
      </c>
      <c r="S340" s="279">
        <f>RES_BA!U192</f>
        <v>0</v>
      </c>
    </row>
    <row r="341" spans="3:19" s="277" customFormat="1" hidden="1" outlineLevel="1" x14ac:dyDescent="0.3">
      <c r="C341" s="283" t="str">
        <f>RES_BA!D193</f>
        <v>Other Direct Costs Category 25</v>
      </c>
      <c r="M341" s="279">
        <f>RES_BA!R193</f>
        <v>0</v>
      </c>
      <c r="O341" s="279">
        <f>RES_BA!S193</f>
        <v>0</v>
      </c>
      <c r="Q341" s="279">
        <f>RES_BA!T193</f>
        <v>0</v>
      </c>
      <c r="S341" s="279">
        <f>RES_BA!U193</f>
        <v>0</v>
      </c>
    </row>
    <row r="342" spans="3:19" s="277" customFormat="1" hidden="1" outlineLevel="1" x14ac:dyDescent="0.3">
      <c r="C342" s="283" t="str">
        <f>RES_BA!D194</f>
        <v>Other Direct Costs Category 26</v>
      </c>
      <c r="M342" s="279">
        <f>RES_BA!R194</f>
        <v>0</v>
      </c>
      <c r="O342" s="279">
        <f>RES_BA!S194</f>
        <v>0</v>
      </c>
      <c r="Q342" s="279">
        <f>RES_BA!T194</f>
        <v>0</v>
      </c>
      <c r="S342" s="279">
        <f>RES_BA!U194</f>
        <v>0</v>
      </c>
    </row>
    <row r="343" spans="3:19" s="277" customFormat="1" hidden="1" outlineLevel="1" x14ac:dyDescent="0.3">
      <c r="C343" s="283" t="str">
        <f>RES_BA!D195</f>
        <v>Other Direct Costs Category 27</v>
      </c>
      <c r="M343" s="279">
        <f>RES_BA!R195</f>
        <v>0</v>
      </c>
      <c r="O343" s="279">
        <f>RES_BA!S195</f>
        <v>0</v>
      </c>
      <c r="Q343" s="279">
        <f>RES_BA!T195</f>
        <v>0</v>
      </c>
      <c r="S343" s="279">
        <f>RES_BA!U195</f>
        <v>0</v>
      </c>
    </row>
    <row r="344" spans="3:19" s="277" customFormat="1" hidden="1" outlineLevel="1" x14ac:dyDescent="0.3">
      <c r="C344" s="283" t="str">
        <f>RES_BA!D196</f>
        <v>Other Direct Costs Category 28</v>
      </c>
      <c r="M344" s="279">
        <f>RES_BA!R196</f>
        <v>0</v>
      </c>
      <c r="O344" s="279">
        <f>RES_BA!S196</f>
        <v>0</v>
      </c>
      <c r="Q344" s="279">
        <f>RES_BA!T196</f>
        <v>0</v>
      </c>
      <c r="S344" s="279">
        <f>RES_BA!U196</f>
        <v>0</v>
      </c>
    </row>
    <row r="345" spans="3:19" s="277" customFormat="1" hidden="1" outlineLevel="1" x14ac:dyDescent="0.3">
      <c r="C345" s="283" t="str">
        <f>RES_BA!D197</f>
        <v>Other Direct Costs Category 29</v>
      </c>
      <c r="M345" s="279">
        <f>RES_BA!R197</f>
        <v>0</v>
      </c>
      <c r="O345" s="279">
        <f>RES_BA!S197</f>
        <v>0</v>
      </c>
      <c r="Q345" s="279">
        <f>RES_BA!T197</f>
        <v>0</v>
      </c>
      <c r="S345" s="279">
        <f>RES_BA!U197</f>
        <v>0</v>
      </c>
    </row>
    <row r="346" spans="3:19" s="277" customFormat="1" hidden="1" outlineLevel="1" x14ac:dyDescent="0.3">
      <c r="C346" s="283" t="str">
        <f>RES_BA!D198</f>
        <v>Other Direct Costs Category 30</v>
      </c>
      <c r="M346" s="279">
        <f>RES_BA!R198</f>
        <v>0</v>
      </c>
      <c r="O346" s="279">
        <f>RES_BA!S198</f>
        <v>0</v>
      </c>
      <c r="Q346" s="279">
        <f>RES_BA!T198</f>
        <v>0</v>
      </c>
      <c r="S346" s="279">
        <f>RES_BA!U198</f>
        <v>0</v>
      </c>
    </row>
    <row r="347" spans="3:19" s="277" customFormat="1" hidden="1" outlineLevel="1" x14ac:dyDescent="0.3">
      <c r="C347" s="283" t="str">
        <f>RES_BA!D199</f>
        <v>Other Direct Costs Category 31</v>
      </c>
      <c r="M347" s="279">
        <f>RES_BA!R199</f>
        <v>0</v>
      </c>
      <c r="O347" s="279">
        <f>RES_BA!S199</f>
        <v>0</v>
      </c>
      <c r="Q347" s="279">
        <f>RES_BA!T199</f>
        <v>0</v>
      </c>
      <c r="S347" s="279">
        <f>RES_BA!U199</f>
        <v>0</v>
      </c>
    </row>
    <row r="348" spans="3:19" s="277" customFormat="1" hidden="1" outlineLevel="1" x14ac:dyDescent="0.3">
      <c r="C348" s="283" t="str">
        <f>RES_BA!D200</f>
        <v>Other Direct Costs Category 32</v>
      </c>
      <c r="M348" s="279">
        <f>RES_BA!R200</f>
        <v>0</v>
      </c>
      <c r="O348" s="279">
        <f>RES_BA!S200</f>
        <v>0</v>
      </c>
      <c r="Q348" s="279">
        <f>RES_BA!T200</f>
        <v>0</v>
      </c>
      <c r="S348" s="279">
        <f>RES_BA!U200</f>
        <v>0</v>
      </c>
    </row>
    <row r="349" spans="3:19" s="277" customFormat="1" hidden="1" outlineLevel="1" x14ac:dyDescent="0.3">
      <c r="C349" s="283" t="str">
        <f>RES_BA!D201</f>
        <v>Other Direct Costs Category 33</v>
      </c>
      <c r="M349" s="279">
        <f>RES_BA!R201</f>
        <v>0</v>
      </c>
      <c r="O349" s="279">
        <f>RES_BA!S201</f>
        <v>0</v>
      </c>
      <c r="Q349" s="279">
        <f>RES_BA!T201</f>
        <v>0</v>
      </c>
      <c r="S349" s="279">
        <f>RES_BA!U201</f>
        <v>0</v>
      </c>
    </row>
    <row r="350" spans="3:19" s="277" customFormat="1" hidden="1" outlineLevel="1" x14ac:dyDescent="0.3">
      <c r="C350" s="283" t="str">
        <f>RES_BA!D202</f>
        <v>Other Direct Costs Category 34</v>
      </c>
      <c r="M350" s="279">
        <f>RES_BA!R202</f>
        <v>0</v>
      </c>
      <c r="O350" s="279">
        <f>RES_BA!S202</f>
        <v>0</v>
      </c>
      <c r="Q350" s="279">
        <f>RES_BA!T202</f>
        <v>0</v>
      </c>
      <c r="S350" s="279">
        <f>RES_BA!U202</f>
        <v>0</v>
      </c>
    </row>
    <row r="351" spans="3:19" s="277" customFormat="1" hidden="1" outlineLevel="1" x14ac:dyDescent="0.3">
      <c r="C351" s="283" t="str">
        <f>RES_BA!D203</f>
        <v>Other Direct Costs Category 35</v>
      </c>
      <c r="M351" s="279">
        <f>RES_BA!R203</f>
        <v>0</v>
      </c>
      <c r="O351" s="279">
        <f>RES_BA!S203</f>
        <v>0</v>
      </c>
      <c r="Q351" s="279">
        <f>RES_BA!T203</f>
        <v>0</v>
      </c>
      <c r="S351" s="279">
        <f>RES_BA!U203</f>
        <v>0</v>
      </c>
    </row>
    <row r="352" spans="3:19" collapsed="1" x14ac:dyDescent="0.3"/>
    <row r="354" spans="2:24" ht="18" x14ac:dyDescent="0.3">
      <c r="B354" s="31" t="str">
        <f>I355</f>
        <v>Social Mobilisation Activity #2 [not in use]</v>
      </c>
    </row>
    <row r="355" spans="2:24" x14ac:dyDescent="0.3">
      <c r="G355" s="41" t="s">
        <v>119</v>
      </c>
      <c r="I355" s="356" t="s">
        <v>1002</v>
      </c>
      <c r="J355" s="356"/>
      <c r="K355" s="356"/>
      <c r="L355" s="356"/>
      <c r="M355" s="356"/>
    </row>
    <row r="356" spans="2:24" ht="10.5" customHeight="1" x14ac:dyDescent="0.3">
      <c r="G356" s="41" t="s">
        <v>644</v>
      </c>
      <c r="I356" s="32">
        <v>2</v>
      </c>
    </row>
    <row r="357" spans="2:24" ht="15.6" x14ac:dyDescent="0.3">
      <c r="C357" s="92" t="s">
        <v>77</v>
      </c>
      <c r="M357" s="108" t="str">
        <f>IF(DD_ACT_8_Meet1_Curr=1,$D$509,$D$510)</f>
        <v>GOZ</v>
      </c>
      <c r="O357" s="108" t="str">
        <f>IF(DD_ACT_8_Meet1_Curr=1,$D$509,$D$510)</f>
        <v>GOZ</v>
      </c>
      <c r="Q357" s="108" t="str">
        <f>IF(DD_ACT_8_Meet1_Curr=1,$D$509,$D$510)</f>
        <v>GOZ</v>
      </c>
      <c r="S357" s="108" t="str">
        <f>IF(DD_ACT_8_Meet1_Curr=1,$D$509,$D$510)</f>
        <v>GOZ</v>
      </c>
    </row>
    <row r="358" spans="2:24" ht="27.6" x14ac:dyDescent="0.3">
      <c r="D358" s="90" t="s">
        <v>77</v>
      </c>
      <c r="I358" s="88" t="s">
        <v>80</v>
      </c>
      <c r="K358" s="91" t="s">
        <v>187</v>
      </c>
      <c r="M358" s="42" t="s">
        <v>103</v>
      </c>
      <c r="O358" s="42" t="s">
        <v>104</v>
      </c>
      <c r="Q358" s="42" t="s">
        <v>105</v>
      </c>
      <c r="S358" s="42" t="s">
        <v>106</v>
      </c>
      <c r="U358" s="350" t="s">
        <v>185</v>
      </c>
      <c r="V358" s="351"/>
      <c r="W358" s="351"/>
      <c r="X358" s="351"/>
    </row>
    <row r="359" spans="2:24" x14ac:dyDescent="0.3">
      <c r="D359" s="356" t="s">
        <v>188</v>
      </c>
      <c r="E359" s="356"/>
      <c r="F359" s="356"/>
      <c r="G359" s="356"/>
      <c r="I359" s="48">
        <v>0</v>
      </c>
      <c r="K359" s="48">
        <v>0</v>
      </c>
      <c r="M359" s="40">
        <f t="shared" ref="M359:M383" si="20">IFERROR(IF(DD_ACT_8_Meet1_Curr=1,INDEX($M$515:$M$549,MATCH(D359,LU_ACT_8_Pers_Res,0)),INDEX($Q$515:$Q$549,MATCH(D359,LU_ACT_8_Pers_Res,0))),0)</f>
        <v>0</v>
      </c>
      <c r="O359" s="40">
        <f t="shared" ref="O359:O383" si="21">IFERROR(IF(DD_ACT_8_Meet1_Curr=1,INDEX($O$515:$O$549,MATCH(D359,LU_ACT_8_Pers_Res,0)),INDEX($S$515:$S$549,MATCH(D359,LU_ACT_8_Pers_Res,0))),0)</f>
        <v>0</v>
      </c>
      <c r="Q359" s="293">
        <f t="shared" ref="Q359:Q383" si="22">I359*K359*M359</f>
        <v>0</v>
      </c>
      <c r="S359" s="293">
        <f t="shared" ref="S359:S383" si="23">I359*K359*O359</f>
        <v>0</v>
      </c>
      <c r="U359" s="356"/>
      <c r="V359" s="356"/>
      <c r="W359" s="356"/>
      <c r="X359" s="356"/>
    </row>
    <row r="360" spans="2:24" x14ac:dyDescent="0.3">
      <c r="D360" s="356" t="s">
        <v>189</v>
      </c>
      <c r="E360" s="356"/>
      <c r="F360" s="356"/>
      <c r="G360" s="356"/>
      <c r="I360" s="48">
        <v>0</v>
      </c>
      <c r="K360" s="48">
        <v>0</v>
      </c>
      <c r="M360" s="40">
        <f t="shared" si="20"/>
        <v>0</v>
      </c>
      <c r="O360" s="40">
        <f t="shared" si="21"/>
        <v>0</v>
      </c>
      <c r="Q360" s="293">
        <f t="shared" si="22"/>
        <v>0</v>
      </c>
      <c r="S360" s="293">
        <f t="shared" si="23"/>
        <v>0</v>
      </c>
      <c r="U360" s="356"/>
      <c r="V360" s="356"/>
      <c r="W360" s="356"/>
      <c r="X360" s="356"/>
    </row>
    <row r="361" spans="2:24" x14ac:dyDescent="0.3">
      <c r="D361" s="356" t="s">
        <v>190</v>
      </c>
      <c r="E361" s="356"/>
      <c r="F361" s="356"/>
      <c r="G361" s="356"/>
      <c r="I361" s="48">
        <v>0</v>
      </c>
      <c r="K361" s="48">
        <v>0</v>
      </c>
      <c r="M361" s="40">
        <f t="shared" si="20"/>
        <v>0</v>
      </c>
      <c r="O361" s="40">
        <f t="shared" si="21"/>
        <v>0</v>
      </c>
      <c r="Q361" s="293">
        <f t="shared" si="22"/>
        <v>0</v>
      </c>
      <c r="S361" s="293">
        <f t="shared" si="23"/>
        <v>0</v>
      </c>
      <c r="U361" s="356"/>
      <c r="V361" s="356"/>
      <c r="W361" s="356"/>
      <c r="X361" s="356"/>
    </row>
    <row r="362" spans="2:24" x14ac:dyDescent="0.3">
      <c r="D362" s="356" t="s">
        <v>191</v>
      </c>
      <c r="E362" s="356"/>
      <c r="F362" s="356"/>
      <c r="G362" s="356"/>
      <c r="I362" s="48">
        <v>0</v>
      </c>
      <c r="K362" s="48">
        <v>0</v>
      </c>
      <c r="M362" s="40">
        <f t="shared" si="20"/>
        <v>0</v>
      </c>
      <c r="O362" s="40">
        <f t="shared" si="21"/>
        <v>0</v>
      </c>
      <c r="Q362" s="293">
        <f t="shared" si="22"/>
        <v>0</v>
      </c>
      <c r="S362" s="293">
        <f t="shared" si="23"/>
        <v>0</v>
      </c>
      <c r="U362" s="356"/>
      <c r="V362" s="356"/>
      <c r="W362" s="356"/>
      <c r="X362" s="356"/>
    </row>
    <row r="363" spans="2:24" x14ac:dyDescent="0.3">
      <c r="D363" s="356" t="s">
        <v>192</v>
      </c>
      <c r="E363" s="356"/>
      <c r="F363" s="356"/>
      <c r="G363" s="356"/>
      <c r="I363" s="48">
        <v>0</v>
      </c>
      <c r="K363" s="48">
        <v>0</v>
      </c>
      <c r="M363" s="40">
        <f t="shared" si="20"/>
        <v>0</v>
      </c>
      <c r="O363" s="40">
        <f t="shared" si="21"/>
        <v>0</v>
      </c>
      <c r="Q363" s="293">
        <f t="shared" si="22"/>
        <v>0</v>
      </c>
      <c r="S363" s="293">
        <f t="shared" si="23"/>
        <v>0</v>
      </c>
      <c r="U363" s="356"/>
      <c r="V363" s="356"/>
      <c r="W363" s="356"/>
      <c r="X363" s="356"/>
    </row>
    <row r="364" spans="2:24" x14ac:dyDescent="0.3">
      <c r="D364" s="356" t="s">
        <v>193</v>
      </c>
      <c r="E364" s="356"/>
      <c r="F364" s="356"/>
      <c r="G364" s="356"/>
      <c r="I364" s="48">
        <v>0</v>
      </c>
      <c r="K364" s="48">
        <v>0</v>
      </c>
      <c r="M364" s="40">
        <f t="shared" si="20"/>
        <v>0</v>
      </c>
      <c r="O364" s="40">
        <f t="shared" si="21"/>
        <v>0</v>
      </c>
      <c r="Q364" s="293">
        <f t="shared" si="22"/>
        <v>0</v>
      </c>
      <c r="S364" s="293">
        <f t="shared" si="23"/>
        <v>0</v>
      </c>
      <c r="U364" s="356"/>
      <c r="V364" s="356"/>
      <c r="W364" s="356"/>
      <c r="X364" s="356"/>
    </row>
    <row r="365" spans="2:24" x14ac:dyDescent="0.3">
      <c r="D365" s="356" t="s">
        <v>120</v>
      </c>
      <c r="E365" s="356"/>
      <c r="F365" s="356"/>
      <c r="G365" s="356"/>
      <c r="I365" s="48">
        <v>0</v>
      </c>
      <c r="K365" s="48">
        <v>0</v>
      </c>
      <c r="M365" s="40">
        <f t="shared" si="20"/>
        <v>0</v>
      </c>
      <c r="O365" s="40">
        <f t="shared" si="21"/>
        <v>0</v>
      </c>
      <c r="Q365" s="293">
        <f t="shared" si="22"/>
        <v>0</v>
      </c>
      <c r="S365" s="293">
        <f t="shared" si="23"/>
        <v>0</v>
      </c>
      <c r="U365" s="356"/>
      <c r="V365" s="356"/>
      <c r="W365" s="356"/>
      <c r="X365" s="356"/>
    </row>
    <row r="366" spans="2:24" x14ac:dyDescent="0.3">
      <c r="D366" s="356" t="s">
        <v>121</v>
      </c>
      <c r="E366" s="356"/>
      <c r="F366" s="356"/>
      <c r="G366" s="356"/>
      <c r="I366" s="48">
        <v>0</v>
      </c>
      <c r="K366" s="48">
        <v>0</v>
      </c>
      <c r="M366" s="40">
        <f t="shared" si="20"/>
        <v>0</v>
      </c>
      <c r="O366" s="40">
        <f t="shared" si="21"/>
        <v>0</v>
      </c>
      <c r="Q366" s="293">
        <f t="shared" si="22"/>
        <v>0</v>
      </c>
      <c r="S366" s="293">
        <f t="shared" si="23"/>
        <v>0</v>
      </c>
      <c r="U366" s="356"/>
      <c r="V366" s="356"/>
      <c r="W366" s="356"/>
      <c r="X366" s="356"/>
    </row>
    <row r="367" spans="2:24" s="277" customFormat="1" x14ac:dyDescent="0.3">
      <c r="D367" s="356" t="s">
        <v>830</v>
      </c>
      <c r="E367" s="356"/>
      <c r="F367" s="356"/>
      <c r="G367" s="356"/>
      <c r="I367" s="48">
        <v>0</v>
      </c>
      <c r="K367" s="48">
        <v>0</v>
      </c>
      <c r="M367" s="279">
        <f t="shared" si="20"/>
        <v>0</v>
      </c>
      <c r="O367" s="279">
        <f t="shared" si="21"/>
        <v>0</v>
      </c>
      <c r="Q367" s="293">
        <f t="shared" si="22"/>
        <v>0</v>
      </c>
      <c r="S367" s="293">
        <f t="shared" si="23"/>
        <v>0</v>
      </c>
      <c r="U367" s="385"/>
      <c r="V367" s="385"/>
      <c r="W367" s="385"/>
      <c r="X367" s="385"/>
    </row>
    <row r="368" spans="2:24" s="277" customFormat="1" x14ac:dyDescent="0.3">
      <c r="D368" s="356" t="s">
        <v>831</v>
      </c>
      <c r="E368" s="356"/>
      <c r="F368" s="356"/>
      <c r="G368" s="356"/>
      <c r="I368" s="48">
        <v>0</v>
      </c>
      <c r="K368" s="48">
        <v>0</v>
      </c>
      <c r="M368" s="279">
        <f t="shared" si="20"/>
        <v>0</v>
      </c>
      <c r="O368" s="279">
        <f t="shared" si="21"/>
        <v>0</v>
      </c>
      <c r="Q368" s="293">
        <f t="shared" si="22"/>
        <v>0</v>
      </c>
      <c r="S368" s="293">
        <f t="shared" si="23"/>
        <v>0</v>
      </c>
      <c r="U368" s="385"/>
      <c r="V368" s="385"/>
      <c r="W368" s="385"/>
      <c r="X368" s="385"/>
    </row>
    <row r="369" spans="4:24" s="277" customFormat="1" x14ac:dyDescent="0.3">
      <c r="D369" s="356" t="s">
        <v>832</v>
      </c>
      <c r="E369" s="356"/>
      <c r="F369" s="356"/>
      <c r="G369" s="356"/>
      <c r="I369" s="48">
        <v>0</v>
      </c>
      <c r="K369" s="48">
        <v>0</v>
      </c>
      <c r="M369" s="279">
        <f t="shared" si="20"/>
        <v>0</v>
      </c>
      <c r="O369" s="279">
        <f t="shared" si="21"/>
        <v>0</v>
      </c>
      <c r="Q369" s="293">
        <f t="shared" si="22"/>
        <v>0</v>
      </c>
      <c r="S369" s="293">
        <f t="shared" si="23"/>
        <v>0</v>
      </c>
      <c r="U369" s="385"/>
      <c r="V369" s="385"/>
      <c r="W369" s="385"/>
      <c r="X369" s="385"/>
    </row>
    <row r="370" spans="4:24" s="277" customFormat="1" x14ac:dyDescent="0.3">
      <c r="D370" s="356" t="s">
        <v>833</v>
      </c>
      <c r="E370" s="356"/>
      <c r="F370" s="356"/>
      <c r="G370" s="356"/>
      <c r="I370" s="48">
        <v>0</v>
      </c>
      <c r="K370" s="48">
        <v>0</v>
      </c>
      <c r="M370" s="279">
        <f t="shared" si="20"/>
        <v>0</v>
      </c>
      <c r="O370" s="279">
        <f t="shared" si="21"/>
        <v>0</v>
      </c>
      <c r="Q370" s="293">
        <f t="shared" si="22"/>
        <v>0</v>
      </c>
      <c r="S370" s="293">
        <f t="shared" si="23"/>
        <v>0</v>
      </c>
      <c r="U370" s="385"/>
      <c r="V370" s="385"/>
      <c r="W370" s="385"/>
      <c r="X370" s="385"/>
    </row>
    <row r="371" spans="4:24" s="277" customFormat="1" x14ac:dyDescent="0.3">
      <c r="D371" s="356" t="s">
        <v>834</v>
      </c>
      <c r="E371" s="356"/>
      <c r="F371" s="356"/>
      <c r="G371" s="356"/>
      <c r="I371" s="48">
        <v>0</v>
      </c>
      <c r="K371" s="48">
        <v>0</v>
      </c>
      <c r="M371" s="279">
        <f t="shared" si="20"/>
        <v>0</v>
      </c>
      <c r="O371" s="279">
        <f t="shared" si="21"/>
        <v>0</v>
      </c>
      <c r="Q371" s="293">
        <f t="shared" si="22"/>
        <v>0</v>
      </c>
      <c r="S371" s="293">
        <f t="shared" si="23"/>
        <v>0</v>
      </c>
      <c r="U371" s="385"/>
      <c r="V371" s="385"/>
      <c r="W371" s="385"/>
      <c r="X371" s="385"/>
    </row>
    <row r="372" spans="4:24" s="277" customFormat="1" x14ac:dyDescent="0.3">
      <c r="D372" s="356" t="s">
        <v>835</v>
      </c>
      <c r="E372" s="356"/>
      <c r="F372" s="356"/>
      <c r="G372" s="356"/>
      <c r="I372" s="48">
        <v>0</v>
      </c>
      <c r="K372" s="48">
        <v>0</v>
      </c>
      <c r="M372" s="279">
        <f t="shared" si="20"/>
        <v>0</v>
      </c>
      <c r="O372" s="279">
        <f t="shared" si="21"/>
        <v>0</v>
      </c>
      <c r="Q372" s="293">
        <f t="shared" si="22"/>
        <v>0</v>
      </c>
      <c r="S372" s="293">
        <f t="shared" si="23"/>
        <v>0</v>
      </c>
      <c r="U372" s="385"/>
      <c r="V372" s="385"/>
      <c r="W372" s="385"/>
      <c r="X372" s="385"/>
    </row>
    <row r="373" spans="4:24" s="277" customFormat="1" x14ac:dyDescent="0.3">
      <c r="D373" s="356" t="s">
        <v>836</v>
      </c>
      <c r="E373" s="356"/>
      <c r="F373" s="356"/>
      <c r="G373" s="356"/>
      <c r="I373" s="48">
        <v>0</v>
      </c>
      <c r="K373" s="48">
        <v>0</v>
      </c>
      <c r="M373" s="279">
        <f t="shared" si="20"/>
        <v>0</v>
      </c>
      <c r="O373" s="279">
        <f t="shared" si="21"/>
        <v>0</v>
      </c>
      <c r="Q373" s="293">
        <f t="shared" si="22"/>
        <v>0</v>
      </c>
      <c r="S373" s="293">
        <f t="shared" si="23"/>
        <v>0</v>
      </c>
      <c r="U373" s="385"/>
      <c r="V373" s="385"/>
      <c r="W373" s="385"/>
      <c r="X373" s="385"/>
    </row>
    <row r="374" spans="4:24" s="277" customFormat="1" x14ac:dyDescent="0.3">
      <c r="D374" s="356" t="s">
        <v>837</v>
      </c>
      <c r="E374" s="356"/>
      <c r="F374" s="356"/>
      <c r="G374" s="356"/>
      <c r="I374" s="48">
        <v>0</v>
      </c>
      <c r="K374" s="48">
        <v>0</v>
      </c>
      <c r="M374" s="279">
        <f t="shared" si="20"/>
        <v>0</v>
      </c>
      <c r="O374" s="279">
        <f t="shared" si="21"/>
        <v>0</v>
      </c>
      <c r="Q374" s="293">
        <f t="shared" si="22"/>
        <v>0</v>
      </c>
      <c r="S374" s="293">
        <f t="shared" si="23"/>
        <v>0</v>
      </c>
      <c r="U374" s="385"/>
      <c r="V374" s="385"/>
      <c r="W374" s="385"/>
      <c r="X374" s="385"/>
    </row>
    <row r="375" spans="4:24" s="277" customFormat="1" x14ac:dyDescent="0.3">
      <c r="D375" s="356" t="s">
        <v>846</v>
      </c>
      <c r="E375" s="356"/>
      <c r="F375" s="356"/>
      <c r="G375" s="356"/>
      <c r="I375" s="48">
        <v>0</v>
      </c>
      <c r="K375" s="48">
        <v>0</v>
      </c>
      <c r="M375" s="279">
        <f t="shared" si="20"/>
        <v>0</v>
      </c>
      <c r="O375" s="279">
        <f t="shared" si="21"/>
        <v>0</v>
      </c>
      <c r="Q375" s="293">
        <f t="shared" si="22"/>
        <v>0</v>
      </c>
      <c r="S375" s="293">
        <f t="shared" si="23"/>
        <v>0</v>
      </c>
      <c r="U375" s="385"/>
      <c r="V375" s="385"/>
      <c r="W375" s="385"/>
      <c r="X375" s="385"/>
    </row>
    <row r="376" spans="4:24" s="277" customFormat="1" x14ac:dyDescent="0.3">
      <c r="D376" s="356" t="s">
        <v>847</v>
      </c>
      <c r="E376" s="356"/>
      <c r="F376" s="356"/>
      <c r="G376" s="356"/>
      <c r="I376" s="48">
        <v>0</v>
      </c>
      <c r="K376" s="48">
        <v>0</v>
      </c>
      <c r="M376" s="279">
        <f t="shared" si="20"/>
        <v>0</v>
      </c>
      <c r="O376" s="279">
        <f t="shared" si="21"/>
        <v>0</v>
      </c>
      <c r="Q376" s="293">
        <f t="shared" si="22"/>
        <v>0</v>
      </c>
      <c r="S376" s="293">
        <f t="shared" si="23"/>
        <v>0</v>
      </c>
      <c r="U376" s="385"/>
      <c r="V376" s="385"/>
      <c r="W376" s="385"/>
      <c r="X376" s="385"/>
    </row>
    <row r="377" spans="4:24" s="277" customFormat="1" x14ac:dyDescent="0.3">
      <c r="D377" s="356" t="s">
        <v>848</v>
      </c>
      <c r="E377" s="356"/>
      <c r="F377" s="356"/>
      <c r="G377" s="356"/>
      <c r="I377" s="48">
        <v>0</v>
      </c>
      <c r="K377" s="48">
        <v>0</v>
      </c>
      <c r="M377" s="279">
        <f t="shared" si="20"/>
        <v>0</v>
      </c>
      <c r="O377" s="279">
        <f t="shared" si="21"/>
        <v>0</v>
      </c>
      <c r="Q377" s="293">
        <f t="shared" si="22"/>
        <v>0</v>
      </c>
      <c r="S377" s="293">
        <f t="shared" si="23"/>
        <v>0</v>
      </c>
      <c r="U377" s="385"/>
      <c r="V377" s="385"/>
      <c r="W377" s="385"/>
      <c r="X377" s="385"/>
    </row>
    <row r="378" spans="4:24" s="277" customFormat="1" x14ac:dyDescent="0.3">
      <c r="D378" s="356" t="s">
        <v>849</v>
      </c>
      <c r="E378" s="356"/>
      <c r="F378" s="356"/>
      <c r="G378" s="356"/>
      <c r="I378" s="48">
        <v>0</v>
      </c>
      <c r="K378" s="48">
        <v>0</v>
      </c>
      <c r="M378" s="279">
        <f t="shared" si="20"/>
        <v>0</v>
      </c>
      <c r="O378" s="279">
        <f t="shared" si="21"/>
        <v>0</v>
      </c>
      <c r="Q378" s="293">
        <f t="shared" si="22"/>
        <v>0</v>
      </c>
      <c r="S378" s="293">
        <f t="shared" si="23"/>
        <v>0</v>
      </c>
      <c r="U378" s="385"/>
      <c r="V378" s="385"/>
      <c r="W378" s="385"/>
      <c r="X378" s="385"/>
    </row>
    <row r="379" spans="4:24" s="277" customFormat="1" x14ac:dyDescent="0.3">
      <c r="D379" s="356" t="s">
        <v>971</v>
      </c>
      <c r="E379" s="356"/>
      <c r="F379" s="356"/>
      <c r="G379" s="356"/>
      <c r="I379" s="48">
        <v>0</v>
      </c>
      <c r="K379" s="48">
        <v>0</v>
      </c>
      <c r="M379" s="279">
        <f t="shared" si="20"/>
        <v>0</v>
      </c>
      <c r="O379" s="279">
        <f t="shared" si="21"/>
        <v>0</v>
      </c>
      <c r="Q379" s="293">
        <f t="shared" si="22"/>
        <v>0</v>
      </c>
      <c r="S379" s="293">
        <f t="shared" si="23"/>
        <v>0</v>
      </c>
      <c r="U379" s="385"/>
      <c r="V379" s="385"/>
      <c r="W379" s="385"/>
      <c r="X379" s="385"/>
    </row>
    <row r="380" spans="4:24" s="277" customFormat="1" x14ac:dyDescent="0.3">
      <c r="D380" s="356" t="s">
        <v>973</v>
      </c>
      <c r="E380" s="356"/>
      <c r="F380" s="356"/>
      <c r="G380" s="356"/>
      <c r="I380" s="48">
        <v>0</v>
      </c>
      <c r="K380" s="48">
        <v>0</v>
      </c>
      <c r="M380" s="279">
        <f t="shared" si="20"/>
        <v>0</v>
      </c>
      <c r="O380" s="279">
        <f t="shared" si="21"/>
        <v>0</v>
      </c>
      <c r="Q380" s="293">
        <f t="shared" si="22"/>
        <v>0</v>
      </c>
      <c r="S380" s="293">
        <f t="shared" si="23"/>
        <v>0</v>
      </c>
      <c r="U380" s="385"/>
      <c r="V380" s="385"/>
      <c r="W380" s="385"/>
      <c r="X380" s="385"/>
    </row>
    <row r="381" spans="4:24" s="277" customFormat="1" x14ac:dyDescent="0.3">
      <c r="D381" s="356" t="s">
        <v>974</v>
      </c>
      <c r="E381" s="356"/>
      <c r="F381" s="356"/>
      <c r="G381" s="356"/>
      <c r="I381" s="48">
        <v>0</v>
      </c>
      <c r="K381" s="48">
        <v>0</v>
      </c>
      <c r="M381" s="279">
        <f t="shared" si="20"/>
        <v>0</v>
      </c>
      <c r="O381" s="279">
        <f t="shared" si="21"/>
        <v>0</v>
      </c>
      <c r="Q381" s="293">
        <f t="shared" si="22"/>
        <v>0</v>
      </c>
      <c r="S381" s="293">
        <f t="shared" si="23"/>
        <v>0</v>
      </c>
      <c r="U381" s="385"/>
      <c r="V381" s="385"/>
      <c r="W381" s="385"/>
      <c r="X381" s="385"/>
    </row>
    <row r="382" spans="4:24" s="277" customFormat="1" x14ac:dyDescent="0.3">
      <c r="D382" s="356" t="s">
        <v>975</v>
      </c>
      <c r="E382" s="356"/>
      <c r="F382" s="356"/>
      <c r="G382" s="356"/>
      <c r="I382" s="48">
        <v>0</v>
      </c>
      <c r="K382" s="48">
        <v>0</v>
      </c>
      <c r="M382" s="279">
        <f t="shared" si="20"/>
        <v>0</v>
      </c>
      <c r="O382" s="279">
        <f t="shared" si="21"/>
        <v>0</v>
      </c>
      <c r="Q382" s="293">
        <f t="shared" si="22"/>
        <v>0</v>
      </c>
      <c r="S382" s="293">
        <f t="shared" si="23"/>
        <v>0</v>
      </c>
      <c r="U382" s="385"/>
      <c r="V382" s="385"/>
      <c r="W382" s="385"/>
      <c r="X382" s="385"/>
    </row>
    <row r="383" spans="4:24" s="277" customFormat="1" x14ac:dyDescent="0.3">
      <c r="D383" s="356" t="s">
        <v>976</v>
      </c>
      <c r="E383" s="356"/>
      <c r="F383" s="356"/>
      <c r="G383" s="356"/>
      <c r="I383" s="48">
        <v>0</v>
      </c>
      <c r="K383" s="48">
        <v>0</v>
      </c>
      <c r="M383" s="279">
        <f t="shared" si="20"/>
        <v>0</v>
      </c>
      <c r="O383" s="279">
        <f t="shared" si="21"/>
        <v>0</v>
      </c>
      <c r="Q383" s="293">
        <f t="shared" si="22"/>
        <v>0</v>
      </c>
      <c r="S383" s="293">
        <f t="shared" si="23"/>
        <v>0</v>
      </c>
      <c r="U383" s="385"/>
      <c r="V383" s="385"/>
      <c r="W383" s="385"/>
      <c r="X383" s="385"/>
    </row>
    <row r="384" spans="4:24" ht="14.4" x14ac:dyDescent="0.3">
      <c r="D384" s="420" t="s">
        <v>79</v>
      </c>
      <c r="E384" s="421"/>
      <c r="F384" s="421"/>
      <c r="G384" s="421"/>
      <c r="I384" s="43"/>
      <c r="K384" s="43"/>
      <c r="M384" s="43"/>
      <c r="O384" s="43"/>
      <c r="Q384" s="294">
        <f>SUM(Q359:Q383)</f>
        <v>0</v>
      </c>
      <c r="S384" s="294">
        <f>SUM(S359:S383)</f>
        <v>0</v>
      </c>
    </row>
    <row r="385" spans="3:24" x14ac:dyDescent="0.3">
      <c r="E385" s="91" t="s">
        <v>597</v>
      </c>
    </row>
    <row r="386" spans="3:24" ht="15.6" x14ac:dyDescent="0.3">
      <c r="C386" s="92" t="s">
        <v>164</v>
      </c>
      <c r="M386" s="108" t="str">
        <f>IF(DD_ACT_8_Meet1_Curr=1,$D$509,$D$510)</f>
        <v>GOZ</v>
      </c>
      <c r="O386" s="108" t="str">
        <f>IF(DD_ACT_8_Meet1_Curr=1,$D$509,$D$510)</f>
        <v>GOZ</v>
      </c>
      <c r="Q386" s="108" t="str">
        <f>IF(DD_ACT_8_Meet1_Curr=1,$D$509,$D$510)</f>
        <v>GOZ</v>
      </c>
      <c r="S386" s="108" t="str">
        <f>IF(DD_ACT_8_Meet1_Curr=1,$D$509,$D$510)</f>
        <v>GOZ</v>
      </c>
    </row>
    <row r="387" spans="3:24" ht="27.6" x14ac:dyDescent="0.3">
      <c r="D387" s="90" t="s">
        <v>102</v>
      </c>
      <c r="I387" s="91" t="s">
        <v>80</v>
      </c>
      <c r="K387" s="91" t="s">
        <v>187</v>
      </c>
      <c r="M387" s="42" t="s">
        <v>103</v>
      </c>
      <c r="O387" s="42" t="s">
        <v>104</v>
      </c>
      <c r="Q387" s="42" t="s">
        <v>105</v>
      </c>
      <c r="S387" s="42" t="s">
        <v>106</v>
      </c>
      <c r="U387" s="350" t="s">
        <v>185</v>
      </c>
      <c r="V387" s="351"/>
      <c r="W387" s="351"/>
      <c r="X387" s="351"/>
    </row>
    <row r="388" spans="3:24" x14ac:dyDescent="0.3">
      <c r="D388" s="356" t="s">
        <v>109</v>
      </c>
      <c r="E388" s="356"/>
      <c r="F388" s="356"/>
      <c r="G388" s="356"/>
      <c r="I388" s="48">
        <v>0</v>
      </c>
      <c r="K388" s="48">
        <v>0</v>
      </c>
      <c r="M388" s="40">
        <f t="shared" ref="M388:M412" si="24">IFERROR(IF(DD_ACT_8_Meet1_Curr=1,INDEX($M$552:$M$586,MATCH(D388,LU_ACT_8_Allowances,0)),INDEX($Q$552:$Q$586,MATCH(D388,LU_ACT_8_Allowances,0))),0)</f>
        <v>0</v>
      </c>
      <c r="O388" s="40">
        <f t="shared" ref="O388:O412" si="25">IFERROR(IF(DD_ACT_8_Meet1_Curr=1,INDEX($O$552:$O$586,MATCH(D388,LU_ACT_8_Allowances,0)),INDEX($S$552:$S$586,MATCH(D388,LU_ACT_8_Allowances,0))),0)</f>
        <v>0</v>
      </c>
      <c r="Q388" s="293">
        <f t="shared" ref="Q388:Q412" si="26">I388*K388*M388</f>
        <v>0</v>
      </c>
      <c r="S388" s="293">
        <f t="shared" ref="S388:S412" si="27">I388*K388*O388</f>
        <v>0</v>
      </c>
      <c r="U388" s="356"/>
      <c r="V388" s="356"/>
      <c r="W388" s="356"/>
      <c r="X388" s="356"/>
    </row>
    <row r="389" spans="3:24" x14ac:dyDescent="0.3">
      <c r="D389" s="356" t="s">
        <v>110</v>
      </c>
      <c r="E389" s="356"/>
      <c r="F389" s="356"/>
      <c r="G389" s="356"/>
      <c r="I389" s="48">
        <v>0</v>
      </c>
      <c r="K389" s="48">
        <v>0</v>
      </c>
      <c r="M389" s="40">
        <f t="shared" si="24"/>
        <v>0</v>
      </c>
      <c r="O389" s="40">
        <f t="shared" si="25"/>
        <v>0</v>
      </c>
      <c r="Q389" s="293">
        <f t="shared" si="26"/>
        <v>0</v>
      </c>
      <c r="S389" s="293">
        <f t="shared" si="27"/>
        <v>0</v>
      </c>
      <c r="U389" s="356"/>
      <c r="V389" s="356"/>
      <c r="W389" s="356"/>
      <c r="X389" s="356"/>
    </row>
    <row r="390" spans="3:24" x14ac:dyDescent="0.3">
      <c r="D390" s="356" t="s">
        <v>111</v>
      </c>
      <c r="E390" s="356"/>
      <c r="F390" s="356"/>
      <c r="G390" s="356"/>
      <c r="I390" s="48">
        <v>0</v>
      </c>
      <c r="K390" s="48">
        <v>0</v>
      </c>
      <c r="M390" s="40">
        <f t="shared" si="24"/>
        <v>0</v>
      </c>
      <c r="O390" s="40">
        <f t="shared" si="25"/>
        <v>0</v>
      </c>
      <c r="Q390" s="293">
        <f t="shared" si="26"/>
        <v>0</v>
      </c>
      <c r="S390" s="293">
        <f t="shared" si="27"/>
        <v>0</v>
      </c>
      <c r="U390" s="356"/>
      <c r="V390" s="356"/>
      <c r="W390" s="356"/>
      <c r="X390" s="356"/>
    </row>
    <row r="391" spans="3:24" x14ac:dyDescent="0.3">
      <c r="D391" s="356" t="s">
        <v>112</v>
      </c>
      <c r="E391" s="356"/>
      <c r="F391" s="356"/>
      <c r="G391" s="356"/>
      <c r="I391" s="48">
        <v>0</v>
      </c>
      <c r="K391" s="48">
        <v>0</v>
      </c>
      <c r="M391" s="40">
        <f t="shared" si="24"/>
        <v>0</v>
      </c>
      <c r="O391" s="40">
        <f t="shared" si="25"/>
        <v>0</v>
      </c>
      <c r="Q391" s="293">
        <f t="shared" si="26"/>
        <v>0</v>
      </c>
      <c r="S391" s="293">
        <f t="shared" si="27"/>
        <v>0</v>
      </c>
      <c r="U391" s="356"/>
      <c r="V391" s="356"/>
      <c r="W391" s="356"/>
      <c r="X391" s="356"/>
    </row>
    <row r="392" spans="3:24" x14ac:dyDescent="0.3">
      <c r="D392" s="356" t="s">
        <v>113</v>
      </c>
      <c r="E392" s="356"/>
      <c r="F392" s="356"/>
      <c r="G392" s="356"/>
      <c r="I392" s="48">
        <v>0</v>
      </c>
      <c r="K392" s="48">
        <v>0</v>
      </c>
      <c r="M392" s="40">
        <f t="shared" si="24"/>
        <v>0</v>
      </c>
      <c r="O392" s="40">
        <f t="shared" si="25"/>
        <v>0</v>
      </c>
      <c r="Q392" s="293">
        <f t="shared" si="26"/>
        <v>0</v>
      </c>
      <c r="S392" s="293">
        <f t="shared" si="27"/>
        <v>0</v>
      </c>
      <c r="U392" s="356"/>
      <c r="V392" s="356"/>
      <c r="W392" s="356"/>
      <c r="X392" s="356"/>
    </row>
    <row r="393" spans="3:24" x14ac:dyDescent="0.3">
      <c r="D393" s="356" t="s">
        <v>114</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115</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116</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s="277" customFormat="1" x14ac:dyDescent="0.3">
      <c r="D396" s="356" t="s">
        <v>838</v>
      </c>
      <c r="E396" s="356"/>
      <c r="F396" s="356"/>
      <c r="G396" s="356"/>
      <c r="I396" s="48">
        <v>0</v>
      </c>
      <c r="K396" s="48">
        <v>0</v>
      </c>
      <c r="M396" s="279">
        <f t="shared" si="24"/>
        <v>0</v>
      </c>
      <c r="O396" s="279">
        <f t="shared" si="25"/>
        <v>0</v>
      </c>
      <c r="Q396" s="293">
        <f t="shared" si="26"/>
        <v>0</v>
      </c>
      <c r="S396" s="293">
        <f t="shared" si="27"/>
        <v>0</v>
      </c>
      <c r="U396" s="385"/>
      <c r="V396" s="385"/>
      <c r="W396" s="385"/>
      <c r="X396" s="385"/>
    </row>
    <row r="397" spans="3:24" s="277" customFormat="1" x14ac:dyDescent="0.3">
      <c r="D397" s="356" t="s">
        <v>839</v>
      </c>
      <c r="E397" s="356"/>
      <c r="F397" s="356"/>
      <c r="G397" s="356"/>
      <c r="I397" s="48">
        <v>0</v>
      </c>
      <c r="K397" s="48">
        <v>0</v>
      </c>
      <c r="M397" s="279">
        <f t="shared" si="24"/>
        <v>0</v>
      </c>
      <c r="O397" s="279">
        <f t="shared" si="25"/>
        <v>0</v>
      </c>
      <c r="Q397" s="293">
        <f t="shared" si="26"/>
        <v>0</v>
      </c>
      <c r="S397" s="293">
        <f t="shared" si="27"/>
        <v>0</v>
      </c>
      <c r="U397" s="385"/>
      <c r="V397" s="385"/>
      <c r="W397" s="385"/>
      <c r="X397" s="385"/>
    </row>
    <row r="398" spans="3:24" s="277" customFormat="1" x14ac:dyDescent="0.3">
      <c r="D398" s="356" t="s">
        <v>840</v>
      </c>
      <c r="E398" s="356"/>
      <c r="F398" s="356"/>
      <c r="G398" s="356"/>
      <c r="I398" s="48">
        <v>0</v>
      </c>
      <c r="K398" s="48">
        <v>0</v>
      </c>
      <c r="M398" s="279">
        <f t="shared" si="24"/>
        <v>0</v>
      </c>
      <c r="O398" s="279">
        <f t="shared" si="25"/>
        <v>0</v>
      </c>
      <c r="Q398" s="293">
        <f t="shared" si="26"/>
        <v>0</v>
      </c>
      <c r="S398" s="293">
        <f t="shared" si="27"/>
        <v>0</v>
      </c>
      <c r="U398" s="385"/>
      <c r="V398" s="385"/>
      <c r="W398" s="385"/>
      <c r="X398" s="385"/>
    </row>
    <row r="399" spans="3:24" s="277" customFormat="1" x14ac:dyDescent="0.3">
      <c r="D399" s="356" t="s">
        <v>841</v>
      </c>
      <c r="E399" s="356"/>
      <c r="F399" s="356"/>
      <c r="G399" s="356"/>
      <c r="I399" s="48">
        <v>0</v>
      </c>
      <c r="K399" s="48">
        <v>0</v>
      </c>
      <c r="M399" s="279">
        <f t="shared" si="24"/>
        <v>0</v>
      </c>
      <c r="O399" s="279">
        <f t="shared" si="25"/>
        <v>0</v>
      </c>
      <c r="Q399" s="293">
        <f t="shared" si="26"/>
        <v>0</v>
      </c>
      <c r="S399" s="293">
        <f t="shared" si="27"/>
        <v>0</v>
      </c>
      <c r="U399" s="385"/>
      <c r="V399" s="385"/>
      <c r="W399" s="385"/>
      <c r="X399" s="385"/>
    </row>
    <row r="400" spans="3:24" s="277" customFormat="1" x14ac:dyDescent="0.3">
      <c r="D400" s="356" t="s">
        <v>842</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843</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844</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845</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850</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851</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852</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853</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972</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977</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978</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979</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980</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ht="14.4" x14ac:dyDescent="0.3">
      <c r="D413" s="420" t="s">
        <v>82</v>
      </c>
      <c r="E413" s="421"/>
      <c r="F413" s="421"/>
      <c r="G413" s="421"/>
      <c r="I413" s="43"/>
      <c r="K413" s="43"/>
      <c r="M413" s="43"/>
      <c r="O413" s="43"/>
      <c r="Q413" s="294">
        <f>SUM(Q388:Q412)</f>
        <v>0</v>
      </c>
      <c r="S413" s="294">
        <f>SUM(S388:S412)</f>
        <v>0</v>
      </c>
    </row>
    <row r="417" spans="3:24" ht="15.6" x14ac:dyDescent="0.3">
      <c r="C417" s="92" t="s">
        <v>84</v>
      </c>
      <c r="M417" s="108" t="str">
        <f>IF(DD_ACT_8_Meet1_Curr=1,$D$509,$D$510)</f>
        <v>GOZ</v>
      </c>
      <c r="O417" s="108" t="str">
        <f>IF(DD_ACT_8_Meet1_Curr=1,$D$509,$D$510)</f>
        <v>GOZ</v>
      </c>
      <c r="Q417" s="108" t="str">
        <f>IF(DD_ACT_8_Meet1_Curr=1,$D$509,$D$510)</f>
        <v>GOZ</v>
      </c>
      <c r="S417" s="108" t="str">
        <f>IF(DD_ACT_8_Meet1_Curr=1,$D$509,$D$510)</f>
        <v>GOZ</v>
      </c>
    </row>
    <row r="418" spans="3:24" ht="27.6" x14ac:dyDescent="0.3">
      <c r="D418" s="90" t="s">
        <v>102</v>
      </c>
      <c r="I418" s="91" t="s">
        <v>87</v>
      </c>
      <c r="K418" s="91" t="s">
        <v>187</v>
      </c>
      <c r="M418" s="42" t="s">
        <v>107</v>
      </c>
      <c r="O418" s="42" t="s">
        <v>108</v>
      </c>
      <c r="Q418" s="42" t="s">
        <v>105</v>
      </c>
      <c r="S418" s="42" t="s">
        <v>106</v>
      </c>
      <c r="U418" s="350" t="s">
        <v>185</v>
      </c>
      <c r="V418" s="351"/>
      <c r="W418" s="351"/>
      <c r="X418" s="351"/>
    </row>
    <row r="419" spans="3:24" x14ac:dyDescent="0.3">
      <c r="D419" s="356" t="s">
        <v>892</v>
      </c>
      <c r="E419" s="356"/>
      <c r="F419" s="356"/>
      <c r="G419" s="356"/>
      <c r="I419" s="48">
        <v>0</v>
      </c>
      <c r="K419" s="48">
        <v>0</v>
      </c>
      <c r="M419" s="40">
        <f t="shared" ref="M419:M443" si="28">IFERROR(IF(DD_ACT_8_Meet1_Curr=1,INDEX($M$590:$M$624,MATCH(D419,LU_ACT_8_Supplies,0)),INDEX($Q$590:$Q$624,MATCH(D419,LU_ACT_8_Supplies,0))),0)</f>
        <v>0</v>
      </c>
      <c r="O419" s="40">
        <f t="shared" ref="O419:O443" si="29">IFERROR(IF(DD_ACT_8_Meet1_Curr=1,INDEX($O$590:$O$624,MATCH(D419,LU_ACT_8_Supplies,0)),INDEX($S$590:$S$624,MATCH(D419,LU_ACT_8_Supplies,0))),0)</f>
        <v>0</v>
      </c>
      <c r="Q419" s="295">
        <f t="shared" ref="Q419:Q443" si="30">I419*K419*M419</f>
        <v>0</v>
      </c>
      <c r="S419" s="293">
        <f t="shared" ref="S419:S443" si="31">I419*K419*O419</f>
        <v>0</v>
      </c>
      <c r="U419" s="356"/>
      <c r="V419" s="356"/>
      <c r="W419" s="356"/>
      <c r="X419" s="356"/>
    </row>
    <row r="420" spans="3:24" x14ac:dyDescent="0.3">
      <c r="D420" s="356" t="s">
        <v>893</v>
      </c>
      <c r="E420" s="356"/>
      <c r="F420" s="356"/>
      <c r="G420" s="356"/>
      <c r="I420" s="48">
        <v>0</v>
      </c>
      <c r="K420" s="48">
        <v>0</v>
      </c>
      <c r="M420" s="40">
        <f t="shared" si="28"/>
        <v>0</v>
      </c>
      <c r="O420" s="40">
        <f t="shared" si="29"/>
        <v>0</v>
      </c>
      <c r="Q420" s="295">
        <f t="shared" si="30"/>
        <v>0</v>
      </c>
      <c r="S420" s="293">
        <f t="shared" si="31"/>
        <v>0</v>
      </c>
      <c r="U420" s="356"/>
      <c r="V420" s="356"/>
      <c r="W420" s="356"/>
      <c r="X420" s="356"/>
    </row>
    <row r="421" spans="3:24" s="277" customFormat="1" x14ac:dyDescent="0.3">
      <c r="D421" s="356" t="s">
        <v>854</v>
      </c>
      <c r="E421" s="356"/>
      <c r="F421" s="356"/>
      <c r="G421" s="356"/>
      <c r="I421" s="48">
        <v>0</v>
      </c>
      <c r="K421" s="48">
        <v>0</v>
      </c>
      <c r="M421" s="279">
        <f t="shared" si="28"/>
        <v>0</v>
      </c>
      <c r="O421" s="279">
        <f t="shared" si="29"/>
        <v>0</v>
      </c>
      <c r="Q421" s="295">
        <f t="shared" si="30"/>
        <v>0</v>
      </c>
      <c r="S421" s="293">
        <f t="shared" si="31"/>
        <v>0</v>
      </c>
      <c r="U421" s="385"/>
      <c r="V421" s="385"/>
      <c r="W421" s="385"/>
      <c r="X421" s="385"/>
    </row>
    <row r="422" spans="3:24" s="277" customFormat="1" x14ac:dyDescent="0.3">
      <c r="D422" s="356" t="s">
        <v>855</v>
      </c>
      <c r="E422" s="356"/>
      <c r="F422" s="356"/>
      <c r="G422" s="356"/>
      <c r="I422" s="48">
        <v>0</v>
      </c>
      <c r="K422" s="48">
        <v>0</v>
      </c>
      <c r="M422" s="279">
        <f t="shared" si="28"/>
        <v>0</v>
      </c>
      <c r="O422" s="279">
        <f t="shared" si="29"/>
        <v>0</v>
      </c>
      <c r="Q422" s="295">
        <f t="shared" si="30"/>
        <v>0</v>
      </c>
      <c r="S422" s="293">
        <f t="shared" si="31"/>
        <v>0</v>
      </c>
      <c r="U422" s="385"/>
      <c r="V422" s="385"/>
      <c r="W422" s="385"/>
      <c r="X422" s="385"/>
    </row>
    <row r="423" spans="3:24" s="277" customFormat="1" x14ac:dyDescent="0.3">
      <c r="D423" s="356" t="s">
        <v>856</v>
      </c>
      <c r="E423" s="356"/>
      <c r="F423" s="356"/>
      <c r="G423" s="356"/>
      <c r="I423" s="48">
        <v>0</v>
      </c>
      <c r="K423" s="48">
        <v>0</v>
      </c>
      <c r="M423" s="279">
        <f t="shared" si="28"/>
        <v>0</v>
      </c>
      <c r="O423" s="279">
        <f t="shared" si="29"/>
        <v>0</v>
      </c>
      <c r="Q423" s="295">
        <f t="shared" si="30"/>
        <v>0</v>
      </c>
      <c r="S423" s="293">
        <f t="shared" si="31"/>
        <v>0</v>
      </c>
      <c r="U423" s="385"/>
      <c r="V423" s="385"/>
      <c r="W423" s="385"/>
      <c r="X423" s="385"/>
    </row>
    <row r="424" spans="3:24" s="277" customFormat="1" x14ac:dyDescent="0.3">
      <c r="D424" s="356" t="s">
        <v>857</v>
      </c>
      <c r="E424" s="356"/>
      <c r="F424" s="356"/>
      <c r="G424" s="356"/>
      <c r="I424" s="48">
        <v>0</v>
      </c>
      <c r="K424" s="48">
        <v>0</v>
      </c>
      <c r="M424" s="279">
        <f t="shared" si="28"/>
        <v>0</v>
      </c>
      <c r="O424" s="279">
        <f t="shared" si="29"/>
        <v>0</v>
      </c>
      <c r="Q424" s="295">
        <f t="shared" si="30"/>
        <v>0</v>
      </c>
      <c r="S424" s="293">
        <f t="shared" si="31"/>
        <v>0</v>
      </c>
      <c r="U424" s="385"/>
      <c r="V424" s="385"/>
      <c r="W424" s="385"/>
      <c r="X424" s="385"/>
    </row>
    <row r="425" spans="3:24" s="277" customFormat="1" x14ac:dyDescent="0.3">
      <c r="D425" s="356" t="s">
        <v>858</v>
      </c>
      <c r="E425" s="356"/>
      <c r="F425" s="356"/>
      <c r="G425" s="356"/>
      <c r="I425" s="48">
        <v>0</v>
      </c>
      <c r="K425" s="48">
        <v>0</v>
      </c>
      <c r="M425" s="279">
        <f t="shared" si="28"/>
        <v>0</v>
      </c>
      <c r="O425" s="279">
        <f t="shared" si="29"/>
        <v>0</v>
      </c>
      <c r="Q425" s="295">
        <f t="shared" si="30"/>
        <v>0</v>
      </c>
      <c r="S425" s="293">
        <f t="shared" si="31"/>
        <v>0</v>
      </c>
      <c r="U425" s="385"/>
      <c r="V425" s="385"/>
      <c r="W425" s="385"/>
      <c r="X425" s="385"/>
    </row>
    <row r="426" spans="3:24" s="277" customFormat="1" x14ac:dyDescent="0.3">
      <c r="D426" s="356" t="s">
        <v>859</v>
      </c>
      <c r="E426" s="356"/>
      <c r="F426" s="356"/>
      <c r="G426" s="356"/>
      <c r="I426" s="48">
        <v>0</v>
      </c>
      <c r="K426" s="48">
        <v>0</v>
      </c>
      <c r="M426" s="279">
        <f t="shared" si="28"/>
        <v>0</v>
      </c>
      <c r="O426" s="279">
        <f t="shared" si="29"/>
        <v>0</v>
      </c>
      <c r="Q426" s="295">
        <f t="shared" si="30"/>
        <v>0</v>
      </c>
      <c r="S426" s="293">
        <f t="shared" si="31"/>
        <v>0</v>
      </c>
      <c r="U426" s="385"/>
      <c r="V426" s="385"/>
      <c r="W426" s="385"/>
      <c r="X426" s="385"/>
    </row>
    <row r="427" spans="3:24" s="277" customFormat="1" x14ac:dyDescent="0.3">
      <c r="D427" s="356" t="s">
        <v>860</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861</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862</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863</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864</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865</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3:24" s="277" customFormat="1" x14ac:dyDescent="0.3">
      <c r="D433" s="356" t="s">
        <v>866</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3:24" s="277" customFormat="1" x14ac:dyDescent="0.3">
      <c r="D434" s="356" t="s">
        <v>867</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3:24" s="277" customFormat="1" x14ac:dyDescent="0.3">
      <c r="D435" s="356" t="s">
        <v>868</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3:24" s="277" customFormat="1" x14ac:dyDescent="0.3">
      <c r="D436" s="356" t="s">
        <v>869</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3:24" s="277" customFormat="1" x14ac:dyDescent="0.3">
      <c r="D437" s="356" t="s">
        <v>870</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3:24" s="277" customFormat="1" x14ac:dyDescent="0.3">
      <c r="D438" s="356" t="s">
        <v>871</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3:24" s="277" customFormat="1" x14ac:dyDescent="0.3">
      <c r="D439" s="356" t="s">
        <v>981</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3:24" s="277" customFormat="1" x14ac:dyDescent="0.3">
      <c r="D440" s="356" t="s">
        <v>982</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3:24" s="277" customFormat="1" x14ac:dyDescent="0.3">
      <c r="D441" s="356" t="s">
        <v>983</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3:24" s="277" customFormat="1" x14ac:dyDescent="0.3">
      <c r="D442" s="356" t="s">
        <v>984</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3:24" s="277" customFormat="1" x14ac:dyDescent="0.3">
      <c r="D443" s="356" t="s">
        <v>985</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3:24" ht="14.4" collapsed="1" x14ac:dyDescent="0.3">
      <c r="D444" s="420" t="s">
        <v>85</v>
      </c>
      <c r="E444" s="421"/>
      <c r="F444" s="421"/>
      <c r="G444" s="421"/>
      <c r="I444" s="43"/>
      <c r="K444" s="43"/>
      <c r="M444" s="43"/>
      <c r="O444" s="43"/>
      <c r="Q444" s="296">
        <f>SUM(Q419:Q443)</f>
        <v>0</v>
      </c>
      <c r="S444" s="294">
        <f>SUM(S419:S443)</f>
        <v>0</v>
      </c>
      <c r="U444" s="43"/>
      <c r="V444" s="43"/>
      <c r="W444" s="43"/>
      <c r="X444" s="43"/>
    </row>
    <row r="446" spans="3:24" ht="15.6" x14ac:dyDescent="0.3">
      <c r="C446" s="92" t="s">
        <v>130</v>
      </c>
      <c r="M446" s="108" t="str">
        <f>IF(DD_ACT_8_Meet1_Curr=1,$D$509,$D$510)</f>
        <v>GOZ</v>
      </c>
      <c r="O446" s="108" t="str">
        <f>IF(DD_ACT_8_Meet1_Curr=1,$D$509,$D$510)</f>
        <v>GOZ</v>
      </c>
      <c r="Q446" s="108" t="str">
        <f>IF(DD_ACT_8_Meet1_Curr=1,$D$509,$D$510)</f>
        <v>GOZ</v>
      </c>
      <c r="S446" s="108" t="str">
        <f>IF(DD_ACT_8_Meet1_Curr=1,$D$509,$D$510)</f>
        <v>GOZ</v>
      </c>
    </row>
    <row r="447" spans="3:24" ht="27.6" x14ac:dyDescent="0.3">
      <c r="D447" s="90" t="s">
        <v>86</v>
      </c>
      <c r="I447" s="91" t="s">
        <v>186</v>
      </c>
      <c r="M447" s="42" t="s">
        <v>107</v>
      </c>
      <c r="O447" s="42" t="s">
        <v>108</v>
      </c>
      <c r="Q447" s="42" t="s">
        <v>105</v>
      </c>
      <c r="S447" s="42" t="s">
        <v>106</v>
      </c>
      <c r="U447" s="350" t="s">
        <v>185</v>
      </c>
      <c r="V447" s="351"/>
      <c r="W447" s="351"/>
      <c r="X447" s="351"/>
    </row>
    <row r="448" spans="3:24" x14ac:dyDescent="0.3">
      <c r="D448" s="356" t="s">
        <v>70</v>
      </c>
      <c r="E448" s="356"/>
      <c r="F448" s="356"/>
      <c r="G448" s="356"/>
      <c r="I448" s="48">
        <v>0</v>
      </c>
      <c r="M448" s="40">
        <f t="shared" ref="M448:M472" si="32">IFERROR(IF(DD_ACT_8_Meet1_Curr=1,INDEX($M$627:$M$661,MATCH(D448,LU_ACT_8_Equipment,0)),INDEX($Q$627:$Q$661,MATCH(D448,LU_ACT_8_Equipment,0))),0)</f>
        <v>0</v>
      </c>
      <c r="O448" s="40">
        <f t="shared" ref="O448:O472" si="33">IFERROR(IF(DD_ACT_8_Meet1_Curr=1,INDEX($O$627:$O$661,MATCH(D448,LU_ACT_8_Equipment,0)),INDEX($S$627:$S$661,MATCH(D448,LU_ACT_8_Equipment,0))),0)</f>
        <v>0</v>
      </c>
      <c r="Q448" s="279">
        <f t="shared" ref="Q448:Q472" si="34">I448*M448</f>
        <v>0</v>
      </c>
      <c r="S448" s="279">
        <f t="shared" ref="S448:S472" si="35">I448*O448</f>
        <v>0</v>
      </c>
      <c r="U448" s="356"/>
      <c r="V448" s="356"/>
      <c r="W448" s="356"/>
      <c r="X448" s="356"/>
    </row>
    <row r="449" spans="4:24" x14ac:dyDescent="0.3">
      <c r="D449" s="356" t="s">
        <v>122</v>
      </c>
      <c r="E449" s="356"/>
      <c r="F449" s="356"/>
      <c r="G449" s="356"/>
      <c r="I449" s="48">
        <v>0</v>
      </c>
      <c r="M449" s="40">
        <f t="shared" si="32"/>
        <v>0</v>
      </c>
      <c r="O449" s="40">
        <f t="shared" si="33"/>
        <v>0</v>
      </c>
      <c r="Q449" s="279">
        <f t="shared" si="34"/>
        <v>0</v>
      </c>
      <c r="S449" s="279">
        <f t="shared" si="35"/>
        <v>0</v>
      </c>
      <c r="U449" s="356"/>
      <c r="V449" s="356"/>
      <c r="W449" s="356"/>
      <c r="X449" s="356"/>
    </row>
    <row r="450" spans="4:24" s="277" customFormat="1" x14ac:dyDescent="0.3">
      <c r="D450" s="356" t="s">
        <v>872</v>
      </c>
      <c r="E450" s="356"/>
      <c r="F450" s="356"/>
      <c r="G450" s="356"/>
      <c r="I450" s="48">
        <v>0</v>
      </c>
      <c r="M450" s="279">
        <f t="shared" si="32"/>
        <v>0</v>
      </c>
      <c r="O450" s="279">
        <f t="shared" si="33"/>
        <v>0</v>
      </c>
      <c r="Q450" s="279">
        <f t="shared" si="34"/>
        <v>0</v>
      </c>
      <c r="S450" s="279">
        <f t="shared" si="35"/>
        <v>0</v>
      </c>
      <c r="U450" s="385"/>
      <c r="V450" s="385"/>
      <c r="W450" s="385"/>
      <c r="X450" s="385"/>
    </row>
    <row r="451" spans="4:24" s="277" customFormat="1" x14ac:dyDescent="0.3">
      <c r="D451" s="356" t="s">
        <v>873</v>
      </c>
      <c r="E451" s="356"/>
      <c r="F451" s="356"/>
      <c r="G451" s="356"/>
      <c r="I451" s="48">
        <v>0</v>
      </c>
      <c r="M451" s="279">
        <f t="shared" si="32"/>
        <v>0</v>
      </c>
      <c r="O451" s="279">
        <f t="shared" si="33"/>
        <v>0</v>
      </c>
      <c r="Q451" s="279">
        <f t="shared" si="34"/>
        <v>0</v>
      </c>
      <c r="S451" s="279">
        <f t="shared" si="35"/>
        <v>0</v>
      </c>
      <c r="U451" s="385"/>
      <c r="V451" s="385"/>
      <c r="W451" s="385"/>
      <c r="X451" s="385"/>
    </row>
    <row r="452" spans="4:24" s="277" customFormat="1" x14ac:dyDescent="0.3">
      <c r="D452" s="356" t="s">
        <v>874</v>
      </c>
      <c r="E452" s="356"/>
      <c r="F452" s="356"/>
      <c r="G452" s="356"/>
      <c r="I452" s="48">
        <v>0</v>
      </c>
      <c r="M452" s="279">
        <f t="shared" si="32"/>
        <v>0</v>
      </c>
      <c r="O452" s="279">
        <f t="shared" si="33"/>
        <v>0</v>
      </c>
      <c r="Q452" s="279">
        <f t="shared" si="34"/>
        <v>0</v>
      </c>
      <c r="S452" s="279">
        <f t="shared" si="35"/>
        <v>0</v>
      </c>
      <c r="U452" s="385"/>
      <c r="V452" s="385"/>
      <c r="W452" s="385"/>
      <c r="X452" s="385"/>
    </row>
    <row r="453" spans="4:24" s="277" customFormat="1" x14ac:dyDescent="0.3">
      <c r="D453" s="356" t="s">
        <v>875</v>
      </c>
      <c r="E453" s="356"/>
      <c r="F453" s="356"/>
      <c r="G453" s="356"/>
      <c r="I453" s="48">
        <v>0</v>
      </c>
      <c r="M453" s="279">
        <f t="shared" si="32"/>
        <v>0</v>
      </c>
      <c r="O453" s="279">
        <f t="shared" si="33"/>
        <v>0</v>
      </c>
      <c r="Q453" s="279">
        <f t="shared" si="34"/>
        <v>0</v>
      </c>
      <c r="S453" s="279">
        <f t="shared" si="35"/>
        <v>0</v>
      </c>
      <c r="U453" s="385"/>
      <c r="V453" s="385"/>
      <c r="W453" s="385"/>
      <c r="X453" s="385"/>
    </row>
    <row r="454" spans="4:24" s="277" customFormat="1" x14ac:dyDescent="0.3">
      <c r="D454" s="356" t="s">
        <v>778</v>
      </c>
      <c r="E454" s="356"/>
      <c r="F454" s="356"/>
      <c r="G454" s="356"/>
      <c r="I454" s="48">
        <v>0</v>
      </c>
      <c r="M454" s="279">
        <f t="shared" si="32"/>
        <v>0</v>
      </c>
      <c r="O454" s="279">
        <f t="shared" si="33"/>
        <v>0</v>
      </c>
      <c r="Q454" s="279">
        <f t="shared" si="34"/>
        <v>0</v>
      </c>
      <c r="S454" s="279">
        <f t="shared" si="35"/>
        <v>0</v>
      </c>
      <c r="U454" s="385"/>
      <c r="V454" s="385"/>
      <c r="W454" s="385"/>
      <c r="X454" s="385"/>
    </row>
    <row r="455" spans="4:24" s="277" customFormat="1" x14ac:dyDescent="0.3">
      <c r="D455" s="356" t="s">
        <v>779</v>
      </c>
      <c r="E455" s="356"/>
      <c r="F455" s="356"/>
      <c r="G455" s="356"/>
      <c r="I455" s="48">
        <v>0</v>
      </c>
      <c r="M455" s="279">
        <f t="shared" si="32"/>
        <v>0</v>
      </c>
      <c r="O455" s="279">
        <f t="shared" si="33"/>
        <v>0</v>
      </c>
      <c r="Q455" s="279">
        <f t="shared" si="34"/>
        <v>0</v>
      </c>
      <c r="S455" s="279">
        <f t="shared" si="35"/>
        <v>0</v>
      </c>
      <c r="U455" s="385"/>
      <c r="V455" s="385"/>
      <c r="W455" s="385"/>
      <c r="X455" s="385"/>
    </row>
    <row r="456" spans="4:24" s="277" customFormat="1" x14ac:dyDescent="0.3">
      <c r="D456" s="356" t="s">
        <v>780</v>
      </c>
      <c r="E456" s="356"/>
      <c r="F456" s="356"/>
      <c r="G456" s="356"/>
      <c r="I456" s="48">
        <v>0</v>
      </c>
      <c r="M456" s="279">
        <f t="shared" si="32"/>
        <v>0</v>
      </c>
      <c r="O456" s="279">
        <f t="shared" si="33"/>
        <v>0</v>
      </c>
      <c r="Q456" s="279">
        <f t="shared" si="34"/>
        <v>0</v>
      </c>
      <c r="S456" s="279">
        <f t="shared" si="35"/>
        <v>0</v>
      </c>
      <c r="U456" s="385"/>
      <c r="V456" s="385"/>
      <c r="W456" s="385"/>
      <c r="X456" s="385"/>
    </row>
    <row r="457" spans="4:24" s="277" customFormat="1" x14ac:dyDescent="0.3">
      <c r="D457" s="356" t="s">
        <v>781</v>
      </c>
      <c r="E457" s="356"/>
      <c r="F457" s="356"/>
      <c r="G457" s="356"/>
      <c r="I457" s="48">
        <v>0</v>
      </c>
      <c r="M457" s="279">
        <f t="shared" si="32"/>
        <v>0</v>
      </c>
      <c r="O457" s="279">
        <f t="shared" si="33"/>
        <v>0</v>
      </c>
      <c r="Q457" s="279">
        <f t="shared" si="34"/>
        <v>0</v>
      </c>
      <c r="S457" s="279">
        <f t="shared" si="35"/>
        <v>0</v>
      </c>
      <c r="U457" s="385"/>
      <c r="V457" s="385"/>
      <c r="W457" s="385"/>
      <c r="X457" s="385"/>
    </row>
    <row r="458" spans="4:24" s="277" customFormat="1" x14ac:dyDescent="0.3">
      <c r="D458" s="356" t="s">
        <v>782</v>
      </c>
      <c r="E458" s="356"/>
      <c r="F458" s="356"/>
      <c r="G458" s="356"/>
      <c r="I458" s="48">
        <v>0</v>
      </c>
      <c r="M458" s="279">
        <f t="shared" si="32"/>
        <v>0</v>
      </c>
      <c r="O458" s="279">
        <f t="shared" si="33"/>
        <v>0</v>
      </c>
      <c r="Q458" s="279">
        <f t="shared" si="34"/>
        <v>0</v>
      </c>
      <c r="S458" s="279">
        <f t="shared" si="35"/>
        <v>0</v>
      </c>
      <c r="U458" s="385"/>
      <c r="V458" s="385"/>
      <c r="W458" s="385"/>
      <c r="X458" s="385"/>
    </row>
    <row r="459" spans="4:24" s="277" customFormat="1" x14ac:dyDescent="0.3">
      <c r="D459" s="356" t="s">
        <v>783</v>
      </c>
      <c r="E459" s="356"/>
      <c r="F459" s="356"/>
      <c r="G459" s="356"/>
      <c r="I459" s="48">
        <v>0</v>
      </c>
      <c r="M459" s="279">
        <f t="shared" si="32"/>
        <v>0</v>
      </c>
      <c r="O459" s="279">
        <f t="shared" si="33"/>
        <v>0</v>
      </c>
      <c r="Q459" s="279">
        <f t="shared" si="34"/>
        <v>0</v>
      </c>
      <c r="S459" s="279">
        <f t="shared" si="35"/>
        <v>0</v>
      </c>
      <c r="U459" s="385"/>
      <c r="V459" s="385"/>
      <c r="W459" s="385"/>
      <c r="X459" s="385"/>
    </row>
    <row r="460" spans="4:24" s="277" customFormat="1" x14ac:dyDescent="0.3">
      <c r="D460" s="356" t="s">
        <v>784</v>
      </c>
      <c r="E460" s="356"/>
      <c r="F460" s="356"/>
      <c r="G460" s="356"/>
      <c r="I460" s="48">
        <v>0</v>
      </c>
      <c r="M460" s="279">
        <f t="shared" si="32"/>
        <v>0</v>
      </c>
      <c r="O460" s="279">
        <f t="shared" si="33"/>
        <v>0</v>
      </c>
      <c r="Q460" s="279">
        <f t="shared" si="34"/>
        <v>0</v>
      </c>
      <c r="S460" s="279">
        <f t="shared" si="35"/>
        <v>0</v>
      </c>
      <c r="U460" s="385"/>
      <c r="V460" s="385"/>
      <c r="W460" s="385"/>
      <c r="X460" s="385"/>
    </row>
    <row r="461" spans="4:24" s="277" customFormat="1" x14ac:dyDescent="0.3">
      <c r="D461" s="356" t="s">
        <v>785</v>
      </c>
      <c r="E461" s="356"/>
      <c r="F461" s="356"/>
      <c r="G461" s="356"/>
      <c r="I461" s="48">
        <v>0</v>
      </c>
      <c r="M461" s="279">
        <f t="shared" si="32"/>
        <v>0</v>
      </c>
      <c r="O461" s="279">
        <f t="shared" si="33"/>
        <v>0</v>
      </c>
      <c r="Q461" s="279">
        <f t="shared" si="34"/>
        <v>0</v>
      </c>
      <c r="S461" s="279">
        <f t="shared" si="35"/>
        <v>0</v>
      </c>
      <c r="U461" s="385"/>
      <c r="V461" s="385"/>
      <c r="W461" s="385"/>
      <c r="X461" s="385"/>
    </row>
    <row r="462" spans="4:24" s="277" customFormat="1" x14ac:dyDescent="0.3">
      <c r="D462" s="356" t="s">
        <v>786</v>
      </c>
      <c r="E462" s="356"/>
      <c r="F462" s="356"/>
      <c r="G462" s="356"/>
      <c r="I462" s="48">
        <v>0</v>
      </c>
      <c r="M462" s="279">
        <f t="shared" si="32"/>
        <v>0</v>
      </c>
      <c r="O462" s="279">
        <f t="shared" si="33"/>
        <v>0</v>
      </c>
      <c r="Q462" s="279">
        <f t="shared" si="34"/>
        <v>0</v>
      </c>
      <c r="S462" s="279">
        <f t="shared" si="35"/>
        <v>0</v>
      </c>
      <c r="U462" s="385"/>
      <c r="V462" s="385"/>
      <c r="W462" s="385"/>
      <c r="X462" s="385"/>
    </row>
    <row r="463" spans="4:24" s="277" customFormat="1" x14ac:dyDescent="0.3">
      <c r="D463" s="356" t="s">
        <v>787</v>
      </c>
      <c r="E463" s="356"/>
      <c r="F463" s="356"/>
      <c r="G463" s="356"/>
      <c r="I463" s="48">
        <v>0</v>
      </c>
      <c r="M463" s="279">
        <f t="shared" si="32"/>
        <v>0</v>
      </c>
      <c r="O463" s="279">
        <f t="shared" si="33"/>
        <v>0</v>
      </c>
      <c r="Q463" s="279">
        <f t="shared" si="34"/>
        <v>0</v>
      </c>
      <c r="S463" s="279">
        <f t="shared" si="35"/>
        <v>0</v>
      </c>
      <c r="U463" s="385"/>
      <c r="V463" s="385"/>
      <c r="W463" s="385"/>
      <c r="X463" s="385"/>
    </row>
    <row r="464" spans="4:24" s="277" customFormat="1" x14ac:dyDescent="0.3">
      <c r="D464" s="356" t="s">
        <v>788</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789</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790</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791</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792</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793</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794</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795</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796</v>
      </c>
      <c r="E472" s="356"/>
      <c r="F472" s="356"/>
      <c r="G472" s="356"/>
      <c r="I472" s="48">
        <v>0</v>
      </c>
      <c r="M472" s="279">
        <f t="shared" si="32"/>
        <v>0</v>
      </c>
      <c r="O472" s="279">
        <f t="shared" si="33"/>
        <v>0</v>
      </c>
      <c r="Q472" s="279">
        <f t="shared" si="34"/>
        <v>0</v>
      </c>
      <c r="S472" s="279">
        <f t="shared" si="35"/>
        <v>0</v>
      </c>
      <c r="U472" s="385"/>
      <c r="V472" s="385"/>
      <c r="W472" s="385"/>
      <c r="X472" s="385"/>
    </row>
    <row r="473" spans="3:24" ht="14.4" collapsed="1" x14ac:dyDescent="0.3">
      <c r="D473" s="420" t="s">
        <v>88</v>
      </c>
      <c r="E473" s="421"/>
      <c r="F473" s="421"/>
      <c r="G473" s="421"/>
      <c r="I473" s="40"/>
      <c r="M473" s="40"/>
      <c r="O473" s="40"/>
      <c r="Q473" s="294">
        <f>SUM(Q448:Q472)</f>
        <v>0</v>
      </c>
      <c r="S473" s="294">
        <f>SUM(S448:S472)</f>
        <v>0</v>
      </c>
    </row>
    <row r="475" spans="3:24" ht="15.6" x14ac:dyDescent="0.3">
      <c r="C475" s="92" t="s">
        <v>89</v>
      </c>
      <c r="M475" s="108" t="str">
        <f>IF(DD_ACT_8_Meet1_Curr=1,$D$509,$D$510)</f>
        <v>GOZ</v>
      </c>
      <c r="O475" s="108" t="str">
        <f>IF(DD_ACT_8_Meet1_Curr=1,$D$509,$D$510)</f>
        <v>GOZ</v>
      </c>
      <c r="Q475" s="108" t="str">
        <f>IF(DD_ACT_8_Meet1_Curr=1,$D$509,$D$510)</f>
        <v>GOZ</v>
      </c>
      <c r="S475" s="108" t="str">
        <f>IF(DD_ACT_8_Meet1_Curr=1,$D$509,$D$510)</f>
        <v>GOZ</v>
      </c>
    </row>
    <row r="476" spans="3:24" ht="27.6" x14ac:dyDescent="0.3">
      <c r="D476" s="90" t="s">
        <v>86</v>
      </c>
      <c r="I476" s="91" t="s">
        <v>186</v>
      </c>
      <c r="K476" s="91" t="s">
        <v>187</v>
      </c>
      <c r="M476" s="42" t="s">
        <v>107</v>
      </c>
      <c r="O476" s="42" t="s">
        <v>108</v>
      </c>
      <c r="Q476" s="42" t="s">
        <v>105</v>
      </c>
      <c r="S476" s="42" t="s">
        <v>106</v>
      </c>
      <c r="U476" s="350" t="s">
        <v>185</v>
      </c>
      <c r="V476" s="351"/>
      <c r="W476" s="351"/>
      <c r="X476" s="351"/>
    </row>
    <row r="477" spans="3:24" x14ac:dyDescent="0.3">
      <c r="D477" s="356" t="s">
        <v>71</v>
      </c>
      <c r="E477" s="356"/>
      <c r="F477" s="356"/>
      <c r="G477" s="356"/>
      <c r="I477" s="48">
        <v>0</v>
      </c>
      <c r="K477" s="48">
        <v>0</v>
      </c>
      <c r="M477" s="40">
        <f t="shared" ref="M477:M501" si="36">IFERROR(IF(DD_ACT_8_Meet1_Curr=1,INDEX($M$665:$M$699,MATCH(D477,LU_ACT_8_ODCS,0)),INDEX($Q$665:$Q$699,MATCH(D477,LU_ACT_8_ODCS,0))),0)</f>
        <v>0</v>
      </c>
      <c r="O477" s="40">
        <f t="shared" ref="O477:O501" si="37">IFERROR(IF(DD_ACT_8_Meet1_Curr=1,INDEX($O$665:$O$699,MATCH(D477,LU_ACT_8_ODCS,0)),INDEX($S$665:$S$699,MATCH(D477,LU_ACT_8_ODCS,0))),0)</f>
        <v>0</v>
      </c>
      <c r="Q477" s="279">
        <f t="shared" ref="Q477:Q501" si="38">I477*K477*M477</f>
        <v>0</v>
      </c>
      <c r="S477" s="279">
        <f t="shared" ref="S477:S501" si="39">I477*K477*O477</f>
        <v>0</v>
      </c>
      <c r="U477" s="356"/>
      <c r="V477" s="356"/>
      <c r="W477" s="356"/>
      <c r="X477" s="356"/>
    </row>
    <row r="478" spans="3:24" x14ac:dyDescent="0.3">
      <c r="D478" s="356" t="s">
        <v>72</v>
      </c>
      <c r="E478" s="356"/>
      <c r="F478" s="356"/>
      <c r="G478" s="356"/>
      <c r="I478" s="48">
        <v>0</v>
      </c>
      <c r="K478" s="48">
        <v>0</v>
      </c>
      <c r="M478" s="40">
        <f t="shared" si="36"/>
        <v>0</v>
      </c>
      <c r="O478" s="40">
        <f t="shared" si="37"/>
        <v>0</v>
      </c>
      <c r="Q478" s="279">
        <f t="shared" si="38"/>
        <v>0</v>
      </c>
      <c r="S478" s="279">
        <f t="shared" si="39"/>
        <v>0</v>
      </c>
      <c r="U478" s="356"/>
      <c r="V478" s="356"/>
      <c r="W478" s="356"/>
      <c r="X478" s="356"/>
    </row>
    <row r="479" spans="3:24" x14ac:dyDescent="0.3">
      <c r="D479" s="356" t="s">
        <v>73</v>
      </c>
      <c r="E479" s="356"/>
      <c r="F479" s="356"/>
      <c r="G479" s="356"/>
      <c r="I479" s="48">
        <v>0</v>
      </c>
      <c r="K479" s="48">
        <v>0</v>
      </c>
      <c r="M479" s="40">
        <f t="shared" si="36"/>
        <v>0</v>
      </c>
      <c r="O479" s="40">
        <f t="shared" si="37"/>
        <v>0</v>
      </c>
      <c r="Q479" s="279">
        <f t="shared" si="38"/>
        <v>0</v>
      </c>
      <c r="S479" s="279">
        <f t="shared" si="39"/>
        <v>0</v>
      </c>
      <c r="U479" s="356"/>
      <c r="V479" s="356"/>
      <c r="W479" s="356"/>
      <c r="X479" s="356"/>
    </row>
    <row r="480" spans="3:24" x14ac:dyDescent="0.3">
      <c r="D480" s="356" t="s">
        <v>74</v>
      </c>
      <c r="E480" s="356"/>
      <c r="F480" s="356"/>
      <c r="G480" s="356"/>
      <c r="I480" s="48">
        <v>0</v>
      </c>
      <c r="K480" s="48">
        <v>0</v>
      </c>
      <c r="M480" s="40">
        <f t="shared" si="36"/>
        <v>0</v>
      </c>
      <c r="O480" s="40">
        <f t="shared" si="37"/>
        <v>0</v>
      </c>
      <c r="Q480" s="279">
        <f t="shared" si="38"/>
        <v>0</v>
      </c>
      <c r="S480" s="279">
        <f t="shared" si="39"/>
        <v>0</v>
      </c>
      <c r="U480" s="356"/>
      <c r="V480" s="356"/>
      <c r="W480" s="356"/>
      <c r="X480" s="356"/>
    </row>
    <row r="481" spans="4:24" x14ac:dyDescent="0.3">
      <c r="D481" s="356" t="s">
        <v>75</v>
      </c>
      <c r="E481" s="356"/>
      <c r="F481" s="356"/>
      <c r="G481" s="356"/>
      <c r="I481" s="48">
        <v>0</v>
      </c>
      <c r="K481" s="48">
        <v>0</v>
      </c>
      <c r="M481" s="40">
        <f t="shared" si="36"/>
        <v>0</v>
      </c>
      <c r="O481" s="40">
        <f t="shared" si="37"/>
        <v>0</v>
      </c>
      <c r="Q481" s="279">
        <f t="shared" si="38"/>
        <v>0</v>
      </c>
      <c r="S481" s="279">
        <f t="shared" si="39"/>
        <v>0</v>
      </c>
      <c r="U481" s="356"/>
      <c r="V481" s="356"/>
      <c r="W481" s="356"/>
      <c r="X481" s="356"/>
    </row>
    <row r="482" spans="4:24" s="277" customFormat="1" x14ac:dyDescent="0.3">
      <c r="D482" s="356" t="s">
        <v>876</v>
      </c>
      <c r="E482" s="356"/>
      <c r="F482" s="356"/>
      <c r="G482" s="356"/>
      <c r="I482" s="48">
        <v>0</v>
      </c>
      <c r="K482" s="48">
        <v>0</v>
      </c>
      <c r="M482" s="279">
        <f t="shared" si="36"/>
        <v>0</v>
      </c>
      <c r="O482" s="279">
        <f t="shared" si="37"/>
        <v>0</v>
      </c>
      <c r="Q482" s="279">
        <f t="shared" si="38"/>
        <v>0</v>
      </c>
      <c r="S482" s="279">
        <f t="shared" si="39"/>
        <v>0</v>
      </c>
      <c r="U482" s="385"/>
      <c r="V482" s="385"/>
      <c r="W482" s="385"/>
      <c r="X482" s="385"/>
    </row>
    <row r="483" spans="4:24" s="277" customFormat="1" x14ac:dyDescent="0.3">
      <c r="D483" s="356" t="s">
        <v>877</v>
      </c>
      <c r="E483" s="356"/>
      <c r="F483" s="356"/>
      <c r="G483" s="356"/>
      <c r="I483" s="48">
        <v>0</v>
      </c>
      <c r="K483" s="48">
        <v>0</v>
      </c>
      <c r="M483" s="279">
        <f t="shared" si="36"/>
        <v>0</v>
      </c>
      <c r="O483" s="279">
        <f t="shared" si="37"/>
        <v>0</v>
      </c>
      <c r="Q483" s="279">
        <f t="shared" si="38"/>
        <v>0</v>
      </c>
      <c r="S483" s="279">
        <f t="shared" si="39"/>
        <v>0</v>
      </c>
      <c r="U483" s="385"/>
      <c r="V483" s="385"/>
      <c r="W483" s="385"/>
      <c r="X483" s="385"/>
    </row>
    <row r="484" spans="4:24" s="277" customFormat="1" x14ac:dyDescent="0.3">
      <c r="D484" s="356" t="s">
        <v>878</v>
      </c>
      <c r="E484" s="356"/>
      <c r="F484" s="356"/>
      <c r="G484" s="356"/>
      <c r="I484" s="48">
        <v>0</v>
      </c>
      <c r="K484" s="48">
        <v>0</v>
      </c>
      <c r="M484" s="279">
        <f t="shared" si="36"/>
        <v>0</v>
      </c>
      <c r="O484" s="279">
        <f t="shared" si="37"/>
        <v>0</v>
      </c>
      <c r="Q484" s="279">
        <f t="shared" si="38"/>
        <v>0</v>
      </c>
      <c r="S484" s="279">
        <f t="shared" si="39"/>
        <v>0</v>
      </c>
      <c r="U484" s="385"/>
      <c r="V484" s="385"/>
      <c r="W484" s="385"/>
      <c r="X484" s="385"/>
    </row>
    <row r="485" spans="4:24" s="277" customFormat="1" x14ac:dyDescent="0.3">
      <c r="D485" s="356" t="s">
        <v>879</v>
      </c>
      <c r="E485" s="356"/>
      <c r="F485" s="356"/>
      <c r="G485" s="356"/>
      <c r="I485" s="48">
        <v>0</v>
      </c>
      <c r="K485" s="48">
        <v>0</v>
      </c>
      <c r="M485" s="279">
        <f t="shared" si="36"/>
        <v>0</v>
      </c>
      <c r="O485" s="279">
        <f t="shared" si="37"/>
        <v>0</v>
      </c>
      <c r="Q485" s="279">
        <f t="shared" si="38"/>
        <v>0</v>
      </c>
      <c r="S485" s="279">
        <f t="shared" si="39"/>
        <v>0</v>
      </c>
      <c r="U485" s="385"/>
      <c r="V485" s="385"/>
      <c r="W485" s="385"/>
      <c r="X485" s="385"/>
    </row>
    <row r="486" spans="4:24" s="277" customFormat="1" x14ac:dyDescent="0.3">
      <c r="D486" s="356" t="s">
        <v>880</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881</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882</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883</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884</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885</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886</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887</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888</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889</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890</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986</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987</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988</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989</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990</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ht="14.4" collapsed="1" x14ac:dyDescent="0.3">
      <c r="D502" s="420" t="s">
        <v>90</v>
      </c>
      <c r="E502" s="421"/>
      <c r="F502" s="421"/>
      <c r="G502" s="421"/>
      <c r="I502" s="40"/>
      <c r="K502" s="40">
        <f>SUM(K477:K501)</f>
        <v>0</v>
      </c>
      <c r="M502" s="40"/>
      <c r="O502" s="40"/>
      <c r="Q502" s="294">
        <f>SUM(Q477:Q501)</f>
        <v>0</v>
      </c>
      <c r="S502" s="294">
        <f>SUM(S477:S501)</f>
        <v>0</v>
      </c>
    </row>
    <row r="504" spans="2:24" ht="27.6" x14ac:dyDescent="0.3">
      <c r="Q504" s="44" t="str">
        <f>"FINANCIAL COST ("&amp;INDEX(LU_ACT_8_Meet_Curr,DD_ACT_8_Meet1_Curr)&amp;")"</f>
        <v>FINANCIAL COST (GOZ)</v>
      </c>
      <c r="S504" s="44" t="str">
        <f>"ECONOMIC COST ("&amp;INDEX(LU_ACT_8_Meet_Curr,DD_ACT_8_Meet1_Curr)&amp;")"</f>
        <v>ECONOMIC COST (GOZ)</v>
      </c>
      <c r="U504" s="44" t="str">
        <f>"FINANCIAL COST ("&amp;IF(DD_ACT_8_Meet1_Curr=2,$D$509,$D$510)&amp;")"</f>
        <v>FINANCIAL COST (USD)</v>
      </c>
      <c r="W504" s="44" t="str">
        <f>"ECONOMIC COST ("&amp;IF(DD_ACT_8_Meet1_Curr=2,$D$509,$D$510)&amp;")"</f>
        <v>ECONOMIC COST (USD)</v>
      </c>
    </row>
    <row r="505" spans="2:24" ht="15" thickBot="1" x14ac:dyDescent="0.35">
      <c r="B505" s="228" t="str">
        <f>"Total Estimated Costs -"&amp;B354</f>
        <v>Total Estimated Costs -Social Mobilisation Activity #2 [not in use]</v>
      </c>
      <c r="Q505" s="46">
        <f>SUM(Q384,Q413,Q444,Q473,Q502)</f>
        <v>0</v>
      </c>
      <c r="S505" s="46">
        <f>SUM(S384,S413,S444,S473,S502)</f>
        <v>0</v>
      </c>
      <c r="U505" s="47">
        <f>IFERROR(IF(DD_ACT_8_Meet1_Curr=2,$Q505/$I$510,$Q505*$I$510), 0)</f>
        <v>0</v>
      </c>
      <c r="W505" s="47">
        <f>IFERROR(IF(DD_ACT_8_Meet1_Curr=2,$S505/$I$510,$S505*$I$510), 0)</f>
        <v>0</v>
      </c>
    </row>
    <row r="506" spans="2:24" ht="14.4" thickTop="1" x14ac:dyDescent="0.3"/>
    <row r="507" spans="2:24" x14ac:dyDescent="0.3">
      <c r="C507" s="91" t="s">
        <v>584</v>
      </c>
    </row>
    <row r="508" spans="2:24" hidden="1" outlineLevel="1" x14ac:dyDescent="0.3"/>
    <row r="509" spans="2:24" ht="12.9" hidden="1" customHeight="1" outlineLevel="1" x14ac:dyDescent="0.3">
      <c r="D509" s="422" t="str">
        <f>CURR_TA!D13</f>
        <v>USD</v>
      </c>
      <c r="E509" s="423"/>
      <c r="F509" s="423"/>
      <c r="G509" s="423"/>
      <c r="I509" s="279">
        <f>CURR_TA!J13</f>
        <v>1</v>
      </c>
      <c r="J509" s="279">
        <f>CURR_TA!K13</f>
        <v>0</v>
      </c>
      <c r="K509" s="279">
        <f>CURR_TA!L13</f>
        <v>0</v>
      </c>
      <c r="L509" s="279">
        <f>CURR_TA!M13</f>
        <v>0</v>
      </c>
    </row>
    <row r="510" spans="2:24" ht="12.9" hidden="1" customHeight="1" outlineLevel="1" x14ac:dyDescent="0.3">
      <c r="D510" s="422" t="str">
        <f>CURR_TA!D14</f>
        <v>GOZ</v>
      </c>
      <c r="E510" s="423"/>
      <c r="F510" s="423"/>
      <c r="G510" s="423"/>
      <c r="I510" s="279">
        <f>CURR_TA!J14</f>
        <v>0</v>
      </c>
      <c r="J510" s="279">
        <f>CURR_TA!K14</f>
        <v>0</v>
      </c>
      <c r="K510" s="279">
        <f>CURR_TA!L14</f>
        <v>0</v>
      </c>
      <c r="L510" s="279">
        <f>CURR_TA!M14</f>
        <v>0</v>
      </c>
    </row>
    <row r="511" spans="2:24" collapsed="1" x14ac:dyDescent="0.3"/>
    <row r="513" spans="3:19" ht="15.6" x14ac:dyDescent="0.3">
      <c r="C513" s="92" t="s">
        <v>175</v>
      </c>
    </row>
    <row r="514" spans="3:19" hidden="1" outlineLevel="1" x14ac:dyDescent="0.3">
      <c r="M514" s="40" t="str">
        <f>$D$509</f>
        <v>USD</v>
      </c>
      <c r="O514" s="40" t="str">
        <f>$D$509</f>
        <v>USD</v>
      </c>
      <c r="Q514" s="40" t="str">
        <f>$D$510</f>
        <v>GOZ</v>
      </c>
      <c r="S514" s="40" t="str">
        <f>$D$510</f>
        <v>GOZ</v>
      </c>
    </row>
    <row r="515" spans="3:19" hidden="1" outlineLevel="1" x14ac:dyDescent="0.3">
      <c r="C515" s="89" t="str">
        <f>RES_BA!D14</f>
        <v>Personnel Cadre - Other 1</v>
      </c>
      <c r="M515" s="40">
        <f>RES_BA!R14</f>
        <v>0</v>
      </c>
      <c r="O515" s="40">
        <f>RES_BA!S14</f>
        <v>0</v>
      </c>
      <c r="Q515" s="40">
        <f>RES_BA!T14</f>
        <v>0</v>
      </c>
      <c r="S515" s="40">
        <f>RES_BA!U14</f>
        <v>0</v>
      </c>
    </row>
    <row r="516" spans="3:19" hidden="1" outlineLevel="1" x14ac:dyDescent="0.3">
      <c r="C516" s="89" t="str">
        <f>RES_BA!D15</f>
        <v>Personnel Cadre - Other 2</v>
      </c>
      <c r="M516" s="40">
        <f>RES_BA!R15</f>
        <v>0</v>
      </c>
      <c r="O516" s="40">
        <f>RES_BA!S15</f>
        <v>0</v>
      </c>
      <c r="Q516" s="40">
        <f>RES_BA!T15</f>
        <v>0</v>
      </c>
      <c r="S516" s="40">
        <f>RES_BA!U15</f>
        <v>0</v>
      </c>
    </row>
    <row r="517" spans="3:19" hidden="1" outlineLevel="1" x14ac:dyDescent="0.3">
      <c r="C517" s="89" t="str">
        <f>RES_BA!D16</f>
        <v>Personnel Cadre - Other 3</v>
      </c>
      <c r="M517" s="40">
        <f>RES_BA!R16</f>
        <v>0</v>
      </c>
      <c r="O517" s="40">
        <f>RES_BA!S16</f>
        <v>0</v>
      </c>
      <c r="Q517" s="40">
        <f>RES_BA!T16</f>
        <v>0</v>
      </c>
      <c r="S517" s="40">
        <f>RES_BA!U16</f>
        <v>0</v>
      </c>
    </row>
    <row r="518" spans="3:19" hidden="1" outlineLevel="1" x14ac:dyDescent="0.3">
      <c r="C518" s="89" t="str">
        <f>RES_BA!D17</f>
        <v>Personnel Cadre - Other 4</v>
      </c>
      <c r="M518" s="40">
        <f>RES_BA!R17</f>
        <v>0</v>
      </c>
      <c r="O518" s="40">
        <f>RES_BA!S17</f>
        <v>0</v>
      </c>
      <c r="Q518" s="40">
        <f>RES_BA!T17</f>
        <v>0</v>
      </c>
      <c r="S518" s="40">
        <f>RES_BA!U17</f>
        <v>0</v>
      </c>
    </row>
    <row r="519" spans="3:19" hidden="1" outlineLevel="1" x14ac:dyDescent="0.3">
      <c r="C519" s="89" t="str">
        <f>RES_BA!D18</f>
        <v>Personnel Cadre - Other 5</v>
      </c>
      <c r="M519" s="40">
        <f>RES_BA!R18</f>
        <v>0</v>
      </c>
      <c r="O519" s="40">
        <f>RES_BA!S18</f>
        <v>0</v>
      </c>
      <c r="Q519" s="40">
        <f>RES_BA!T18</f>
        <v>0</v>
      </c>
      <c r="S519" s="40">
        <f>RES_BA!U18</f>
        <v>0</v>
      </c>
    </row>
    <row r="520" spans="3:19" hidden="1" outlineLevel="1" x14ac:dyDescent="0.3">
      <c r="C520" s="89" t="str">
        <f>RES_BA!D19</f>
        <v>Personnel Cadre - Other 6</v>
      </c>
      <c r="M520" s="40">
        <f>RES_BA!R19</f>
        <v>0</v>
      </c>
      <c r="O520" s="40">
        <f>RES_BA!S19</f>
        <v>0</v>
      </c>
      <c r="Q520" s="40">
        <f>RES_BA!T19</f>
        <v>0</v>
      </c>
      <c r="S520" s="40">
        <f>RES_BA!U19</f>
        <v>0</v>
      </c>
    </row>
    <row r="521" spans="3:19" hidden="1" outlineLevel="1" x14ac:dyDescent="0.3">
      <c r="C521" s="89" t="str">
        <f>RES_BA!D20</f>
        <v>Personnel Cadre - Other 7</v>
      </c>
      <c r="M521" s="40">
        <f>RES_BA!R20</f>
        <v>0</v>
      </c>
      <c r="O521" s="40">
        <f>RES_BA!S20</f>
        <v>0</v>
      </c>
      <c r="Q521" s="40">
        <f>RES_BA!T20</f>
        <v>0</v>
      </c>
      <c r="S521" s="40">
        <f>RES_BA!U20</f>
        <v>0</v>
      </c>
    </row>
    <row r="522" spans="3:19" hidden="1" outlineLevel="1" x14ac:dyDescent="0.3">
      <c r="C522" s="89" t="str">
        <f>RES_BA!D21</f>
        <v>Personnel Cadre - Other 8</v>
      </c>
      <c r="M522" s="40">
        <f>RES_BA!R21</f>
        <v>0</v>
      </c>
      <c r="O522" s="40">
        <f>RES_BA!S21</f>
        <v>0</v>
      </c>
      <c r="Q522" s="40">
        <f>RES_BA!T21</f>
        <v>0</v>
      </c>
      <c r="S522" s="40">
        <f>RES_BA!U21</f>
        <v>0</v>
      </c>
    </row>
    <row r="523" spans="3:19" hidden="1" outlineLevel="1" x14ac:dyDescent="0.3">
      <c r="C523" s="89" t="str">
        <f>RES_BA!D22</f>
        <v>Personnel Cadre - Other 9</v>
      </c>
      <c r="M523" s="40">
        <f>RES_BA!R22</f>
        <v>0</v>
      </c>
      <c r="O523" s="40">
        <f>RES_BA!S22</f>
        <v>0</v>
      </c>
      <c r="Q523" s="40">
        <f>RES_BA!T22</f>
        <v>0</v>
      </c>
      <c r="S523" s="40">
        <f>RES_BA!U22</f>
        <v>0</v>
      </c>
    </row>
    <row r="524" spans="3:19" hidden="1" outlineLevel="1" x14ac:dyDescent="0.3">
      <c r="C524" s="89" t="str">
        <f>RES_BA!D23</f>
        <v>Personnel Cadre - Other 10</v>
      </c>
      <c r="M524" s="40">
        <f>RES_BA!R23</f>
        <v>0</v>
      </c>
      <c r="O524" s="40">
        <f>RES_BA!S23</f>
        <v>0</v>
      </c>
      <c r="Q524" s="40">
        <f>RES_BA!T23</f>
        <v>0</v>
      </c>
      <c r="S524" s="40">
        <f>RES_BA!U23</f>
        <v>0</v>
      </c>
    </row>
    <row r="525" spans="3:19" hidden="1" outlineLevel="1" x14ac:dyDescent="0.3">
      <c r="C525" s="89" t="str">
        <f>RES_BA!D24</f>
        <v>Personnel Cadre - Other 11</v>
      </c>
      <c r="M525" s="40">
        <f>RES_BA!R24</f>
        <v>0</v>
      </c>
      <c r="O525" s="40">
        <f>RES_BA!S24</f>
        <v>0</v>
      </c>
      <c r="Q525" s="40">
        <f>RES_BA!T24</f>
        <v>0</v>
      </c>
      <c r="S525" s="40">
        <f>RES_BA!U24</f>
        <v>0</v>
      </c>
    </row>
    <row r="526" spans="3:19" hidden="1" outlineLevel="1" x14ac:dyDescent="0.3">
      <c r="C526" s="89" t="str">
        <f>RES_BA!D25</f>
        <v>Personnel Cadre - Other 12</v>
      </c>
      <c r="M526" s="40">
        <f>RES_BA!R25</f>
        <v>0</v>
      </c>
      <c r="O526" s="40">
        <f>RES_BA!S25</f>
        <v>0</v>
      </c>
      <c r="Q526" s="40">
        <f>RES_BA!T25</f>
        <v>0</v>
      </c>
      <c r="S526" s="40">
        <f>RES_BA!U25</f>
        <v>0</v>
      </c>
    </row>
    <row r="527" spans="3:19" hidden="1" outlineLevel="1" x14ac:dyDescent="0.3">
      <c r="C527" s="89" t="str">
        <f>RES_BA!D26</f>
        <v>Personnel Cadre - Other 13</v>
      </c>
      <c r="M527" s="40">
        <f>RES_BA!R26</f>
        <v>0</v>
      </c>
      <c r="O527" s="40">
        <f>RES_BA!S26</f>
        <v>0</v>
      </c>
      <c r="Q527" s="40">
        <f>RES_BA!T26</f>
        <v>0</v>
      </c>
      <c r="S527" s="40">
        <f>RES_BA!U26</f>
        <v>0</v>
      </c>
    </row>
    <row r="528" spans="3:19" hidden="1" outlineLevel="1" x14ac:dyDescent="0.3">
      <c r="C528" s="89" t="str">
        <f>RES_BA!D27</f>
        <v>Personnel Cadre - Other 14</v>
      </c>
      <c r="M528" s="40">
        <f>RES_BA!R27</f>
        <v>0</v>
      </c>
      <c r="O528" s="40">
        <f>RES_BA!S27</f>
        <v>0</v>
      </c>
      <c r="Q528" s="40">
        <f>RES_BA!T27</f>
        <v>0</v>
      </c>
      <c r="S528" s="40">
        <f>RES_BA!U27</f>
        <v>0</v>
      </c>
    </row>
    <row r="529" spans="3:19" hidden="1" outlineLevel="1" x14ac:dyDescent="0.3">
      <c r="C529" s="89" t="str">
        <f>RES_BA!D28</f>
        <v>Personnel Cadre - Other 15</v>
      </c>
      <c r="M529" s="40">
        <f>RES_BA!R28</f>
        <v>0</v>
      </c>
      <c r="O529" s="40">
        <f>RES_BA!S28</f>
        <v>0</v>
      </c>
      <c r="Q529" s="40">
        <f>RES_BA!T28</f>
        <v>0</v>
      </c>
      <c r="S529" s="40">
        <f>RES_BA!U28</f>
        <v>0</v>
      </c>
    </row>
    <row r="530" spans="3:19" s="277" customFormat="1" hidden="1" outlineLevel="1" collapsed="1" x14ac:dyDescent="0.3">
      <c r="C530" s="283" t="str">
        <f>RES_BA!D29</f>
        <v>Personnel Cadre - Other 16</v>
      </c>
      <c r="M530" s="279">
        <f>RES_BA!R29</f>
        <v>0</v>
      </c>
      <c r="O530" s="279">
        <f>RES_BA!S29</f>
        <v>0</v>
      </c>
      <c r="Q530" s="279">
        <f>RES_BA!T29</f>
        <v>0</v>
      </c>
      <c r="S530" s="279">
        <f>RES_BA!U29</f>
        <v>0</v>
      </c>
    </row>
    <row r="531" spans="3:19" s="277" customFormat="1" hidden="1" outlineLevel="1" collapsed="1" x14ac:dyDescent="0.3">
      <c r="C531" s="283" t="str">
        <f>RES_BA!D30</f>
        <v>Personnel Cadre - Other 17</v>
      </c>
      <c r="M531" s="279">
        <f>RES_BA!R30</f>
        <v>0</v>
      </c>
      <c r="O531" s="279">
        <f>RES_BA!S30</f>
        <v>0</v>
      </c>
      <c r="Q531" s="279">
        <f>RES_BA!T30</f>
        <v>0</v>
      </c>
      <c r="S531" s="279">
        <f>RES_BA!U30</f>
        <v>0</v>
      </c>
    </row>
    <row r="532" spans="3:19" s="277" customFormat="1" hidden="1" outlineLevel="1" collapsed="1" x14ac:dyDescent="0.3">
      <c r="C532" s="283" t="str">
        <f>RES_BA!D31</f>
        <v>Personnel Cadre - Other 18</v>
      </c>
      <c r="M532" s="279">
        <f>RES_BA!R31</f>
        <v>0</v>
      </c>
      <c r="O532" s="279">
        <f>RES_BA!S31</f>
        <v>0</v>
      </c>
      <c r="Q532" s="279">
        <f>RES_BA!T31</f>
        <v>0</v>
      </c>
      <c r="S532" s="279">
        <f>RES_BA!U31</f>
        <v>0</v>
      </c>
    </row>
    <row r="533" spans="3:19" s="277" customFormat="1" hidden="1" outlineLevel="1" x14ac:dyDescent="0.3">
      <c r="C533" s="283" t="str">
        <f>RES_BA!D32</f>
        <v>Personnel Cadre - Other 19</v>
      </c>
      <c r="M533" s="279">
        <f>RES_BA!R32</f>
        <v>0</v>
      </c>
      <c r="O533" s="279">
        <f>RES_BA!S32</f>
        <v>0</v>
      </c>
      <c r="Q533" s="279">
        <f>RES_BA!T32</f>
        <v>0</v>
      </c>
      <c r="S533" s="279">
        <f>RES_BA!U32</f>
        <v>0</v>
      </c>
    </row>
    <row r="534" spans="3:19" s="277" customFormat="1" hidden="1" outlineLevel="1" x14ac:dyDescent="0.3">
      <c r="C534" s="283" t="str">
        <f>RES_BA!D33</f>
        <v>Personnel Cadre - Other 20</v>
      </c>
      <c r="M534" s="279">
        <f>RES_BA!R33</f>
        <v>0</v>
      </c>
      <c r="O534" s="279">
        <f>RES_BA!S33</f>
        <v>0</v>
      </c>
      <c r="Q534" s="279">
        <f>RES_BA!T33</f>
        <v>0</v>
      </c>
      <c r="S534" s="279">
        <f>RES_BA!U33</f>
        <v>0</v>
      </c>
    </row>
    <row r="535" spans="3:19" s="277" customFormat="1" hidden="1" outlineLevel="1" collapsed="1" x14ac:dyDescent="0.3">
      <c r="C535" s="283" t="str">
        <f>RES_BA!D34</f>
        <v>Personnel Cadre - Other 21</v>
      </c>
      <c r="M535" s="279">
        <f>RES_BA!R34</f>
        <v>0</v>
      </c>
      <c r="O535" s="279">
        <f>RES_BA!S34</f>
        <v>0</v>
      </c>
      <c r="Q535" s="279">
        <f>RES_BA!T34</f>
        <v>0</v>
      </c>
      <c r="S535" s="279">
        <f>RES_BA!U34</f>
        <v>0</v>
      </c>
    </row>
    <row r="536" spans="3:19" s="277" customFormat="1" hidden="1" outlineLevel="1" x14ac:dyDescent="0.3">
      <c r="C536" s="283" t="str">
        <f>RES_BA!D35</f>
        <v>Personnel Cadre - Other 22</v>
      </c>
      <c r="M536" s="279">
        <f>RES_BA!R35</f>
        <v>0</v>
      </c>
      <c r="O536" s="279">
        <f>RES_BA!S35</f>
        <v>0</v>
      </c>
      <c r="Q536" s="279">
        <f>RES_BA!T35</f>
        <v>0</v>
      </c>
      <c r="S536" s="279">
        <f>RES_BA!U35</f>
        <v>0</v>
      </c>
    </row>
    <row r="537" spans="3:19" s="277" customFormat="1" hidden="1" outlineLevel="1" x14ac:dyDescent="0.3">
      <c r="C537" s="283" t="str">
        <f>RES_BA!D36</f>
        <v>Personnel Cadre - Other 23</v>
      </c>
      <c r="M537" s="279">
        <f>RES_BA!R36</f>
        <v>0</v>
      </c>
      <c r="O537" s="279">
        <f>RES_BA!S36</f>
        <v>0</v>
      </c>
      <c r="Q537" s="279">
        <f>RES_BA!T36</f>
        <v>0</v>
      </c>
      <c r="S537" s="279">
        <f>RES_BA!U36</f>
        <v>0</v>
      </c>
    </row>
    <row r="538" spans="3:19" s="277" customFormat="1" hidden="1" outlineLevel="1" x14ac:dyDescent="0.3">
      <c r="C538" s="283" t="str">
        <f>RES_BA!D37</f>
        <v>Personnel Cadre - Other 24</v>
      </c>
      <c r="M538" s="279">
        <f>RES_BA!R37</f>
        <v>0</v>
      </c>
      <c r="O538" s="279">
        <f>RES_BA!S37</f>
        <v>0</v>
      </c>
      <c r="Q538" s="279">
        <f>RES_BA!T37</f>
        <v>0</v>
      </c>
      <c r="S538" s="279">
        <f>RES_BA!U37</f>
        <v>0</v>
      </c>
    </row>
    <row r="539" spans="3:19" s="277" customFormat="1" hidden="1" outlineLevel="1" x14ac:dyDescent="0.3">
      <c r="C539" s="283" t="str">
        <f>RES_BA!D38</f>
        <v>Personnel Cadre - Other 25</v>
      </c>
      <c r="M539" s="279">
        <f>RES_BA!R38</f>
        <v>0</v>
      </c>
      <c r="O539" s="279">
        <f>RES_BA!S38</f>
        <v>0</v>
      </c>
      <c r="Q539" s="279">
        <f>RES_BA!T38</f>
        <v>0</v>
      </c>
      <c r="S539" s="279">
        <f>RES_BA!U38</f>
        <v>0</v>
      </c>
    </row>
    <row r="540" spans="3:19" s="277" customFormat="1" hidden="1" outlineLevel="1" x14ac:dyDescent="0.3">
      <c r="C540" s="283" t="str">
        <f>RES_BA!D39</f>
        <v>Personnel Cadre - Other 26</v>
      </c>
      <c r="M540" s="279">
        <f>RES_BA!R39</f>
        <v>0</v>
      </c>
      <c r="O540" s="279">
        <f>RES_BA!S39</f>
        <v>0</v>
      </c>
      <c r="Q540" s="279">
        <f>RES_BA!T39</f>
        <v>0</v>
      </c>
      <c r="S540" s="279">
        <f>RES_BA!U39</f>
        <v>0</v>
      </c>
    </row>
    <row r="541" spans="3:19" s="277" customFormat="1" hidden="1" outlineLevel="1" x14ac:dyDescent="0.3">
      <c r="C541" s="283" t="str">
        <f>RES_BA!D40</f>
        <v>Personnel Cadre - Other 27</v>
      </c>
      <c r="M541" s="279">
        <f>RES_BA!R40</f>
        <v>0</v>
      </c>
      <c r="O541" s="279">
        <f>RES_BA!S40</f>
        <v>0</v>
      </c>
      <c r="Q541" s="279">
        <f>RES_BA!T40</f>
        <v>0</v>
      </c>
      <c r="S541" s="279">
        <f>RES_BA!U40</f>
        <v>0</v>
      </c>
    </row>
    <row r="542" spans="3:19" s="277" customFormat="1" hidden="1" outlineLevel="1" x14ac:dyDescent="0.3">
      <c r="C542" s="283" t="str">
        <f>RES_BA!D41</f>
        <v>Personnel Cadre - Other 28</v>
      </c>
      <c r="M542" s="279">
        <f>RES_BA!R41</f>
        <v>0</v>
      </c>
      <c r="O542" s="279">
        <f>RES_BA!S41</f>
        <v>0</v>
      </c>
      <c r="Q542" s="279">
        <f>RES_BA!T41</f>
        <v>0</v>
      </c>
      <c r="S542" s="279">
        <f>RES_BA!U41</f>
        <v>0</v>
      </c>
    </row>
    <row r="543" spans="3:19" s="277" customFormat="1" hidden="1" outlineLevel="1" x14ac:dyDescent="0.3">
      <c r="C543" s="283" t="str">
        <f>RES_BA!D42</f>
        <v>Personnel Cadre - Other 29</v>
      </c>
      <c r="M543" s="279">
        <f>RES_BA!R42</f>
        <v>0</v>
      </c>
      <c r="O543" s="279">
        <f>RES_BA!S42</f>
        <v>0</v>
      </c>
      <c r="Q543" s="279">
        <f>RES_BA!T42</f>
        <v>0</v>
      </c>
      <c r="S543" s="279">
        <f>RES_BA!U42</f>
        <v>0</v>
      </c>
    </row>
    <row r="544" spans="3:19" s="277" customFormat="1" hidden="1" outlineLevel="1" x14ac:dyDescent="0.3">
      <c r="C544" s="283" t="str">
        <f>RES_BA!D43</f>
        <v>Personnel Cadre - Other 30</v>
      </c>
      <c r="M544" s="279">
        <f>RES_BA!R43</f>
        <v>0</v>
      </c>
      <c r="O544" s="279">
        <f>RES_BA!S43</f>
        <v>0</v>
      </c>
      <c r="Q544" s="279">
        <f>RES_BA!T43</f>
        <v>0</v>
      </c>
      <c r="S544" s="279">
        <f>RES_BA!U43</f>
        <v>0</v>
      </c>
    </row>
    <row r="545" spans="3:19" s="277" customFormat="1" hidden="1" outlineLevel="1" x14ac:dyDescent="0.3">
      <c r="C545" s="283" t="str">
        <f>RES_BA!D44</f>
        <v>Personnel Cadre - Other 31</v>
      </c>
      <c r="M545" s="279">
        <f>RES_BA!R44</f>
        <v>0</v>
      </c>
      <c r="O545" s="279">
        <f>RES_BA!S44</f>
        <v>0</v>
      </c>
      <c r="Q545" s="279">
        <f>RES_BA!T44</f>
        <v>0</v>
      </c>
      <c r="S545" s="279">
        <f>RES_BA!U44</f>
        <v>0</v>
      </c>
    </row>
    <row r="546" spans="3:19" s="277" customFormat="1" hidden="1" outlineLevel="1" x14ac:dyDescent="0.3">
      <c r="C546" s="283" t="str">
        <f>RES_BA!D45</f>
        <v>Personnel Cadre - Other 32</v>
      </c>
      <c r="M546" s="279">
        <f>RES_BA!R45</f>
        <v>0</v>
      </c>
      <c r="O546" s="279">
        <f>RES_BA!S45</f>
        <v>0</v>
      </c>
      <c r="Q546" s="279">
        <f>RES_BA!T45</f>
        <v>0</v>
      </c>
      <c r="S546" s="279">
        <f>RES_BA!U45</f>
        <v>0</v>
      </c>
    </row>
    <row r="547" spans="3:19" s="277" customFormat="1" hidden="1" outlineLevel="1" x14ac:dyDescent="0.3">
      <c r="C547" s="283" t="str">
        <f>RES_BA!D46</f>
        <v>Personnel Cadre - Other 33</v>
      </c>
      <c r="M547" s="279">
        <f>RES_BA!R46</f>
        <v>0</v>
      </c>
      <c r="O547" s="279">
        <f>RES_BA!S46</f>
        <v>0</v>
      </c>
      <c r="Q547" s="279">
        <f>RES_BA!T46</f>
        <v>0</v>
      </c>
      <c r="S547" s="279">
        <f>RES_BA!U46</f>
        <v>0</v>
      </c>
    </row>
    <row r="548" spans="3:19" s="277" customFormat="1" hidden="1" outlineLevel="1" x14ac:dyDescent="0.3">
      <c r="C548" s="283" t="str">
        <f>RES_BA!D47</f>
        <v>Personnel Cadre - Other 34</v>
      </c>
      <c r="M548" s="279">
        <f>RES_BA!R47</f>
        <v>0</v>
      </c>
      <c r="O548" s="279">
        <f>RES_BA!S47</f>
        <v>0</v>
      </c>
      <c r="Q548" s="279">
        <f>RES_BA!T47</f>
        <v>0</v>
      </c>
      <c r="S548" s="279">
        <f>RES_BA!U47</f>
        <v>0</v>
      </c>
    </row>
    <row r="549" spans="3:19" s="277" customFormat="1" hidden="1" outlineLevel="1" x14ac:dyDescent="0.3">
      <c r="C549" s="283" t="str">
        <f>RES_BA!D48</f>
        <v>Personnel Cadre - Other 35</v>
      </c>
      <c r="M549" s="279">
        <f>RES_BA!R48</f>
        <v>0</v>
      </c>
      <c r="O549" s="279">
        <f>RES_BA!S48</f>
        <v>0</v>
      </c>
      <c r="Q549" s="279">
        <f>RES_BA!T48</f>
        <v>0</v>
      </c>
      <c r="S549" s="279">
        <f>RES_BA!U48</f>
        <v>0</v>
      </c>
    </row>
    <row r="550" spans="3:19" hidden="1" outlineLevel="1" x14ac:dyDescent="0.3"/>
    <row r="551" spans="3:19" hidden="1" outlineLevel="1" x14ac:dyDescent="0.3">
      <c r="M551" s="40" t="str">
        <f>$D$509</f>
        <v>USD</v>
      </c>
      <c r="O551" s="40" t="str">
        <f>$D$509</f>
        <v>USD</v>
      </c>
      <c r="Q551" s="40" t="str">
        <f>$D$510</f>
        <v>GOZ</v>
      </c>
      <c r="S551" s="40" t="str">
        <f>$D$510</f>
        <v>GOZ</v>
      </c>
    </row>
    <row r="552" spans="3:19" hidden="1" outlineLevel="1" x14ac:dyDescent="0.3">
      <c r="C552" s="89" t="str">
        <f>RES_BA!D53</f>
        <v>Allowances Category 1</v>
      </c>
      <c r="M552" s="40">
        <f>RES_BA!R53</f>
        <v>0</v>
      </c>
      <c r="O552" s="40">
        <f>RES_BA!S53</f>
        <v>0</v>
      </c>
      <c r="Q552" s="40">
        <f>RES_BA!T53</f>
        <v>0</v>
      </c>
      <c r="S552" s="40">
        <f>RES_BA!U53</f>
        <v>0</v>
      </c>
    </row>
    <row r="553" spans="3:19" hidden="1" outlineLevel="1" x14ac:dyDescent="0.3">
      <c r="C553" s="89" t="str">
        <f>RES_BA!D54</f>
        <v>Allowances Category 2</v>
      </c>
      <c r="M553" s="40">
        <f>RES_BA!R54</f>
        <v>0</v>
      </c>
      <c r="O553" s="40">
        <f>RES_BA!S54</f>
        <v>0</v>
      </c>
      <c r="Q553" s="40">
        <f>RES_BA!T54</f>
        <v>0</v>
      </c>
      <c r="S553" s="40">
        <f>RES_BA!U54</f>
        <v>0</v>
      </c>
    </row>
    <row r="554" spans="3:19" hidden="1" outlineLevel="1" x14ac:dyDescent="0.3">
      <c r="C554" s="89" t="str">
        <f>RES_BA!D55</f>
        <v>Allowances Category 3</v>
      </c>
      <c r="M554" s="40">
        <f>RES_BA!R55</f>
        <v>0</v>
      </c>
      <c r="O554" s="40">
        <f>RES_BA!S55</f>
        <v>0</v>
      </c>
      <c r="Q554" s="40">
        <f>RES_BA!T55</f>
        <v>0</v>
      </c>
      <c r="S554" s="40">
        <f>RES_BA!U55</f>
        <v>0</v>
      </c>
    </row>
    <row r="555" spans="3:19" hidden="1" outlineLevel="1" x14ac:dyDescent="0.3">
      <c r="C555" s="89" t="str">
        <f>RES_BA!D56</f>
        <v>Allowances Category 4</v>
      </c>
      <c r="M555" s="40">
        <f>RES_BA!R56</f>
        <v>0</v>
      </c>
      <c r="O555" s="40">
        <f>RES_BA!S56</f>
        <v>0</v>
      </c>
      <c r="Q555" s="40">
        <f>RES_BA!T56</f>
        <v>0</v>
      </c>
      <c r="S555" s="40">
        <f>RES_BA!U56</f>
        <v>0</v>
      </c>
    </row>
    <row r="556" spans="3:19" hidden="1" outlineLevel="1" x14ac:dyDescent="0.3">
      <c r="C556" s="89" t="str">
        <f>RES_BA!D57</f>
        <v>Allowances Category 5</v>
      </c>
      <c r="M556" s="40">
        <f>RES_BA!R57</f>
        <v>0</v>
      </c>
      <c r="O556" s="40">
        <f>RES_BA!S57</f>
        <v>0</v>
      </c>
      <c r="Q556" s="40">
        <f>RES_BA!T57</f>
        <v>0</v>
      </c>
      <c r="S556" s="40">
        <f>RES_BA!U57</f>
        <v>0</v>
      </c>
    </row>
    <row r="557" spans="3:19" s="277" customFormat="1" hidden="1" outlineLevel="1" collapsed="1" x14ac:dyDescent="0.3">
      <c r="C557" s="283" t="str">
        <f>RES_BA!D58</f>
        <v>Allowances Category 6</v>
      </c>
      <c r="M557" s="279">
        <f>RES_BA!R58</f>
        <v>0</v>
      </c>
      <c r="O557" s="279">
        <f>RES_BA!S58</f>
        <v>0</v>
      </c>
      <c r="Q557" s="279">
        <f>RES_BA!T58</f>
        <v>0</v>
      </c>
      <c r="S557" s="279">
        <f>RES_BA!U58</f>
        <v>0</v>
      </c>
    </row>
    <row r="558" spans="3:19" s="277" customFormat="1" hidden="1" outlineLevel="1" x14ac:dyDescent="0.3">
      <c r="C558" s="283" t="str">
        <f>RES_BA!D59</f>
        <v>Allowances Category 7</v>
      </c>
      <c r="M558" s="279">
        <f>RES_BA!R59</f>
        <v>0</v>
      </c>
      <c r="O558" s="279">
        <f>RES_BA!S59</f>
        <v>0</v>
      </c>
      <c r="Q558" s="279">
        <f>RES_BA!T59</f>
        <v>0</v>
      </c>
      <c r="S558" s="279">
        <f>RES_BA!U59</f>
        <v>0</v>
      </c>
    </row>
    <row r="559" spans="3:19" s="277" customFormat="1" hidden="1" outlineLevel="1" x14ac:dyDescent="0.3">
      <c r="C559" s="283" t="str">
        <f>RES_BA!D60</f>
        <v>Allowances Category 8</v>
      </c>
      <c r="M559" s="279">
        <f>RES_BA!R60</f>
        <v>0</v>
      </c>
      <c r="O559" s="279">
        <f>RES_BA!S60</f>
        <v>0</v>
      </c>
      <c r="Q559" s="279">
        <f>RES_BA!T60</f>
        <v>0</v>
      </c>
      <c r="S559" s="279">
        <f>RES_BA!U60</f>
        <v>0</v>
      </c>
    </row>
    <row r="560" spans="3:19" s="277" customFormat="1" hidden="1" outlineLevel="1" x14ac:dyDescent="0.3">
      <c r="C560" s="283" t="str">
        <f>RES_BA!D61</f>
        <v>Allowances Category 9</v>
      </c>
      <c r="M560" s="279">
        <f>RES_BA!R61</f>
        <v>0</v>
      </c>
      <c r="O560" s="279">
        <f>RES_BA!S61</f>
        <v>0</v>
      </c>
      <c r="Q560" s="279">
        <f>RES_BA!T61</f>
        <v>0</v>
      </c>
      <c r="S560" s="279">
        <f>RES_BA!U61</f>
        <v>0</v>
      </c>
    </row>
    <row r="561" spans="3:19" s="277" customFormat="1" hidden="1" outlineLevel="1" x14ac:dyDescent="0.3">
      <c r="C561" s="283" t="str">
        <f>RES_BA!D62</f>
        <v>Allowances Category 10</v>
      </c>
      <c r="M561" s="279">
        <f>RES_BA!R62</f>
        <v>0</v>
      </c>
      <c r="O561" s="279">
        <f>RES_BA!S62</f>
        <v>0</v>
      </c>
      <c r="Q561" s="279">
        <f>RES_BA!T62</f>
        <v>0</v>
      </c>
      <c r="S561" s="279">
        <f>RES_BA!U62</f>
        <v>0</v>
      </c>
    </row>
    <row r="562" spans="3:19" s="277" customFormat="1" hidden="1" outlineLevel="1" x14ac:dyDescent="0.3">
      <c r="C562" s="283" t="str">
        <f>RES_BA!D63</f>
        <v>Allowances Category 11</v>
      </c>
      <c r="M562" s="279">
        <f>RES_BA!R63</f>
        <v>0</v>
      </c>
      <c r="O562" s="279">
        <f>RES_BA!S63</f>
        <v>0</v>
      </c>
      <c r="Q562" s="279">
        <f>RES_BA!T63</f>
        <v>0</v>
      </c>
      <c r="S562" s="279">
        <f>RES_BA!U63</f>
        <v>0</v>
      </c>
    </row>
    <row r="563" spans="3:19" s="277" customFormat="1" hidden="1" outlineLevel="1" x14ac:dyDescent="0.3">
      <c r="C563" s="283" t="str">
        <f>RES_BA!D64</f>
        <v>Allowances Category 12</v>
      </c>
      <c r="M563" s="279">
        <f>RES_BA!R64</f>
        <v>0</v>
      </c>
      <c r="O563" s="279">
        <f>RES_BA!S64</f>
        <v>0</v>
      </c>
      <c r="Q563" s="279">
        <f>RES_BA!T64</f>
        <v>0</v>
      </c>
      <c r="S563" s="279">
        <f>RES_BA!U64</f>
        <v>0</v>
      </c>
    </row>
    <row r="564" spans="3:19" s="277" customFormat="1" hidden="1" outlineLevel="1" x14ac:dyDescent="0.3">
      <c r="C564" s="283" t="str">
        <f>RES_BA!D65</f>
        <v>Allowances Category 13</v>
      </c>
      <c r="M564" s="279">
        <f>RES_BA!R65</f>
        <v>0</v>
      </c>
      <c r="O564" s="279">
        <f>RES_BA!S65</f>
        <v>0</v>
      </c>
      <c r="Q564" s="279">
        <f>RES_BA!T65</f>
        <v>0</v>
      </c>
      <c r="S564" s="279">
        <f>RES_BA!U65</f>
        <v>0</v>
      </c>
    </row>
    <row r="565" spans="3:19" s="277" customFormat="1" hidden="1" outlineLevel="1" x14ac:dyDescent="0.3">
      <c r="C565" s="283" t="str">
        <f>RES_BA!D66</f>
        <v>Allowances Category 14</v>
      </c>
      <c r="M565" s="279">
        <f>RES_BA!R66</f>
        <v>0</v>
      </c>
      <c r="O565" s="279">
        <f>RES_BA!S66</f>
        <v>0</v>
      </c>
      <c r="Q565" s="279">
        <f>RES_BA!T66</f>
        <v>0</v>
      </c>
      <c r="S565" s="279">
        <f>RES_BA!U66</f>
        <v>0</v>
      </c>
    </row>
    <row r="566" spans="3:19" s="277" customFormat="1" hidden="1" outlineLevel="1" x14ac:dyDescent="0.3">
      <c r="C566" s="283" t="str">
        <f>RES_BA!D67</f>
        <v>Allowances Category 15</v>
      </c>
      <c r="M566" s="279">
        <f>RES_BA!R67</f>
        <v>0</v>
      </c>
      <c r="O566" s="279">
        <f>RES_BA!S67</f>
        <v>0</v>
      </c>
      <c r="Q566" s="279">
        <f>RES_BA!T67</f>
        <v>0</v>
      </c>
      <c r="S566" s="279">
        <f>RES_BA!U67</f>
        <v>0</v>
      </c>
    </row>
    <row r="567" spans="3:19" s="277" customFormat="1" hidden="1" outlineLevel="1" x14ac:dyDescent="0.3">
      <c r="C567" s="283" t="str">
        <f>RES_BA!D68</f>
        <v>Allowances Category 16</v>
      </c>
      <c r="M567" s="279">
        <f>RES_BA!R68</f>
        <v>0</v>
      </c>
      <c r="O567" s="279">
        <f>RES_BA!S68</f>
        <v>0</v>
      </c>
      <c r="Q567" s="279">
        <f>RES_BA!T68</f>
        <v>0</v>
      </c>
      <c r="S567" s="279">
        <f>RES_BA!U68</f>
        <v>0</v>
      </c>
    </row>
    <row r="568" spans="3:19" hidden="1" outlineLevel="1" x14ac:dyDescent="0.3">
      <c r="C568" s="89" t="str">
        <f>RES_BA!D69</f>
        <v>Allowances Category 17</v>
      </c>
      <c r="M568" s="40">
        <f>RES_BA!R69</f>
        <v>0</v>
      </c>
      <c r="O568" s="40">
        <f>RES_BA!S69</f>
        <v>0</v>
      </c>
      <c r="Q568" s="40">
        <f>RES_BA!T69</f>
        <v>0</v>
      </c>
      <c r="S568" s="40">
        <f>RES_BA!U69</f>
        <v>0</v>
      </c>
    </row>
    <row r="569" spans="3:19" hidden="1" outlineLevel="1" x14ac:dyDescent="0.3">
      <c r="C569" s="89" t="str">
        <f>RES_BA!D70</f>
        <v>Allowances Category 18</v>
      </c>
      <c r="M569" s="40">
        <f>RES_BA!R70</f>
        <v>0</v>
      </c>
      <c r="O569" s="40">
        <f>RES_BA!S70</f>
        <v>0</v>
      </c>
      <c r="Q569" s="40">
        <f>RES_BA!T70</f>
        <v>0</v>
      </c>
      <c r="S569" s="40">
        <f>RES_BA!U70</f>
        <v>0</v>
      </c>
    </row>
    <row r="570" spans="3:19" hidden="1" outlineLevel="1" x14ac:dyDescent="0.3">
      <c r="C570" s="89" t="str">
        <f>RES_BA!D71</f>
        <v>Allowances Category 19</v>
      </c>
      <c r="M570" s="40">
        <f>RES_BA!R71</f>
        <v>0</v>
      </c>
      <c r="O570" s="40">
        <f>RES_BA!S71</f>
        <v>0</v>
      </c>
      <c r="Q570" s="40">
        <f>RES_BA!T71</f>
        <v>0</v>
      </c>
      <c r="S570" s="40">
        <f>RES_BA!U71</f>
        <v>0</v>
      </c>
    </row>
    <row r="571" spans="3:19" hidden="1" outlineLevel="1" x14ac:dyDescent="0.3">
      <c r="C571" s="89" t="str">
        <f>RES_BA!D72</f>
        <v>Allowances Category 20</v>
      </c>
      <c r="M571" s="40">
        <f>RES_BA!R72</f>
        <v>0</v>
      </c>
      <c r="O571" s="40">
        <f>RES_BA!S72</f>
        <v>0</v>
      </c>
      <c r="Q571" s="40">
        <f>RES_BA!T72</f>
        <v>0</v>
      </c>
      <c r="S571" s="40">
        <f>RES_BA!U72</f>
        <v>0</v>
      </c>
    </row>
    <row r="572" spans="3:19" hidden="1" outlineLevel="1" x14ac:dyDescent="0.3">
      <c r="C572" s="89" t="str">
        <f>RES_BA!D73</f>
        <v>Allowances Category 21</v>
      </c>
      <c r="M572" s="40">
        <f>RES_BA!R73</f>
        <v>0</v>
      </c>
      <c r="O572" s="40">
        <f>RES_BA!S73</f>
        <v>0</v>
      </c>
      <c r="Q572" s="40">
        <f>RES_BA!T73</f>
        <v>0</v>
      </c>
      <c r="S572" s="40">
        <f>RES_BA!U73</f>
        <v>0</v>
      </c>
    </row>
    <row r="573" spans="3:19" hidden="1" outlineLevel="1" x14ac:dyDescent="0.3">
      <c r="C573" s="89" t="str">
        <f>RES_BA!D74</f>
        <v>Allowances Category 22</v>
      </c>
      <c r="M573" s="40">
        <f>RES_BA!R74</f>
        <v>0</v>
      </c>
      <c r="O573" s="40">
        <f>RES_BA!S74</f>
        <v>0</v>
      </c>
      <c r="Q573" s="40">
        <f>RES_BA!T74</f>
        <v>0</v>
      </c>
      <c r="S573" s="40">
        <f>RES_BA!U74</f>
        <v>0</v>
      </c>
    </row>
    <row r="574" spans="3:19" hidden="1" outlineLevel="1" x14ac:dyDescent="0.3">
      <c r="C574" s="89" t="str">
        <f>RES_BA!D75</f>
        <v>Allowances Category 23</v>
      </c>
      <c r="M574" s="40">
        <f>RES_BA!R75</f>
        <v>0</v>
      </c>
      <c r="O574" s="40">
        <f>RES_BA!S75</f>
        <v>0</v>
      </c>
      <c r="Q574" s="40">
        <f>RES_BA!T75</f>
        <v>0</v>
      </c>
      <c r="S574" s="40">
        <f>RES_BA!U75</f>
        <v>0</v>
      </c>
    </row>
    <row r="575" spans="3:19" s="277" customFormat="1" hidden="1" outlineLevel="1" collapsed="1" x14ac:dyDescent="0.3">
      <c r="C575" s="283" t="str">
        <f>RES_BA!D76</f>
        <v>Allowances Category 24</v>
      </c>
      <c r="M575" s="279">
        <f>RES_BA!R76</f>
        <v>0</v>
      </c>
      <c r="O575" s="279">
        <f>RES_BA!S76</f>
        <v>0</v>
      </c>
      <c r="Q575" s="279">
        <f>RES_BA!T76</f>
        <v>0</v>
      </c>
      <c r="S575" s="279">
        <f>RES_BA!U76</f>
        <v>0</v>
      </c>
    </row>
    <row r="576" spans="3:19" s="277" customFormat="1" hidden="1" outlineLevel="1" x14ac:dyDescent="0.3">
      <c r="C576" s="283" t="str">
        <f>RES_BA!D77</f>
        <v>Allowances Category 25</v>
      </c>
      <c r="M576" s="279">
        <f>RES_BA!R77</f>
        <v>0</v>
      </c>
      <c r="O576" s="279">
        <f>RES_BA!S77</f>
        <v>0</v>
      </c>
      <c r="Q576" s="279">
        <f>RES_BA!T77</f>
        <v>0</v>
      </c>
      <c r="S576" s="279">
        <f>RES_BA!U77</f>
        <v>0</v>
      </c>
    </row>
    <row r="577" spans="3:19" s="277" customFormat="1" hidden="1" outlineLevel="1" x14ac:dyDescent="0.3">
      <c r="C577" s="283" t="str">
        <f>RES_BA!D78</f>
        <v>Allowances Category 26</v>
      </c>
      <c r="M577" s="279">
        <f>RES_BA!R78</f>
        <v>0</v>
      </c>
      <c r="O577" s="279">
        <f>RES_BA!S78</f>
        <v>0</v>
      </c>
      <c r="Q577" s="279">
        <f>RES_BA!T78</f>
        <v>0</v>
      </c>
      <c r="S577" s="279">
        <f>RES_BA!U78</f>
        <v>0</v>
      </c>
    </row>
    <row r="578" spans="3:19" s="277" customFormat="1" hidden="1" outlineLevel="1" x14ac:dyDescent="0.3">
      <c r="C578" s="283" t="str">
        <f>RES_BA!D79</f>
        <v>Allowances Category 27</v>
      </c>
      <c r="M578" s="279">
        <f>RES_BA!R79</f>
        <v>0</v>
      </c>
      <c r="O578" s="279">
        <f>RES_BA!S79</f>
        <v>0</v>
      </c>
      <c r="Q578" s="279">
        <f>RES_BA!T79</f>
        <v>0</v>
      </c>
      <c r="S578" s="279">
        <f>RES_BA!U79</f>
        <v>0</v>
      </c>
    </row>
    <row r="579" spans="3:19" s="277" customFormat="1" hidden="1" outlineLevel="1" x14ac:dyDescent="0.3">
      <c r="C579" s="283" t="str">
        <f>RES_BA!D80</f>
        <v>Allowances Category 28</v>
      </c>
      <c r="M579" s="279">
        <f>RES_BA!R80</f>
        <v>0</v>
      </c>
      <c r="O579" s="279">
        <f>RES_BA!S80</f>
        <v>0</v>
      </c>
      <c r="Q579" s="279">
        <f>RES_BA!T80</f>
        <v>0</v>
      </c>
      <c r="S579" s="279">
        <f>RES_BA!U80</f>
        <v>0</v>
      </c>
    </row>
    <row r="580" spans="3:19" s="277" customFormat="1" hidden="1" outlineLevel="1" x14ac:dyDescent="0.3">
      <c r="C580" s="283" t="str">
        <f>RES_BA!D81</f>
        <v>Allowances Category 29</v>
      </c>
      <c r="M580" s="279">
        <f>RES_BA!R81</f>
        <v>0</v>
      </c>
      <c r="O580" s="279">
        <f>RES_BA!S81</f>
        <v>0</v>
      </c>
      <c r="Q580" s="279">
        <f>RES_BA!T81</f>
        <v>0</v>
      </c>
      <c r="S580" s="279">
        <f>RES_BA!U81</f>
        <v>0</v>
      </c>
    </row>
    <row r="581" spans="3:19" s="277" customFormat="1" hidden="1" outlineLevel="1" x14ac:dyDescent="0.3">
      <c r="C581" s="283" t="str">
        <f>RES_BA!D82</f>
        <v>Allowances Category 30</v>
      </c>
      <c r="M581" s="279">
        <f>RES_BA!R82</f>
        <v>0</v>
      </c>
      <c r="O581" s="279">
        <f>RES_BA!S82</f>
        <v>0</v>
      </c>
      <c r="Q581" s="279">
        <f>RES_BA!T82</f>
        <v>0</v>
      </c>
      <c r="S581" s="279">
        <f>RES_BA!U82</f>
        <v>0</v>
      </c>
    </row>
    <row r="582" spans="3:19" hidden="1" outlineLevel="1" x14ac:dyDescent="0.3">
      <c r="C582" s="89" t="str">
        <f>RES_BA!D83</f>
        <v>Allowances Category 31</v>
      </c>
      <c r="M582" s="40">
        <f>RES_BA!R83</f>
        <v>0</v>
      </c>
      <c r="O582" s="40">
        <f>RES_BA!S83</f>
        <v>0</v>
      </c>
      <c r="Q582" s="40">
        <f>RES_BA!T83</f>
        <v>0</v>
      </c>
      <c r="S582" s="40">
        <f>RES_BA!U83</f>
        <v>0</v>
      </c>
    </row>
    <row r="583" spans="3:19" hidden="1" outlineLevel="1" x14ac:dyDescent="0.3">
      <c r="C583" s="89" t="str">
        <f>RES_BA!D84</f>
        <v>Allowances Category 32</v>
      </c>
      <c r="M583" s="40">
        <f>RES_BA!R84</f>
        <v>0</v>
      </c>
      <c r="O583" s="40">
        <f>RES_BA!S84</f>
        <v>0</v>
      </c>
      <c r="Q583" s="40">
        <f>RES_BA!T84</f>
        <v>0</v>
      </c>
      <c r="S583" s="40">
        <f>RES_BA!U84</f>
        <v>0</v>
      </c>
    </row>
    <row r="584" spans="3:19" hidden="1" outlineLevel="1" x14ac:dyDescent="0.3">
      <c r="C584" s="89" t="str">
        <f>RES_BA!D85</f>
        <v>Allowances Category 33</v>
      </c>
      <c r="M584" s="40">
        <f>RES_BA!R85</f>
        <v>0</v>
      </c>
      <c r="O584" s="40">
        <f>RES_BA!S85</f>
        <v>0</v>
      </c>
      <c r="Q584" s="40">
        <f>RES_BA!T85</f>
        <v>0</v>
      </c>
      <c r="S584" s="40">
        <f>RES_BA!U85</f>
        <v>0</v>
      </c>
    </row>
    <row r="585" spans="3:19" hidden="1" outlineLevel="1" x14ac:dyDescent="0.3">
      <c r="C585" s="89" t="str">
        <f>RES_BA!D86</f>
        <v>Allowances Category 34</v>
      </c>
      <c r="M585" s="40">
        <f>RES_BA!R86</f>
        <v>0</v>
      </c>
      <c r="O585" s="40">
        <f>RES_BA!S86</f>
        <v>0</v>
      </c>
      <c r="Q585" s="40">
        <f>RES_BA!T86</f>
        <v>0</v>
      </c>
      <c r="S585" s="40">
        <f>RES_BA!U86</f>
        <v>0</v>
      </c>
    </row>
    <row r="586" spans="3:19" hidden="1" outlineLevel="1" x14ac:dyDescent="0.3">
      <c r="C586" s="89" t="str">
        <f>RES_BA!D87</f>
        <v>Allowances Category 35</v>
      </c>
      <c r="M586" s="40">
        <f>RES_BA!R87</f>
        <v>0</v>
      </c>
      <c r="O586" s="40">
        <f>RES_BA!S87</f>
        <v>0</v>
      </c>
      <c r="Q586" s="40">
        <f>RES_BA!T87</f>
        <v>0</v>
      </c>
      <c r="S586" s="40">
        <f>RES_BA!U87</f>
        <v>0</v>
      </c>
    </row>
    <row r="587" spans="3:19" hidden="1" outlineLevel="1" x14ac:dyDescent="0.3"/>
    <row r="588" spans="3:19" hidden="1" outlineLevel="1" x14ac:dyDescent="0.3"/>
    <row r="589" spans="3:19" hidden="1" outlineLevel="1" x14ac:dyDescent="0.3">
      <c r="M589" s="40" t="str">
        <f>$D$509</f>
        <v>USD</v>
      </c>
      <c r="O589" s="40" t="str">
        <f>$D$509</f>
        <v>USD</v>
      </c>
      <c r="Q589" s="40" t="str">
        <f>$D$510</f>
        <v>GOZ</v>
      </c>
      <c r="S589" s="40" t="str">
        <f>$D$510</f>
        <v>GOZ</v>
      </c>
    </row>
    <row r="590" spans="3:19" hidden="1" outlineLevel="1" x14ac:dyDescent="0.3">
      <c r="C590" s="89" t="str">
        <f>RES_BA!D91</f>
        <v>Supplies Category 1</v>
      </c>
      <c r="M590" s="40">
        <f>RES_BA!R91</f>
        <v>0</v>
      </c>
      <c r="O590" s="40">
        <f>RES_BA!S91</f>
        <v>0</v>
      </c>
      <c r="Q590" s="40">
        <f>RES_BA!T91</f>
        <v>0</v>
      </c>
      <c r="S590" s="40">
        <f>RES_BA!U91</f>
        <v>0</v>
      </c>
    </row>
    <row r="591" spans="3:19" hidden="1" outlineLevel="1" x14ac:dyDescent="0.3">
      <c r="C591" s="89" t="str">
        <f>RES_BA!D92</f>
        <v>Supplies Category 2</v>
      </c>
      <c r="M591" s="40">
        <f>RES_BA!R92</f>
        <v>0</v>
      </c>
      <c r="O591" s="40">
        <f>RES_BA!S92</f>
        <v>0</v>
      </c>
      <c r="Q591" s="40">
        <f>RES_BA!T92</f>
        <v>0</v>
      </c>
      <c r="S591" s="40">
        <f>RES_BA!U92</f>
        <v>0</v>
      </c>
    </row>
    <row r="592" spans="3:19" hidden="1" outlineLevel="1" x14ac:dyDescent="0.3">
      <c r="C592" s="89" t="str">
        <f>RES_BA!D93</f>
        <v>Supplies Category 3</v>
      </c>
      <c r="M592" s="40">
        <f>RES_BA!R93</f>
        <v>0</v>
      </c>
      <c r="O592" s="40">
        <f>RES_BA!S93</f>
        <v>0</v>
      </c>
      <c r="Q592" s="40">
        <f>RES_BA!T93</f>
        <v>0</v>
      </c>
      <c r="S592" s="40">
        <f>RES_BA!U93</f>
        <v>0</v>
      </c>
    </row>
    <row r="593" spans="3:19" hidden="1" outlineLevel="1" x14ac:dyDescent="0.3">
      <c r="C593" s="89" t="str">
        <f>RES_BA!D94</f>
        <v>Supplies Category 4</v>
      </c>
      <c r="M593" s="40">
        <f>RES_BA!R94</f>
        <v>0</v>
      </c>
      <c r="O593" s="40">
        <f>RES_BA!S94</f>
        <v>0</v>
      </c>
      <c r="Q593" s="40">
        <f>RES_BA!T94</f>
        <v>0</v>
      </c>
      <c r="S593" s="40">
        <f>RES_BA!U94</f>
        <v>0</v>
      </c>
    </row>
    <row r="594" spans="3:19" hidden="1" outlineLevel="1" x14ac:dyDescent="0.3">
      <c r="C594" s="89" t="str">
        <f>RES_BA!D95</f>
        <v>Supplies Category 5</v>
      </c>
      <c r="M594" s="40">
        <f>RES_BA!R95</f>
        <v>0</v>
      </c>
      <c r="O594" s="40">
        <f>RES_BA!S95</f>
        <v>0</v>
      </c>
      <c r="Q594" s="40">
        <f>RES_BA!T95</f>
        <v>0</v>
      </c>
      <c r="S594" s="40">
        <f>RES_BA!U95</f>
        <v>0</v>
      </c>
    </row>
    <row r="595" spans="3:19" hidden="1" outlineLevel="1" x14ac:dyDescent="0.3">
      <c r="C595" s="89" t="str">
        <f>RES_BA!D96</f>
        <v>Supplies Category 6</v>
      </c>
      <c r="M595" s="40">
        <f>RES_BA!R96</f>
        <v>0</v>
      </c>
      <c r="O595" s="40">
        <f>RES_BA!S96</f>
        <v>0</v>
      </c>
      <c r="Q595" s="40">
        <f>RES_BA!T96</f>
        <v>0</v>
      </c>
      <c r="S595" s="40">
        <f>RES_BA!U96</f>
        <v>0</v>
      </c>
    </row>
    <row r="596" spans="3:19" hidden="1" outlineLevel="1" x14ac:dyDescent="0.3">
      <c r="C596" s="89" t="str">
        <f>RES_BA!D97</f>
        <v>Supplies Category 7</v>
      </c>
      <c r="M596" s="40">
        <f>RES_BA!R97</f>
        <v>0</v>
      </c>
      <c r="O596" s="40">
        <f>RES_BA!S97</f>
        <v>0</v>
      </c>
      <c r="Q596" s="40">
        <f>RES_BA!T97</f>
        <v>0</v>
      </c>
      <c r="S596" s="40">
        <f>RES_BA!U97</f>
        <v>0</v>
      </c>
    </row>
    <row r="597" spans="3:19" hidden="1" outlineLevel="1" x14ac:dyDescent="0.3">
      <c r="C597" s="89" t="str">
        <f>RES_BA!D98</f>
        <v>Supplies Category 8</v>
      </c>
      <c r="M597" s="40">
        <f>RES_BA!R98</f>
        <v>0</v>
      </c>
      <c r="O597" s="40">
        <f>RES_BA!S98</f>
        <v>0</v>
      </c>
      <c r="Q597" s="40">
        <f>RES_BA!T98</f>
        <v>0</v>
      </c>
      <c r="S597" s="40">
        <f>RES_BA!U98</f>
        <v>0</v>
      </c>
    </row>
    <row r="598" spans="3:19" hidden="1" outlineLevel="1" x14ac:dyDescent="0.3">
      <c r="C598" s="89" t="str">
        <f>RES_BA!D99</f>
        <v>Supplies Category 9</v>
      </c>
      <c r="M598" s="40">
        <f>RES_BA!R99</f>
        <v>0</v>
      </c>
      <c r="O598" s="40">
        <f>RES_BA!S99</f>
        <v>0</v>
      </c>
      <c r="Q598" s="40">
        <f>RES_BA!T99</f>
        <v>0</v>
      </c>
      <c r="S598" s="40">
        <f>RES_BA!U99</f>
        <v>0</v>
      </c>
    </row>
    <row r="599" spans="3:19" hidden="1" outlineLevel="1" x14ac:dyDescent="0.3">
      <c r="C599" s="89" t="str">
        <f>RES_BA!D100</f>
        <v>Supplies Category 10</v>
      </c>
      <c r="M599" s="40">
        <f>RES_BA!R100</f>
        <v>0</v>
      </c>
      <c r="O599" s="40">
        <f>RES_BA!S100</f>
        <v>0</v>
      </c>
      <c r="Q599" s="40">
        <f>RES_BA!T100</f>
        <v>0</v>
      </c>
      <c r="S599" s="40">
        <f>RES_BA!U100</f>
        <v>0</v>
      </c>
    </row>
    <row r="600" spans="3:19" hidden="1" outlineLevel="1" x14ac:dyDescent="0.3">
      <c r="C600" s="89" t="str">
        <f>RES_BA!D101</f>
        <v>Supplies Category 11</v>
      </c>
      <c r="M600" s="40">
        <f>RES_BA!R101</f>
        <v>0</v>
      </c>
      <c r="O600" s="40">
        <f>RES_BA!S101</f>
        <v>0</v>
      </c>
      <c r="Q600" s="40">
        <f>RES_BA!T101</f>
        <v>0</v>
      </c>
      <c r="S600" s="40">
        <f>RES_BA!U101</f>
        <v>0</v>
      </c>
    </row>
    <row r="601" spans="3:19" hidden="1" outlineLevel="1" x14ac:dyDescent="0.3">
      <c r="C601" s="89" t="str">
        <f>RES_BA!D102</f>
        <v>Supplies Category 12</v>
      </c>
      <c r="M601" s="40">
        <f>RES_BA!R102</f>
        <v>0</v>
      </c>
      <c r="O601" s="40">
        <f>RES_BA!S102</f>
        <v>0</v>
      </c>
      <c r="Q601" s="40">
        <f>RES_BA!T102</f>
        <v>0</v>
      </c>
      <c r="S601" s="40">
        <f>RES_BA!U102</f>
        <v>0</v>
      </c>
    </row>
    <row r="602" spans="3:19" hidden="1" outlineLevel="1" x14ac:dyDescent="0.3">
      <c r="C602" s="89" t="str">
        <f>RES_BA!D103</f>
        <v>Supplies Category 13</v>
      </c>
      <c r="M602" s="40">
        <f>RES_BA!R103</f>
        <v>0</v>
      </c>
      <c r="O602" s="40">
        <f>RES_BA!S103</f>
        <v>0</v>
      </c>
      <c r="Q602" s="40">
        <f>RES_BA!T103</f>
        <v>0</v>
      </c>
      <c r="S602" s="40">
        <f>RES_BA!U103</f>
        <v>0</v>
      </c>
    </row>
    <row r="603" spans="3:19" hidden="1" outlineLevel="1" x14ac:dyDescent="0.3">
      <c r="C603" s="89" t="str">
        <f>RES_BA!D104</f>
        <v>Supplies Category 14</v>
      </c>
      <c r="M603" s="40">
        <f>RES_BA!R104</f>
        <v>0</v>
      </c>
      <c r="O603" s="40">
        <f>RES_BA!S104</f>
        <v>0</v>
      </c>
      <c r="Q603" s="40">
        <f>RES_BA!T104</f>
        <v>0</v>
      </c>
      <c r="S603" s="40">
        <f>RES_BA!U104</f>
        <v>0</v>
      </c>
    </row>
    <row r="604" spans="3:19" hidden="1" outlineLevel="1" x14ac:dyDescent="0.3">
      <c r="C604" s="89" t="str">
        <f>RES_BA!D105</f>
        <v>Supplies Category 15</v>
      </c>
      <c r="M604" s="40">
        <f>RES_BA!R105</f>
        <v>0</v>
      </c>
      <c r="O604" s="40">
        <f>RES_BA!S105</f>
        <v>0</v>
      </c>
      <c r="Q604" s="40">
        <f>RES_BA!T105</f>
        <v>0</v>
      </c>
      <c r="S604" s="40">
        <f>RES_BA!U105</f>
        <v>0</v>
      </c>
    </row>
    <row r="605" spans="3:19" hidden="1" outlineLevel="1" x14ac:dyDescent="0.3">
      <c r="C605" s="89" t="str">
        <f>RES_BA!D106</f>
        <v>Supplies Category 16</v>
      </c>
      <c r="M605" s="40">
        <f>RES_BA!R106</f>
        <v>0</v>
      </c>
      <c r="O605" s="40">
        <f>RES_BA!S106</f>
        <v>0</v>
      </c>
      <c r="Q605" s="40">
        <f>RES_BA!T106</f>
        <v>0</v>
      </c>
      <c r="S605" s="40">
        <f>RES_BA!U106</f>
        <v>0</v>
      </c>
    </row>
    <row r="606" spans="3:19" s="277" customFormat="1" hidden="1" outlineLevel="1" collapsed="1" x14ac:dyDescent="0.3">
      <c r="C606" s="283" t="str">
        <f>RES_BA!D107</f>
        <v>Supplies Category 17</v>
      </c>
      <c r="M606" s="279">
        <f>RES_BA!R107</f>
        <v>0</v>
      </c>
      <c r="O606" s="279">
        <f>RES_BA!S107</f>
        <v>0</v>
      </c>
      <c r="Q606" s="279">
        <f>RES_BA!T107</f>
        <v>0</v>
      </c>
      <c r="S606" s="279">
        <f>RES_BA!U107</f>
        <v>0</v>
      </c>
    </row>
    <row r="607" spans="3:19" s="277" customFormat="1" hidden="1" outlineLevel="1" x14ac:dyDescent="0.3">
      <c r="C607" s="283" t="str">
        <f>RES_BA!D108</f>
        <v>Supplies Category 18</v>
      </c>
      <c r="M607" s="279">
        <f>RES_BA!R108</f>
        <v>0</v>
      </c>
      <c r="O607" s="279">
        <f>RES_BA!S108</f>
        <v>0</v>
      </c>
      <c r="Q607" s="279">
        <f>RES_BA!T108</f>
        <v>0</v>
      </c>
      <c r="S607" s="279">
        <f>RES_BA!U108</f>
        <v>0</v>
      </c>
    </row>
    <row r="608" spans="3:19" s="277" customFormat="1" hidden="1" outlineLevel="1" x14ac:dyDescent="0.3">
      <c r="C608" s="283" t="str">
        <f>RES_BA!D109</f>
        <v>Supplies Category 19</v>
      </c>
      <c r="M608" s="279">
        <f>RES_BA!R109</f>
        <v>0</v>
      </c>
      <c r="O608" s="279">
        <f>RES_BA!S109</f>
        <v>0</v>
      </c>
      <c r="Q608" s="279">
        <f>RES_BA!T109</f>
        <v>0</v>
      </c>
      <c r="S608" s="279">
        <f>RES_BA!U109</f>
        <v>0</v>
      </c>
    </row>
    <row r="609" spans="3:19" s="277" customFormat="1" hidden="1" outlineLevel="1" x14ac:dyDescent="0.3">
      <c r="C609" s="283" t="str">
        <f>RES_BA!D110</f>
        <v>Supplies Category 20</v>
      </c>
      <c r="M609" s="279">
        <f>RES_BA!R110</f>
        <v>0</v>
      </c>
      <c r="O609" s="279">
        <f>RES_BA!S110</f>
        <v>0</v>
      </c>
      <c r="Q609" s="279">
        <f>RES_BA!T110</f>
        <v>0</v>
      </c>
      <c r="S609" s="279">
        <f>RES_BA!U110</f>
        <v>0</v>
      </c>
    </row>
    <row r="610" spans="3:19" s="277" customFormat="1" hidden="1" outlineLevel="1" x14ac:dyDescent="0.3">
      <c r="C610" s="283" t="str">
        <f>RES_BA!D111</f>
        <v>Supplies Category 21</v>
      </c>
      <c r="M610" s="279">
        <f>RES_BA!R111</f>
        <v>0</v>
      </c>
      <c r="O610" s="279">
        <f>RES_BA!S111</f>
        <v>0</v>
      </c>
      <c r="Q610" s="279">
        <f>RES_BA!T111</f>
        <v>0</v>
      </c>
      <c r="S610" s="279">
        <f>RES_BA!U111</f>
        <v>0</v>
      </c>
    </row>
    <row r="611" spans="3:19" s="277" customFormat="1" hidden="1" outlineLevel="1" x14ac:dyDescent="0.3">
      <c r="C611" s="283" t="str">
        <f>RES_BA!D112</f>
        <v>Supplies Category 22</v>
      </c>
      <c r="M611" s="279">
        <f>RES_BA!R112</f>
        <v>0</v>
      </c>
      <c r="O611" s="279">
        <f>RES_BA!S112</f>
        <v>0</v>
      </c>
      <c r="Q611" s="279">
        <f>RES_BA!T112</f>
        <v>0</v>
      </c>
      <c r="S611" s="279">
        <f>RES_BA!U112</f>
        <v>0</v>
      </c>
    </row>
    <row r="612" spans="3:19" s="277" customFormat="1" hidden="1" outlineLevel="1" x14ac:dyDescent="0.3">
      <c r="C612" s="283" t="str">
        <f>RES_BA!D113</f>
        <v>Supplies Category 23</v>
      </c>
      <c r="M612" s="279">
        <f>RES_BA!R113</f>
        <v>0</v>
      </c>
      <c r="O612" s="279">
        <f>RES_BA!S113</f>
        <v>0</v>
      </c>
      <c r="Q612" s="279">
        <f>RES_BA!T113</f>
        <v>0</v>
      </c>
      <c r="S612" s="279">
        <f>RES_BA!U113</f>
        <v>0</v>
      </c>
    </row>
    <row r="613" spans="3:19" s="277" customFormat="1" hidden="1" outlineLevel="1" x14ac:dyDescent="0.3">
      <c r="C613" s="283" t="str">
        <f>RES_BA!D114</f>
        <v>Supplies Category 24</v>
      </c>
      <c r="M613" s="279">
        <f>RES_BA!R114</f>
        <v>0</v>
      </c>
      <c r="O613" s="279">
        <f>RES_BA!S114</f>
        <v>0</v>
      </c>
      <c r="Q613" s="279">
        <f>RES_BA!T114</f>
        <v>0</v>
      </c>
      <c r="S613" s="279">
        <f>RES_BA!U114</f>
        <v>0</v>
      </c>
    </row>
    <row r="614" spans="3:19" s="277" customFormat="1" hidden="1" outlineLevel="1" x14ac:dyDescent="0.3">
      <c r="C614" s="283" t="str">
        <f>RES_BA!D115</f>
        <v>Supplies Category 25</v>
      </c>
      <c r="M614" s="279">
        <f>RES_BA!R115</f>
        <v>0</v>
      </c>
      <c r="O614" s="279">
        <f>RES_BA!S115</f>
        <v>0</v>
      </c>
      <c r="Q614" s="279">
        <f>RES_BA!T115</f>
        <v>0</v>
      </c>
      <c r="S614" s="279">
        <f>RES_BA!U115</f>
        <v>0</v>
      </c>
    </row>
    <row r="615" spans="3:19" s="277" customFormat="1" hidden="1" outlineLevel="1" x14ac:dyDescent="0.3">
      <c r="C615" s="283" t="str">
        <f>RES_BA!D116</f>
        <v>Supplies Category 26</v>
      </c>
      <c r="M615" s="279">
        <f>RES_BA!R116</f>
        <v>0</v>
      </c>
      <c r="O615" s="279">
        <f>RES_BA!S116</f>
        <v>0</v>
      </c>
      <c r="Q615" s="279">
        <f>RES_BA!T116</f>
        <v>0</v>
      </c>
      <c r="S615" s="279">
        <f>RES_BA!U116</f>
        <v>0</v>
      </c>
    </row>
    <row r="616" spans="3:19" s="277" customFormat="1" hidden="1" outlineLevel="1" x14ac:dyDescent="0.3">
      <c r="C616" s="283" t="str">
        <f>RES_BA!D117</f>
        <v>Supplies Category 27</v>
      </c>
      <c r="M616" s="279">
        <f>RES_BA!R117</f>
        <v>0</v>
      </c>
      <c r="O616" s="279">
        <f>RES_BA!S117</f>
        <v>0</v>
      </c>
      <c r="Q616" s="279">
        <f>RES_BA!T117</f>
        <v>0</v>
      </c>
      <c r="S616" s="279">
        <f>RES_BA!U117</f>
        <v>0</v>
      </c>
    </row>
    <row r="617" spans="3:19" s="277" customFormat="1" hidden="1" outlineLevel="1" x14ac:dyDescent="0.3">
      <c r="C617" s="283" t="str">
        <f>RES_BA!D118</f>
        <v>Supplies Category 28</v>
      </c>
      <c r="M617" s="279">
        <f>RES_BA!R118</f>
        <v>0</v>
      </c>
      <c r="O617" s="279">
        <f>RES_BA!S118</f>
        <v>0</v>
      </c>
      <c r="Q617" s="279">
        <f>RES_BA!T118</f>
        <v>0</v>
      </c>
      <c r="S617" s="279">
        <f>RES_BA!U118</f>
        <v>0</v>
      </c>
    </row>
    <row r="618" spans="3:19" s="277" customFormat="1" hidden="1" outlineLevel="1" x14ac:dyDescent="0.3">
      <c r="C618" s="283" t="str">
        <f>RES_BA!D119</f>
        <v>Supplies Category 29</v>
      </c>
      <c r="M618" s="279">
        <f>RES_BA!R119</f>
        <v>0</v>
      </c>
      <c r="O618" s="279">
        <f>RES_BA!S119</f>
        <v>0</v>
      </c>
      <c r="Q618" s="279">
        <f>RES_BA!T119</f>
        <v>0</v>
      </c>
      <c r="S618" s="279">
        <f>RES_BA!U119</f>
        <v>0</v>
      </c>
    </row>
    <row r="619" spans="3:19" s="277" customFormat="1" hidden="1" outlineLevel="1" collapsed="1" x14ac:dyDescent="0.3">
      <c r="C619" s="283" t="str">
        <f>RES_BA!D120</f>
        <v>Supplies Category 30</v>
      </c>
      <c r="M619" s="279">
        <f>RES_BA!R120</f>
        <v>0</v>
      </c>
      <c r="O619" s="279">
        <f>RES_BA!S120</f>
        <v>0</v>
      </c>
      <c r="Q619" s="279">
        <f>RES_BA!T120</f>
        <v>0</v>
      </c>
      <c r="S619" s="279">
        <f>RES_BA!U120</f>
        <v>0</v>
      </c>
    </row>
    <row r="620" spans="3:19" s="277" customFormat="1" hidden="1" outlineLevel="1" x14ac:dyDescent="0.3">
      <c r="C620" s="283" t="str">
        <f>RES_BA!D121</f>
        <v>Supplies Category 31</v>
      </c>
      <c r="M620" s="279">
        <f>RES_BA!R121</f>
        <v>0</v>
      </c>
      <c r="O620" s="279">
        <f>RES_BA!S121</f>
        <v>0</v>
      </c>
      <c r="Q620" s="279">
        <f>RES_BA!T121</f>
        <v>0</v>
      </c>
      <c r="S620" s="279">
        <f>RES_BA!U121</f>
        <v>0</v>
      </c>
    </row>
    <row r="621" spans="3:19" s="277" customFormat="1" hidden="1" outlineLevel="1" x14ac:dyDescent="0.3">
      <c r="C621" s="283" t="str">
        <f>RES_BA!D122</f>
        <v>Supplies Category 32</v>
      </c>
      <c r="M621" s="279">
        <f>RES_BA!R122</f>
        <v>0</v>
      </c>
      <c r="O621" s="279">
        <f>RES_BA!S122</f>
        <v>0</v>
      </c>
      <c r="Q621" s="279">
        <f>RES_BA!T122</f>
        <v>0</v>
      </c>
      <c r="S621" s="279">
        <f>RES_BA!U122</f>
        <v>0</v>
      </c>
    </row>
    <row r="622" spans="3:19" s="277" customFormat="1" hidden="1" outlineLevel="1" x14ac:dyDescent="0.3">
      <c r="C622" s="283" t="str">
        <f>RES_BA!D123</f>
        <v>Supplies Category 33</v>
      </c>
      <c r="M622" s="279">
        <f>RES_BA!R123</f>
        <v>0</v>
      </c>
      <c r="O622" s="279">
        <f>RES_BA!S123</f>
        <v>0</v>
      </c>
      <c r="Q622" s="279">
        <f>RES_BA!T123</f>
        <v>0</v>
      </c>
      <c r="S622" s="279">
        <f>RES_BA!U123</f>
        <v>0</v>
      </c>
    </row>
    <row r="623" spans="3:19" s="277" customFormat="1" hidden="1" outlineLevel="1" x14ac:dyDescent="0.3">
      <c r="C623" s="283" t="str">
        <f>RES_BA!D124</f>
        <v>Supplies Category 34</v>
      </c>
      <c r="M623" s="279">
        <f>RES_BA!R124</f>
        <v>0</v>
      </c>
      <c r="O623" s="279">
        <f>RES_BA!S124</f>
        <v>0</v>
      </c>
      <c r="Q623" s="279">
        <f>RES_BA!T124</f>
        <v>0</v>
      </c>
      <c r="S623" s="279">
        <f>RES_BA!U124</f>
        <v>0</v>
      </c>
    </row>
    <row r="624" spans="3:19" s="277" customFormat="1" hidden="1" outlineLevel="1" x14ac:dyDescent="0.3">
      <c r="C624" s="283" t="str">
        <f>RES_BA!D125</f>
        <v>Supplies Category 35</v>
      </c>
      <c r="M624" s="279">
        <f>RES_BA!R125</f>
        <v>0</v>
      </c>
      <c r="O624" s="279">
        <f>RES_BA!S125</f>
        <v>0</v>
      </c>
      <c r="Q624" s="279">
        <f>RES_BA!T125</f>
        <v>0</v>
      </c>
      <c r="S624" s="279">
        <f>RES_BA!U125</f>
        <v>0</v>
      </c>
    </row>
    <row r="625" spans="3:19" hidden="1" outlineLevel="1" x14ac:dyDescent="0.3"/>
    <row r="626" spans="3:19" hidden="1" outlineLevel="1" x14ac:dyDescent="0.3">
      <c r="M626" s="40" t="str">
        <f>$D$509</f>
        <v>USD</v>
      </c>
      <c r="O626" s="40" t="str">
        <f>$D$509</f>
        <v>USD</v>
      </c>
      <c r="Q626" s="40" t="str">
        <f>$D$510</f>
        <v>GOZ</v>
      </c>
      <c r="S626" s="40" t="str">
        <f>$D$510</f>
        <v>GOZ</v>
      </c>
    </row>
    <row r="627" spans="3:19" hidden="1" outlineLevel="1" x14ac:dyDescent="0.3">
      <c r="C627" s="89" t="str">
        <f>RES_BA!D130</f>
        <v>Equipment Category 1</v>
      </c>
      <c r="M627" s="40">
        <f>RES_BA!R130</f>
        <v>0</v>
      </c>
      <c r="O627" s="40">
        <f>RES_BA!S130</f>
        <v>0</v>
      </c>
      <c r="Q627" s="40">
        <f>RES_BA!T130</f>
        <v>0</v>
      </c>
      <c r="S627" s="40">
        <f>RES_BA!U130</f>
        <v>0</v>
      </c>
    </row>
    <row r="628" spans="3:19" hidden="1" outlineLevel="1" x14ac:dyDescent="0.3">
      <c r="C628" s="89" t="str">
        <f>RES_BA!D131</f>
        <v>Equipment Category 2</v>
      </c>
      <c r="M628" s="40">
        <f>RES_BA!R131</f>
        <v>0</v>
      </c>
      <c r="O628" s="40">
        <f>RES_BA!S131</f>
        <v>0</v>
      </c>
      <c r="Q628" s="40">
        <f>RES_BA!T131</f>
        <v>0</v>
      </c>
      <c r="S628" s="40">
        <f>RES_BA!U131</f>
        <v>0</v>
      </c>
    </row>
    <row r="629" spans="3:19" hidden="1" outlineLevel="1" x14ac:dyDescent="0.3">
      <c r="C629" s="89" t="str">
        <f>RES_BA!D132</f>
        <v>Equipment Category 3</v>
      </c>
      <c r="M629" s="40">
        <f>RES_BA!R132</f>
        <v>0</v>
      </c>
      <c r="O629" s="40">
        <f>RES_BA!S132</f>
        <v>0</v>
      </c>
      <c r="Q629" s="40">
        <f>RES_BA!T132</f>
        <v>0</v>
      </c>
      <c r="S629" s="40">
        <f>RES_BA!U132</f>
        <v>0</v>
      </c>
    </row>
    <row r="630" spans="3:19" hidden="1" outlineLevel="1" x14ac:dyDescent="0.3">
      <c r="C630" s="89" t="str">
        <f>RES_BA!D133</f>
        <v>Equipment Category 4</v>
      </c>
      <c r="M630" s="40">
        <f>RES_BA!R133</f>
        <v>0</v>
      </c>
      <c r="O630" s="40">
        <f>RES_BA!S133</f>
        <v>0</v>
      </c>
      <c r="Q630" s="40">
        <f>RES_BA!T133</f>
        <v>0</v>
      </c>
      <c r="S630" s="40">
        <f>RES_BA!U133</f>
        <v>0</v>
      </c>
    </row>
    <row r="631" spans="3:19" hidden="1" outlineLevel="1" x14ac:dyDescent="0.3">
      <c r="C631" s="89" t="str">
        <f>RES_BA!D134</f>
        <v>Equipment Category 5</v>
      </c>
      <c r="M631" s="40">
        <f>RES_BA!R134</f>
        <v>0</v>
      </c>
      <c r="O631" s="40">
        <f>RES_BA!S134</f>
        <v>0</v>
      </c>
      <c r="Q631" s="40">
        <f>RES_BA!T134</f>
        <v>0</v>
      </c>
      <c r="S631" s="40">
        <f>RES_BA!U134</f>
        <v>0</v>
      </c>
    </row>
    <row r="632" spans="3:19" hidden="1" outlineLevel="1" x14ac:dyDescent="0.3">
      <c r="C632" s="89" t="str">
        <f>RES_BA!D135</f>
        <v>Equipment Category 6</v>
      </c>
      <c r="M632" s="40">
        <f>RES_BA!R135</f>
        <v>0</v>
      </c>
      <c r="O632" s="40">
        <f>RES_BA!S135</f>
        <v>0</v>
      </c>
      <c r="Q632" s="40">
        <f>RES_BA!T135</f>
        <v>0</v>
      </c>
      <c r="S632" s="40">
        <f>RES_BA!U135</f>
        <v>0</v>
      </c>
    </row>
    <row r="633" spans="3:19" s="277" customFormat="1" hidden="1" outlineLevel="1" collapsed="1" x14ac:dyDescent="0.3">
      <c r="C633" s="283" t="str">
        <f>RES_BA!D136</f>
        <v>Equipment Category 7</v>
      </c>
      <c r="M633" s="279">
        <f>RES_BA!R136</f>
        <v>0</v>
      </c>
      <c r="O633" s="279">
        <f>RES_BA!S136</f>
        <v>0</v>
      </c>
      <c r="Q633" s="279">
        <f>RES_BA!T136</f>
        <v>0</v>
      </c>
      <c r="S633" s="279">
        <f>RES_BA!U136</f>
        <v>0</v>
      </c>
    </row>
    <row r="634" spans="3:19" s="277" customFormat="1" hidden="1" outlineLevel="1" x14ac:dyDescent="0.3">
      <c r="C634" s="283" t="str">
        <f>RES_BA!D137</f>
        <v>Equipment Category 8</v>
      </c>
      <c r="M634" s="279">
        <f>RES_BA!R137</f>
        <v>0</v>
      </c>
      <c r="O634" s="279">
        <f>RES_BA!S137</f>
        <v>0</v>
      </c>
      <c r="Q634" s="279">
        <f>RES_BA!T137</f>
        <v>0</v>
      </c>
      <c r="S634" s="279">
        <f>RES_BA!U137</f>
        <v>0</v>
      </c>
    </row>
    <row r="635" spans="3:19" s="277" customFormat="1" hidden="1" outlineLevel="1" x14ac:dyDescent="0.3">
      <c r="C635" s="283" t="str">
        <f>RES_BA!D138</f>
        <v>Equipment Category 9</v>
      </c>
      <c r="M635" s="279">
        <f>RES_BA!R138</f>
        <v>0</v>
      </c>
      <c r="O635" s="279">
        <f>RES_BA!S138</f>
        <v>0</v>
      </c>
      <c r="Q635" s="279">
        <f>RES_BA!T138</f>
        <v>0</v>
      </c>
      <c r="S635" s="279">
        <f>RES_BA!U138</f>
        <v>0</v>
      </c>
    </row>
    <row r="636" spans="3:19" s="277" customFormat="1" hidden="1" outlineLevel="1" x14ac:dyDescent="0.3">
      <c r="C636" s="283" t="str">
        <f>RES_BA!D139</f>
        <v>Equipment Category 10</v>
      </c>
      <c r="M636" s="279">
        <f>RES_BA!R139</f>
        <v>0</v>
      </c>
      <c r="O636" s="279">
        <f>RES_BA!S139</f>
        <v>0</v>
      </c>
      <c r="Q636" s="279">
        <f>RES_BA!T139</f>
        <v>0</v>
      </c>
      <c r="S636" s="279">
        <f>RES_BA!U139</f>
        <v>0</v>
      </c>
    </row>
    <row r="637" spans="3:19" s="277" customFormat="1" hidden="1" outlineLevel="1" x14ac:dyDescent="0.3">
      <c r="C637" s="283" t="str">
        <f>RES_BA!D140</f>
        <v>Equipment Category 11</v>
      </c>
      <c r="M637" s="279">
        <f>RES_BA!R140</f>
        <v>0</v>
      </c>
      <c r="O637" s="279">
        <f>RES_BA!S140</f>
        <v>0</v>
      </c>
      <c r="Q637" s="279">
        <f>RES_BA!T140</f>
        <v>0</v>
      </c>
      <c r="S637" s="279">
        <f>RES_BA!U140</f>
        <v>0</v>
      </c>
    </row>
    <row r="638" spans="3:19" s="277" customFormat="1" hidden="1" outlineLevel="1" x14ac:dyDescent="0.3">
      <c r="C638" s="283" t="str">
        <f>RES_BA!D141</f>
        <v>Equipment Category 12</v>
      </c>
      <c r="M638" s="279">
        <f>RES_BA!R141</f>
        <v>0</v>
      </c>
      <c r="O638" s="279">
        <f>RES_BA!S141</f>
        <v>0</v>
      </c>
      <c r="Q638" s="279">
        <f>RES_BA!T141</f>
        <v>0</v>
      </c>
      <c r="S638" s="279">
        <f>RES_BA!U141</f>
        <v>0</v>
      </c>
    </row>
    <row r="639" spans="3:19" s="277" customFormat="1" hidden="1" outlineLevel="1" collapsed="1" x14ac:dyDescent="0.3">
      <c r="C639" s="283" t="str">
        <f>RES_BA!D142</f>
        <v>Equipment Category 13</v>
      </c>
      <c r="M639" s="279">
        <f>RES_BA!R142</f>
        <v>0</v>
      </c>
      <c r="O639" s="279">
        <f>RES_BA!S142</f>
        <v>0</v>
      </c>
      <c r="Q639" s="279">
        <f>RES_BA!T142</f>
        <v>0</v>
      </c>
      <c r="S639" s="279">
        <f>RES_BA!U142</f>
        <v>0</v>
      </c>
    </row>
    <row r="640" spans="3:19" s="277" customFormat="1" hidden="1" outlineLevel="1" x14ac:dyDescent="0.3">
      <c r="C640" s="283" t="str">
        <f>RES_BA!D143</f>
        <v>Equipment Category 14</v>
      </c>
      <c r="M640" s="279">
        <f>RES_BA!R143</f>
        <v>0</v>
      </c>
      <c r="O640" s="279">
        <f>RES_BA!S143</f>
        <v>0</v>
      </c>
      <c r="Q640" s="279">
        <f>RES_BA!T143</f>
        <v>0</v>
      </c>
      <c r="S640" s="279">
        <f>RES_BA!U143</f>
        <v>0</v>
      </c>
    </row>
    <row r="641" spans="3:19" s="277" customFormat="1" hidden="1" outlineLevel="1" x14ac:dyDescent="0.3">
      <c r="C641" s="283" t="str">
        <f>RES_BA!D144</f>
        <v>Equipment Category 15</v>
      </c>
      <c r="M641" s="279">
        <f>RES_BA!R144</f>
        <v>0</v>
      </c>
      <c r="O641" s="279">
        <f>RES_BA!S144</f>
        <v>0</v>
      </c>
      <c r="Q641" s="279">
        <f>RES_BA!T144</f>
        <v>0</v>
      </c>
      <c r="S641" s="279">
        <f>RES_BA!U144</f>
        <v>0</v>
      </c>
    </row>
    <row r="642" spans="3:19" s="277" customFormat="1" hidden="1" outlineLevel="1" x14ac:dyDescent="0.3">
      <c r="C642" s="283" t="str">
        <f>RES_BA!D145</f>
        <v>Equipment Category 16</v>
      </c>
      <c r="M642" s="279">
        <f>RES_BA!R145</f>
        <v>0</v>
      </c>
      <c r="O642" s="279">
        <f>RES_BA!S145</f>
        <v>0</v>
      </c>
      <c r="Q642" s="279">
        <f>RES_BA!T145</f>
        <v>0</v>
      </c>
      <c r="S642" s="279">
        <f>RES_BA!U145</f>
        <v>0</v>
      </c>
    </row>
    <row r="643" spans="3:19" s="277" customFormat="1" hidden="1" outlineLevel="1" x14ac:dyDescent="0.3">
      <c r="C643" s="283" t="str">
        <f>RES_BA!D146</f>
        <v>Equipment Category 17</v>
      </c>
      <c r="M643" s="279">
        <f>RES_BA!R146</f>
        <v>0</v>
      </c>
      <c r="O643" s="279">
        <f>RES_BA!S146</f>
        <v>0</v>
      </c>
      <c r="Q643" s="279">
        <f>RES_BA!T146</f>
        <v>0</v>
      </c>
      <c r="S643" s="279">
        <f>RES_BA!U146</f>
        <v>0</v>
      </c>
    </row>
    <row r="644" spans="3:19" s="277" customFormat="1" hidden="1" outlineLevel="1" x14ac:dyDescent="0.3">
      <c r="C644" s="283" t="str">
        <f>RES_BA!D147</f>
        <v>Equipment Category 18</v>
      </c>
      <c r="M644" s="279">
        <f>RES_BA!R147</f>
        <v>0</v>
      </c>
      <c r="O644" s="279">
        <f>RES_BA!S147</f>
        <v>0</v>
      </c>
      <c r="Q644" s="279">
        <f>RES_BA!T147</f>
        <v>0</v>
      </c>
      <c r="S644" s="279">
        <f>RES_BA!U147</f>
        <v>0</v>
      </c>
    </row>
    <row r="645" spans="3:19" s="277" customFormat="1" hidden="1" outlineLevel="1" x14ac:dyDescent="0.3">
      <c r="C645" s="283" t="str">
        <f>RES_BA!D148</f>
        <v>Equipment Category 19</v>
      </c>
      <c r="M645" s="279">
        <f>RES_BA!R148</f>
        <v>0</v>
      </c>
      <c r="O645" s="279">
        <f>RES_BA!S148</f>
        <v>0</v>
      </c>
      <c r="Q645" s="279">
        <f>RES_BA!T148</f>
        <v>0</v>
      </c>
      <c r="S645" s="279">
        <f>RES_BA!U148</f>
        <v>0</v>
      </c>
    </row>
    <row r="646" spans="3:19" s="277" customFormat="1" hidden="1" outlineLevel="1" x14ac:dyDescent="0.3">
      <c r="C646" s="283" t="str">
        <f>RES_BA!D149</f>
        <v>Equipment Category 20</v>
      </c>
      <c r="M646" s="279">
        <f>RES_BA!R149</f>
        <v>0</v>
      </c>
      <c r="O646" s="279">
        <f>RES_BA!S149</f>
        <v>0</v>
      </c>
      <c r="Q646" s="279">
        <f>RES_BA!T149</f>
        <v>0</v>
      </c>
      <c r="S646" s="279">
        <f>RES_BA!U149</f>
        <v>0</v>
      </c>
    </row>
    <row r="647" spans="3:19" s="277" customFormat="1" hidden="1" outlineLevel="1" x14ac:dyDescent="0.3">
      <c r="C647" s="283" t="str">
        <f>RES_BA!D150</f>
        <v>Equipment Category 21</v>
      </c>
      <c r="M647" s="279">
        <f>RES_BA!R150</f>
        <v>0</v>
      </c>
      <c r="O647" s="279">
        <f>RES_BA!S150</f>
        <v>0</v>
      </c>
      <c r="Q647" s="279">
        <f>RES_BA!T150</f>
        <v>0</v>
      </c>
      <c r="S647" s="279">
        <f>RES_BA!U150</f>
        <v>0</v>
      </c>
    </row>
    <row r="648" spans="3:19" s="277" customFormat="1" hidden="1" outlineLevel="1" x14ac:dyDescent="0.3">
      <c r="C648" s="283" t="str">
        <f>RES_BA!D151</f>
        <v>Equipment Category 22</v>
      </c>
      <c r="M648" s="279">
        <f>RES_BA!R151</f>
        <v>0</v>
      </c>
      <c r="O648" s="279">
        <f>RES_BA!S151</f>
        <v>0</v>
      </c>
      <c r="Q648" s="279">
        <f>RES_BA!T151</f>
        <v>0</v>
      </c>
      <c r="S648" s="279">
        <f>RES_BA!U151</f>
        <v>0</v>
      </c>
    </row>
    <row r="649" spans="3:19" s="277" customFormat="1" hidden="1" outlineLevel="1" x14ac:dyDescent="0.3">
      <c r="C649" s="283" t="str">
        <f>RES_BA!D152</f>
        <v>Equipment Category 23</v>
      </c>
      <c r="M649" s="279">
        <f>RES_BA!R152</f>
        <v>0</v>
      </c>
      <c r="O649" s="279">
        <f>RES_BA!S152</f>
        <v>0</v>
      </c>
      <c r="Q649" s="279">
        <f>RES_BA!T152</f>
        <v>0</v>
      </c>
      <c r="S649" s="279">
        <f>RES_BA!U152</f>
        <v>0</v>
      </c>
    </row>
    <row r="650" spans="3:19" s="277" customFormat="1" hidden="1" outlineLevel="1" collapsed="1" x14ac:dyDescent="0.3">
      <c r="C650" s="283" t="str">
        <f>RES_BA!D153</f>
        <v>Equipment Category 24</v>
      </c>
      <c r="M650" s="279">
        <f>RES_BA!R153</f>
        <v>0</v>
      </c>
      <c r="O650" s="279">
        <f>RES_BA!S153</f>
        <v>0</v>
      </c>
      <c r="Q650" s="279">
        <f>RES_BA!T153</f>
        <v>0</v>
      </c>
      <c r="S650" s="279">
        <f>RES_BA!U153</f>
        <v>0</v>
      </c>
    </row>
    <row r="651" spans="3:19" s="277" customFormat="1" hidden="1" outlineLevel="1" x14ac:dyDescent="0.3">
      <c r="C651" s="283" t="str">
        <f>RES_BA!D154</f>
        <v>Equipment Category 25</v>
      </c>
      <c r="M651" s="279">
        <f>RES_BA!R154</f>
        <v>0</v>
      </c>
      <c r="O651" s="279">
        <f>RES_BA!S154</f>
        <v>0</v>
      </c>
      <c r="Q651" s="279">
        <f>RES_BA!T154</f>
        <v>0</v>
      </c>
      <c r="S651" s="279">
        <f>RES_BA!U154</f>
        <v>0</v>
      </c>
    </row>
    <row r="652" spans="3:19" s="277" customFormat="1" hidden="1" outlineLevel="1" x14ac:dyDescent="0.3">
      <c r="C652" s="283" t="str">
        <f>RES_BA!D155</f>
        <v>Equipment Category 26</v>
      </c>
      <c r="M652" s="279">
        <f>RES_BA!R155</f>
        <v>0</v>
      </c>
      <c r="O652" s="279">
        <f>RES_BA!S155</f>
        <v>0</v>
      </c>
      <c r="Q652" s="279">
        <f>RES_BA!T155</f>
        <v>0</v>
      </c>
      <c r="S652" s="279">
        <f>RES_BA!U155</f>
        <v>0</v>
      </c>
    </row>
    <row r="653" spans="3:19" s="277" customFormat="1" hidden="1" outlineLevel="1" x14ac:dyDescent="0.3">
      <c r="C653" s="283" t="str">
        <f>RES_BA!D156</f>
        <v>Equipment Category 27</v>
      </c>
      <c r="M653" s="279">
        <f>RES_BA!R156</f>
        <v>0</v>
      </c>
      <c r="O653" s="279">
        <f>RES_BA!S156</f>
        <v>0</v>
      </c>
      <c r="Q653" s="279">
        <f>RES_BA!T156</f>
        <v>0</v>
      </c>
      <c r="S653" s="279">
        <f>RES_BA!U156</f>
        <v>0</v>
      </c>
    </row>
    <row r="654" spans="3:19" s="277" customFormat="1" hidden="1" outlineLevel="1" x14ac:dyDescent="0.3">
      <c r="C654" s="283" t="str">
        <f>RES_BA!D157</f>
        <v>Equipment Category 28</v>
      </c>
      <c r="M654" s="279">
        <f>RES_BA!R157</f>
        <v>0</v>
      </c>
      <c r="O654" s="279">
        <f>RES_BA!S157</f>
        <v>0</v>
      </c>
      <c r="Q654" s="279">
        <f>RES_BA!T157</f>
        <v>0</v>
      </c>
      <c r="S654" s="279">
        <f>RES_BA!U157</f>
        <v>0</v>
      </c>
    </row>
    <row r="655" spans="3:19" s="277" customFormat="1" hidden="1" outlineLevel="1" x14ac:dyDescent="0.3">
      <c r="C655" s="283" t="str">
        <f>RES_BA!D158</f>
        <v>Equipment Category 29</v>
      </c>
      <c r="M655" s="279">
        <f>RES_BA!R158</f>
        <v>0</v>
      </c>
      <c r="O655" s="279">
        <f>RES_BA!S158</f>
        <v>0</v>
      </c>
      <c r="Q655" s="279">
        <f>RES_BA!T158</f>
        <v>0</v>
      </c>
      <c r="S655" s="279">
        <f>RES_BA!U158</f>
        <v>0</v>
      </c>
    </row>
    <row r="656" spans="3:19" s="277" customFormat="1" hidden="1" outlineLevel="1" x14ac:dyDescent="0.3">
      <c r="C656" s="283" t="str">
        <f>RES_BA!D159</f>
        <v>Equipment Category 30</v>
      </c>
      <c r="M656" s="279">
        <f>RES_BA!R159</f>
        <v>0</v>
      </c>
      <c r="O656" s="279">
        <f>RES_BA!S159</f>
        <v>0</v>
      </c>
      <c r="Q656" s="279">
        <f>RES_BA!T159</f>
        <v>0</v>
      </c>
      <c r="S656" s="279">
        <f>RES_BA!U159</f>
        <v>0</v>
      </c>
    </row>
    <row r="657" spans="3:19" s="277" customFormat="1" hidden="1" outlineLevel="1" x14ac:dyDescent="0.3">
      <c r="C657" s="283" t="str">
        <f>RES_BA!D160</f>
        <v>Equipment Category 31</v>
      </c>
      <c r="M657" s="279">
        <f>RES_BA!R160</f>
        <v>0</v>
      </c>
      <c r="O657" s="279">
        <f>RES_BA!S160</f>
        <v>0</v>
      </c>
      <c r="Q657" s="279">
        <f>RES_BA!T160</f>
        <v>0</v>
      </c>
      <c r="S657" s="279">
        <f>RES_BA!U160</f>
        <v>0</v>
      </c>
    </row>
    <row r="658" spans="3:19" s="277" customFormat="1" hidden="1" outlineLevel="1" x14ac:dyDescent="0.3">
      <c r="C658" s="283" t="str">
        <f>RES_BA!D161</f>
        <v>Equipment Category 32</v>
      </c>
      <c r="M658" s="279">
        <f>RES_BA!R161</f>
        <v>0</v>
      </c>
      <c r="O658" s="279">
        <f>RES_BA!S161</f>
        <v>0</v>
      </c>
      <c r="Q658" s="279">
        <f>RES_BA!T161</f>
        <v>0</v>
      </c>
      <c r="S658" s="279">
        <f>RES_BA!U161</f>
        <v>0</v>
      </c>
    </row>
    <row r="659" spans="3:19" s="277" customFormat="1" hidden="1" outlineLevel="1" x14ac:dyDescent="0.3">
      <c r="C659" s="283" t="str">
        <f>RES_BA!D162</f>
        <v>Equipment Category 33</v>
      </c>
      <c r="M659" s="279">
        <f>RES_BA!R162</f>
        <v>0</v>
      </c>
      <c r="O659" s="279">
        <f>RES_BA!S162</f>
        <v>0</v>
      </c>
      <c r="Q659" s="279">
        <f>RES_BA!T162</f>
        <v>0</v>
      </c>
      <c r="S659" s="279">
        <f>RES_BA!U162</f>
        <v>0</v>
      </c>
    </row>
    <row r="660" spans="3:19" s="277" customFormat="1" hidden="1" outlineLevel="1" collapsed="1" x14ac:dyDescent="0.3">
      <c r="C660" s="283" t="str">
        <f>RES_BA!D163</f>
        <v>Equipment Category 34</v>
      </c>
      <c r="M660" s="279">
        <f>RES_BA!R163</f>
        <v>0</v>
      </c>
      <c r="O660" s="279">
        <f>RES_BA!S163</f>
        <v>0</v>
      </c>
      <c r="Q660" s="279">
        <f>RES_BA!T163</f>
        <v>0</v>
      </c>
      <c r="S660" s="279">
        <f>RES_BA!U163</f>
        <v>0</v>
      </c>
    </row>
    <row r="661" spans="3:19" s="277" customFormat="1" hidden="1" outlineLevel="1" x14ac:dyDescent="0.3">
      <c r="C661" s="283" t="str">
        <f>RES_BA!D164</f>
        <v>Equipment Category 35</v>
      </c>
      <c r="M661" s="279">
        <f>RES_BA!R164</f>
        <v>0</v>
      </c>
      <c r="O661" s="279">
        <f>RES_BA!S164</f>
        <v>0</v>
      </c>
      <c r="Q661" s="279">
        <f>RES_BA!T164</f>
        <v>0</v>
      </c>
      <c r="S661" s="279">
        <f>RES_BA!U164</f>
        <v>0</v>
      </c>
    </row>
    <row r="662" spans="3:19" hidden="1" outlineLevel="1" x14ac:dyDescent="0.3"/>
    <row r="663" spans="3:19" hidden="1" outlineLevel="1" x14ac:dyDescent="0.3"/>
    <row r="664" spans="3:19" hidden="1" outlineLevel="1" x14ac:dyDescent="0.3">
      <c r="M664" s="40" t="str">
        <f>$D$509</f>
        <v>USD</v>
      </c>
      <c r="O664" s="40" t="str">
        <f>$D$509</f>
        <v>USD</v>
      </c>
      <c r="Q664" s="40" t="str">
        <f>$D$510</f>
        <v>GOZ</v>
      </c>
      <c r="S664" s="40" t="str">
        <f>$D$510</f>
        <v>GOZ</v>
      </c>
    </row>
    <row r="665" spans="3:19" hidden="1" outlineLevel="1" x14ac:dyDescent="0.3">
      <c r="C665" s="89" t="str">
        <f>RES_BA!D169</f>
        <v>Other Direct Costs Category 1</v>
      </c>
      <c r="M665" s="40">
        <f>RES_BA!R169</f>
        <v>0</v>
      </c>
      <c r="O665" s="40">
        <f>RES_BA!S169</f>
        <v>0</v>
      </c>
      <c r="Q665" s="40">
        <f>RES_BA!T169</f>
        <v>0</v>
      </c>
      <c r="S665" s="40">
        <f>RES_BA!U169</f>
        <v>0</v>
      </c>
    </row>
    <row r="666" spans="3:19" hidden="1" outlineLevel="1" x14ac:dyDescent="0.3">
      <c r="C666" s="89" t="str">
        <f>RES_BA!D170</f>
        <v>Other Direct Costs Category 2</v>
      </c>
      <c r="M666" s="40">
        <f>RES_BA!R170</f>
        <v>0</v>
      </c>
      <c r="O666" s="40">
        <f>RES_BA!S170</f>
        <v>0</v>
      </c>
      <c r="Q666" s="40">
        <f>RES_BA!T170</f>
        <v>0</v>
      </c>
      <c r="S666" s="40">
        <f>RES_BA!U170</f>
        <v>0</v>
      </c>
    </row>
    <row r="667" spans="3:19" hidden="1" outlineLevel="1" x14ac:dyDescent="0.3">
      <c r="C667" s="89" t="str">
        <f>RES_BA!D171</f>
        <v>Other Direct Costs Category 3</v>
      </c>
      <c r="M667" s="40">
        <f>RES_BA!R171</f>
        <v>0</v>
      </c>
      <c r="O667" s="40">
        <f>RES_BA!S171</f>
        <v>0</v>
      </c>
      <c r="Q667" s="40">
        <f>RES_BA!T171</f>
        <v>0</v>
      </c>
      <c r="S667" s="40">
        <f>RES_BA!U171</f>
        <v>0</v>
      </c>
    </row>
    <row r="668" spans="3:19" s="277" customFormat="1" hidden="1" outlineLevel="1" collapsed="1" x14ac:dyDescent="0.3">
      <c r="C668" s="283" t="str">
        <f>RES_BA!D172</f>
        <v>Other Direct Costs Category 4</v>
      </c>
      <c r="M668" s="279">
        <f>RES_BA!R172</f>
        <v>0</v>
      </c>
      <c r="O668" s="279">
        <f>RES_BA!S172</f>
        <v>0</v>
      </c>
      <c r="Q668" s="279">
        <f>RES_BA!T172</f>
        <v>0</v>
      </c>
      <c r="S668" s="279">
        <f>RES_BA!U172</f>
        <v>0</v>
      </c>
    </row>
    <row r="669" spans="3:19" s="277" customFormat="1" hidden="1" outlineLevel="1" x14ac:dyDescent="0.3">
      <c r="C669" s="283" t="str">
        <f>RES_BA!D173</f>
        <v>Other Direct Costs Category 5</v>
      </c>
      <c r="M669" s="279">
        <f>RES_BA!R173</f>
        <v>0</v>
      </c>
      <c r="O669" s="279">
        <f>RES_BA!S173</f>
        <v>0</v>
      </c>
      <c r="Q669" s="279">
        <f>RES_BA!T173</f>
        <v>0</v>
      </c>
      <c r="S669" s="279">
        <f>RES_BA!U173</f>
        <v>0</v>
      </c>
    </row>
    <row r="670" spans="3:19" s="277" customFormat="1" hidden="1" outlineLevel="1" x14ac:dyDescent="0.3">
      <c r="C670" s="283" t="str">
        <f>RES_BA!D174</f>
        <v>Other Direct Costs Category 6</v>
      </c>
      <c r="M670" s="279">
        <f>RES_BA!R174</f>
        <v>0</v>
      </c>
      <c r="O670" s="279">
        <f>RES_BA!S174</f>
        <v>0</v>
      </c>
      <c r="Q670" s="279">
        <f>RES_BA!T174</f>
        <v>0</v>
      </c>
      <c r="S670" s="279">
        <f>RES_BA!U174</f>
        <v>0</v>
      </c>
    </row>
    <row r="671" spans="3:19" s="277" customFormat="1" hidden="1" outlineLevel="1" x14ac:dyDescent="0.3">
      <c r="C671" s="283" t="str">
        <f>RES_BA!D175</f>
        <v>Other Direct Costs Category 7</v>
      </c>
      <c r="M671" s="279">
        <f>RES_BA!R175</f>
        <v>0</v>
      </c>
      <c r="O671" s="279">
        <f>RES_BA!S175</f>
        <v>0</v>
      </c>
      <c r="Q671" s="279">
        <f>RES_BA!T175</f>
        <v>0</v>
      </c>
      <c r="S671" s="279">
        <f>RES_BA!U175</f>
        <v>0</v>
      </c>
    </row>
    <row r="672" spans="3:19" s="277" customFormat="1" hidden="1" outlineLevel="1" x14ac:dyDescent="0.3">
      <c r="C672" s="283" t="str">
        <f>RES_BA!D176</f>
        <v>Other Direct Costs Category 8</v>
      </c>
      <c r="M672" s="279">
        <f>RES_BA!R176</f>
        <v>0</v>
      </c>
      <c r="O672" s="279">
        <f>RES_BA!S176</f>
        <v>0</v>
      </c>
      <c r="Q672" s="279">
        <f>RES_BA!T176</f>
        <v>0</v>
      </c>
      <c r="S672" s="279">
        <f>RES_BA!U176</f>
        <v>0</v>
      </c>
    </row>
    <row r="673" spans="3:19" s="277" customFormat="1" hidden="1" outlineLevel="1" x14ac:dyDescent="0.3">
      <c r="C673" s="283" t="str">
        <f>RES_BA!D177</f>
        <v>Other Direct Costs Category 9</v>
      </c>
      <c r="M673" s="279">
        <f>RES_BA!R177</f>
        <v>0</v>
      </c>
      <c r="O673" s="279">
        <f>RES_BA!S177</f>
        <v>0</v>
      </c>
      <c r="Q673" s="279">
        <f>RES_BA!T177</f>
        <v>0</v>
      </c>
      <c r="S673" s="279">
        <f>RES_BA!U177</f>
        <v>0</v>
      </c>
    </row>
    <row r="674" spans="3:19" s="277" customFormat="1" hidden="1" outlineLevel="1" x14ac:dyDescent="0.3">
      <c r="C674" s="283" t="str">
        <f>RES_BA!D178</f>
        <v>Other Direct Costs Category 10</v>
      </c>
      <c r="M674" s="279">
        <f>RES_BA!R178</f>
        <v>0</v>
      </c>
      <c r="O674" s="279">
        <f>RES_BA!S178</f>
        <v>0</v>
      </c>
      <c r="Q674" s="279">
        <f>RES_BA!T178</f>
        <v>0</v>
      </c>
      <c r="S674" s="279">
        <f>RES_BA!U178</f>
        <v>0</v>
      </c>
    </row>
    <row r="675" spans="3:19" s="277" customFormat="1" hidden="1" outlineLevel="1" x14ac:dyDescent="0.3">
      <c r="C675" s="283" t="str">
        <f>RES_BA!D179</f>
        <v>Other Direct Costs Category 11</v>
      </c>
      <c r="M675" s="279">
        <f>RES_BA!R179</f>
        <v>0</v>
      </c>
      <c r="O675" s="279">
        <f>RES_BA!S179</f>
        <v>0</v>
      </c>
      <c r="Q675" s="279">
        <f>RES_BA!T179</f>
        <v>0</v>
      </c>
      <c r="S675" s="279">
        <f>RES_BA!U179</f>
        <v>0</v>
      </c>
    </row>
    <row r="676" spans="3:19" s="277" customFormat="1" hidden="1" outlineLevel="1" collapsed="1" x14ac:dyDescent="0.3">
      <c r="C676" s="283" t="str">
        <f>RES_BA!D180</f>
        <v>Other Direct Costs Category 12</v>
      </c>
      <c r="M676" s="279">
        <f>RES_BA!R180</f>
        <v>0</v>
      </c>
      <c r="O676" s="279">
        <f>RES_BA!S180</f>
        <v>0</v>
      </c>
      <c r="Q676" s="279">
        <f>RES_BA!T180</f>
        <v>0</v>
      </c>
      <c r="S676" s="279">
        <f>RES_BA!U180</f>
        <v>0</v>
      </c>
    </row>
    <row r="677" spans="3:19" s="277" customFormat="1" hidden="1" outlineLevel="1" x14ac:dyDescent="0.3">
      <c r="C677" s="283" t="str">
        <f>RES_BA!D181</f>
        <v>Other Direct Costs Category 13</v>
      </c>
      <c r="M677" s="279">
        <f>RES_BA!R181</f>
        <v>0</v>
      </c>
      <c r="O677" s="279">
        <f>RES_BA!S181</f>
        <v>0</v>
      </c>
      <c r="Q677" s="279">
        <f>RES_BA!T181</f>
        <v>0</v>
      </c>
      <c r="S677" s="279">
        <f>RES_BA!U181</f>
        <v>0</v>
      </c>
    </row>
    <row r="678" spans="3:19" s="277" customFormat="1" hidden="1" outlineLevel="1" x14ac:dyDescent="0.3">
      <c r="C678" s="283" t="str">
        <f>RES_BA!D182</f>
        <v>Other Direct Costs Category 14</v>
      </c>
      <c r="M678" s="279">
        <f>RES_BA!R182</f>
        <v>0</v>
      </c>
      <c r="O678" s="279">
        <f>RES_BA!S182</f>
        <v>0</v>
      </c>
      <c r="Q678" s="279">
        <f>RES_BA!T182</f>
        <v>0</v>
      </c>
      <c r="S678" s="279">
        <f>RES_BA!U182</f>
        <v>0</v>
      </c>
    </row>
    <row r="679" spans="3:19" s="277" customFormat="1" hidden="1" outlineLevel="1" x14ac:dyDescent="0.3">
      <c r="C679" s="283" t="str">
        <f>RES_BA!D183</f>
        <v>Other Direct Costs Category 15</v>
      </c>
      <c r="M679" s="279">
        <f>RES_BA!R183</f>
        <v>0</v>
      </c>
      <c r="O679" s="279">
        <f>RES_BA!S183</f>
        <v>0</v>
      </c>
      <c r="Q679" s="279">
        <f>RES_BA!T183</f>
        <v>0</v>
      </c>
      <c r="S679" s="279">
        <f>RES_BA!U183</f>
        <v>0</v>
      </c>
    </row>
    <row r="680" spans="3:19" s="277" customFormat="1" hidden="1" outlineLevel="1" x14ac:dyDescent="0.3">
      <c r="C680" s="283" t="str">
        <f>RES_BA!D184</f>
        <v>Other Direct Costs Category 16</v>
      </c>
      <c r="M680" s="279">
        <f>RES_BA!R184</f>
        <v>0</v>
      </c>
      <c r="O680" s="279">
        <f>RES_BA!S184</f>
        <v>0</v>
      </c>
      <c r="Q680" s="279">
        <f>RES_BA!T184</f>
        <v>0</v>
      </c>
      <c r="S680" s="279">
        <f>RES_BA!U184</f>
        <v>0</v>
      </c>
    </row>
    <row r="681" spans="3:19" s="277" customFormat="1" hidden="1" outlineLevel="1" x14ac:dyDescent="0.3">
      <c r="C681" s="283" t="str">
        <f>RES_BA!D185</f>
        <v>Other Direct Costs Category 17</v>
      </c>
      <c r="M681" s="279">
        <f>RES_BA!R185</f>
        <v>0</v>
      </c>
      <c r="O681" s="279">
        <f>RES_BA!S185</f>
        <v>0</v>
      </c>
      <c r="Q681" s="279">
        <f>RES_BA!T185</f>
        <v>0</v>
      </c>
      <c r="S681" s="279">
        <f>RES_BA!U185</f>
        <v>0</v>
      </c>
    </row>
    <row r="682" spans="3:19" s="277" customFormat="1" hidden="1" outlineLevel="1" x14ac:dyDescent="0.3">
      <c r="C682" s="283" t="str">
        <f>RES_BA!D186</f>
        <v>Other Direct Costs Category 18</v>
      </c>
      <c r="M682" s="279">
        <f>RES_BA!R186</f>
        <v>0</v>
      </c>
      <c r="O682" s="279">
        <f>RES_BA!S186</f>
        <v>0</v>
      </c>
      <c r="Q682" s="279">
        <f>RES_BA!T186</f>
        <v>0</v>
      </c>
      <c r="S682" s="279">
        <f>RES_BA!U186</f>
        <v>0</v>
      </c>
    </row>
    <row r="683" spans="3:19" s="277" customFormat="1" hidden="1" outlineLevel="1" x14ac:dyDescent="0.3">
      <c r="C683" s="283" t="str">
        <f>RES_BA!D187</f>
        <v>Other Direct Costs Category 19</v>
      </c>
      <c r="M683" s="279">
        <f>RES_BA!R187</f>
        <v>0</v>
      </c>
      <c r="O683" s="279">
        <f>RES_BA!S187</f>
        <v>0</v>
      </c>
      <c r="Q683" s="279">
        <f>RES_BA!T187</f>
        <v>0</v>
      </c>
      <c r="S683" s="279">
        <f>RES_BA!U187</f>
        <v>0</v>
      </c>
    </row>
    <row r="684" spans="3:19" s="277" customFormat="1" hidden="1" outlineLevel="1" x14ac:dyDescent="0.3">
      <c r="C684" s="283" t="str">
        <f>RES_BA!D188</f>
        <v>Other Direct Costs Category 20</v>
      </c>
      <c r="M684" s="279">
        <f>RES_BA!R188</f>
        <v>0</v>
      </c>
      <c r="O684" s="279">
        <f>RES_BA!S188</f>
        <v>0</v>
      </c>
      <c r="Q684" s="279">
        <f>RES_BA!T188</f>
        <v>0</v>
      </c>
      <c r="S684" s="279">
        <f>RES_BA!U188</f>
        <v>0</v>
      </c>
    </row>
    <row r="685" spans="3:19" s="277" customFormat="1" hidden="1" outlineLevel="1" x14ac:dyDescent="0.3">
      <c r="C685" s="283" t="str">
        <f>RES_BA!D189</f>
        <v>Other Direct Costs Category 21</v>
      </c>
      <c r="M685" s="279">
        <f>RES_BA!R189</f>
        <v>0</v>
      </c>
      <c r="O685" s="279">
        <f>RES_BA!S189</f>
        <v>0</v>
      </c>
      <c r="Q685" s="279">
        <f>RES_BA!T189</f>
        <v>0</v>
      </c>
      <c r="S685" s="279">
        <f>RES_BA!U189</f>
        <v>0</v>
      </c>
    </row>
    <row r="686" spans="3:19" s="277" customFormat="1" hidden="1" outlineLevel="1" x14ac:dyDescent="0.3">
      <c r="C686" s="283" t="str">
        <f>RES_BA!D190</f>
        <v>Other Direct Costs Category 22</v>
      </c>
      <c r="M686" s="279">
        <f>RES_BA!R190</f>
        <v>0</v>
      </c>
      <c r="O686" s="279">
        <f>RES_BA!S190</f>
        <v>0</v>
      </c>
      <c r="Q686" s="279">
        <f>RES_BA!T190</f>
        <v>0</v>
      </c>
      <c r="S686" s="279">
        <f>RES_BA!U190</f>
        <v>0</v>
      </c>
    </row>
    <row r="687" spans="3:19" s="277" customFormat="1" hidden="1" outlineLevel="1" x14ac:dyDescent="0.3">
      <c r="C687" s="283" t="str">
        <f>RES_BA!D191</f>
        <v>Other Direct Costs Category 23</v>
      </c>
      <c r="M687" s="279">
        <f>RES_BA!R191</f>
        <v>0</v>
      </c>
      <c r="O687" s="279">
        <f>RES_BA!S191</f>
        <v>0</v>
      </c>
      <c r="Q687" s="279">
        <f>RES_BA!T191</f>
        <v>0</v>
      </c>
      <c r="S687" s="279">
        <f>RES_BA!U191</f>
        <v>0</v>
      </c>
    </row>
    <row r="688" spans="3:19" s="277" customFormat="1" hidden="1" outlineLevel="1" collapsed="1" x14ac:dyDescent="0.3">
      <c r="C688" s="283" t="str">
        <f>RES_BA!D192</f>
        <v>Other Direct Costs Category 24</v>
      </c>
      <c r="M688" s="279">
        <f>RES_BA!R192</f>
        <v>0</v>
      </c>
      <c r="O688" s="279">
        <f>RES_BA!S192</f>
        <v>0</v>
      </c>
      <c r="Q688" s="279">
        <f>RES_BA!T192</f>
        <v>0</v>
      </c>
      <c r="S688" s="279">
        <f>RES_BA!U192</f>
        <v>0</v>
      </c>
    </row>
    <row r="689" spans="2:19" s="277" customFormat="1" hidden="1" outlineLevel="1" x14ac:dyDescent="0.3">
      <c r="C689" s="283" t="str">
        <f>RES_BA!D193</f>
        <v>Other Direct Costs Category 25</v>
      </c>
      <c r="M689" s="279">
        <f>RES_BA!R193</f>
        <v>0</v>
      </c>
      <c r="O689" s="279">
        <f>RES_BA!S193</f>
        <v>0</v>
      </c>
      <c r="Q689" s="279">
        <f>RES_BA!T193</f>
        <v>0</v>
      </c>
      <c r="S689" s="279">
        <f>RES_BA!U193</f>
        <v>0</v>
      </c>
    </row>
    <row r="690" spans="2:19" s="277" customFormat="1" hidden="1" outlineLevel="1" x14ac:dyDescent="0.3">
      <c r="C690" s="283" t="str">
        <f>RES_BA!D194</f>
        <v>Other Direct Costs Category 26</v>
      </c>
      <c r="M690" s="279">
        <f>RES_BA!R194</f>
        <v>0</v>
      </c>
      <c r="O690" s="279">
        <f>RES_BA!S194</f>
        <v>0</v>
      </c>
      <c r="Q690" s="279">
        <f>RES_BA!T194</f>
        <v>0</v>
      </c>
      <c r="S690" s="279">
        <f>RES_BA!U194</f>
        <v>0</v>
      </c>
    </row>
    <row r="691" spans="2:19" s="277" customFormat="1" hidden="1" outlineLevel="1" x14ac:dyDescent="0.3">
      <c r="C691" s="283" t="str">
        <f>RES_BA!D195</f>
        <v>Other Direct Costs Category 27</v>
      </c>
      <c r="M691" s="279">
        <f>RES_BA!R195</f>
        <v>0</v>
      </c>
      <c r="O691" s="279">
        <f>RES_BA!S195</f>
        <v>0</v>
      </c>
      <c r="Q691" s="279">
        <f>RES_BA!T195</f>
        <v>0</v>
      </c>
      <c r="S691" s="279">
        <f>RES_BA!U195</f>
        <v>0</v>
      </c>
    </row>
    <row r="692" spans="2:19" s="277" customFormat="1" hidden="1" outlineLevel="1" x14ac:dyDescent="0.3">
      <c r="C692" s="283" t="str">
        <f>RES_BA!D196</f>
        <v>Other Direct Costs Category 28</v>
      </c>
      <c r="M692" s="279">
        <f>RES_BA!R196</f>
        <v>0</v>
      </c>
      <c r="O692" s="279">
        <f>RES_BA!S196</f>
        <v>0</v>
      </c>
      <c r="Q692" s="279">
        <f>RES_BA!T196</f>
        <v>0</v>
      </c>
      <c r="S692" s="279">
        <f>RES_BA!U196</f>
        <v>0</v>
      </c>
    </row>
    <row r="693" spans="2:19" s="277" customFormat="1" hidden="1" outlineLevel="1" x14ac:dyDescent="0.3">
      <c r="C693" s="283" t="str">
        <f>RES_BA!D197</f>
        <v>Other Direct Costs Category 29</v>
      </c>
      <c r="M693" s="279">
        <f>RES_BA!R197</f>
        <v>0</v>
      </c>
      <c r="O693" s="279">
        <f>RES_BA!S197</f>
        <v>0</v>
      </c>
      <c r="Q693" s="279">
        <f>RES_BA!T197</f>
        <v>0</v>
      </c>
      <c r="S693" s="279">
        <f>RES_BA!U197</f>
        <v>0</v>
      </c>
    </row>
    <row r="694" spans="2:19" s="277" customFormat="1" hidden="1" outlineLevel="1" x14ac:dyDescent="0.3">
      <c r="C694" s="283" t="str">
        <f>RES_BA!D198</f>
        <v>Other Direct Costs Category 30</v>
      </c>
      <c r="M694" s="279">
        <f>RES_BA!R198</f>
        <v>0</v>
      </c>
      <c r="O694" s="279">
        <f>RES_BA!S198</f>
        <v>0</v>
      </c>
      <c r="Q694" s="279">
        <f>RES_BA!T198</f>
        <v>0</v>
      </c>
      <c r="S694" s="279">
        <f>RES_BA!U198</f>
        <v>0</v>
      </c>
    </row>
    <row r="695" spans="2:19" s="277" customFormat="1" hidden="1" outlineLevel="1" x14ac:dyDescent="0.3">
      <c r="C695" s="283" t="str">
        <f>RES_BA!D199</f>
        <v>Other Direct Costs Category 31</v>
      </c>
      <c r="M695" s="279">
        <f>RES_BA!R199</f>
        <v>0</v>
      </c>
      <c r="O695" s="279">
        <f>RES_BA!S199</f>
        <v>0</v>
      </c>
      <c r="Q695" s="279">
        <f>RES_BA!T199</f>
        <v>0</v>
      </c>
      <c r="S695" s="279">
        <f>RES_BA!U199</f>
        <v>0</v>
      </c>
    </row>
    <row r="696" spans="2:19" s="277" customFormat="1" hidden="1" outlineLevel="1" x14ac:dyDescent="0.3">
      <c r="C696" s="283" t="str">
        <f>RES_BA!D200</f>
        <v>Other Direct Costs Category 32</v>
      </c>
      <c r="M696" s="279">
        <f>RES_BA!R200</f>
        <v>0</v>
      </c>
      <c r="O696" s="279">
        <f>RES_BA!S200</f>
        <v>0</v>
      </c>
      <c r="Q696" s="279">
        <f>RES_BA!T200</f>
        <v>0</v>
      </c>
      <c r="S696" s="279">
        <f>RES_BA!U200</f>
        <v>0</v>
      </c>
    </row>
    <row r="697" spans="2:19" s="277" customFormat="1" hidden="1" outlineLevel="1" x14ac:dyDescent="0.3">
      <c r="C697" s="283" t="str">
        <f>RES_BA!D201</f>
        <v>Other Direct Costs Category 33</v>
      </c>
      <c r="M697" s="279">
        <f>RES_BA!R201</f>
        <v>0</v>
      </c>
      <c r="O697" s="279">
        <f>RES_BA!S201</f>
        <v>0</v>
      </c>
      <c r="Q697" s="279">
        <f>RES_BA!T201</f>
        <v>0</v>
      </c>
      <c r="S697" s="279">
        <f>RES_BA!U201</f>
        <v>0</v>
      </c>
    </row>
    <row r="698" spans="2:19" s="277" customFormat="1" hidden="1" outlineLevel="1" x14ac:dyDescent="0.3">
      <c r="C698" s="283" t="str">
        <f>RES_BA!D202</f>
        <v>Other Direct Costs Category 34</v>
      </c>
      <c r="M698" s="279">
        <f>RES_BA!R202</f>
        <v>0</v>
      </c>
      <c r="O698" s="279">
        <f>RES_BA!S202</f>
        <v>0</v>
      </c>
      <c r="Q698" s="279">
        <f>RES_BA!T202</f>
        <v>0</v>
      </c>
      <c r="S698" s="279">
        <f>RES_BA!U202</f>
        <v>0</v>
      </c>
    </row>
    <row r="699" spans="2:19" s="277" customFormat="1" hidden="1" outlineLevel="1" x14ac:dyDescent="0.3">
      <c r="C699" s="283" t="str">
        <f>RES_BA!D203</f>
        <v>Other Direct Costs Category 35</v>
      </c>
      <c r="M699" s="279">
        <f>RES_BA!R203</f>
        <v>0</v>
      </c>
      <c r="O699" s="279">
        <f>RES_BA!S203</f>
        <v>0</v>
      </c>
      <c r="Q699" s="279">
        <f>RES_BA!T203</f>
        <v>0</v>
      </c>
      <c r="S699" s="279">
        <f>RES_BA!U203</f>
        <v>0</v>
      </c>
    </row>
    <row r="700" spans="2:19" collapsed="1" x14ac:dyDescent="0.3"/>
    <row r="702" spans="2:19" ht="18" x14ac:dyDescent="0.3">
      <c r="B702" s="31" t="str">
        <f>I703</f>
        <v>Social Mobilisation Activity #3 [not in use]</v>
      </c>
    </row>
    <row r="703" spans="2:19" x14ac:dyDescent="0.3">
      <c r="G703" s="41" t="s">
        <v>119</v>
      </c>
      <c r="I703" s="356" t="s">
        <v>1003</v>
      </c>
      <c r="J703" s="356"/>
      <c r="K703" s="356"/>
      <c r="L703" s="356"/>
      <c r="M703" s="356"/>
    </row>
    <row r="704" spans="2:19" ht="10.5" customHeight="1" x14ac:dyDescent="0.3">
      <c r="G704" s="41" t="s">
        <v>644</v>
      </c>
      <c r="I704" s="32">
        <v>2</v>
      </c>
    </row>
    <row r="705" spans="3:24" ht="15.6" x14ac:dyDescent="0.3">
      <c r="C705" s="92" t="s">
        <v>77</v>
      </c>
      <c r="M705" s="40" t="str">
        <f>IF(DD_ACT_9_Meet1_Curr=1,$D$858,$D$859)</f>
        <v>GOZ</v>
      </c>
      <c r="O705" s="40" t="str">
        <f>IF(DD_ACT_9_Meet1_Curr=1,$D$858,$D$859)</f>
        <v>GOZ</v>
      </c>
      <c r="Q705" s="40" t="str">
        <f>IF(DD_ACT_9_Meet1_Curr=1,$D$858,$D$859)</f>
        <v>GOZ</v>
      </c>
      <c r="S705" s="40" t="str">
        <f>IF(DD_ACT_9_Meet1_Curr=1,$D$858,$D$859)</f>
        <v>GOZ</v>
      </c>
    </row>
    <row r="706" spans="3:24" ht="27.6" x14ac:dyDescent="0.3">
      <c r="D706" s="90" t="s">
        <v>77</v>
      </c>
      <c r="I706" s="88" t="s">
        <v>80</v>
      </c>
      <c r="K706" s="91" t="s">
        <v>432</v>
      </c>
      <c r="M706" s="42" t="s">
        <v>103</v>
      </c>
      <c r="O706" s="42" t="s">
        <v>104</v>
      </c>
      <c r="Q706" s="42" t="s">
        <v>105</v>
      </c>
      <c r="S706" s="42" t="s">
        <v>106</v>
      </c>
      <c r="U706" s="350" t="s">
        <v>185</v>
      </c>
      <c r="V706" s="351"/>
      <c r="W706" s="351"/>
      <c r="X706" s="351"/>
    </row>
    <row r="707" spans="3:24" x14ac:dyDescent="0.3">
      <c r="D707" s="356" t="s">
        <v>188</v>
      </c>
      <c r="E707" s="356"/>
      <c r="F707" s="356"/>
      <c r="G707" s="356"/>
      <c r="I707" s="48">
        <v>0</v>
      </c>
      <c r="K707" s="48">
        <v>0</v>
      </c>
      <c r="M707" s="40">
        <f t="shared" ref="M707:M731" si="40">IFERROR(IF(DD_ACT_9_Meet1_Curr=1,INDEX($M$864:$M$898,MATCH(D707,LU_ACT_9_Pers_Res,0)),INDEX($Q$864:$Q$898,MATCH(D707,LU_ACT_9_Pers_Res,0))),0)</f>
        <v>0</v>
      </c>
      <c r="O707" s="40">
        <f t="shared" ref="O707:O731" si="41">IFERROR(IF(DD_ACT_9_Meet1_Curr=1,INDEX($O$864:$O$898,MATCH(D707,LU_ACT_9_Pers_Res,0)),INDEX($S$864:$S$898,MATCH(D707,LU_ACT_9_Pers_Res,0))),0)</f>
        <v>0</v>
      </c>
      <c r="Q707" s="293">
        <f t="shared" ref="Q707:Q731" si="42">I707*K707*M707</f>
        <v>0</v>
      </c>
      <c r="S707" s="293">
        <f t="shared" ref="S707:S731" si="43">I707*K707*O707</f>
        <v>0</v>
      </c>
      <c r="U707" s="356"/>
      <c r="V707" s="356"/>
      <c r="W707" s="356"/>
      <c r="X707" s="356"/>
    </row>
    <row r="708" spans="3:24" x14ac:dyDescent="0.3">
      <c r="D708" s="356" t="s">
        <v>189</v>
      </c>
      <c r="E708" s="356"/>
      <c r="F708" s="356"/>
      <c r="G708" s="356"/>
      <c r="I708" s="48">
        <v>0</v>
      </c>
      <c r="K708" s="48">
        <v>0</v>
      </c>
      <c r="M708" s="40">
        <f t="shared" si="40"/>
        <v>0</v>
      </c>
      <c r="O708" s="40">
        <f t="shared" si="41"/>
        <v>0</v>
      </c>
      <c r="Q708" s="293">
        <f t="shared" si="42"/>
        <v>0</v>
      </c>
      <c r="S708" s="293">
        <f t="shared" si="43"/>
        <v>0</v>
      </c>
      <c r="U708" s="356"/>
      <c r="V708" s="356"/>
      <c r="W708" s="356"/>
      <c r="X708" s="356"/>
    </row>
    <row r="709" spans="3:24" x14ac:dyDescent="0.3">
      <c r="D709" s="356" t="s">
        <v>190</v>
      </c>
      <c r="E709" s="356"/>
      <c r="F709" s="356"/>
      <c r="G709" s="356"/>
      <c r="I709" s="48">
        <v>0</v>
      </c>
      <c r="K709" s="48">
        <v>0</v>
      </c>
      <c r="M709" s="40">
        <f t="shared" si="40"/>
        <v>0</v>
      </c>
      <c r="O709" s="40">
        <f t="shared" si="41"/>
        <v>0</v>
      </c>
      <c r="Q709" s="293">
        <f t="shared" si="42"/>
        <v>0</v>
      </c>
      <c r="S709" s="293">
        <f t="shared" si="43"/>
        <v>0</v>
      </c>
      <c r="U709" s="356"/>
      <c r="V709" s="356"/>
      <c r="W709" s="356"/>
      <c r="X709" s="356"/>
    </row>
    <row r="710" spans="3:24" x14ac:dyDescent="0.3">
      <c r="D710" s="356" t="s">
        <v>191</v>
      </c>
      <c r="E710" s="356"/>
      <c r="F710" s="356"/>
      <c r="G710" s="356"/>
      <c r="I710" s="48">
        <v>0</v>
      </c>
      <c r="K710" s="48">
        <v>0</v>
      </c>
      <c r="M710" s="40">
        <f t="shared" si="40"/>
        <v>0</v>
      </c>
      <c r="O710" s="40">
        <f t="shared" si="41"/>
        <v>0</v>
      </c>
      <c r="Q710" s="293">
        <f t="shared" si="42"/>
        <v>0</v>
      </c>
      <c r="S710" s="293">
        <f t="shared" si="43"/>
        <v>0</v>
      </c>
      <c r="U710" s="356"/>
      <c r="V710" s="356"/>
      <c r="W710" s="356"/>
      <c r="X710" s="356"/>
    </row>
    <row r="711" spans="3:24" x14ac:dyDescent="0.3">
      <c r="D711" s="356" t="s">
        <v>192</v>
      </c>
      <c r="E711" s="356"/>
      <c r="F711" s="356"/>
      <c r="G711" s="356"/>
      <c r="I711" s="48">
        <v>0</v>
      </c>
      <c r="K711" s="48">
        <v>0</v>
      </c>
      <c r="M711" s="40">
        <f t="shared" si="40"/>
        <v>0</v>
      </c>
      <c r="O711" s="40">
        <f t="shared" si="41"/>
        <v>0</v>
      </c>
      <c r="Q711" s="293">
        <f t="shared" si="42"/>
        <v>0</v>
      </c>
      <c r="S711" s="293">
        <f t="shared" si="43"/>
        <v>0</v>
      </c>
      <c r="U711" s="356"/>
      <c r="V711" s="356"/>
      <c r="W711" s="356"/>
      <c r="X711" s="356"/>
    </row>
    <row r="712" spans="3:24" x14ac:dyDescent="0.3">
      <c r="D712" s="356" t="s">
        <v>193</v>
      </c>
      <c r="E712" s="356"/>
      <c r="F712" s="356"/>
      <c r="G712" s="356"/>
      <c r="I712" s="48">
        <v>0</v>
      </c>
      <c r="K712" s="48">
        <v>0</v>
      </c>
      <c r="M712" s="40">
        <f t="shared" si="40"/>
        <v>0</v>
      </c>
      <c r="O712" s="40">
        <f t="shared" si="41"/>
        <v>0</v>
      </c>
      <c r="Q712" s="293">
        <f t="shared" si="42"/>
        <v>0</v>
      </c>
      <c r="S712" s="293">
        <f t="shared" si="43"/>
        <v>0</v>
      </c>
      <c r="U712" s="356"/>
      <c r="V712" s="356"/>
      <c r="W712" s="356"/>
      <c r="X712" s="356"/>
    </row>
    <row r="713" spans="3:24" x14ac:dyDescent="0.3">
      <c r="D713" s="356" t="s">
        <v>120</v>
      </c>
      <c r="E713" s="356"/>
      <c r="F713" s="356"/>
      <c r="G713" s="356"/>
      <c r="I713" s="48">
        <v>0</v>
      </c>
      <c r="K713" s="48">
        <v>0</v>
      </c>
      <c r="M713" s="40">
        <f t="shared" si="40"/>
        <v>0</v>
      </c>
      <c r="O713" s="40">
        <f t="shared" si="41"/>
        <v>0</v>
      </c>
      <c r="Q713" s="293">
        <f t="shared" si="42"/>
        <v>0</v>
      </c>
      <c r="S713" s="293">
        <f t="shared" si="43"/>
        <v>0</v>
      </c>
      <c r="U713" s="356"/>
      <c r="V713" s="356"/>
      <c r="W713" s="356"/>
      <c r="X713" s="356"/>
    </row>
    <row r="714" spans="3:24" x14ac:dyDescent="0.3">
      <c r="D714" s="356" t="s">
        <v>121</v>
      </c>
      <c r="E714" s="356"/>
      <c r="F714" s="356"/>
      <c r="G714" s="356"/>
      <c r="I714" s="48">
        <v>0</v>
      </c>
      <c r="K714" s="48">
        <v>0</v>
      </c>
      <c r="M714" s="40">
        <f t="shared" si="40"/>
        <v>0</v>
      </c>
      <c r="O714" s="40">
        <f t="shared" si="41"/>
        <v>0</v>
      </c>
      <c r="Q714" s="293">
        <f t="shared" si="42"/>
        <v>0</v>
      </c>
      <c r="S714" s="293">
        <f t="shared" si="43"/>
        <v>0</v>
      </c>
      <c r="U714" s="356"/>
      <c r="V714" s="356"/>
      <c r="W714" s="356"/>
      <c r="X714" s="356"/>
    </row>
    <row r="715" spans="3:24" s="277" customFormat="1" x14ac:dyDescent="0.3">
      <c r="D715" s="356" t="s">
        <v>830</v>
      </c>
      <c r="E715" s="356"/>
      <c r="F715" s="356"/>
      <c r="G715" s="356"/>
      <c r="I715" s="48">
        <v>0</v>
      </c>
      <c r="K715" s="48">
        <v>0</v>
      </c>
      <c r="M715" s="279">
        <f t="shared" si="40"/>
        <v>0</v>
      </c>
      <c r="O715" s="279">
        <f t="shared" si="41"/>
        <v>0</v>
      </c>
      <c r="Q715" s="293">
        <f t="shared" si="42"/>
        <v>0</v>
      </c>
      <c r="S715" s="293">
        <f t="shared" si="43"/>
        <v>0</v>
      </c>
      <c r="U715" s="385"/>
      <c r="V715" s="385"/>
      <c r="W715" s="385"/>
      <c r="X715" s="385"/>
    </row>
    <row r="716" spans="3:24" s="277" customFormat="1" x14ac:dyDescent="0.3">
      <c r="D716" s="356" t="s">
        <v>831</v>
      </c>
      <c r="E716" s="356"/>
      <c r="F716" s="356"/>
      <c r="G716" s="356"/>
      <c r="I716" s="48">
        <v>0</v>
      </c>
      <c r="K716" s="48">
        <v>0</v>
      </c>
      <c r="M716" s="279">
        <f t="shared" si="40"/>
        <v>0</v>
      </c>
      <c r="O716" s="279">
        <f t="shared" si="41"/>
        <v>0</v>
      </c>
      <c r="Q716" s="293">
        <f t="shared" si="42"/>
        <v>0</v>
      </c>
      <c r="S716" s="293">
        <f t="shared" si="43"/>
        <v>0</v>
      </c>
      <c r="U716" s="385"/>
      <c r="V716" s="385"/>
      <c r="W716" s="385"/>
      <c r="X716" s="385"/>
    </row>
    <row r="717" spans="3:24" s="277" customFormat="1" x14ac:dyDescent="0.3">
      <c r="D717" s="356" t="s">
        <v>832</v>
      </c>
      <c r="E717" s="356"/>
      <c r="F717" s="356"/>
      <c r="G717" s="356"/>
      <c r="I717" s="48">
        <v>0</v>
      </c>
      <c r="K717" s="48">
        <v>0</v>
      </c>
      <c r="M717" s="279">
        <f t="shared" si="40"/>
        <v>0</v>
      </c>
      <c r="O717" s="279">
        <f t="shared" si="41"/>
        <v>0</v>
      </c>
      <c r="Q717" s="293">
        <f t="shared" si="42"/>
        <v>0</v>
      </c>
      <c r="S717" s="293">
        <f t="shared" si="43"/>
        <v>0</v>
      </c>
      <c r="U717" s="385"/>
      <c r="V717" s="385"/>
      <c r="W717" s="385"/>
      <c r="X717" s="385"/>
    </row>
    <row r="718" spans="3:24" s="277" customFormat="1" x14ac:dyDescent="0.3">
      <c r="D718" s="356" t="s">
        <v>833</v>
      </c>
      <c r="E718" s="356"/>
      <c r="F718" s="356"/>
      <c r="G718" s="356"/>
      <c r="I718" s="48">
        <v>0</v>
      </c>
      <c r="K718" s="48">
        <v>0</v>
      </c>
      <c r="M718" s="279">
        <f t="shared" si="40"/>
        <v>0</v>
      </c>
      <c r="O718" s="279">
        <f t="shared" si="41"/>
        <v>0</v>
      </c>
      <c r="Q718" s="293">
        <f t="shared" si="42"/>
        <v>0</v>
      </c>
      <c r="S718" s="293">
        <f t="shared" si="43"/>
        <v>0</v>
      </c>
      <c r="U718" s="385"/>
      <c r="V718" s="385"/>
      <c r="W718" s="385"/>
      <c r="X718" s="385"/>
    </row>
    <row r="719" spans="3:24" s="277" customFormat="1" x14ac:dyDescent="0.3">
      <c r="D719" s="356" t="s">
        <v>834</v>
      </c>
      <c r="E719" s="356"/>
      <c r="F719" s="356"/>
      <c r="G719" s="356"/>
      <c r="I719" s="48">
        <v>0</v>
      </c>
      <c r="K719" s="48">
        <v>0</v>
      </c>
      <c r="M719" s="279">
        <f t="shared" si="40"/>
        <v>0</v>
      </c>
      <c r="O719" s="279">
        <f t="shared" si="41"/>
        <v>0</v>
      </c>
      <c r="Q719" s="293">
        <f t="shared" si="42"/>
        <v>0</v>
      </c>
      <c r="S719" s="293">
        <f t="shared" si="43"/>
        <v>0</v>
      </c>
      <c r="U719" s="385"/>
      <c r="V719" s="385"/>
      <c r="W719" s="385"/>
      <c r="X719" s="385"/>
    </row>
    <row r="720" spans="3:24" s="277" customFormat="1" x14ac:dyDescent="0.3">
      <c r="D720" s="356" t="s">
        <v>835</v>
      </c>
      <c r="E720" s="356"/>
      <c r="F720" s="356"/>
      <c r="G720" s="356"/>
      <c r="I720" s="48">
        <v>0</v>
      </c>
      <c r="K720" s="48">
        <v>0</v>
      </c>
      <c r="M720" s="279">
        <f t="shared" si="40"/>
        <v>0</v>
      </c>
      <c r="O720" s="279">
        <f t="shared" si="41"/>
        <v>0</v>
      </c>
      <c r="Q720" s="293">
        <f t="shared" si="42"/>
        <v>0</v>
      </c>
      <c r="S720" s="293">
        <f t="shared" si="43"/>
        <v>0</v>
      </c>
      <c r="U720" s="385"/>
      <c r="V720" s="385"/>
      <c r="W720" s="385"/>
      <c r="X720" s="385"/>
    </row>
    <row r="721" spans="3:24" s="277" customFormat="1" x14ac:dyDescent="0.3">
      <c r="D721" s="356" t="s">
        <v>836</v>
      </c>
      <c r="E721" s="356"/>
      <c r="F721" s="356"/>
      <c r="G721" s="356"/>
      <c r="I721" s="48">
        <v>0</v>
      </c>
      <c r="K721" s="48">
        <v>0</v>
      </c>
      <c r="M721" s="279">
        <f t="shared" si="40"/>
        <v>0</v>
      </c>
      <c r="O721" s="279">
        <f t="shared" si="41"/>
        <v>0</v>
      </c>
      <c r="Q721" s="293">
        <f t="shared" si="42"/>
        <v>0</v>
      </c>
      <c r="S721" s="293">
        <f t="shared" si="43"/>
        <v>0</v>
      </c>
      <c r="U721" s="385"/>
      <c r="V721" s="385"/>
      <c r="W721" s="385"/>
      <c r="X721" s="385"/>
    </row>
    <row r="722" spans="3:24" s="277" customFormat="1" x14ac:dyDescent="0.3">
      <c r="D722" s="356" t="s">
        <v>837</v>
      </c>
      <c r="E722" s="356"/>
      <c r="F722" s="356"/>
      <c r="G722" s="356"/>
      <c r="I722" s="48">
        <v>0</v>
      </c>
      <c r="K722" s="48">
        <v>0</v>
      </c>
      <c r="M722" s="279">
        <f t="shared" si="40"/>
        <v>0</v>
      </c>
      <c r="O722" s="279">
        <f t="shared" si="41"/>
        <v>0</v>
      </c>
      <c r="Q722" s="293">
        <f t="shared" si="42"/>
        <v>0</v>
      </c>
      <c r="S722" s="293">
        <f t="shared" si="43"/>
        <v>0</v>
      </c>
      <c r="U722" s="385"/>
      <c r="V722" s="385"/>
      <c r="W722" s="385"/>
      <c r="X722" s="385"/>
    </row>
    <row r="723" spans="3:24" s="277" customFormat="1" x14ac:dyDescent="0.3">
      <c r="D723" s="356" t="s">
        <v>846</v>
      </c>
      <c r="E723" s="356"/>
      <c r="F723" s="356"/>
      <c r="G723" s="356"/>
      <c r="I723" s="48">
        <v>0</v>
      </c>
      <c r="K723" s="48">
        <v>0</v>
      </c>
      <c r="M723" s="279">
        <f t="shared" si="40"/>
        <v>0</v>
      </c>
      <c r="O723" s="279">
        <f t="shared" si="41"/>
        <v>0</v>
      </c>
      <c r="Q723" s="293">
        <f t="shared" si="42"/>
        <v>0</v>
      </c>
      <c r="S723" s="293">
        <f t="shared" si="43"/>
        <v>0</v>
      </c>
      <c r="U723" s="385"/>
      <c r="V723" s="385"/>
      <c r="W723" s="385"/>
      <c r="X723" s="385"/>
    </row>
    <row r="724" spans="3:24" s="277" customFormat="1" x14ac:dyDescent="0.3">
      <c r="D724" s="356" t="s">
        <v>847</v>
      </c>
      <c r="E724" s="356"/>
      <c r="F724" s="356"/>
      <c r="G724" s="356"/>
      <c r="I724" s="48">
        <v>0</v>
      </c>
      <c r="K724" s="48">
        <v>0</v>
      </c>
      <c r="M724" s="279">
        <f t="shared" si="40"/>
        <v>0</v>
      </c>
      <c r="O724" s="279">
        <f t="shared" si="41"/>
        <v>0</v>
      </c>
      <c r="Q724" s="293">
        <f t="shared" si="42"/>
        <v>0</v>
      </c>
      <c r="S724" s="293">
        <f t="shared" si="43"/>
        <v>0</v>
      </c>
      <c r="U724" s="385"/>
      <c r="V724" s="385"/>
      <c r="W724" s="385"/>
      <c r="X724" s="385"/>
    </row>
    <row r="725" spans="3:24" s="277" customFormat="1" x14ac:dyDescent="0.3">
      <c r="D725" s="356" t="s">
        <v>848</v>
      </c>
      <c r="E725" s="356"/>
      <c r="F725" s="356"/>
      <c r="G725" s="356"/>
      <c r="I725" s="48">
        <v>0</v>
      </c>
      <c r="K725" s="48">
        <v>0</v>
      </c>
      <c r="M725" s="279">
        <f t="shared" si="40"/>
        <v>0</v>
      </c>
      <c r="O725" s="279">
        <f t="shared" si="41"/>
        <v>0</v>
      </c>
      <c r="Q725" s="293">
        <f t="shared" si="42"/>
        <v>0</v>
      </c>
      <c r="S725" s="293">
        <f t="shared" si="43"/>
        <v>0</v>
      </c>
      <c r="U725" s="385"/>
      <c r="V725" s="385"/>
      <c r="W725" s="385"/>
      <c r="X725" s="385"/>
    </row>
    <row r="726" spans="3:24" s="277" customFormat="1" x14ac:dyDescent="0.3">
      <c r="D726" s="356" t="s">
        <v>849</v>
      </c>
      <c r="E726" s="356"/>
      <c r="F726" s="356"/>
      <c r="G726" s="356"/>
      <c r="I726" s="48">
        <v>0</v>
      </c>
      <c r="K726" s="48">
        <v>0</v>
      </c>
      <c r="M726" s="279">
        <f t="shared" si="40"/>
        <v>0</v>
      </c>
      <c r="O726" s="279">
        <f t="shared" si="41"/>
        <v>0</v>
      </c>
      <c r="Q726" s="293">
        <f t="shared" si="42"/>
        <v>0</v>
      </c>
      <c r="S726" s="293">
        <f t="shared" si="43"/>
        <v>0</v>
      </c>
      <c r="U726" s="385"/>
      <c r="V726" s="385"/>
      <c r="W726" s="385"/>
      <c r="X726" s="385"/>
    </row>
    <row r="727" spans="3:24" s="277" customFormat="1" x14ac:dyDescent="0.3">
      <c r="D727" s="356" t="s">
        <v>971</v>
      </c>
      <c r="E727" s="356"/>
      <c r="F727" s="356"/>
      <c r="G727" s="356"/>
      <c r="I727" s="48">
        <v>0</v>
      </c>
      <c r="K727" s="48">
        <v>0</v>
      </c>
      <c r="M727" s="279">
        <f t="shared" si="40"/>
        <v>0</v>
      </c>
      <c r="O727" s="279">
        <f t="shared" si="41"/>
        <v>0</v>
      </c>
      <c r="Q727" s="293">
        <f t="shared" si="42"/>
        <v>0</v>
      </c>
      <c r="S727" s="293">
        <f t="shared" si="43"/>
        <v>0</v>
      </c>
      <c r="U727" s="385"/>
      <c r="V727" s="385"/>
      <c r="W727" s="385"/>
      <c r="X727" s="385"/>
    </row>
    <row r="728" spans="3:24" s="277" customFormat="1" x14ac:dyDescent="0.3">
      <c r="D728" s="356" t="s">
        <v>973</v>
      </c>
      <c r="E728" s="356"/>
      <c r="F728" s="356"/>
      <c r="G728" s="356"/>
      <c r="I728" s="48">
        <v>0</v>
      </c>
      <c r="K728" s="48">
        <v>0</v>
      </c>
      <c r="M728" s="279">
        <f t="shared" si="40"/>
        <v>0</v>
      </c>
      <c r="O728" s="279">
        <f t="shared" si="41"/>
        <v>0</v>
      </c>
      <c r="Q728" s="293">
        <f t="shared" si="42"/>
        <v>0</v>
      </c>
      <c r="S728" s="293">
        <f t="shared" si="43"/>
        <v>0</v>
      </c>
      <c r="U728" s="385"/>
      <c r="V728" s="385"/>
      <c r="W728" s="385"/>
      <c r="X728" s="385"/>
    </row>
    <row r="729" spans="3:24" s="277" customFormat="1" x14ac:dyDescent="0.3">
      <c r="D729" s="356" t="s">
        <v>974</v>
      </c>
      <c r="E729" s="356"/>
      <c r="F729" s="356"/>
      <c r="G729" s="356"/>
      <c r="I729" s="48">
        <v>0</v>
      </c>
      <c r="K729" s="48">
        <v>0</v>
      </c>
      <c r="M729" s="279">
        <f t="shared" si="40"/>
        <v>0</v>
      </c>
      <c r="O729" s="279">
        <f t="shared" si="41"/>
        <v>0</v>
      </c>
      <c r="Q729" s="293">
        <f t="shared" si="42"/>
        <v>0</v>
      </c>
      <c r="S729" s="293">
        <f t="shared" si="43"/>
        <v>0</v>
      </c>
      <c r="U729" s="385"/>
      <c r="V729" s="385"/>
      <c r="W729" s="385"/>
      <c r="X729" s="385"/>
    </row>
    <row r="730" spans="3:24" s="277" customFormat="1" x14ac:dyDescent="0.3">
      <c r="D730" s="356" t="s">
        <v>975</v>
      </c>
      <c r="E730" s="356"/>
      <c r="F730" s="356"/>
      <c r="G730" s="356"/>
      <c r="I730" s="48">
        <v>0</v>
      </c>
      <c r="K730" s="48">
        <v>0</v>
      </c>
      <c r="M730" s="279">
        <f t="shared" si="40"/>
        <v>0</v>
      </c>
      <c r="O730" s="279">
        <f t="shared" si="41"/>
        <v>0</v>
      </c>
      <c r="Q730" s="293">
        <f t="shared" si="42"/>
        <v>0</v>
      </c>
      <c r="S730" s="293">
        <f t="shared" si="43"/>
        <v>0</v>
      </c>
      <c r="U730" s="385"/>
      <c r="V730" s="385"/>
      <c r="W730" s="385"/>
      <c r="X730" s="385"/>
    </row>
    <row r="731" spans="3:24" s="277" customFormat="1" x14ac:dyDescent="0.3">
      <c r="D731" s="356" t="s">
        <v>976</v>
      </c>
      <c r="E731" s="356"/>
      <c r="F731" s="356"/>
      <c r="G731" s="356"/>
      <c r="I731" s="48">
        <v>0</v>
      </c>
      <c r="K731" s="48">
        <v>0</v>
      </c>
      <c r="M731" s="279">
        <f t="shared" si="40"/>
        <v>0</v>
      </c>
      <c r="O731" s="279">
        <f t="shared" si="41"/>
        <v>0</v>
      </c>
      <c r="Q731" s="293">
        <f t="shared" si="42"/>
        <v>0</v>
      </c>
      <c r="S731" s="293">
        <f t="shared" si="43"/>
        <v>0</v>
      </c>
      <c r="U731" s="385"/>
      <c r="V731" s="385"/>
      <c r="W731" s="385"/>
      <c r="X731" s="385"/>
    </row>
    <row r="732" spans="3:24" ht="14.4" collapsed="1" x14ac:dyDescent="0.3">
      <c r="D732" s="420" t="s">
        <v>79</v>
      </c>
      <c r="E732" s="421"/>
      <c r="F732" s="421"/>
      <c r="G732" s="421"/>
      <c r="I732" s="43"/>
      <c r="K732" s="43"/>
      <c r="M732" s="43"/>
      <c r="O732" s="43"/>
      <c r="Q732" s="294">
        <f>SUM(Q707:Q731)</f>
        <v>0</v>
      </c>
      <c r="S732" s="294">
        <f>SUM(S707:S731)</f>
        <v>0</v>
      </c>
    </row>
    <row r="734" spans="3:24" ht="15.6" x14ac:dyDescent="0.3">
      <c r="C734" s="92" t="s">
        <v>164</v>
      </c>
    </row>
    <row r="735" spans="3:24" ht="27.6" x14ac:dyDescent="0.3">
      <c r="D735" s="90" t="s">
        <v>102</v>
      </c>
      <c r="I735" s="91" t="s">
        <v>80</v>
      </c>
      <c r="K735" s="91" t="s">
        <v>432</v>
      </c>
      <c r="M735" s="42" t="s">
        <v>103</v>
      </c>
      <c r="O735" s="42" t="s">
        <v>104</v>
      </c>
      <c r="Q735" s="42" t="s">
        <v>105</v>
      </c>
      <c r="S735" s="42" t="s">
        <v>106</v>
      </c>
      <c r="U735" s="350" t="s">
        <v>185</v>
      </c>
      <c r="V735" s="351"/>
      <c r="W735" s="351"/>
      <c r="X735" s="351"/>
    </row>
    <row r="736" spans="3:24" x14ac:dyDescent="0.3">
      <c r="D736" s="356" t="s">
        <v>109</v>
      </c>
      <c r="E736" s="356"/>
      <c r="F736" s="356"/>
      <c r="G736" s="356"/>
      <c r="I736" s="48">
        <v>0</v>
      </c>
      <c r="K736" s="48">
        <v>0</v>
      </c>
      <c r="M736" s="40">
        <f t="shared" ref="M736:M760" si="44">IFERROR(IF(DD_ACT_9_Meet1_Curr=1,INDEX($M$901:$M$935,MATCH(D736,LU_ACT_9_Allowances,0)),INDEX($Q$901:$Q$935,MATCH(D736,LU_ACT_9_Allowances,0))),0)</f>
        <v>0</v>
      </c>
      <c r="O736" s="40">
        <f t="shared" ref="O736:O760" si="45">IFERROR(IF(DD_ACT_9_Meet1_Curr=1,INDEX($O$901:$O$935,MATCH(D736,LU_ACT_9_Allowances,0)),INDEX($S$901:$S$935,MATCH(D736,LU_ACT_9_Allowances,0))),0)</f>
        <v>0</v>
      </c>
      <c r="Q736" s="293">
        <f t="shared" ref="Q736:Q760" si="46">I736*K736*M736</f>
        <v>0</v>
      </c>
      <c r="S736" s="293">
        <f t="shared" ref="S736:S760" si="47">I736*K736*O736</f>
        <v>0</v>
      </c>
      <c r="U736" s="356"/>
      <c r="V736" s="356"/>
      <c r="W736" s="356"/>
      <c r="X736" s="356"/>
    </row>
    <row r="737" spans="4:24" x14ac:dyDescent="0.3">
      <c r="D737" s="356" t="s">
        <v>110</v>
      </c>
      <c r="E737" s="356"/>
      <c r="F737" s="356"/>
      <c r="G737" s="356"/>
      <c r="I737" s="48">
        <v>0</v>
      </c>
      <c r="K737" s="48">
        <v>0</v>
      </c>
      <c r="M737" s="40">
        <f t="shared" si="44"/>
        <v>0</v>
      </c>
      <c r="O737" s="40">
        <f t="shared" si="45"/>
        <v>0</v>
      </c>
      <c r="Q737" s="293">
        <f t="shared" si="46"/>
        <v>0</v>
      </c>
      <c r="S737" s="293">
        <f t="shared" si="47"/>
        <v>0</v>
      </c>
      <c r="U737" s="356"/>
      <c r="V737" s="356"/>
      <c r="W737" s="356"/>
      <c r="X737" s="356"/>
    </row>
    <row r="738" spans="4:24" x14ac:dyDescent="0.3">
      <c r="D738" s="356" t="s">
        <v>111</v>
      </c>
      <c r="E738" s="356"/>
      <c r="F738" s="356"/>
      <c r="G738" s="356"/>
      <c r="I738" s="48">
        <v>0</v>
      </c>
      <c r="K738" s="48">
        <v>0</v>
      </c>
      <c r="M738" s="40">
        <f t="shared" si="44"/>
        <v>0</v>
      </c>
      <c r="O738" s="40">
        <f t="shared" si="45"/>
        <v>0</v>
      </c>
      <c r="Q738" s="293">
        <f t="shared" si="46"/>
        <v>0</v>
      </c>
      <c r="S738" s="293">
        <f t="shared" si="47"/>
        <v>0</v>
      </c>
      <c r="U738" s="356"/>
      <c r="V738" s="356"/>
      <c r="W738" s="356"/>
      <c r="X738" s="356"/>
    </row>
    <row r="739" spans="4:24" x14ac:dyDescent="0.3">
      <c r="D739" s="356" t="s">
        <v>112</v>
      </c>
      <c r="E739" s="356"/>
      <c r="F739" s="356"/>
      <c r="G739" s="356"/>
      <c r="I739" s="48">
        <v>0</v>
      </c>
      <c r="K739" s="48">
        <v>0</v>
      </c>
      <c r="M739" s="40">
        <f t="shared" si="44"/>
        <v>0</v>
      </c>
      <c r="O739" s="40">
        <f t="shared" si="45"/>
        <v>0</v>
      </c>
      <c r="Q739" s="293">
        <f t="shared" si="46"/>
        <v>0</v>
      </c>
      <c r="S739" s="293">
        <f t="shared" si="47"/>
        <v>0</v>
      </c>
      <c r="U739" s="356"/>
      <c r="V739" s="356"/>
      <c r="W739" s="356"/>
      <c r="X739" s="356"/>
    </row>
    <row r="740" spans="4:24" x14ac:dyDescent="0.3">
      <c r="D740" s="356" t="s">
        <v>113</v>
      </c>
      <c r="E740" s="356"/>
      <c r="F740" s="356"/>
      <c r="G740" s="356"/>
      <c r="I740" s="48">
        <v>0</v>
      </c>
      <c r="K740" s="48">
        <v>0</v>
      </c>
      <c r="M740" s="40">
        <f t="shared" si="44"/>
        <v>0</v>
      </c>
      <c r="O740" s="40">
        <f t="shared" si="45"/>
        <v>0</v>
      </c>
      <c r="Q740" s="293">
        <f t="shared" si="46"/>
        <v>0</v>
      </c>
      <c r="S740" s="293">
        <f t="shared" si="47"/>
        <v>0</v>
      </c>
      <c r="U740" s="356"/>
      <c r="V740" s="356"/>
      <c r="W740" s="356"/>
      <c r="X740" s="356"/>
    </row>
    <row r="741" spans="4:24" x14ac:dyDescent="0.3">
      <c r="D741" s="356" t="s">
        <v>114</v>
      </c>
      <c r="E741" s="356"/>
      <c r="F741" s="356"/>
      <c r="G741" s="356"/>
      <c r="I741" s="48">
        <v>0</v>
      </c>
      <c r="K741" s="48">
        <v>0</v>
      </c>
      <c r="M741" s="40">
        <f t="shared" si="44"/>
        <v>0</v>
      </c>
      <c r="O741" s="40">
        <f t="shared" si="45"/>
        <v>0</v>
      </c>
      <c r="Q741" s="293">
        <f t="shared" si="46"/>
        <v>0</v>
      </c>
      <c r="S741" s="293">
        <f t="shared" si="47"/>
        <v>0</v>
      </c>
      <c r="U741" s="356"/>
      <c r="V741" s="356"/>
      <c r="W741" s="356"/>
      <c r="X741" s="356"/>
    </row>
    <row r="742" spans="4:24" x14ac:dyDescent="0.3">
      <c r="D742" s="356" t="s">
        <v>115</v>
      </c>
      <c r="E742" s="356"/>
      <c r="F742" s="356"/>
      <c r="G742" s="356"/>
      <c r="I742" s="48">
        <v>0</v>
      </c>
      <c r="K742" s="48">
        <v>0</v>
      </c>
      <c r="M742" s="40">
        <f t="shared" si="44"/>
        <v>0</v>
      </c>
      <c r="O742" s="40">
        <f t="shared" si="45"/>
        <v>0</v>
      </c>
      <c r="Q742" s="293">
        <f t="shared" si="46"/>
        <v>0</v>
      </c>
      <c r="S742" s="293">
        <f t="shared" si="47"/>
        <v>0</v>
      </c>
      <c r="U742" s="356"/>
      <c r="V742" s="356"/>
      <c r="W742" s="356"/>
      <c r="X742" s="356"/>
    </row>
    <row r="743" spans="4:24" x14ac:dyDescent="0.3">
      <c r="D743" s="356" t="s">
        <v>116</v>
      </c>
      <c r="E743" s="356"/>
      <c r="F743" s="356"/>
      <c r="G743" s="356"/>
      <c r="I743" s="48">
        <v>0</v>
      </c>
      <c r="K743" s="48">
        <v>0</v>
      </c>
      <c r="M743" s="40">
        <f t="shared" si="44"/>
        <v>0</v>
      </c>
      <c r="O743" s="40">
        <f t="shared" si="45"/>
        <v>0</v>
      </c>
      <c r="Q743" s="293">
        <f t="shared" si="46"/>
        <v>0</v>
      </c>
      <c r="S743" s="293">
        <f t="shared" si="47"/>
        <v>0</v>
      </c>
      <c r="U743" s="356"/>
      <c r="V743" s="356"/>
      <c r="W743" s="356"/>
      <c r="X743" s="356"/>
    </row>
    <row r="744" spans="4:24" s="277" customFormat="1" x14ac:dyDescent="0.3">
      <c r="D744" s="356" t="s">
        <v>838</v>
      </c>
      <c r="E744" s="356"/>
      <c r="F744" s="356"/>
      <c r="G744" s="356"/>
      <c r="I744" s="48">
        <v>0</v>
      </c>
      <c r="K744" s="48">
        <v>0</v>
      </c>
      <c r="M744" s="279">
        <f t="shared" si="44"/>
        <v>0</v>
      </c>
      <c r="O744" s="279">
        <f t="shared" si="45"/>
        <v>0</v>
      </c>
      <c r="Q744" s="293">
        <f t="shared" si="46"/>
        <v>0</v>
      </c>
      <c r="S744" s="293">
        <f t="shared" si="47"/>
        <v>0</v>
      </c>
      <c r="U744" s="385"/>
      <c r="V744" s="385"/>
      <c r="W744" s="385"/>
      <c r="X744" s="385"/>
    </row>
    <row r="745" spans="4:24" s="277" customFormat="1" x14ac:dyDescent="0.3">
      <c r="D745" s="356" t="s">
        <v>839</v>
      </c>
      <c r="E745" s="356"/>
      <c r="F745" s="356"/>
      <c r="G745" s="356"/>
      <c r="I745" s="48">
        <v>0</v>
      </c>
      <c r="K745" s="48">
        <v>0</v>
      </c>
      <c r="M745" s="279">
        <f t="shared" si="44"/>
        <v>0</v>
      </c>
      <c r="O745" s="279">
        <f t="shared" si="45"/>
        <v>0</v>
      </c>
      <c r="Q745" s="293">
        <f t="shared" si="46"/>
        <v>0</v>
      </c>
      <c r="S745" s="293">
        <f t="shared" si="47"/>
        <v>0</v>
      </c>
      <c r="U745" s="385"/>
      <c r="V745" s="385"/>
      <c r="W745" s="385"/>
      <c r="X745" s="385"/>
    </row>
    <row r="746" spans="4:24" s="277" customFormat="1" x14ac:dyDescent="0.3">
      <c r="D746" s="356" t="s">
        <v>840</v>
      </c>
      <c r="E746" s="356"/>
      <c r="F746" s="356"/>
      <c r="G746" s="356"/>
      <c r="I746" s="48">
        <v>0</v>
      </c>
      <c r="K746" s="48">
        <v>0</v>
      </c>
      <c r="M746" s="279">
        <f t="shared" si="44"/>
        <v>0</v>
      </c>
      <c r="O746" s="279">
        <f t="shared" si="45"/>
        <v>0</v>
      </c>
      <c r="Q746" s="293">
        <f t="shared" si="46"/>
        <v>0</v>
      </c>
      <c r="S746" s="293">
        <f t="shared" si="47"/>
        <v>0</v>
      </c>
      <c r="U746" s="385"/>
      <c r="V746" s="385"/>
      <c r="W746" s="385"/>
      <c r="X746" s="385"/>
    </row>
    <row r="747" spans="4:24" s="277" customFormat="1" x14ac:dyDescent="0.3">
      <c r="D747" s="356" t="s">
        <v>841</v>
      </c>
      <c r="E747" s="356"/>
      <c r="F747" s="356"/>
      <c r="G747" s="356"/>
      <c r="I747" s="48">
        <v>0</v>
      </c>
      <c r="K747" s="48">
        <v>0</v>
      </c>
      <c r="M747" s="279">
        <f t="shared" si="44"/>
        <v>0</v>
      </c>
      <c r="O747" s="279">
        <f t="shared" si="45"/>
        <v>0</v>
      </c>
      <c r="Q747" s="293">
        <f t="shared" si="46"/>
        <v>0</v>
      </c>
      <c r="S747" s="293">
        <f t="shared" si="47"/>
        <v>0</v>
      </c>
      <c r="U747" s="385"/>
      <c r="V747" s="385"/>
      <c r="W747" s="385"/>
      <c r="X747" s="385"/>
    </row>
    <row r="748" spans="4:24" s="277" customFormat="1" x14ac:dyDescent="0.3">
      <c r="D748" s="356" t="s">
        <v>842</v>
      </c>
      <c r="E748" s="356"/>
      <c r="F748" s="356"/>
      <c r="G748" s="356"/>
      <c r="I748" s="48">
        <v>0</v>
      </c>
      <c r="K748" s="48">
        <v>0</v>
      </c>
      <c r="M748" s="279">
        <f t="shared" si="44"/>
        <v>0</v>
      </c>
      <c r="O748" s="279">
        <f t="shared" si="45"/>
        <v>0</v>
      </c>
      <c r="Q748" s="293">
        <f t="shared" si="46"/>
        <v>0</v>
      </c>
      <c r="S748" s="293">
        <f t="shared" si="47"/>
        <v>0</v>
      </c>
      <c r="U748" s="385"/>
      <c r="V748" s="385"/>
      <c r="W748" s="385"/>
      <c r="X748" s="385"/>
    </row>
    <row r="749" spans="4:24" s="277" customFormat="1" x14ac:dyDescent="0.3">
      <c r="D749" s="356" t="s">
        <v>843</v>
      </c>
      <c r="E749" s="356"/>
      <c r="F749" s="356"/>
      <c r="G749" s="356"/>
      <c r="I749" s="48">
        <v>0</v>
      </c>
      <c r="K749" s="48">
        <v>0</v>
      </c>
      <c r="M749" s="279">
        <f t="shared" si="44"/>
        <v>0</v>
      </c>
      <c r="O749" s="279">
        <f t="shared" si="45"/>
        <v>0</v>
      </c>
      <c r="Q749" s="293">
        <f t="shared" si="46"/>
        <v>0</v>
      </c>
      <c r="S749" s="293">
        <f t="shared" si="47"/>
        <v>0</v>
      </c>
      <c r="U749" s="385"/>
      <c r="V749" s="385"/>
      <c r="W749" s="385"/>
      <c r="X749" s="385"/>
    </row>
    <row r="750" spans="4:24" s="277" customFormat="1" x14ac:dyDescent="0.3">
      <c r="D750" s="356" t="s">
        <v>844</v>
      </c>
      <c r="E750" s="356"/>
      <c r="F750" s="356"/>
      <c r="G750" s="356"/>
      <c r="I750" s="48">
        <v>0</v>
      </c>
      <c r="K750" s="48">
        <v>0</v>
      </c>
      <c r="M750" s="279">
        <f t="shared" si="44"/>
        <v>0</v>
      </c>
      <c r="O750" s="279">
        <f t="shared" si="45"/>
        <v>0</v>
      </c>
      <c r="Q750" s="293">
        <f t="shared" si="46"/>
        <v>0</v>
      </c>
      <c r="S750" s="293">
        <f t="shared" si="47"/>
        <v>0</v>
      </c>
      <c r="U750" s="385"/>
      <c r="V750" s="385"/>
      <c r="W750" s="385"/>
      <c r="X750" s="385"/>
    </row>
    <row r="751" spans="4:24" s="277" customFormat="1" x14ac:dyDescent="0.3">
      <c r="D751" s="356" t="s">
        <v>845</v>
      </c>
      <c r="E751" s="356"/>
      <c r="F751" s="356"/>
      <c r="G751" s="356"/>
      <c r="I751" s="48">
        <v>0</v>
      </c>
      <c r="K751" s="48">
        <v>0</v>
      </c>
      <c r="M751" s="279">
        <f t="shared" si="44"/>
        <v>0</v>
      </c>
      <c r="O751" s="279">
        <f t="shared" si="45"/>
        <v>0</v>
      </c>
      <c r="Q751" s="293">
        <f t="shared" si="46"/>
        <v>0</v>
      </c>
      <c r="S751" s="293">
        <f t="shared" si="47"/>
        <v>0</v>
      </c>
      <c r="U751" s="385"/>
      <c r="V751" s="385"/>
      <c r="W751" s="385"/>
      <c r="X751" s="385"/>
    </row>
    <row r="752" spans="4:24" s="277" customFormat="1" x14ac:dyDescent="0.3">
      <c r="D752" s="356" t="s">
        <v>850</v>
      </c>
      <c r="E752" s="356"/>
      <c r="F752" s="356"/>
      <c r="G752" s="356"/>
      <c r="I752" s="48">
        <v>0</v>
      </c>
      <c r="K752" s="48">
        <v>0</v>
      </c>
      <c r="M752" s="279">
        <f t="shared" si="44"/>
        <v>0</v>
      </c>
      <c r="O752" s="279">
        <f t="shared" si="45"/>
        <v>0</v>
      </c>
      <c r="Q752" s="293">
        <f t="shared" si="46"/>
        <v>0</v>
      </c>
      <c r="S752" s="293">
        <f t="shared" si="47"/>
        <v>0</v>
      </c>
      <c r="U752" s="385"/>
      <c r="V752" s="385"/>
      <c r="W752" s="385"/>
      <c r="X752" s="385"/>
    </row>
    <row r="753" spans="3:24" s="277" customFormat="1" x14ac:dyDescent="0.3">
      <c r="D753" s="356" t="s">
        <v>851</v>
      </c>
      <c r="E753" s="356"/>
      <c r="F753" s="356"/>
      <c r="G753" s="356"/>
      <c r="I753" s="48">
        <v>0</v>
      </c>
      <c r="K753" s="48">
        <v>0</v>
      </c>
      <c r="M753" s="279">
        <f t="shared" si="44"/>
        <v>0</v>
      </c>
      <c r="O753" s="279">
        <f t="shared" si="45"/>
        <v>0</v>
      </c>
      <c r="Q753" s="293">
        <f t="shared" si="46"/>
        <v>0</v>
      </c>
      <c r="S753" s="293">
        <f t="shared" si="47"/>
        <v>0</v>
      </c>
      <c r="U753" s="385"/>
      <c r="V753" s="385"/>
      <c r="W753" s="385"/>
      <c r="X753" s="385"/>
    </row>
    <row r="754" spans="3:24" s="277" customFormat="1" x14ac:dyDescent="0.3">
      <c r="D754" s="356" t="s">
        <v>852</v>
      </c>
      <c r="E754" s="356"/>
      <c r="F754" s="356"/>
      <c r="G754" s="356"/>
      <c r="I754" s="48">
        <v>0</v>
      </c>
      <c r="K754" s="48">
        <v>0</v>
      </c>
      <c r="M754" s="279">
        <f t="shared" si="44"/>
        <v>0</v>
      </c>
      <c r="O754" s="279">
        <f t="shared" si="45"/>
        <v>0</v>
      </c>
      <c r="Q754" s="293">
        <f t="shared" si="46"/>
        <v>0</v>
      </c>
      <c r="S754" s="293">
        <f t="shared" si="47"/>
        <v>0</v>
      </c>
      <c r="U754" s="385"/>
      <c r="V754" s="385"/>
      <c r="W754" s="385"/>
      <c r="X754" s="385"/>
    </row>
    <row r="755" spans="3:24" s="277" customFormat="1" x14ac:dyDescent="0.3">
      <c r="D755" s="356" t="s">
        <v>853</v>
      </c>
      <c r="E755" s="356"/>
      <c r="F755" s="356"/>
      <c r="G755" s="356"/>
      <c r="I755" s="48">
        <v>0</v>
      </c>
      <c r="K755" s="48">
        <v>0</v>
      </c>
      <c r="M755" s="279">
        <f t="shared" si="44"/>
        <v>0</v>
      </c>
      <c r="O755" s="279">
        <f t="shared" si="45"/>
        <v>0</v>
      </c>
      <c r="Q755" s="293">
        <f t="shared" si="46"/>
        <v>0</v>
      </c>
      <c r="S755" s="293">
        <f t="shared" si="47"/>
        <v>0</v>
      </c>
      <c r="U755" s="385"/>
      <c r="V755" s="385"/>
      <c r="W755" s="385"/>
      <c r="X755" s="385"/>
    </row>
    <row r="756" spans="3:24" s="277" customFormat="1" x14ac:dyDescent="0.3">
      <c r="D756" s="356" t="s">
        <v>972</v>
      </c>
      <c r="E756" s="356"/>
      <c r="F756" s="356"/>
      <c r="G756" s="356"/>
      <c r="I756" s="48">
        <v>0</v>
      </c>
      <c r="K756" s="48">
        <v>0</v>
      </c>
      <c r="M756" s="279">
        <f t="shared" si="44"/>
        <v>0</v>
      </c>
      <c r="O756" s="279">
        <f t="shared" si="45"/>
        <v>0</v>
      </c>
      <c r="Q756" s="293">
        <f t="shared" si="46"/>
        <v>0</v>
      </c>
      <c r="S756" s="293">
        <f t="shared" si="47"/>
        <v>0</v>
      </c>
      <c r="U756" s="385"/>
      <c r="V756" s="385"/>
      <c r="W756" s="385"/>
      <c r="X756" s="385"/>
    </row>
    <row r="757" spans="3:24" s="277" customFormat="1" x14ac:dyDescent="0.3">
      <c r="D757" s="356" t="s">
        <v>977</v>
      </c>
      <c r="E757" s="356"/>
      <c r="F757" s="356"/>
      <c r="G757" s="356"/>
      <c r="I757" s="48">
        <v>0</v>
      </c>
      <c r="K757" s="48">
        <v>0</v>
      </c>
      <c r="M757" s="279">
        <f t="shared" si="44"/>
        <v>0</v>
      </c>
      <c r="O757" s="279">
        <f t="shared" si="45"/>
        <v>0</v>
      </c>
      <c r="Q757" s="293">
        <f t="shared" si="46"/>
        <v>0</v>
      </c>
      <c r="S757" s="293">
        <f t="shared" si="47"/>
        <v>0</v>
      </c>
      <c r="U757" s="385"/>
      <c r="V757" s="385"/>
      <c r="W757" s="385"/>
      <c r="X757" s="385"/>
    </row>
    <row r="758" spans="3:24" s="277" customFormat="1" x14ac:dyDescent="0.3">
      <c r="D758" s="356" t="s">
        <v>978</v>
      </c>
      <c r="E758" s="356"/>
      <c r="F758" s="356"/>
      <c r="G758" s="356"/>
      <c r="I758" s="48">
        <v>0</v>
      </c>
      <c r="K758" s="48">
        <v>0</v>
      </c>
      <c r="M758" s="279">
        <f t="shared" si="44"/>
        <v>0</v>
      </c>
      <c r="O758" s="279">
        <f t="shared" si="45"/>
        <v>0</v>
      </c>
      <c r="Q758" s="293">
        <f t="shared" si="46"/>
        <v>0</v>
      </c>
      <c r="S758" s="293">
        <f t="shared" si="47"/>
        <v>0</v>
      </c>
      <c r="U758" s="385"/>
      <c r="V758" s="385"/>
      <c r="W758" s="385"/>
      <c r="X758" s="385"/>
    </row>
    <row r="759" spans="3:24" s="277" customFormat="1" x14ac:dyDescent="0.3">
      <c r="D759" s="356" t="s">
        <v>979</v>
      </c>
      <c r="E759" s="356"/>
      <c r="F759" s="356"/>
      <c r="G759" s="356"/>
      <c r="I759" s="48">
        <v>0</v>
      </c>
      <c r="K759" s="48">
        <v>0</v>
      </c>
      <c r="M759" s="279">
        <f t="shared" si="44"/>
        <v>0</v>
      </c>
      <c r="O759" s="279">
        <f t="shared" si="45"/>
        <v>0</v>
      </c>
      <c r="Q759" s="293">
        <f t="shared" si="46"/>
        <v>0</v>
      </c>
      <c r="S759" s="293">
        <f t="shared" si="47"/>
        <v>0</v>
      </c>
      <c r="U759" s="385"/>
      <c r="V759" s="385"/>
      <c r="W759" s="385"/>
      <c r="X759" s="385"/>
    </row>
    <row r="760" spans="3:24" s="277" customFormat="1" x14ac:dyDescent="0.3">
      <c r="D760" s="356" t="s">
        <v>980</v>
      </c>
      <c r="E760" s="356"/>
      <c r="F760" s="356"/>
      <c r="G760" s="356"/>
      <c r="I760" s="48">
        <v>0</v>
      </c>
      <c r="K760" s="48">
        <v>0</v>
      </c>
      <c r="M760" s="279">
        <f t="shared" si="44"/>
        <v>0</v>
      </c>
      <c r="O760" s="279">
        <f t="shared" si="45"/>
        <v>0</v>
      </c>
      <c r="Q760" s="293">
        <f t="shared" si="46"/>
        <v>0</v>
      </c>
      <c r="S760" s="293">
        <f t="shared" si="47"/>
        <v>0</v>
      </c>
      <c r="U760" s="385"/>
      <c r="V760" s="385"/>
      <c r="W760" s="385"/>
      <c r="X760" s="385"/>
    </row>
    <row r="761" spans="3:24" ht="14.4" x14ac:dyDescent="0.3">
      <c r="D761" s="420" t="s">
        <v>82</v>
      </c>
      <c r="E761" s="421"/>
      <c r="F761" s="421"/>
      <c r="G761" s="421"/>
      <c r="I761" s="43"/>
      <c r="K761" s="43"/>
      <c r="M761" s="43"/>
      <c r="O761" s="43"/>
      <c r="Q761" s="294">
        <f>SUM(Q736:Q760)</f>
        <v>0</v>
      </c>
      <c r="S761" s="294">
        <f>SUM(S736:S760)</f>
        <v>0</v>
      </c>
    </row>
    <row r="765" spans="3:24" ht="15.6" x14ac:dyDescent="0.3">
      <c r="C765" s="92" t="s">
        <v>84</v>
      </c>
    </row>
    <row r="766" spans="3:24" ht="27.6" x14ac:dyDescent="0.3">
      <c r="D766" s="90" t="s">
        <v>102</v>
      </c>
      <c r="I766" s="91" t="s">
        <v>87</v>
      </c>
      <c r="K766" s="91" t="s">
        <v>432</v>
      </c>
      <c r="M766" s="42" t="s">
        <v>107</v>
      </c>
      <c r="O766" s="42" t="s">
        <v>108</v>
      </c>
      <c r="Q766" s="42" t="s">
        <v>105</v>
      </c>
      <c r="S766" s="42" t="s">
        <v>106</v>
      </c>
      <c r="U766" s="350" t="s">
        <v>185</v>
      </c>
      <c r="V766" s="351"/>
      <c r="W766" s="351"/>
      <c r="X766" s="351"/>
    </row>
    <row r="767" spans="3:24" x14ac:dyDescent="0.3">
      <c r="D767" s="356" t="s">
        <v>892</v>
      </c>
      <c r="E767" s="356"/>
      <c r="F767" s="356"/>
      <c r="G767" s="356"/>
      <c r="I767" s="48">
        <v>0</v>
      </c>
      <c r="K767" s="48">
        <v>0</v>
      </c>
      <c r="M767" s="40">
        <f t="shared" ref="M767:M791" si="48">IFERROR(IF(DD_ACT_9_Meet1_Curr=1,INDEX($M$939:$M$973,MATCH(D767,LU_ACT_9_Supplies,0)),INDEX($Q$939:$Q$973,MATCH(D767,LU_ACT_9_Supplies,0))),0)</f>
        <v>0</v>
      </c>
      <c r="O767" s="40">
        <f t="shared" ref="O767:O791" si="49">IFERROR(IF(DD_ACT_9_Meet1_Curr=1,INDEX($O$939:$O$973,MATCH(D767,LU_ACT_9_Supplies,0)),INDEX($S$939:$S$973,MATCH(D767,LU_ACT_9_Supplies,0))),0)</f>
        <v>0</v>
      </c>
      <c r="Q767" s="295">
        <f t="shared" ref="Q767:Q791" si="50">I767*K767*M767</f>
        <v>0</v>
      </c>
      <c r="S767" s="293">
        <f t="shared" ref="S767:S791" si="51">I767*K767*O767</f>
        <v>0</v>
      </c>
      <c r="U767" s="356"/>
      <c r="V767" s="356"/>
      <c r="W767" s="356"/>
      <c r="X767" s="356"/>
    </row>
    <row r="768" spans="3:24" x14ac:dyDescent="0.3">
      <c r="D768" s="356" t="s">
        <v>893</v>
      </c>
      <c r="E768" s="356"/>
      <c r="F768" s="356"/>
      <c r="G768" s="356"/>
      <c r="I768" s="48">
        <v>0</v>
      </c>
      <c r="K768" s="48">
        <v>0</v>
      </c>
      <c r="M768" s="40">
        <f t="shared" si="48"/>
        <v>0</v>
      </c>
      <c r="O768" s="40">
        <f t="shared" si="49"/>
        <v>0</v>
      </c>
      <c r="Q768" s="295">
        <f t="shared" si="50"/>
        <v>0</v>
      </c>
      <c r="S768" s="293">
        <f t="shared" si="51"/>
        <v>0</v>
      </c>
      <c r="U768" s="356"/>
      <c r="V768" s="356"/>
      <c r="W768" s="356"/>
      <c r="X768" s="356"/>
    </row>
    <row r="769" spans="4:24" s="277" customFormat="1" x14ac:dyDescent="0.3">
      <c r="D769" s="356" t="s">
        <v>854</v>
      </c>
      <c r="E769" s="356"/>
      <c r="F769" s="356"/>
      <c r="G769" s="356"/>
      <c r="I769" s="48">
        <v>0</v>
      </c>
      <c r="K769" s="48">
        <v>0</v>
      </c>
      <c r="M769" s="279">
        <f t="shared" si="48"/>
        <v>0</v>
      </c>
      <c r="O769" s="279">
        <f t="shared" si="49"/>
        <v>0</v>
      </c>
      <c r="Q769" s="295">
        <f t="shared" si="50"/>
        <v>0</v>
      </c>
      <c r="S769" s="293">
        <f t="shared" si="51"/>
        <v>0</v>
      </c>
      <c r="U769" s="385"/>
      <c r="V769" s="385"/>
      <c r="W769" s="385"/>
      <c r="X769" s="385"/>
    </row>
    <row r="770" spans="4:24" s="277" customFormat="1" x14ac:dyDescent="0.3">
      <c r="D770" s="356" t="s">
        <v>855</v>
      </c>
      <c r="E770" s="356"/>
      <c r="F770" s="356"/>
      <c r="G770" s="356"/>
      <c r="I770" s="48">
        <v>0</v>
      </c>
      <c r="K770" s="48">
        <v>0</v>
      </c>
      <c r="M770" s="279">
        <f t="shared" si="48"/>
        <v>0</v>
      </c>
      <c r="O770" s="279">
        <f t="shared" si="49"/>
        <v>0</v>
      </c>
      <c r="Q770" s="295">
        <f t="shared" si="50"/>
        <v>0</v>
      </c>
      <c r="S770" s="293">
        <f t="shared" si="51"/>
        <v>0</v>
      </c>
      <c r="U770" s="385"/>
      <c r="V770" s="385"/>
      <c r="W770" s="385"/>
      <c r="X770" s="385"/>
    </row>
    <row r="771" spans="4:24" s="277" customFormat="1" x14ac:dyDescent="0.3">
      <c r="D771" s="356" t="s">
        <v>856</v>
      </c>
      <c r="E771" s="356"/>
      <c r="F771" s="356"/>
      <c r="G771" s="356"/>
      <c r="I771" s="48">
        <v>0</v>
      </c>
      <c r="K771" s="48">
        <v>0</v>
      </c>
      <c r="M771" s="279">
        <f t="shared" si="48"/>
        <v>0</v>
      </c>
      <c r="O771" s="279">
        <f t="shared" si="49"/>
        <v>0</v>
      </c>
      <c r="Q771" s="295">
        <f t="shared" si="50"/>
        <v>0</v>
      </c>
      <c r="S771" s="293">
        <f t="shared" si="51"/>
        <v>0</v>
      </c>
      <c r="U771" s="385"/>
      <c r="V771" s="385"/>
      <c r="W771" s="385"/>
      <c r="X771" s="385"/>
    </row>
    <row r="772" spans="4:24" s="277" customFormat="1" x14ac:dyDescent="0.3">
      <c r="D772" s="356" t="s">
        <v>857</v>
      </c>
      <c r="E772" s="356"/>
      <c r="F772" s="356"/>
      <c r="G772" s="356"/>
      <c r="I772" s="48">
        <v>0</v>
      </c>
      <c r="K772" s="48">
        <v>0</v>
      </c>
      <c r="M772" s="279">
        <f t="shared" si="48"/>
        <v>0</v>
      </c>
      <c r="O772" s="279">
        <f t="shared" si="49"/>
        <v>0</v>
      </c>
      <c r="Q772" s="295">
        <f t="shared" si="50"/>
        <v>0</v>
      </c>
      <c r="S772" s="293">
        <f t="shared" si="51"/>
        <v>0</v>
      </c>
      <c r="U772" s="385"/>
      <c r="V772" s="385"/>
      <c r="W772" s="385"/>
      <c r="X772" s="385"/>
    </row>
    <row r="773" spans="4:24" s="277" customFormat="1" x14ac:dyDescent="0.3">
      <c r="D773" s="356" t="s">
        <v>858</v>
      </c>
      <c r="E773" s="356"/>
      <c r="F773" s="356"/>
      <c r="G773" s="356"/>
      <c r="I773" s="48">
        <v>0</v>
      </c>
      <c r="K773" s="48">
        <v>0</v>
      </c>
      <c r="M773" s="279">
        <f t="shared" si="48"/>
        <v>0</v>
      </c>
      <c r="O773" s="279">
        <f t="shared" si="49"/>
        <v>0</v>
      </c>
      <c r="Q773" s="295">
        <f t="shared" si="50"/>
        <v>0</v>
      </c>
      <c r="S773" s="293">
        <f t="shared" si="51"/>
        <v>0</v>
      </c>
      <c r="U773" s="385"/>
      <c r="V773" s="385"/>
      <c r="W773" s="385"/>
      <c r="X773" s="385"/>
    </row>
    <row r="774" spans="4:24" s="277" customFormat="1" x14ac:dyDescent="0.3">
      <c r="D774" s="356" t="s">
        <v>859</v>
      </c>
      <c r="E774" s="356"/>
      <c r="F774" s="356"/>
      <c r="G774" s="356"/>
      <c r="I774" s="48">
        <v>0</v>
      </c>
      <c r="K774" s="48">
        <v>0</v>
      </c>
      <c r="M774" s="279">
        <f t="shared" si="48"/>
        <v>0</v>
      </c>
      <c r="O774" s="279">
        <f t="shared" si="49"/>
        <v>0</v>
      </c>
      <c r="Q774" s="295">
        <f t="shared" si="50"/>
        <v>0</v>
      </c>
      <c r="S774" s="293">
        <f t="shared" si="51"/>
        <v>0</v>
      </c>
      <c r="U774" s="385"/>
      <c r="V774" s="385"/>
      <c r="W774" s="385"/>
      <c r="X774" s="385"/>
    </row>
    <row r="775" spans="4:24" s="277" customFormat="1" x14ac:dyDescent="0.3">
      <c r="D775" s="356" t="s">
        <v>860</v>
      </c>
      <c r="E775" s="356"/>
      <c r="F775" s="356"/>
      <c r="G775" s="356"/>
      <c r="I775" s="48">
        <v>0</v>
      </c>
      <c r="K775" s="48">
        <v>0</v>
      </c>
      <c r="M775" s="279">
        <f t="shared" si="48"/>
        <v>0</v>
      </c>
      <c r="O775" s="279">
        <f t="shared" si="49"/>
        <v>0</v>
      </c>
      <c r="Q775" s="295">
        <f t="shared" si="50"/>
        <v>0</v>
      </c>
      <c r="S775" s="293">
        <f t="shared" si="51"/>
        <v>0</v>
      </c>
      <c r="U775" s="385"/>
      <c r="V775" s="385"/>
      <c r="W775" s="385"/>
      <c r="X775" s="385"/>
    </row>
    <row r="776" spans="4:24" s="277" customFormat="1" x14ac:dyDescent="0.3">
      <c r="D776" s="356" t="s">
        <v>861</v>
      </c>
      <c r="E776" s="356"/>
      <c r="F776" s="356"/>
      <c r="G776" s="356"/>
      <c r="I776" s="48">
        <v>0</v>
      </c>
      <c r="K776" s="48">
        <v>0</v>
      </c>
      <c r="M776" s="279">
        <f t="shared" si="48"/>
        <v>0</v>
      </c>
      <c r="O776" s="279">
        <f t="shared" si="49"/>
        <v>0</v>
      </c>
      <c r="Q776" s="295">
        <f t="shared" si="50"/>
        <v>0</v>
      </c>
      <c r="S776" s="293">
        <f t="shared" si="51"/>
        <v>0</v>
      </c>
      <c r="U776" s="385"/>
      <c r="V776" s="385"/>
      <c r="W776" s="385"/>
      <c r="X776" s="385"/>
    </row>
    <row r="777" spans="4:24" s="277" customFormat="1" x14ac:dyDescent="0.3">
      <c r="D777" s="356" t="s">
        <v>862</v>
      </c>
      <c r="E777" s="356"/>
      <c r="F777" s="356"/>
      <c r="G777" s="356"/>
      <c r="I777" s="48">
        <v>0</v>
      </c>
      <c r="K777" s="48">
        <v>0</v>
      </c>
      <c r="M777" s="279">
        <f t="shared" si="48"/>
        <v>0</v>
      </c>
      <c r="O777" s="279">
        <f t="shared" si="49"/>
        <v>0</v>
      </c>
      <c r="Q777" s="295">
        <f t="shared" si="50"/>
        <v>0</v>
      </c>
      <c r="S777" s="293">
        <f t="shared" si="51"/>
        <v>0</v>
      </c>
      <c r="U777" s="385"/>
      <c r="V777" s="385"/>
      <c r="W777" s="385"/>
      <c r="X777" s="385"/>
    </row>
    <row r="778" spans="4:24" s="277" customFormat="1" x14ac:dyDescent="0.3">
      <c r="D778" s="356" t="s">
        <v>863</v>
      </c>
      <c r="E778" s="356"/>
      <c r="F778" s="356"/>
      <c r="G778" s="356"/>
      <c r="I778" s="48">
        <v>0</v>
      </c>
      <c r="K778" s="48">
        <v>0</v>
      </c>
      <c r="M778" s="279">
        <f t="shared" si="48"/>
        <v>0</v>
      </c>
      <c r="O778" s="279">
        <f t="shared" si="49"/>
        <v>0</v>
      </c>
      <c r="Q778" s="295">
        <f t="shared" si="50"/>
        <v>0</v>
      </c>
      <c r="S778" s="293">
        <f t="shared" si="51"/>
        <v>0</v>
      </c>
      <c r="U778" s="385"/>
      <c r="V778" s="385"/>
      <c r="W778" s="385"/>
      <c r="X778" s="385"/>
    </row>
    <row r="779" spans="4:24" s="277" customFormat="1" x14ac:dyDescent="0.3">
      <c r="D779" s="356" t="s">
        <v>864</v>
      </c>
      <c r="E779" s="356"/>
      <c r="F779" s="356"/>
      <c r="G779" s="356"/>
      <c r="I779" s="48">
        <v>0</v>
      </c>
      <c r="K779" s="48">
        <v>0</v>
      </c>
      <c r="M779" s="279">
        <f t="shared" si="48"/>
        <v>0</v>
      </c>
      <c r="O779" s="279">
        <f t="shared" si="49"/>
        <v>0</v>
      </c>
      <c r="Q779" s="295">
        <f t="shared" si="50"/>
        <v>0</v>
      </c>
      <c r="S779" s="293">
        <f t="shared" si="51"/>
        <v>0</v>
      </c>
      <c r="U779" s="385"/>
      <c r="V779" s="385"/>
      <c r="W779" s="385"/>
      <c r="X779" s="385"/>
    </row>
    <row r="780" spans="4:24" s="277" customFormat="1" x14ac:dyDescent="0.3">
      <c r="D780" s="356" t="s">
        <v>865</v>
      </c>
      <c r="E780" s="356"/>
      <c r="F780" s="356"/>
      <c r="G780" s="356"/>
      <c r="I780" s="48">
        <v>0</v>
      </c>
      <c r="K780" s="48">
        <v>0</v>
      </c>
      <c r="M780" s="279">
        <f t="shared" si="48"/>
        <v>0</v>
      </c>
      <c r="O780" s="279">
        <f t="shared" si="49"/>
        <v>0</v>
      </c>
      <c r="Q780" s="295">
        <f t="shared" si="50"/>
        <v>0</v>
      </c>
      <c r="S780" s="293">
        <f t="shared" si="51"/>
        <v>0</v>
      </c>
      <c r="U780" s="385"/>
      <c r="V780" s="385"/>
      <c r="W780" s="385"/>
      <c r="X780" s="385"/>
    </row>
    <row r="781" spans="4:24" s="277" customFormat="1" x14ac:dyDescent="0.3">
      <c r="D781" s="356" t="s">
        <v>866</v>
      </c>
      <c r="E781" s="356"/>
      <c r="F781" s="356"/>
      <c r="G781" s="356"/>
      <c r="I781" s="48">
        <v>0</v>
      </c>
      <c r="K781" s="48">
        <v>0</v>
      </c>
      <c r="M781" s="279">
        <f t="shared" si="48"/>
        <v>0</v>
      </c>
      <c r="O781" s="279">
        <f t="shared" si="49"/>
        <v>0</v>
      </c>
      <c r="Q781" s="295">
        <f t="shared" si="50"/>
        <v>0</v>
      </c>
      <c r="S781" s="293">
        <f t="shared" si="51"/>
        <v>0</v>
      </c>
      <c r="U781" s="385"/>
      <c r="V781" s="385"/>
      <c r="W781" s="385"/>
      <c r="X781" s="385"/>
    </row>
    <row r="782" spans="4:24" s="277" customFormat="1" x14ac:dyDescent="0.3">
      <c r="D782" s="356" t="s">
        <v>867</v>
      </c>
      <c r="E782" s="356"/>
      <c r="F782" s="356"/>
      <c r="G782" s="356"/>
      <c r="I782" s="48">
        <v>0</v>
      </c>
      <c r="K782" s="48">
        <v>0</v>
      </c>
      <c r="M782" s="279">
        <f t="shared" si="48"/>
        <v>0</v>
      </c>
      <c r="O782" s="279">
        <f t="shared" si="49"/>
        <v>0</v>
      </c>
      <c r="Q782" s="295">
        <f t="shared" si="50"/>
        <v>0</v>
      </c>
      <c r="S782" s="293">
        <f t="shared" si="51"/>
        <v>0</v>
      </c>
      <c r="U782" s="385"/>
      <c r="V782" s="385"/>
      <c r="W782" s="385"/>
      <c r="X782" s="385"/>
    </row>
    <row r="783" spans="4:24" s="277" customFormat="1" x14ac:dyDescent="0.3">
      <c r="D783" s="356" t="s">
        <v>868</v>
      </c>
      <c r="E783" s="356"/>
      <c r="F783" s="356"/>
      <c r="G783" s="356"/>
      <c r="I783" s="48">
        <v>0</v>
      </c>
      <c r="K783" s="48">
        <v>0</v>
      </c>
      <c r="M783" s="279">
        <f t="shared" si="48"/>
        <v>0</v>
      </c>
      <c r="O783" s="279">
        <f t="shared" si="49"/>
        <v>0</v>
      </c>
      <c r="Q783" s="295">
        <f t="shared" si="50"/>
        <v>0</v>
      </c>
      <c r="S783" s="293">
        <f t="shared" si="51"/>
        <v>0</v>
      </c>
      <c r="U783" s="385"/>
      <c r="V783" s="385"/>
      <c r="W783" s="385"/>
      <c r="X783" s="385"/>
    </row>
    <row r="784" spans="4:24" s="277" customFormat="1" x14ac:dyDescent="0.3">
      <c r="D784" s="356" t="s">
        <v>869</v>
      </c>
      <c r="E784" s="356"/>
      <c r="F784" s="356"/>
      <c r="G784" s="356"/>
      <c r="I784" s="48">
        <v>0</v>
      </c>
      <c r="K784" s="48">
        <v>0</v>
      </c>
      <c r="M784" s="279">
        <f t="shared" si="48"/>
        <v>0</v>
      </c>
      <c r="O784" s="279">
        <f t="shared" si="49"/>
        <v>0</v>
      </c>
      <c r="Q784" s="295">
        <f t="shared" si="50"/>
        <v>0</v>
      </c>
      <c r="S784" s="293">
        <f t="shared" si="51"/>
        <v>0</v>
      </c>
      <c r="U784" s="385"/>
      <c r="V784" s="385"/>
      <c r="W784" s="385"/>
      <c r="X784" s="385"/>
    </row>
    <row r="785" spans="3:24" s="277" customFormat="1" x14ac:dyDescent="0.3">
      <c r="D785" s="356" t="s">
        <v>870</v>
      </c>
      <c r="E785" s="356"/>
      <c r="F785" s="356"/>
      <c r="G785" s="356"/>
      <c r="I785" s="48">
        <v>0</v>
      </c>
      <c r="K785" s="48">
        <v>0</v>
      </c>
      <c r="M785" s="279">
        <f t="shared" si="48"/>
        <v>0</v>
      </c>
      <c r="O785" s="279">
        <f t="shared" si="49"/>
        <v>0</v>
      </c>
      <c r="Q785" s="295">
        <f t="shared" si="50"/>
        <v>0</v>
      </c>
      <c r="S785" s="293">
        <f t="shared" si="51"/>
        <v>0</v>
      </c>
      <c r="U785" s="385"/>
      <c r="V785" s="385"/>
      <c r="W785" s="385"/>
      <c r="X785" s="385"/>
    </row>
    <row r="786" spans="3:24" s="277" customFormat="1" x14ac:dyDescent="0.3">
      <c r="D786" s="356" t="s">
        <v>871</v>
      </c>
      <c r="E786" s="356"/>
      <c r="F786" s="356"/>
      <c r="G786" s="356"/>
      <c r="I786" s="48">
        <v>0</v>
      </c>
      <c r="K786" s="48">
        <v>0</v>
      </c>
      <c r="M786" s="279">
        <f t="shared" si="48"/>
        <v>0</v>
      </c>
      <c r="O786" s="279">
        <f t="shared" si="49"/>
        <v>0</v>
      </c>
      <c r="Q786" s="295">
        <f t="shared" si="50"/>
        <v>0</v>
      </c>
      <c r="S786" s="293">
        <f t="shared" si="51"/>
        <v>0</v>
      </c>
      <c r="U786" s="385"/>
      <c r="V786" s="385"/>
      <c r="W786" s="385"/>
      <c r="X786" s="385"/>
    </row>
    <row r="787" spans="3:24" s="277" customFormat="1" x14ac:dyDescent="0.3">
      <c r="D787" s="356" t="s">
        <v>981</v>
      </c>
      <c r="E787" s="356"/>
      <c r="F787" s="356"/>
      <c r="G787" s="356"/>
      <c r="I787" s="48">
        <v>0</v>
      </c>
      <c r="K787" s="48">
        <v>0</v>
      </c>
      <c r="M787" s="279">
        <f t="shared" si="48"/>
        <v>0</v>
      </c>
      <c r="O787" s="279">
        <f t="shared" si="49"/>
        <v>0</v>
      </c>
      <c r="Q787" s="295">
        <f t="shared" si="50"/>
        <v>0</v>
      </c>
      <c r="S787" s="293">
        <f t="shared" si="51"/>
        <v>0</v>
      </c>
      <c r="U787" s="385"/>
      <c r="V787" s="385"/>
      <c r="W787" s="385"/>
      <c r="X787" s="385"/>
    </row>
    <row r="788" spans="3:24" s="277" customFormat="1" x14ac:dyDescent="0.3">
      <c r="D788" s="356" t="s">
        <v>982</v>
      </c>
      <c r="E788" s="356"/>
      <c r="F788" s="356"/>
      <c r="G788" s="356"/>
      <c r="I788" s="48">
        <v>0</v>
      </c>
      <c r="K788" s="48">
        <v>0</v>
      </c>
      <c r="M788" s="279">
        <f t="shared" si="48"/>
        <v>0</v>
      </c>
      <c r="O788" s="279">
        <f t="shared" si="49"/>
        <v>0</v>
      </c>
      <c r="Q788" s="295">
        <f t="shared" si="50"/>
        <v>0</v>
      </c>
      <c r="S788" s="293">
        <f t="shared" si="51"/>
        <v>0</v>
      </c>
      <c r="U788" s="385"/>
      <c r="V788" s="385"/>
      <c r="W788" s="385"/>
      <c r="X788" s="385"/>
    </row>
    <row r="789" spans="3:24" s="277" customFormat="1" x14ac:dyDescent="0.3">
      <c r="D789" s="356" t="s">
        <v>983</v>
      </c>
      <c r="E789" s="356"/>
      <c r="F789" s="356"/>
      <c r="G789" s="356"/>
      <c r="I789" s="48">
        <v>0</v>
      </c>
      <c r="K789" s="48">
        <v>0</v>
      </c>
      <c r="M789" s="279">
        <f t="shared" si="48"/>
        <v>0</v>
      </c>
      <c r="O789" s="279">
        <f t="shared" si="49"/>
        <v>0</v>
      </c>
      <c r="Q789" s="295">
        <f t="shared" si="50"/>
        <v>0</v>
      </c>
      <c r="S789" s="293">
        <f t="shared" si="51"/>
        <v>0</v>
      </c>
      <c r="U789" s="385"/>
      <c r="V789" s="385"/>
      <c r="W789" s="385"/>
      <c r="X789" s="385"/>
    </row>
    <row r="790" spans="3:24" s="277" customFormat="1" x14ac:dyDescent="0.3">
      <c r="D790" s="356" t="s">
        <v>984</v>
      </c>
      <c r="E790" s="356"/>
      <c r="F790" s="356"/>
      <c r="G790" s="356"/>
      <c r="I790" s="48">
        <v>0</v>
      </c>
      <c r="K790" s="48">
        <v>0</v>
      </c>
      <c r="M790" s="279">
        <f t="shared" si="48"/>
        <v>0</v>
      </c>
      <c r="O790" s="279">
        <f t="shared" si="49"/>
        <v>0</v>
      </c>
      <c r="Q790" s="295">
        <f t="shared" si="50"/>
        <v>0</v>
      </c>
      <c r="S790" s="293">
        <f t="shared" si="51"/>
        <v>0</v>
      </c>
      <c r="U790" s="385"/>
      <c r="V790" s="385"/>
      <c r="W790" s="385"/>
      <c r="X790" s="385"/>
    </row>
    <row r="791" spans="3:24" s="277" customFormat="1" x14ac:dyDescent="0.3">
      <c r="D791" s="356" t="s">
        <v>985</v>
      </c>
      <c r="E791" s="356"/>
      <c r="F791" s="356"/>
      <c r="G791" s="356"/>
      <c r="I791" s="48">
        <v>0</v>
      </c>
      <c r="K791" s="48">
        <v>0</v>
      </c>
      <c r="M791" s="279">
        <f t="shared" si="48"/>
        <v>0</v>
      </c>
      <c r="O791" s="279">
        <f t="shared" si="49"/>
        <v>0</v>
      </c>
      <c r="Q791" s="295">
        <f t="shared" si="50"/>
        <v>0</v>
      </c>
      <c r="S791" s="293">
        <f t="shared" si="51"/>
        <v>0</v>
      </c>
      <c r="U791" s="385"/>
      <c r="V791" s="385"/>
      <c r="W791" s="385"/>
      <c r="X791" s="385"/>
    </row>
    <row r="792" spans="3:24" ht="14.4" x14ac:dyDescent="0.3">
      <c r="D792" s="420" t="s">
        <v>85</v>
      </c>
      <c r="E792" s="421"/>
      <c r="F792" s="421"/>
      <c r="G792" s="421"/>
      <c r="I792" s="43"/>
      <c r="K792" s="43"/>
      <c r="M792" s="43"/>
      <c r="O792" s="43"/>
      <c r="Q792" s="296">
        <f>SUM(Q767:Q791)</f>
        <v>0</v>
      </c>
      <c r="S792" s="294">
        <f>SUM(S767:S791)</f>
        <v>0</v>
      </c>
      <c r="U792" s="43"/>
      <c r="V792" s="43"/>
      <c r="W792" s="43"/>
      <c r="X792" s="43"/>
    </row>
    <row r="794" spans="3:24" ht="27.6" x14ac:dyDescent="0.3">
      <c r="C794" s="92" t="s">
        <v>130</v>
      </c>
      <c r="Q794" s="44" t="str">
        <f>"FINANCIAL COST ("&amp;INDEX(LU_ACT_9_Meet_Curr,DD_ACT_9_Meet1_Curr)&amp;")"</f>
        <v>FINANCIAL COST (GOZ)</v>
      </c>
      <c r="S794" s="44" t="str">
        <f>"ECONOMIC COST ("&amp;INDEX(LU_ACT_9_Meet_Curr,DD_ACT_9_Meet1_Curr)&amp;")"</f>
        <v>ECONOMIC COST (GOZ)</v>
      </c>
    </row>
    <row r="795" spans="3:24" ht="14.4" x14ac:dyDescent="0.3">
      <c r="D795" s="90" t="s">
        <v>86</v>
      </c>
      <c r="I795" s="91" t="s">
        <v>186</v>
      </c>
      <c r="M795" s="91" t="s">
        <v>81</v>
      </c>
      <c r="O795" s="91" t="s">
        <v>83</v>
      </c>
      <c r="U795" s="350" t="s">
        <v>185</v>
      </c>
      <c r="V795" s="351"/>
      <c r="W795" s="351"/>
      <c r="X795" s="351"/>
    </row>
    <row r="796" spans="3:24" x14ac:dyDescent="0.3">
      <c r="D796" s="356" t="s">
        <v>70</v>
      </c>
      <c r="E796" s="356"/>
      <c r="F796" s="356"/>
      <c r="G796" s="356"/>
      <c r="I796" s="48">
        <v>0</v>
      </c>
      <c r="M796" s="40">
        <f t="shared" ref="M796:M820" si="52">IFERROR(IF(DD_ACT_9_Meet1_Curr=1,INDEX($M$976:$M$1010,MATCH(D796,LU_ACT_9_Equipment,0)),INDEX($Q$976:$Q$1010,MATCH(D796,LU_ACT_9_Equipment,0))),0)</f>
        <v>0</v>
      </c>
      <c r="O796" s="40">
        <f t="shared" ref="O796:O820" si="53">IFERROR(IF(DD_ACT_9_Meet1_Curr=1,INDEX($O$976:$O$1010,MATCH(D796,LU_ACT_9_Equipment,0)),INDEX($S$976:$S$1010,MATCH(D796,LU_ACT_9_Equipment,0))),0)</f>
        <v>0</v>
      </c>
      <c r="Q796" s="279">
        <f t="shared" ref="Q796:Q820" si="54">I796*M796</f>
        <v>0</v>
      </c>
      <c r="S796" s="279">
        <f t="shared" ref="S796:S820" si="55">I796*O796</f>
        <v>0</v>
      </c>
      <c r="U796" s="356"/>
      <c r="V796" s="356"/>
      <c r="W796" s="356"/>
      <c r="X796" s="356"/>
    </row>
    <row r="797" spans="3:24" x14ac:dyDescent="0.3">
      <c r="D797" s="356" t="s">
        <v>122</v>
      </c>
      <c r="E797" s="356"/>
      <c r="F797" s="356"/>
      <c r="G797" s="356"/>
      <c r="I797" s="48">
        <v>0</v>
      </c>
      <c r="M797" s="40">
        <f t="shared" si="52"/>
        <v>0</v>
      </c>
      <c r="O797" s="40">
        <f t="shared" si="53"/>
        <v>0</v>
      </c>
      <c r="Q797" s="279">
        <f t="shared" si="54"/>
        <v>0</v>
      </c>
      <c r="S797" s="279">
        <f t="shared" si="55"/>
        <v>0</v>
      </c>
      <c r="U797" s="356"/>
      <c r="V797" s="356"/>
      <c r="W797" s="356"/>
      <c r="X797" s="356"/>
    </row>
    <row r="798" spans="3:24" s="277" customFormat="1" x14ac:dyDescent="0.3">
      <c r="D798" s="356" t="s">
        <v>872</v>
      </c>
      <c r="E798" s="356"/>
      <c r="F798" s="356"/>
      <c r="G798" s="356"/>
      <c r="I798" s="48">
        <v>0</v>
      </c>
      <c r="M798" s="279">
        <f t="shared" si="52"/>
        <v>0</v>
      </c>
      <c r="O798" s="279">
        <f t="shared" si="53"/>
        <v>0</v>
      </c>
      <c r="Q798" s="279">
        <f t="shared" si="54"/>
        <v>0</v>
      </c>
      <c r="S798" s="279">
        <f t="shared" si="55"/>
        <v>0</v>
      </c>
      <c r="U798" s="385"/>
      <c r="V798" s="385"/>
      <c r="W798" s="385"/>
      <c r="X798" s="385"/>
    </row>
    <row r="799" spans="3:24" s="277" customFormat="1" x14ac:dyDescent="0.3">
      <c r="D799" s="356" t="s">
        <v>873</v>
      </c>
      <c r="E799" s="356"/>
      <c r="F799" s="356"/>
      <c r="G799" s="356"/>
      <c r="I799" s="48">
        <v>0</v>
      </c>
      <c r="M799" s="279">
        <f t="shared" si="52"/>
        <v>0</v>
      </c>
      <c r="O799" s="279">
        <f t="shared" si="53"/>
        <v>0</v>
      </c>
      <c r="Q799" s="279">
        <f t="shared" si="54"/>
        <v>0</v>
      </c>
      <c r="S799" s="279">
        <f t="shared" si="55"/>
        <v>0</v>
      </c>
      <c r="U799" s="385"/>
      <c r="V799" s="385"/>
      <c r="W799" s="385"/>
      <c r="X799" s="385"/>
    </row>
    <row r="800" spans="3:24" s="277" customFormat="1" x14ac:dyDescent="0.3">
      <c r="D800" s="356" t="s">
        <v>874</v>
      </c>
      <c r="E800" s="356"/>
      <c r="F800" s="356"/>
      <c r="G800" s="356"/>
      <c r="I800" s="48">
        <v>0</v>
      </c>
      <c r="M800" s="279">
        <f t="shared" si="52"/>
        <v>0</v>
      </c>
      <c r="O800" s="279">
        <f t="shared" si="53"/>
        <v>0</v>
      </c>
      <c r="Q800" s="279">
        <f t="shared" si="54"/>
        <v>0</v>
      </c>
      <c r="S800" s="279">
        <f t="shared" si="55"/>
        <v>0</v>
      </c>
      <c r="U800" s="385"/>
      <c r="V800" s="385"/>
      <c r="W800" s="385"/>
      <c r="X800" s="385"/>
    </row>
    <row r="801" spans="4:24" s="277" customFormat="1" x14ac:dyDescent="0.3">
      <c r="D801" s="356" t="s">
        <v>875</v>
      </c>
      <c r="E801" s="356"/>
      <c r="F801" s="356"/>
      <c r="G801" s="356"/>
      <c r="I801" s="48">
        <v>0</v>
      </c>
      <c r="M801" s="279">
        <f t="shared" si="52"/>
        <v>0</v>
      </c>
      <c r="O801" s="279">
        <f t="shared" si="53"/>
        <v>0</v>
      </c>
      <c r="Q801" s="279">
        <f t="shared" si="54"/>
        <v>0</v>
      </c>
      <c r="S801" s="279">
        <f t="shared" si="55"/>
        <v>0</v>
      </c>
      <c r="U801" s="385"/>
      <c r="V801" s="385"/>
      <c r="W801" s="385"/>
      <c r="X801" s="385"/>
    </row>
    <row r="802" spans="4:24" s="277" customFormat="1" x14ac:dyDescent="0.3">
      <c r="D802" s="356" t="s">
        <v>778</v>
      </c>
      <c r="E802" s="356"/>
      <c r="F802" s="356"/>
      <c r="G802" s="356"/>
      <c r="I802" s="48">
        <v>0</v>
      </c>
      <c r="M802" s="279">
        <f t="shared" si="52"/>
        <v>0</v>
      </c>
      <c r="O802" s="279">
        <f t="shared" si="53"/>
        <v>0</v>
      </c>
      <c r="Q802" s="279">
        <f t="shared" si="54"/>
        <v>0</v>
      </c>
      <c r="S802" s="279">
        <f t="shared" si="55"/>
        <v>0</v>
      </c>
      <c r="U802" s="385"/>
      <c r="V802" s="385"/>
      <c r="W802" s="385"/>
      <c r="X802" s="385"/>
    </row>
    <row r="803" spans="4:24" s="277" customFormat="1" x14ac:dyDescent="0.3">
      <c r="D803" s="356" t="s">
        <v>779</v>
      </c>
      <c r="E803" s="356"/>
      <c r="F803" s="356"/>
      <c r="G803" s="356"/>
      <c r="I803" s="48">
        <v>0</v>
      </c>
      <c r="M803" s="279">
        <f t="shared" si="52"/>
        <v>0</v>
      </c>
      <c r="O803" s="279">
        <f t="shared" si="53"/>
        <v>0</v>
      </c>
      <c r="Q803" s="279">
        <f t="shared" si="54"/>
        <v>0</v>
      </c>
      <c r="S803" s="279">
        <f t="shared" si="55"/>
        <v>0</v>
      </c>
      <c r="U803" s="385"/>
      <c r="V803" s="385"/>
      <c r="W803" s="385"/>
      <c r="X803" s="385"/>
    </row>
    <row r="804" spans="4:24" s="277" customFormat="1" x14ac:dyDescent="0.3">
      <c r="D804" s="356" t="s">
        <v>780</v>
      </c>
      <c r="E804" s="356"/>
      <c r="F804" s="356"/>
      <c r="G804" s="356"/>
      <c r="I804" s="48">
        <v>0</v>
      </c>
      <c r="M804" s="279">
        <f t="shared" si="52"/>
        <v>0</v>
      </c>
      <c r="O804" s="279">
        <f t="shared" si="53"/>
        <v>0</v>
      </c>
      <c r="Q804" s="279">
        <f t="shared" si="54"/>
        <v>0</v>
      </c>
      <c r="S804" s="279">
        <f t="shared" si="55"/>
        <v>0</v>
      </c>
      <c r="U804" s="385"/>
      <c r="V804" s="385"/>
      <c r="W804" s="385"/>
      <c r="X804" s="385"/>
    </row>
    <row r="805" spans="4:24" s="277" customFormat="1" x14ac:dyDescent="0.3">
      <c r="D805" s="356" t="s">
        <v>781</v>
      </c>
      <c r="E805" s="356"/>
      <c r="F805" s="356"/>
      <c r="G805" s="356"/>
      <c r="I805" s="48">
        <v>0</v>
      </c>
      <c r="M805" s="279">
        <f t="shared" si="52"/>
        <v>0</v>
      </c>
      <c r="O805" s="279">
        <f t="shared" si="53"/>
        <v>0</v>
      </c>
      <c r="Q805" s="279">
        <f t="shared" si="54"/>
        <v>0</v>
      </c>
      <c r="S805" s="279">
        <f t="shared" si="55"/>
        <v>0</v>
      </c>
      <c r="U805" s="385"/>
      <c r="V805" s="385"/>
      <c r="W805" s="385"/>
      <c r="X805" s="385"/>
    </row>
    <row r="806" spans="4:24" s="277" customFormat="1" x14ac:dyDescent="0.3">
      <c r="D806" s="356" t="s">
        <v>782</v>
      </c>
      <c r="E806" s="356"/>
      <c r="F806" s="356"/>
      <c r="G806" s="356"/>
      <c r="I806" s="48">
        <v>0</v>
      </c>
      <c r="M806" s="279">
        <f t="shared" si="52"/>
        <v>0</v>
      </c>
      <c r="O806" s="279">
        <f t="shared" si="53"/>
        <v>0</v>
      </c>
      <c r="Q806" s="279">
        <f t="shared" si="54"/>
        <v>0</v>
      </c>
      <c r="S806" s="279">
        <f t="shared" si="55"/>
        <v>0</v>
      </c>
      <c r="U806" s="385"/>
      <c r="V806" s="385"/>
      <c r="W806" s="385"/>
      <c r="X806" s="385"/>
    </row>
    <row r="807" spans="4:24" s="277" customFormat="1" x14ac:dyDescent="0.3">
      <c r="D807" s="356" t="s">
        <v>783</v>
      </c>
      <c r="E807" s="356"/>
      <c r="F807" s="356"/>
      <c r="G807" s="356"/>
      <c r="I807" s="48">
        <v>0</v>
      </c>
      <c r="M807" s="279">
        <f t="shared" si="52"/>
        <v>0</v>
      </c>
      <c r="O807" s="279">
        <f t="shared" si="53"/>
        <v>0</v>
      </c>
      <c r="Q807" s="279">
        <f t="shared" si="54"/>
        <v>0</v>
      </c>
      <c r="S807" s="279">
        <f t="shared" si="55"/>
        <v>0</v>
      </c>
      <c r="U807" s="385"/>
      <c r="V807" s="385"/>
      <c r="W807" s="385"/>
      <c r="X807" s="385"/>
    </row>
    <row r="808" spans="4:24" s="277" customFormat="1" x14ac:dyDescent="0.3">
      <c r="D808" s="356" t="s">
        <v>784</v>
      </c>
      <c r="E808" s="356"/>
      <c r="F808" s="356"/>
      <c r="G808" s="356"/>
      <c r="I808" s="48">
        <v>0</v>
      </c>
      <c r="M808" s="279">
        <f t="shared" si="52"/>
        <v>0</v>
      </c>
      <c r="O808" s="279">
        <f t="shared" si="53"/>
        <v>0</v>
      </c>
      <c r="Q808" s="279">
        <f t="shared" si="54"/>
        <v>0</v>
      </c>
      <c r="S808" s="279">
        <f t="shared" si="55"/>
        <v>0</v>
      </c>
      <c r="U808" s="385"/>
      <c r="V808" s="385"/>
      <c r="W808" s="385"/>
      <c r="X808" s="385"/>
    </row>
    <row r="809" spans="4:24" s="277" customFormat="1" x14ac:dyDescent="0.3">
      <c r="D809" s="356" t="s">
        <v>785</v>
      </c>
      <c r="E809" s="356"/>
      <c r="F809" s="356"/>
      <c r="G809" s="356"/>
      <c r="I809" s="48">
        <v>0</v>
      </c>
      <c r="M809" s="279">
        <f t="shared" si="52"/>
        <v>0</v>
      </c>
      <c r="O809" s="279">
        <f t="shared" si="53"/>
        <v>0</v>
      </c>
      <c r="Q809" s="279">
        <f t="shared" si="54"/>
        <v>0</v>
      </c>
      <c r="S809" s="279">
        <f t="shared" si="55"/>
        <v>0</v>
      </c>
      <c r="U809" s="385"/>
      <c r="V809" s="385"/>
      <c r="W809" s="385"/>
      <c r="X809" s="385"/>
    </row>
    <row r="810" spans="4:24" s="277" customFormat="1" x14ac:dyDescent="0.3">
      <c r="D810" s="356" t="s">
        <v>786</v>
      </c>
      <c r="E810" s="356"/>
      <c r="F810" s="356"/>
      <c r="G810" s="356"/>
      <c r="I810" s="48">
        <v>0</v>
      </c>
      <c r="M810" s="279">
        <f t="shared" si="52"/>
        <v>0</v>
      </c>
      <c r="O810" s="279">
        <f t="shared" si="53"/>
        <v>0</v>
      </c>
      <c r="Q810" s="279">
        <f t="shared" si="54"/>
        <v>0</v>
      </c>
      <c r="S810" s="279">
        <f t="shared" si="55"/>
        <v>0</v>
      </c>
      <c r="U810" s="385"/>
      <c r="V810" s="385"/>
      <c r="W810" s="385"/>
      <c r="X810" s="385"/>
    </row>
    <row r="811" spans="4:24" s="277" customFormat="1" x14ac:dyDescent="0.3">
      <c r="D811" s="356" t="s">
        <v>787</v>
      </c>
      <c r="E811" s="356"/>
      <c r="F811" s="356"/>
      <c r="G811" s="356"/>
      <c r="I811" s="48">
        <v>0</v>
      </c>
      <c r="M811" s="279">
        <f t="shared" si="52"/>
        <v>0</v>
      </c>
      <c r="O811" s="279">
        <f t="shared" si="53"/>
        <v>0</v>
      </c>
      <c r="Q811" s="279">
        <f t="shared" si="54"/>
        <v>0</v>
      </c>
      <c r="S811" s="279">
        <f t="shared" si="55"/>
        <v>0</v>
      </c>
      <c r="U811" s="385"/>
      <c r="V811" s="385"/>
      <c r="W811" s="385"/>
      <c r="X811" s="385"/>
    </row>
    <row r="812" spans="4:24" s="277" customFormat="1" x14ac:dyDescent="0.3">
      <c r="D812" s="356" t="s">
        <v>788</v>
      </c>
      <c r="E812" s="356"/>
      <c r="F812" s="356"/>
      <c r="G812" s="356"/>
      <c r="I812" s="48">
        <v>0</v>
      </c>
      <c r="M812" s="279">
        <f t="shared" si="52"/>
        <v>0</v>
      </c>
      <c r="O812" s="279">
        <f t="shared" si="53"/>
        <v>0</v>
      </c>
      <c r="Q812" s="279">
        <f t="shared" si="54"/>
        <v>0</v>
      </c>
      <c r="S812" s="279">
        <f t="shared" si="55"/>
        <v>0</v>
      </c>
      <c r="U812" s="385"/>
      <c r="V812" s="385"/>
      <c r="W812" s="385"/>
      <c r="X812" s="385"/>
    </row>
    <row r="813" spans="4:24" s="277" customFormat="1" x14ac:dyDescent="0.3">
      <c r="D813" s="356" t="s">
        <v>789</v>
      </c>
      <c r="E813" s="356"/>
      <c r="F813" s="356"/>
      <c r="G813" s="356"/>
      <c r="I813" s="48">
        <v>0</v>
      </c>
      <c r="M813" s="279">
        <f t="shared" si="52"/>
        <v>0</v>
      </c>
      <c r="O813" s="279">
        <f t="shared" si="53"/>
        <v>0</v>
      </c>
      <c r="Q813" s="279">
        <f t="shared" si="54"/>
        <v>0</v>
      </c>
      <c r="S813" s="279">
        <f t="shared" si="55"/>
        <v>0</v>
      </c>
      <c r="U813" s="385"/>
      <c r="V813" s="385"/>
      <c r="W813" s="385"/>
      <c r="X813" s="385"/>
    </row>
    <row r="814" spans="4:24" s="277" customFormat="1" x14ac:dyDescent="0.3">
      <c r="D814" s="356" t="s">
        <v>790</v>
      </c>
      <c r="E814" s="356"/>
      <c r="F814" s="356"/>
      <c r="G814" s="356"/>
      <c r="I814" s="48">
        <v>0</v>
      </c>
      <c r="M814" s="279">
        <f t="shared" si="52"/>
        <v>0</v>
      </c>
      <c r="O814" s="279">
        <f t="shared" si="53"/>
        <v>0</v>
      </c>
      <c r="Q814" s="279">
        <f t="shared" si="54"/>
        <v>0</v>
      </c>
      <c r="S814" s="279">
        <f t="shared" si="55"/>
        <v>0</v>
      </c>
      <c r="U814" s="385"/>
      <c r="V814" s="385"/>
      <c r="W814" s="385"/>
      <c r="X814" s="385"/>
    </row>
    <row r="815" spans="4:24" s="277" customFormat="1" x14ac:dyDescent="0.3">
      <c r="D815" s="356" t="s">
        <v>791</v>
      </c>
      <c r="E815" s="356"/>
      <c r="F815" s="356"/>
      <c r="G815" s="356"/>
      <c r="I815" s="48">
        <v>0</v>
      </c>
      <c r="M815" s="279">
        <f t="shared" si="52"/>
        <v>0</v>
      </c>
      <c r="O815" s="279">
        <f t="shared" si="53"/>
        <v>0</v>
      </c>
      <c r="Q815" s="279">
        <f t="shared" si="54"/>
        <v>0</v>
      </c>
      <c r="S815" s="279">
        <f t="shared" si="55"/>
        <v>0</v>
      </c>
      <c r="U815" s="385"/>
      <c r="V815" s="385"/>
      <c r="W815" s="385"/>
      <c r="X815" s="385"/>
    </row>
    <row r="816" spans="4:24" s="277" customFormat="1" x14ac:dyDescent="0.3">
      <c r="D816" s="356" t="s">
        <v>792</v>
      </c>
      <c r="E816" s="356"/>
      <c r="F816" s="356"/>
      <c r="G816" s="356"/>
      <c r="I816" s="48">
        <v>0</v>
      </c>
      <c r="M816" s="279">
        <f t="shared" si="52"/>
        <v>0</v>
      </c>
      <c r="O816" s="279">
        <f t="shared" si="53"/>
        <v>0</v>
      </c>
      <c r="Q816" s="279">
        <f t="shared" si="54"/>
        <v>0</v>
      </c>
      <c r="S816" s="279">
        <f t="shared" si="55"/>
        <v>0</v>
      </c>
      <c r="U816" s="385"/>
      <c r="V816" s="385"/>
      <c r="W816" s="385"/>
      <c r="X816" s="385"/>
    </row>
    <row r="817" spans="3:24" s="277" customFormat="1" x14ac:dyDescent="0.3">
      <c r="D817" s="356" t="s">
        <v>793</v>
      </c>
      <c r="E817" s="356"/>
      <c r="F817" s="356"/>
      <c r="G817" s="356"/>
      <c r="I817" s="48">
        <v>0</v>
      </c>
      <c r="M817" s="279">
        <f t="shared" si="52"/>
        <v>0</v>
      </c>
      <c r="O817" s="279">
        <f t="shared" si="53"/>
        <v>0</v>
      </c>
      <c r="Q817" s="279">
        <f t="shared" si="54"/>
        <v>0</v>
      </c>
      <c r="S817" s="279">
        <f t="shared" si="55"/>
        <v>0</v>
      </c>
      <c r="U817" s="385"/>
      <c r="V817" s="385"/>
      <c r="W817" s="385"/>
      <c r="X817" s="385"/>
    </row>
    <row r="818" spans="3:24" s="277" customFormat="1" x14ac:dyDescent="0.3">
      <c r="D818" s="356" t="s">
        <v>794</v>
      </c>
      <c r="E818" s="356"/>
      <c r="F818" s="356"/>
      <c r="G818" s="356"/>
      <c r="I818" s="48">
        <v>0</v>
      </c>
      <c r="M818" s="279">
        <f t="shared" si="52"/>
        <v>0</v>
      </c>
      <c r="O818" s="279">
        <f t="shared" si="53"/>
        <v>0</v>
      </c>
      <c r="Q818" s="279">
        <f t="shared" si="54"/>
        <v>0</v>
      </c>
      <c r="S818" s="279">
        <f t="shared" si="55"/>
        <v>0</v>
      </c>
      <c r="U818" s="385"/>
      <c r="V818" s="385"/>
      <c r="W818" s="385"/>
      <c r="X818" s="385"/>
    </row>
    <row r="819" spans="3:24" s="277" customFormat="1" x14ac:dyDescent="0.3">
      <c r="D819" s="356" t="s">
        <v>795</v>
      </c>
      <c r="E819" s="356"/>
      <c r="F819" s="356"/>
      <c r="G819" s="356"/>
      <c r="I819" s="48">
        <v>0</v>
      </c>
      <c r="M819" s="279">
        <f t="shared" si="52"/>
        <v>0</v>
      </c>
      <c r="O819" s="279">
        <f t="shared" si="53"/>
        <v>0</v>
      </c>
      <c r="Q819" s="279">
        <f t="shared" si="54"/>
        <v>0</v>
      </c>
      <c r="S819" s="279">
        <f t="shared" si="55"/>
        <v>0</v>
      </c>
      <c r="U819" s="385"/>
      <c r="V819" s="385"/>
      <c r="W819" s="385"/>
      <c r="X819" s="385"/>
    </row>
    <row r="820" spans="3:24" s="277" customFormat="1" x14ac:dyDescent="0.3">
      <c r="D820" s="356" t="s">
        <v>796</v>
      </c>
      <c r="E820" s="356"/>
      <c r="F820" s="356"/>
      <c r="G820" s="356"/>
      <c r="I820" s="48">
        <v>0</v>
      </c>
      <c r="M820" s="279">
        <f t="shared" si="52"/>
        <v>0</v>
      </c>
      <c r="O820" s="279">
        <f t="shared" si="53"/>
        <v>0</v>
      </c>
      <c r="Q820" s="279">
        <f t="shared" si="54"/>
        <v>0</v>
      </c>
      <c r="S820" s="279">
        <f t="shared" si="55"/>
        <v>0</v>
      </c>
      <c r="U820" s="385"/>
      <c r="V820" s="385"/>
      <c r="W820" s="385"/>
      <c r="X820" s="385"/>
    </row>
    <row r="821" spans="3:24" ht="14.4" x14ac:dyDescent="0.3">
      <c r="D821" s="420" t="s">
        <v>88</v>
      </c>
      <c r="E821" s="421"/>
      <c r="F821" s="421"/>
      <c r="G821" s="421"/>
      <c r="I821" s="40"/>
      <c r="M821" s="40"/>
      <c r="O821" s="40"/>
      <c r="Q821" s="294">
        <f>SUM(Q796:Q820)</f>
        <v>0</v>
      </c>
      <c r="S821" s="294">
        <f>SUM(S796:S820)</f>
        <v>0</v>
      </c>
    </row>
    <row r="823" spans="3:24" ht="15.6" x14ac:dyDescent="0.3">
      <c r="C823" s="92" t="s">
        <v>89</v>
      </c>
    </row>
    <row r="824" spans="3:24" ht="27.6" x14ac:dyDescent="0.3">
      <c r="Q824" s="44" t="str">
        <f>"FINANCIAL COST ("&amp;INDEX(LU_ACT_9_Meet_Curr,DD_ACT_9_Meet1_Curr)&amp;")"</f>
        <v>FINANCIAL COST (GOZ)</v>
      </c>
      <c r="S824" s="44" t="str">
        <f>"ECONOMIC COST ("&amp;INDEX(LU_ACT_9_Meet_Curr,DD_ACT_9_Meet1_Curr)&amp;")"</f>
        <v>ECONOMIC COST (GOZ)</v>
      </c>
    </row>
    <row r="825" spans="3:24" ht="27.6" x14ac:dyDescent="0.3">
      <c r="D825" s="90" t="s">
        <v>86</v>
      </c>
      <c r="I825" s="91" t="s">
        <v>186</v>
      </c>
      <c r="K825" s="91" t="s">
        <v>187</v>
      </c>
      <c r="M825" s="42" t="s">
        <v>81</v>
      </c>
      <c r="O825" s="42" t="s">
        <v>83</v>
      </c>
      <c r="U825" s="350" t="s">
        <v>185</v>
      </c>
      <c r="V825" s="351"/>
      <c r="W825" s="351"/>
      <c r="X825" s="351"/>
    </row>
    <row r="826" spans="3:24" x14ac:dyDescent="0.3">
      <c r="D826" s="356" t="s">
        <v>71</v>
      </c>
      <c r="E826" s="356"/>
      <c r="F826" s="356"/>
      <c r="G826" s="356"/>
      <c r="I826" s="48">
        <v>0</v>
      </c>
      <c r="K826" s="48">
        <v>0</v>
      </c>
      <c r="M826" s="40">
        <f t="shared" ref="M826:M850" si="56">IFERROR(IF(DD_ACT_9_Meet1_Curr=1,INDEX($M$1014:$M$1048,MATCH(D826,LU_ACT_9_ODCS,0)),INDEX($Q$1014:$Q$1048,MATCH(D826,LU_ACT_9_ODCS,0))),0)</f>
        <v>0</v>
      </c>
      <c r="O826" s="40">
        <f t="shared" ref="O826:O850" si="57">IFERROR(IF(DD_ACT_9_Meet1_Curr=1,INDEX($O$1014:$O$1048,MATCH(D826,LU_ACT_9_ODCS,0)),INDEX($S$1014:$S$1048,MATCH(D826,LU_ACT_9_ODCS,0))),0)</f>
        <v>0</v>
      </c>
      <c r="Q826" s="279">
        <f t="shared" ref="Q826:Q850" si="58">I826*K826*M826</f>
        <v>0</v>
      </c>
      <c r="S826" s="279">
        <f t="shared" ref="S826:S850" si="59">I826*K826*O826</f>
        <v>0</v>
      </c>
      <c r="U826" s="356"/>
      <c r="V826" s="356"/>
      <c r="W826" s="356"/>
      <c r="X826" s="356"/>
    </row>
    <row r="827" spans="3:24" x14ac:dyDescent="0.3">
      <c r="D827" s="356" t="s">
        <v>72</v>
      </c>
      <c r="E827" s="356"/>
      <c r="F827" s="356"/>
      <c r="G827" s="356"/>
      <c r="I827" s="48">
        <v>0</v>
      </c>
      <c r="K827" s="48">
        <v>0</v>
      </c>
      <c r="M827" s="40">
        <f t="shared" si="56"/>
        <v>0</v>
      </c>
      <c r="O827" s="40">
        <f t="shared" si="57"/>
        <v>0</v>
      </c>
      <c r="Q827" s="279">
        <f t="shared" si="58"/>
        <v>0</v>
      </c>
      <c r="S827" s="279">
        <f t="shared" si="59"/>
        <v>0</v>
      </c>
      <c r="U827" s="356"/>
      <c r="V827" s="356"/>
      <c r="W827" s="356"/>
      <c r="X827" s="356"/>
    </row>
    <row r="828" spans="3:24" x14ac:dyDescent="0.3">
      <c r="D828" s="356" t="s">
        <v>73</v>
      </c>
      <c r="E828" s="356"/>
      <c r="F828" s="356"/>
      <c r="G828" s="356"/>
      <c r="I828" s="48">
        <v>0</v>
      </c>
      <c r="K828" s="48">
        <v>0</v>
      </c>
      <c r="M828" s="40">
        <f t="shared" si="56"/>
        <v>0</v>
      </c>
      <c r="O828" s="40">
        <f t="shared" si="57"/>
        <v>0</v>
      </c>
      <c r="Q828" s="279">
        <f t="shared" si="58"/>
        <v>0</v>
      </c>
      <c r="S828" s="279">
        <f t="shared" si="59"/>
        <v>0</v>
      </c>
      <c r="U828" s="356"/>
      <c r="V828" s="356"/>
      <c r="W828" s="356"/>
      <c r="X828" s="356"/>
    </row>
    <row r="829" spans="3:24" x14ac:dyDescent="0.3">
      <c r="D829" s="356" t="s">
        <v>74</v>
      </c>
      <c r="E829" s="356"/>
      <c r="F829" s="356"/>
      <c r="G829" s="356"/>
      <c r="I829" s="48">
        <v>0</v>
      </c>
      <c r="K829" s="48">
        <v>0</v>
      </c>
      <c r="M829" s="40">
        <f t="shared" si="56"/>
        <v>0</v>
      </c>
      <c r="O829" s="40">
        <f t="shared" si="57"/>
        <v>0</v>
      </c>
      <c r="Q829" s="279">
        <f t="shared" si="58"/>
        <v>0</v>
      </c>
      <c r="S829" s="279">
        <f t="shared" si="59"/>
        <v>0</v>
      </c>
      <c r="U829" s="356"/>
      <c r="V829" s="356"/>
      <c r="W829" s="356"/>
      <c r="X829" s="356"/>
    </row>
    <row r="830" spans="3:24" x14ac:dyDescent="0.3">
      <c r="D830" s="356" t="s">
        <v>75</v>
      </c>
      <c r="E830" s="356"/>
      <c r="F830" s="356"/>
      <c r="G830" s="356"/>
      <c r="I830" s="48">
        <v>0</v>
      </c>
      <c r="K830" s="48">
        <v>0</v>
      </c>
      <c r="M830" s="40">
        <f t="shared" si="56"/>
        <v>0</v>
      </c>
      <c r="O830" s="40">
        <f t="shared" si="57"/>
        <v>0</v>
      </c>
      <c r="Q830" s="279">
        <f t="shared" si="58"/>
        <v>0</v>
      </c>
      <c r="S830" s="279">
        <f t="shared" si="59"/>
        <v>0</v>
      </c>
      <c r="U830" s="356"/>
      <c r="V830" s="356"/>
      <c r="W830" s="356"/>
      <c r="X830" s="356"/>
    </row>
    <row r="831" spans="3:24" s="277" customFormat="1" x14ac:dyDescent="0.3">
      <c r="D831" s="356" t="s">
        <v>876</v>
      </c>
      <c r="E831" s="356"/>
      <c r="F831" s="356"/>
      <c r="G831" s="356"/>
      <c r="I831" s="48">
        <v>0</v>
      </c>
      <c r="K831" s="48">
        <v>0</v>
      </c>
      <c r="M831" s="279">
        <f t="shared" si="56"/>
        <v>0</v>
      </c>
      <c r="O831" s="279">
        <f t="shared" si="57"/>
        <v>0</v>
      </c>
      <c r="Q831" s="279">
        <f t="shared" si="58"/>
        <v>0</v>
      </c>
      <c r="S831" s="279">
        <f t="shared" si="59"/>
        <v>0</v>
      </c>
      <c r="U831" s="385"/>
      <c r="V831" s="385"/>
      <c r="W831" s="385"/>
      <c r="X831" s="385"/>
    </row>
    <row r="832" spans="3:24" s="277" customFormat="1" x14ac:dyDescent="0.3">
      <c r="D832" s="356" t="s">
        <v>877</v>
      </c>
      <c r="E832" s="356"/>
      <c r="F832" s="356"/>
      <c r="G832" s="356"/>
      <c r="I832" s="48">
        <v>0</v>
      </c>
      <c r="K832" s="48">
        <v>0</v>
      </c>
      <c r="M832" s="279">
        <f t="shared" si="56"/>
        <v>0</v>
      </c>
      <c r="O832" s="279">
        <f t="shared" si="57"/>
        <v>0</v>
      </c>
      <c r="Q832" s="279">
        <f t="shared" si="58"/>
        <v>0</v>
      </c>
      <c r="S832" s="279">
        <f t="shared" si="59"/>
        <v>0</v>
      </c>
      <c r="U832" s="385"/>
      <c r="V832" s="385"/>
      <c r="W832" s="385"/>
      <c r="X832" s="385"/>
    </row>
    <row r="833" spans="4:24" s="277" customFormat="1" x14ac:dyDescent="0.3">
      <c r="D833" s="356" t="s">
        <v>878</v>
      </c>
      <c r="E833" s="356"/>
      <c r="F833" s="356"/>
      <c r="G833" s="356"/>
      <c r="I833" s="48">
        <v>0</v>
      </c>
      <c r="K833" s="48">
        <v>0</v>
      </c>
      <c r="M833" s="279">
        <f t="shared" si="56"/>
        <v>0</v>
      </c>
      <c r="O833" s="279">
        <f t="shared" si="57"/>
        <v>0</v>
      </c>
      <c r="Q833" s="279">
        <f t="shared" si="58"/>
        <v>0</v>
      </c>
      <c r="S833" s="279">
        <f t="shared" si="59"/>
        <v>0</v>
      </c>
      <c r="U833" s="385"/>
      <c r="V833" s="385"/>
      <c r="W833" s="385"/>
      <c r="X833" s="385"/>
    </row>
    <row r="834" spans="4:24" s="277" customFormat="1" x14ac:dyDescent="0.3">
      <c r="D834" s="356" t="s">
        <v>879</v>
      </c>
      <c r="E834" s="356"/>
      <c r="F834" s="356"/>
      <c r="G834" s="356"/>
      <c r="I834" s="48">
        <v>0</v>
      </c>
      <c r="K834" s="48">
        <v>0</v>
      </c>
      <c r="M834" s="279">
        <f t="shared" si="56"/>
        <v>0</v>
      </c>
      <c r="O834" s="279">
        <f t="shared" si="57"/>
        <v>0</v>
      </c>
      <c r="Q834" s="279">
        <f t="shared" si="58"/>
        <v>0</v>
      </c>
      <c r="S834" s="279">
        <f t="shared" si="59"/>
        <v>0</v>
      </c>
      <c r="U834" s="385"/>
      <c r="V834" s="385"/>
      <c r="W834" s="385"/>
      <c r="X834" s="385"/>
    </row>
    <row r="835" spans="4:24" s="277" customFormat="1" x14ac:dyDescent="0.3">
      <c r="D835" s="356" t="s">
        <v>880</v>
      </c>
      <c r="E835" s="356"/>
      <c r="F835" s="356"/>
      <c r="G835" s="356"/>
      <c r="I835" s="48">
        <v>0</v>
      </c>
      <c r="K835" s="48">
        <v>0</v>
      </c>
      <c r="M835" s="279">
        <f t="shared" si="56"/>
        <v>0</v>
      </c>
      <c r="O835" s="279">
        <f t="shared" si="57"/>
        <v>0</v>
      </c>
      <c r="Q835" s="279">
        <f t="shared" si="58"/>
        <v>0</v>
      </c>
      <c r="S835" s="279">
        <f t="shared" si="59"/>
        <v>0</v>
      </c>
      <c r="U835" s="385"/>
      <c r="V835" s="385"/>
      <c r="W835" s="385"/>
      <c r="X835" s="385"/>
    </row>
    <row r="836" spans="4:24" s="277" customFormat="1" x14ac:dyDescent="0.3">
      <c r="D836" s="356" t="s">
        <v>881</v>
      </c>
      <c r="E836" s="356"/>
      <c r="F836" s="356"/>
      <c r="G836" s="356"/>
      <c r="I836" s="48">
        <v>0</v>
      </c>
      <c r="K836" s="48">
        <v>0</v>
      </c>
      <c r="M836" s="279">
        <f t="shared" si="56"/>
        <v>0</v>
      </c>
      <c r="O836" s="279">
        <f t="shared" si="57"/>
        <v>0</v>
      </c>
      <c r="Q836" s="279">
        <f t="shared" si="58"/>
        <v>0</v>
      </c>
      <c r="S836" s="279">
        <f t="shared" si="59"/>
        <v>0</v>
      </c>
      <c r="U836" s="385"/>
      <c r="V836" s="385"/>
      <c r="W836" s="385"/>
      <c r="X836" s="385"/>
    </row>
    <row r="837" spans="4:24" s="277" customFormat="1" x14ac:dyDescent="0.3">
      <c r="D837" s="356" t="s">
        <v>882</v>
      </c>
      <c r="E837" s="356"/>
      <c r="F837" s="356"/>
      <c r="G837" s="356"/>
      <c r="I837" s="48">
        <v>0</v>
      </c>
      <c r="K837" s="48">
        <v>0</v>
      </c>
      <c r="M837" s="279">
        <f t="shared" si="56"/>
        <v>0</v>
      </c>
      <c r="O837" s="279">
        <f t="shared" si="57"/>
        <v>0</v>
      </c>
      <c r="Q837" s="279">
        <f t="shared" si="58"/>
        <v>0</v>
      </c>
      <c r="S837" s="279">
        <f t="shared" si="59"/>
        <v>0</v>
      </c>
      <c r="U837" s="385"/>
      <c r="V837" s="385"/>
      <c r="W837" s="385"/>
      <c r="X837" s="385"/>
    </row>
    <row r="838" spans="4:24" s="277" customFormat="1" x14ac:dyDescent="0.3">
      <c r="D838" s="356" t="s">
        <v>883</v>
      </c>
      <c r="E838" s="356"/>
      <c r="F838" s="356"/>
      <c r="G838" s="356"/>
      <c r="I838" s="48">
        <v>0</v>
      </c>
      <c r="K838" s="48">
        <v>0</v>
      </c>
      <c r="M838" s="279">
        <f t="shared" si="56"/>
        <v>0</v>
      </c>
      <c r="O838" s="279">
        <f t="shared" si="57"/>
        <v>0</v>
      </c>
      <c r="Q838" s="279">
        <f t="shared" si="58"/>
        <v>0</v>
      </c>
      <c r="S838" s="279">
        <f t="shared" si="59"/>
        <v>0</v>
      </c>
      <c r="U838" s="385"/>
      <c r="V838" s="385"/>
      <c r="W838" s="385"/>
      <c r="X838" s="385"/>
    </row>
    <row r="839" spans="4:24" s="277" customFormat="1" x14ac:dyDescent="0.3">
      <c r="D839" s="356" t="s">
        <v>884</v>
      </c>
      <c r="E839" s="356"/>
      <c r="F839" s="356"/>
      <c r="G839" s="356"/>
      <c r="I839" s="48">
        <v>0</v>
      </c>
      <c r="K839" s="48">
        <v>0</v>
      </c>
      <c r="M839" s="279">
        <f t="shared" si="56"/>
        <v>0</v>
      </c>
      <c r="O839" s="279">
        <f t="shared" si="57"/>
        <v>0</v>
      </c>
      <c r="Q839" s="279">
        <f t="shared" si="58"/>
        <v>0</v>
      </c>
      <c r="S839" s="279">
        <f t="shared" si="59"/>
        <v>0</v>
      </c>
      <c r="U839" s="385"/>
      <c r="V839" s="385"/>
      <c r="W839" s="385"/>
      <c r="X839" s="385"/>
    </row>
    <row r="840" spans="4:24" s="277" customFormat="1" x14ac:dyDescent="0.3">
      <c r="D840" s="356" t="s">
        <v>885</v>
      </c>
      <c r="E840" s="356"/>
      <c r="F840" s="356"/>
      <c r="G840" s="356"/>
      <c r="I840" s="48">
        <v>0</v>
      </c>
      <c r="K840" s="48">
        <v>0</v>
      </c>
      <c r="M840" s="279">
        <f t="shared" si="56"/>
        <v>0</v>
      </c>
      <c r="O840" s="279">
        <f t="shared" si="57"/>
        <v>0</v>
      </c>
      <c r="Q840" s="279">
        <f t="shared" si="58"/>
        <v>0</v>
      </c>
      <c r="S840" s="279">
        <f t="shared" si="59"/>
        <v>0</v>
      </c>
      <c r="U840" s="385"/>
      <c r="V840" s="385"/>
      <c r="W840" s="385"/>
      <c r="X840" s="385"/>
    </row>
    <row r="841" spans="4:24" s="277" customFormat="1" x14ac:dyDescent="0.3">
      <c r="D841" s="356" t="s">
        <v>886</v>
      </c>
      <c r="E841" s="356"/>
      <c r="F841" s="356"/>
      <c r="G841" s="356"/>
      <c r="I841" s="48">
        <v>0</v>
      </c>
      <c r="K841" s="48">
        <v>0</v>
      </c>
      <c r="M841" s="279">
        <f t="shared" si="56"/>
        <v>0</v>
      </c>
      <c r="O841" s="279">
        <f t="shared" si="57"/>
        <v>0</v>
      </c>
      <c r="Q841" s="279">
        <f t="shared" si="58"/>
        <v>0</v>
      </c>
      <c r="S841" s="279">
        <f t="shared" si="59"/>
        <v>0</v>
      </c>
      <c r="U841" s="385"/>
      <c r="V841" s="385"/>
      <c r="W841" s="385"/>
      <c r="X841" s="385"/>
    </row>
    <row r="842" spans="4:24" s="277" customFormat="1" x14ac:dyDescent="0.3">
      <c r="D842" s="356" t="s">
        <v>887</v>
      </c>
      <c r="E842" s="356"/>
      <c r="F842" s="356"/>
      <c r="G842" s="356"/>
      <c r="I842" s="48">
        <v>0</v>
      </c>
      <c r="K842" s="48">
        <v>0</v>
      </c>
      <c r="M842" s="279">
        <f t="shared" si="56"/>
        <v>0</v>
      </c>
      <c r="O842" s="279">
        <f t="shared" si="57"/>
        <v>0</v>
      </c>
      <c r="Q842" s="279">
        <f t="shared" si="58"/>
        <v>0</v>
      </c>
      <c r="S842" s="279">
        <f t="shared" si="59"/>
        <v>0</v>
      </c>
      <c r="U842" s="385"/>
      <c r="V842" s="385"/>
      <c r="W842" s="385"/>
      <c r="X842" s="385"/>
    </row>
    <row r="843" spans="4:24" s="277" customFormat="1" x14ac:dyDescent="0.3">
      <c r="D843" s="356" t="s">
        <v>888</v>
      </c>
      <c r="E843" s="356"/>
      <c r="F843" s="356"/>
      <c r="G843" s="356"/>
      <c r="I843" s="48">
        <v>0</v>
      </c>
      <c r="K843" s="48">
        <v>0</v>
      </c>
      <c r="M843" s="279">
        <f t="shared" si="56"/>
        <v>0</v>
      </c>
      <c r="O843" s="279">
        <f t="shared" si="57"/>
        <v>0</v>
      </c>
      <c r="Q843" s="279">
        <f t="shared" si="58"/>
        <v>0</v>
      </c>
      <c r="S843" s="279">
        <f t="shared" si="59"/>
        <v>0</v>
      </c>
      <c r="U843" s="385"/>
      <c r="V843" s="385"/>
      <c r="W843" s="385"/>
      <c r="X843" s="385"/>
    </row>
    <row r="844" spans="4:24" s="277" customFormat="1" x14ac:dyDescent="0.3">
      <c r="D844" s="356" t="s">
        <v>889</v>
      </c>
      <c r="E844" s="356"/>
      <c r="F844" s="356"/>
      <c r="G844" s="356"/>
      <c r="I844" s="48">
        <v>0</v>
      </c>
      <c r="K844" s="48">
        <v>0</v>
      </c>
      <c r="M844" s="279">
        <f t="shared" si="56"/>
        <v>0</v>
      </c>
      <c r="O844" s="279">
        <f t="shared" si="57"/>
        <v>0</v>
      </c>
      <c r="Q844" s="279">
        <f t="shared" si="58"/>
        <v>0</v>
      </c>
      <c r="S844" s="279">
        <f t="shared" si="59"/>
        <v>0</v>
      </c>
      <c r="U844" s="385"/>
      <c r="V844" s="385"/>
      <c r="W844" s="385"/>
      <c r="X844" s="385"/>
    </row>
    <row r="845" spans="4:24" s="277" customFormat="1" x14ac:dyDescent="0.3">
      <c r="D845" s="356" t="s">
        <v>890</v>
      </c>
      <c r="E845" s="356"/>
      <c r="F845" s="356"/>
      <c r="G845" s="356"/>
      <c r="I845" s="48">
        <v>0</v>
      </c>
      <c r="K845" s="48">
        <v>0</v>
      </c>
      <c r="M845" s="279">
        <f t="shared" si="56"/>
        <v>0</v>
      </c>
      <c r="O845" s="279">
        <f t="shared" si="57"/>
        <v>0</v>
      </c>
      <c r="Q845" s="279">
        <f t="shared" si="58"/>
        <v>0</v>
      </c>
      <c r="S845" s="279">
        <f t="shared" si="59"/>
        <v>0</v>
      </c>
      <c r="U845" s="385"/>
      <c r="V845" s="385"/>
      <c r="W845" s="385"/>
      <c r="X845" s="385"/>
    </row>
    <row r="846" spans="4:24" s="277" customFormat="1" x14ac:dyDescent="0.3">
      <c r="D846" s="356" t="s">
        <v>986</v>
      </c>
      <c r="E846" s="356"/>
      <c r="F846" s="356"/>
      <c r="G846" s="356"/>
      <c r="I846" s="48">
        <v>0</v>
      </c>
      <c r="K846" s="48">
        <v>0</v>
      </c>
      <c r="M846" s="279">
        <f t="shared" si="56"/>
        <v>0</v>
      </c>
      <c r="O846" s="279">
        <f t="shared" si="57"/>
        <v>0</v>
      </c>
      <c r="Q846" s="279">
        <f t="shared" si="58"/>
        <v>0</v>
      </c>
      <c r="S846" s="279">
        <f t="shared" si="59"/>
        <v>0</v>
      </c>
      <c r="U846" s="385"/>
      <c r="V846" s="385"/>
      <c r="W846" s="385"/>
      <c r="X846" s="385"/>
    </row>
    <row r="847" spans="4:24" s="277" customFormat="1" x14ac:dyDescent="0.3">
      <c r="D847" s="356" t="s">
        <v>987</v>
      </c>
      <c r="E847" s="356"/>
      <c r="F847" s="356"/>
      <c r="G847" s="356"/>
      <c r="I847" s="48">
        <v>0</v>
      </c>
      <c r="K847" s="48">
        <v>0</v>
      </c>
      <c r="M847" s="279">
        <f t="shared" si="56"/>
        <v>0</v>
      </c>
      <c r="O847" s="279">
        <f t="shared" si="57"/>
        <v>0</v>
      </c>
      <c r="Q847" s="279">
        <f t="shared" si="58"/>
        <v>0</v>
      </c>
      <c r="S847" s="279">
        <f t="shared" si="59"/>
        <v>0</v>
      </c>
      <c r="U847" s="385"/>
      <c r="V847" s="385"/>
      <c r="W847" s="385"/>
      <c r="X847" s="385"/>
    </row>
    <row r="848" spans="4:24" s="277" customFormat="1" x14ac:dyDescent="0.3">
      <c r="D848" s="356" t="s">
        <v>988</v>
      </c>
      <c r="E848" s="356"/>
      <c r="F848" s="356"/>
      <c r="G848" s="356"/>
      <c r="I848" s="48">
        <v>0</v>
      </c>
      <c r="K848" s="48">
        <v>0</v>
      </c>
      <c r="M848" s="279">
        <f t="shared" si="56"/>
        <v>0</v>
      </c>
      <c r="O848" s="279">
        <f t="shared" si="57"/>
        <v>0</v>
      </c>
      <c r="Q848" s="279">
        <f t="shared" si="58"/>
        <v>0</v>
      </c>
      <c r="S848" s="279">
        <f t="shared" si="59"/>
        <v>0</v>
      </c>
      <c r="U848" s="385"/>
      <c r="V848" s="385"/>
      <c r="W848" s="385"/>
      <c r="X848" s="385"/>
    </row>
    <row r="849" spans="2:24" s="277" customFormat="1" x14ac:dyDescent="0.3">
      <c r="D849" s="356" t="s">
        <v>989</v>
      </c>
      <c r="E849" s="356"/>
      <c r="F849" s="356"/>
      <c r="G849" s="356"/>
      <c r="I849" s="48">
        <v>0</v>
      </c>
      <c r="K849" s="48">
        <v>0</v>
      </c>
      <c r="M849" s="279">
        <f t="shared" si="56"/>
        <v>0</v>
      </c>
      <c r="O849" s="279">
        <f t="shared" si="57"/>
        <v>0</v>
      </c>
      <c r="Q849" s="279">
        <f t="shared" si="58"/>
        <v>0</v>
      </c>
      <c r="S849" s="279">
        <f t="shared" si="59"/>
        <v>0</v>
      </c>
      <c r="U849" s="385"/>
      <c r="V849" s="385"/>
      <c r="W849" s="385"/>
      <c r="X849" s="385"/>
    </row>
    <row r="850" spans="2:24" s="277" customFormat="1" x14ac:dyDescent="0.3">
      <c r="D850" s="356" t="s">
        <v>990</v>
      </c>
      <c r="E850" s="356"/>
      <c r="F850" s="356"/>
      <c r="G850" s="356"/>
      <c r="I850" s="48">
        <v>0</v>
      </c>
      <c r="K850" s="48">
        <v>0</v>
      </c>
      <c r="M850" s="279">
        <f t="shared" si="56"/>
        <v>0</v>
      </c>
      <c r="O850" s="279">
        <f t="shared" si="57"/>
        <v>0</v>
      </c>
      <c r="Q850" s="279">
        <f t="shared" si="58"/>
        <v>0</v>
      </c>
      <c r="S850" s="279">
        <f t="shared" si="59"/>
        <v>0</v>
      </c>
      <c r="U850" s="385"/>
      <c r="V850" s="385"/>
      <c r="W850" s="385"/>
      <c r="X850" s="385"/>
    </row>
    <row r="851" spans="2:24" ht="14.4" x14ac:dyDescent="0.3">
      <c r="D851" s="420" t="s">
        <v>90</v>
      </c>
      <c r="E851" s="421"/>
      <c r="F851" s="421"/>
      <c r="G851" s="421"/>
      <c r="I851" s="40"/>
      <c r="K851" s="40">
        <f>SUM(K826:K850)</f>
        <v>0</v>
      </c>
      <c r="M851" s="40"/>
      <c r="O851" s="40"/>
      <c r="Q851" s="294">
        <f>SUM(Q826:Q850)</f>
        <v>0</v>
      </c>
      <c r="S851" s="294">
        <f>SUM(S826:S850)</f>
        <v>0</v>
      </c>
    </row>
    <row r="853" spans="2:24" ht="27.6" x14ac:dyDescent="0.3">
      <c r="Q853" s="44" t="str">
        <f>"FINANCIAL COST ("&amp;INDEX(LU_ACT_9_Meet_Curr,DD_ACT_9_Meet1_Curr)&amp;")"</f>
        <v>FINANCIAL COST (GOZ)</v>
      </c>
      <c r="S853" s="44" t="str">
        <f>"ECONOMIC COST ("&amp;INDEX(LU_ACT_9_Meet_Curr,DD_ACT_9_Meet1_Curr)&amp;")"</f>
        <v>ECONOMIC COST (GOZ)</v>
      </c>
      <c r="U853" s="44" t="str">
        <f>"FINANCIAL COST ("&amp;IF(DD_ACT_9_Meet1_Curr=2,$D$858,$D$859)&amp;")"</f>
        <v>FINANCIAL COST (USD)</v>
      </c>
      <c r="W853" s="44" t="str">
        <f>"ECONOMIC COST ("&amp;IF(DD_ACT_9_Meet1_Curr=2,$D$858,$D$859)&amp;")"</f>
        <v>ECONOMIC COST (USD)</v>
      </c>
    </row>
    <row r="854" spans="2:24" ht="15" thickBot="1" x14ac:dyDescent="0.35">
      <c r="B854" s="228" t="str">
        <f>"Total Estimated Costs -"&amp;B702</f>
        <v>Total Estimated Costs -Social Mobilisation Activity #3 [not in use]</v>
      </c>
      <c r="Q854" s="46">
        <f>SUM(Q732,Q761,Q792,Q821,Q851)</f>
        <v>0</v>
      </c>
      <c r="S854" s="46">
        <f>SUM(S732,S761,S792,S821,S851)</f>
        <v>0</v>
      </c>
      <c r="U854" s="47">
        <f>IFERROR(IF(DD_ACT_9_Meet1_Curr=2,$Q854/$I$859,$Q854*$I$859), 0)</f>
        <v>0</v>
      </c>
      <c r="W854" s="47">
        <f>IFERROR(IF(DD_ACT_9_Meet1_Curr=2,$S854/$I$859,$S854*$I$859), 0)</f>
        <v>0</v>
      </c>
    </row>
    <row r="855" spans="2:24" ht="14.4" thickTop="1" x14ac:dyDescent="0.3"/>
    <row r="856" spans="2:24" x14ac:dyDescent="0.3">
      <c r="C856" s="91" t="s">
        <v>584</v>
      </c>
    </row>
    <row r="857" spans="2:24" hidden="1" outlineLevel="1" x14ac:dyDescent="0.3"/>
    <row r="858" spans="2:24" ht="12.9" hidden="1" customHeight="1" outlineLevel="1" x14ac:dyDescent="0.3">
      <c r="D858" s="422" t="str">
        <f>CURR_TA!D13</f>
        <v>USD</v>
      </c>
      <c r="E858" s="423"/>
      <c r="F858" s="423"/>
      <c r="G858" s="423"/>
      <c r="I858" s="279">
        <f>CURR_TA!J13</f>
        <v>1</v>
      </c>
      <c r="J858" s="279">
        <f>CURR_TA!K13</f>
        <v>0</v>
      </c>
      <c r="K858" s="279">
        <f>CURR_TA!L13</f>
        <v>0</v>
      </c>
      <c r="L858" s="279">
        <f>CURR_TA!M13</f>
        <v>0</v>
      </c>
    </row>
    <row r="859" spans="2:24" ht="12.9" hidden="1" customHeight="1" outlineLevel="1" x14ac:dyDescent="0.3">
      <c r="D859" s="422" t="str">
        <f>CURR_TA!D14</f>
        <v>GOZ</v>
      </c>
      <c r="E859" s="423"/>
      <c r="F859" s="423"/>
      <c r="G859" s="423"/>
      <c r="I859" s="279">
        <f>CURR_TA!J14</f>
        <v>0</v>
      </c>
      <c r="J859" s="279">
        <f>CURR_TA!K14</f>
        <v>0</v>
      </c>
      <c r="K859" s="279">
        <f>CURR_TA!L14</f>
        <v>0</v>
      </c>
      <c r="L859" s="279">
        <f>CURR_TA!M14</f>
        <v>0</v>
      </c>
    </row>
    <row r="860" spans="2:24" collapsed="1" x14ac:dyDescent="0.3"/>
    <row r="862" spans="2:24" ht="15.6" x14ac:dyDescent="0.3">
      <c r="C862" s="92" t="s">
        <v>175</v>
      </c>
    </row>
    <row r="863" spans="2:24" hidden="1" outlineLevel="1" x14ac:dyDescent="0.3">
      <c r="M863" s="40" t="str">
        <f>$D$858</f>
        <v>USD</v>
      </c>
      <c r="O863" s="40" t="str">
        <f>$D$858</f>
        <v>USD</v>
      </c>
      <c r="Q863" s="40" t="str">
        <f>$D$859</f>
        <v>GOZ</v>
      </c>
      <c r="S863" s="40" t="str">
        <f>$D$859</f>
        <v>GOZ</v>
      </c>
    </row>
    <row r="864" spans="2:24" hidden="1" outlineLevel="1" x14ac:dyDescent="0.3">
      <c r="C864" s="89" t="str">
        <f>RES_BA!D14</f>
        <v>Personnel Cadre - Other 1</v>
      </c>
      <c r="M864" s="40">
        <f>RES_BA!R14</f>
        <v>0</v>
      </c>
      <c r="O864" s="40">
        <f>RES_BA!S14</f>
        <v>0</v>
      </c>
      <c r="Q864" s="40">
        <f>RES_BA!T14</f>
        <v>0</v>
      </c>
      <c r="S864" s="40">
        <f>RES_BA!U14</f>
        <v>0</v>
      </c>
    </row>
    <row r="865" spans="3:19" hidden="1" outlineLevel="1" x14ac:dyDescent="0.3">
      <c r="C865" s="89" t="str">
        <f>RES_BA!D15</f>
        <v>Personnel Cadre - Other 2</v>
      </c>
      <c r="M865" s="40">
        <f>RES_BA!R15</f>
        <v>0</v>
      </c>
      <c r="O865" s="40">
        <f>RES_BA!S15</f>
        <v>0</v>
      </c>
      <c r="Q865" s="40">
        <f>RES_BA!T15</f>
        <v>0</v>
      </c>
      <c r="S865" s="40">
        <f>RES_BA!U15</f>
        <v>0</v>
      </c>
    </row>
    <row r="866" spans="3:19" hidden="1" outlineLevel="1" x14ac:dyDescent="0.3">
      <c r="C866" s="89" t="str">
        <f>RES_BA!D16</f>
        <v>Personnel Cadre - Other 3</v>
      </c>
      <c r="M866" s="40">
        <f>RES_BA!R16</f>
        <v>0</v>
      </c>
      <c r="O866" s="40">
        <f>RES_BA!S16</f>
        <v>0</v>
      </c>
      <c r="Q866" s="40">
        <f>RES_BA!T16</f>
        <v>0</v>
      </c>
      <c r="S866" s="40">
        <f>RES_BA!U16</f>
        <v>0</v>
      </c>
    </row>
    <row r="867" spans="3:19" hidden="1" outlineLevel="1" x14ac:dyDescent="0.3">
      <c r="C867" s="89" t="str">
        <f>RES_BA!D17</f>
        <v>Personnel Cadre - Other 4</v>
      </c>
      <c r="M867" s="40">
        <f>RES_BA!R17</f>
        <v>0</v>
      </c>
      <c r="O867" s="40">
        <f>RES_BA!S17</f>
        <v>0</v>
      </c>
      <c r="Q867" s="40">
        <f>RES_BA!T17</f>
        <v>0</v>
      </c>
      <c r="S867" s="40">
        <f>RES_BA!U17</f>
        <v>0</v>
      </c>
    </row>
    <row r="868" spans="3:19" hidden="1" outlineLevel="1" x14ac:dyDescent="0.3">
      <c r="C868" s="89" t="str">
        <f>RES_BA!D18</f>
        <v>Personnel Cadre - Other 5</v>
      </c>
      <c r="M868" s="40">
        <f>RES_BA!R18</f>
        <v>0</v>
      </c>
      <c r="O868" s="40">
        <f>RES_BA!S18</f>
        <v>0</v>
      </c>
      <c r="Q868" s="40">
        <f>RES_BA!T18</f>
        <v>0</v>
      </c>
      <c r="S868" s="40">
        <f>RES_BA!U18</f>
        <v>0</v>
      </c>
    </row>
    <row r="869" spans="3:19" hidden="1" outlineLevel="1" x14ac:dyDescent="0.3">
      <c r="C869" s="89" t="str">
        <f>RES_BA!D19</f>
        <v>Personnel Cadre - Other 6</v>
      </c>
      <c r="M869" s="40">
        <f>RES_BA!R19</f>
        <v>0</v>
      </c>
      <c r="O869" s="40">
        <f>RES_BA!S19</f>
        <v>0</v>
      </c>
      <c r="Q869" s="40">
        <f>RES_BA!T19</f>
        <v>0</v>
      </c>
      <c r="S869" s="40">
        <f>RES_BA!U19</f>
        <v>0</v>
      </c>
    </row>
    <row r="870" spans="3:19" hidden="1" outlineLevel="1" x14ac:dyDescent="0.3">
      <c r="C870" s="89" t="str">
        <f>RES_BA!D20</f>
        <v>Personnel Cadre - Other 7</v>
      </c>
      <c r="M870" s="40">
        <f>RES_BA!R20</f>
        <v>0</v>
      </c>
      <c r="O870" s="40">
        <f>RES_BA!S20</f>
        <v>0</v>
      </c>
      <c r="Q870" s="40">
        <f>RES_BA!T20</f>
        <v>0</v>
      </c>
      <c r="S870" s="40">
        <f>RES_BA!U20</f>
        <v>0</v>
      </c>
    </row>
    <row r="871" spans="3:19" hidden="1" outlineLevel="1" x14ac:dyDescent="0.3">
      <c r="C871" s="89" t="str">
        <f>RES_BA!D21</f>
        <v>Personnel Cadre - Other 8</v>
      </c>
      <c r="M871" s="40">
        <f>RES_BA!R21</f>
        <v>0</v>
      </c>
      <c r="O871" s="40">
        <f>RES_BA!S21</f>
        <v>0</v>
      </c>
      <c r="Q871" s="40">
        <f>RES_BA!T21</f>
        <v>0</v>
      </c>
      <c r="S871" s="40">
        <f>RES_BA!U21</f>
        <v>0</v>
      </c>
    </row>
    <row r="872" spans="3:19" hidden="1" outlineLevel="1" x14ac:dyDescent="0.3">
      <c r="C872" s="89" t="str">
        <f>RES_BA!D22</f>
        <v>Personnel Cadre - Other 9</v>
      </c>
      <c r="M872" s="40">
        <f>RES_BA!R22</f>
        <v>0</v>
      </c>
      <c r="O872" s="40">
        <f>RES_BA!S22</f>
        <v>0</v>
      </c>
      <c r="Q872" s="40">
        <f>RES_BA!T22</f>
        <v>0</v>
      </c>
      <c r="S872" s="40">
        <f>RES_BA!U22</f>
        <v>0</v>
      </c>
    </row>
    <row r="873" spans="3:19" hidden="1" outlineLevel="1" x14ac:dyDescent="0.3">
      <c r="C873" s="89" t="str">
        <f>RES_BA!D23</f>
        <v>Personnel Cadre - Other 10</v>
      </c>
      <c r="M873" s="40">
        <f>RES_BA!R23</f>
        <v>0</v>
      </c>
      <c r="O873" s="40">
        <f>RES_BA!S23</f>
        <v>0</v>
      </c>
      <c r="Q873" s="40">
        <f>RES_BA!T23</f>
        <v>0</v>
      </c>
      <c r="S873" s="40">
        <f>RES_BA!U23</f>
        <v>0</v>
      </c>
    </row>
    <row r="874" spans="3:19" hidden="1" outlineLevel="1" x14ac:dyDescent="0.3">
      <c r="C874" s="89" t="str">
        <f>RES_BA!D24</f>
        <v>Personnel Cadre - Other 11</v>
      </c>
      <c r="M874" s="40">
        <f>RES_BA!R24</f>
        <v>0</v>
      </c>
      <c r="O874" s="40">
        <f>RES_BA!S24</f>
        <v>0</v>
      </c>
      <c r="Q874" s="40">
        <f>RES_BA!T24</f>
        <v>0</v>
      </c>
      <c r="S874" s="40">
        <f>RES_BA!U24</f>
        <v>0</v>
      </c>
    </row>
    <row r="875" spans="3:19" hidden="1" outlineLevel="1" x14ac:dyDescent="0.3">
      <c r="C875" s="89" t="str">
        <f>RES_BA!D25</f>
        <v>Personnel Cadre - Other 12</v>
      </c>
      <c r="M875" s="40">
        <f>RES_BA!R25</f>
        <v>0</v>
      </c>
      <c r="O875" s="40">
        <f>RES_BA!S25</f>
        <v>0</v>
      </c>
      <c r="Q875" s="40">
        <f>RES_BA!T25</f>
        <v>0</v>
      </c>
      <c r="S875" s="40">
        <f>RES_BA!U25</f>
        <v>0</v>
      </c>
    </row>
    <row r="876" spans="3:19" hidden="1" outlineLevel="1" x14ac:dyDescent="0.3">
      <c r="C876" s="89" t="str">
        <f>RES_BA!D26</f>
        <v>Personnel Cadre - Other 13</v>
      </c>
      <c r="M876" s="40">
        <f>RES_BA!R26</f>
        <v>0</v>
      </c>
      <c r="O876" s="40">
        <f>RES_BA!S26</f>
        <v>0</v>
      </c>
      <c r="Q876" s="40">
        <f>RES_BA!T26</f>
        <v>0</v>
      </c>
      <c r="S876" s="40">
        <f>RES_BA!U26</f>
        <v>0</v>
      </c>
    </row>
    <row r="877" spans="3:19" hidden="1" outlineLevel="1" x14ac:dyDescent="0.3">
      <c r="C877" s="89" t="str">
        <f>RES_BA!D27</f>
        <v>Personnel Cadre - Other 14</v>
      </c>
      <c r="M877" s="40">
        <f>RES_BA!R27</f>
        <v>0</v>
      </c>
      <c r="O877" s="40">
        <f>RES_BA!S27</f>
        <v>0</v>
      </c>
      <c r="Q877" s="40">
        <f>RES_BA!T27</f>
        <v>0</v>
      </c>
      <c r="S877" s="40">
        <f>RES_BA!U27</f>
        <v>0</v>
      </c>
    </row>
    <row r="878" spans="3:19" hidden="1" outlineLevel="1" x14ac:dyDescent="0.3">
      <c r="C878" s="89" t="str">
        <f>RES_BA!D28</f>
        <v>Personnel Cadre - Other 15</v>
      </c>
      <c r="M878" s="40">
        <f>RES_BA!R28</f>
        <v>0</v>
      </c>
      <c r="O878" s="40">
        <f>RES_BA!S28</f>
        <v>0</v>
      </c>
      <c r="Q878" s="40">
        <f>RES_BA!T28</f>
        <v>0</v>
      </c>
      <c r="S878" s="40">
        <f>RES_BA!U28</f>
        <v>0</v>
      </c>
    </row>
    <row r="879" spans="3:19" s="277" customFormat="1" hidden="1" outlineLevel="1" collapsed="1" x14ac:dyDescent="0.3">
      <c r="C879" s="283" t="str">
        <f>RES_BA!D29</f>
        <v>Personnel Cadre - Other 16</v>
      </c>
      <c r="M879" s="279">
        <f>RES_BA!R29</f>
        <v>0</v>
      </c>
      <c r="O879" s="279">
        <f>RES_BA!S29</f>
        <v>0</v>
      </c>
      <c r="Q879" s="279">
        <f>RES_BA!T29</f>
        <v>0</v>
      </c>
      <c r="S879" s="279">
        <f>RES_BA!U29</f>
        <v>0</v>
      </c>
    </row>
    <row r="880" spans="3:19" s="277" customFormat="1" hidden="1" outlineLevel="1" collapsed="1" x14ac:dyDescent="0.3">
      <c r="C880" s="283" t="str">
        <f>RES_BA!D30</f>
        <v>Personnel Cadre - Other 17</v>
      </c>
      <c r="M880" s="279">
        <f>RES_BA!R30</f>
        <v>0</v>
      </c>
      <c r="O880" s="279">
        <f>RES_BA!S30</f>
        <v>0</v>
      </c>
      <c r="Q880" s="279">
        <f>RES_BA!T30</f>
        <v>0</v>
      </c>
      <c r="S880" s="279">
        <f>RES_BA!U30</f>
        <v>0</v>
      </c>
    </row>
    <row r="881" spans="3:19" s="277" customFormat="1" hidden="1" outlineLevel="1" collapsed="1" x14ac:dyDescent="0.3">
      <c r="C881" s="283" t="str">
        <f>RES_BA!D31</f>
        <v>Personnel Cadre - Other 18</v>
      </c>
      <c r="M881" s="279">
        <f>RES_BA!R31</f>
        <v>0</v>
      </c>
      <c r="O881" s="279">
        <f>RES_BA!S31</f>
        <v>0</v>
      </c>
      <c r="Q881" s="279">
        <f>RES_BA!T31</f>
        <v>0</v>
      </c>
      <c r="S881" s="279">
        <f>RES_BA!U31</f>
        <v>0</v>
      </c>
    </row>
    <row r="882" spans="3:19" s="277" customFormat="1" hidden="1" outlineLevel="1" x14ac:dyDescent="0.3">
      <c r="C882" s="283" t="str">
        <f>RES_BA!D32</f>
        <v>Personnel Cadre - Other 19</v>
      </c>
      <c r="M882" s="279">
        <f>RES_BA!R32</f>
        <v>0</v>
      </c>
      <c r="O882" s="279">
        <f>RES_BA!S32</f>
        <v>0</v>
      </c>
      <c r="Q882" s="279">
        <f>RES_BA!T32</f>
        <v>0</v>
      </c>
      <c r="S882" s="279">
        <f>RES_BA!U32</f>
        <v>0</v>
      </c>
    </row>
    <row r="883" spans="3:19" s="277" customFormat="1" hidden="1" outlineLevel="1" x14ac:dyDescent="0.3">
      <c r="C883" s="283" t="str">
        <f>RES_BA!D33</f>
        <v>Personnel Cadre - Other 20</v>
      </c>
      <c r="M883" s="279">
        <f>RES_BA!R33</f>
        <v>0</v>
      </c>
      <c r="O883" s="279">
        <f>RES_BA!S33</f>
        <v>0</v>
      </c>
      <c r="Q883" s="279">
        <f>RES_BA!T33</f>
        <v>0</v>
      </c>
      <c r="S883" s="279">
        <f>RES_BA!U33</f>
        <v>0</v>
      </c>
    </row>
    <row r="884" spans="3:19" s="277" customFormat="1" hidden="1" outlineLevel="1" collapsed="1" x14ac:dyDescent="0.3">
      <c r="C884" s="283" t="str">
        <f>RES_BA!D34</f>
        <v>Personnel Cadre - Other 21</v>
      </c>
      <c r="M884" s="279">
        <f>RES_BA!R34</f>
        <v>0</v>
      </c>
      <c r="O884" s="279">
        <f>RES_BA!S34</f>
        <v>0</v>
      </c>
      <c r="Q884" s="279">
        <f>RES_BA!T34</f>
        <v>0</v>
      </c>
      <c r="S884" s="279">
        <f>RES_BA!U34</f>
        <v>0</v>
      </c>
    </row>
    <row r="885" spans="3:19" s="277" customFormat="1" hidden="1" outlineLevel="1" x14ac:dyDescent="0.3">
      <c r="C885" s="283" t="str">
        <f>RES_BA!D35</f>
        <v>Personnel Cadre - Other 22</v>
      </c>
      <c r="M885" s="279">
        <f>RES_BA!R35</f>
        <v>0</v>
      </c>
      <c r="O885" s="279">
        <f>RES_BA!S35</f>
        <v>0</v>
      </c>
      <c r="Q885" s="279">
        <f>RES_BA!T35</f>
        <v>0</v>
      </c>
      <c r="S885" s="279">
        <f>RES_BA!U35</f>
        <v>0</v>
      </c>
    </row>
    <row r="886" spans="3:19" s="277" customFormat="1" hidden="1" outlineLevel="1" x14ac:dyDescent="0.3">
      <c r="C886" s="283" t="str">
        <f>RES_BA!D36</f>
        <v>Personnel Cadre - Other 23</v>
      </c>
      <c r="M886" s="279">
        <f>RES_BA!R36</f>
        <v>0</v>
      </c>
      <c r="O886" s="279">
        <f>RES_BA!S36</f>
        <v>0</v>
      </c>
      <c r="Q886" s="279">
        <f>RES_BA!T36</f>
        <v>0</v>
      </c>
      <c r="S886" s="279">
        <f>RES_BA!U36</f>
        <v>0</v>
      </c>
    </row>
    <row r="887" spans="3:19" s="277" customFormat="1" hidden="1" outlineLevel="1" x14ac:dyDescent="0.3">
      <c r="C887" s="283" t="str">
        <f>RES_BA!D37</f>
        <v>Personnel Cadre - Other 24</v>
      </c>
      <c r="M887" s="279">
        <f>RES_BA!R37</f>
        <v>0</v>
      </c>
      <c r="O887" s="279">
        <f>RES_BA!S37</f>
        <v>0</v>
      </c>
      <c r="Q887" s="279">
        <f>RES_BA!T37</f>
        <v>0</v>
      </c>
      <c r="S887" s="279">
        <f>RES_BA!U37</f>
        <v>0</v>
      </c>
    </row>
    <row r="888" spans="3:19" s="277" customFormat="1" hidden="1" outlineLevel="1" x14ac:dyDescent="0.3">
      <c r="C888" s="283" t="str">
        <f>RES_BA!D38</f>
        <v>Personnel Cadre - Other 25</v>
      </c>
      <c r="M888" s="279">
        <f>RES_BA!R38</f>
        <v>0</v>
      </c>
      <c r="O888" s="279">
        <f>RES_BA!S38</f>
        <v>0</v>
      </c>
      <c r="Q888" s="279">
        <f>RES_BA!T38</f>
        <v>0</v>
      </c>
      <c r="S888" s="279">
        <f>RES_BA!U38</f>
        <v>0</v>
      </c>
    </row>
    <row r="889" spans="3:19" s="277" customFormat="1" hidden="1" outlineLevel="1" x14ac:dyDescent="0.3">
      <c r="C889" s="283" t="str">
        <f>RES_BA!D39</f>
        <v>Personnel Cadre - Other 26</v>
      </c>
      <c r="M889" s="279">
        <f>RES_BA!R39</f>
        <v>0</v>
      </c>
      <c r="O889" s="279">
        <f>RES_BA!S39</f>
        <v>0</v>
      </c>
      <c r="Q889" s="279">
        <f>RES_BA!T39</f>
        <v>0</v>
      </c>
      <c r="S889" s="279">
        <f>RES_BA!U39</f>
        <v>0</v>
      </c>
    </row>
    <row r="890" spans="3:19" s="277" customFormat="1" hidden="1" outlineLevel="1" x14ac:dyDescent="0.3">
      <c r="C890" s="283" t="str">
        <f>RES_BA!D40</f>
        <v>Personnel Cadre - Other 27</v>
      </c>
      <c r="M890" s="279">
        <f>RES_BA!R40</f>
        <v>0</v>
      </c>
      <c r="O890" s="279">
        <f>RES_BA!S40</f>
        <v>0</v>
      </c>
      <c r="Q890" s="279">
        <f>RES_BA!T40</f>
        <v>0</v>
      </c>
      <c r="S890" s="279">
        <f>RES_BA!U40</f>
        <v>0</v>
      </c>
    </row>
    <row r="891" spans="3:19" s="277" customFormat="1" hidden="1" outlineLevel="1" x14ac:dyDescent="0.3">
      <c r="C891" s="283" t="str">
        <f>RES_BA!D41</f>
        <v>Personnel Cadre - Other 28</v>
      </c>
      <c r="M891" s="279">
        <f>RES_BA!R41</f>
        <v>0</v>
      </c>
      <c r="O891" s="279">
        <f>RES_BA!S41</f>
        <v>0</v>
      </c>
      <c r="Q891" s="279">
        <f>RES_BA!T41</f>
        <v>0</v>
      </c>
      <c r="S891" s="279">
        <f>RES_BA!U41</f>
        <v>0</v>
      </c>
    </row>
    <row r="892" spans="3:19" s="277" customFormat="1" hidden="1" outlineLevel="1" x14ac:dyDescent="0.3">
      <c r="C892" s="283" t="str">
        <f>RES_BA!D42</f>
        <v>Personnel Cadre - Other 29</v>
      </c>
      <c r="M892" s="279">
        <f>RES_BA!R42</f>
        <v>0</v>
      </c>
      <c r="O892" s="279">
        <f>RES_BA!S42</f>
        <v>0</v>
      </c>
      <c r="Q892" s="279">
        <f>RES_BA!T42</f>
        <v>0</v>
      </c>
      <c r="S892" s="279">
        <f>RES_BA!U42</f>
        <v>0</v>
      </c>
    </row>
    <row r="893" spans="3:19" s="277" customFormat="1" hidden="1" outlineLevel="1" x14ac:dyDescent="0.3">
      <c r="C893" s="283" t="str">
        <f>RES_BA!D43</f>
        <v>Personnel Cadre - Other 30</v>
      </c>
      <c r="M893" s="279">
        <f>RES_BA!R43</f>
        <v>0</v>
      </c>
      <c r="O893" s="279">
        <f>RES_BA!S43</f>
        <v>0</v>
      </c>
      <c r="Q893" s="279">
        <f>RES_BA!T43</f>
        <v>0</v>
      </c>
      <c r="S893" s="279">
        <f>RES_BA!U43</f>
        <v>0</v>
      </c>
    </row>
    <row r="894" spans="3:19" s="277" customFormat="1" hidden="1" outlineLevel="1" x14ac:dyDescent="0.3">
      <c r="C894" s="283" t="str">
        <f>RES_BA!D44</f>
        <v>Personnel Cadre - Other 31</v>
      </c>
      <c r="M894" s="279">
        <f>RES_BA!R44</f>
        <v>0</v>
      </c>
      <c r="O894" s="279">
        <f>RES_BA!S44</f>
        <v>0</v>
      </c>
      <c r="Q894" s="279">
        <f>RES_BA!T44</f>
        <v>0</v>
      </c>
      <c r="S894" s="279">
        <f>RES_BA!U44</f>
        <v>0</v>
      </c>
    </row>
    <row r="895" spans="3:19" s="277" customFormat="1" hidden="1" outlineLevel="1" x14ac:dyDescent="0.3">
      <c r="C895" s="283" t="str">
        <f>RES_BA!D45</f>
        <v>Personnel Cadre - Other 32</v>
      </c>
      <c r="M895" s="279">
        <f>RES_BA!R45</f>
        <v>0</v>
      </c>
      <c r="O895" s="279">
        <f>RES_BA!S45</f>
        <v>0</v>
      </c>
      <c r="Q895" s="279">
        <f>RES_BA!T45</f>
        <v>0</v>
      </c>
      <c r="S895" s="279">
        <f>RES_BA!U45</f>
        <v>0</v>
      </c>
    </row>
    <row r="896" spans="3:19" s="277" customFormat="1" hidden="1" outlineLevel="1" x14ac:dyDescent="0.3">
      <c r="C896" s="283" t="str">
        <f>RES_BA!D46</f>
        <v>Personnel Cadre - Other 33</v>
      </c>
      <c r="M896" s="279">
        <f>RES_BA!R46</f>
        <v>0</v>
      </c>
      <c r="O896" s="279">
        <f>RES_BA!S46</f>
        <v>0</v>
      </c>
      <c r="Q896" s="279">
        <f>RES_BA!T46</f>
        <v>0</v>
      </c>
      <c r="S896" s="279">
        <f>RES_BA!U46</f>
        <v>0</v>
      </c>
    </row>
    <row r="897" spans="3:19" s="277" customFormat="1" hidden="1" outlineLevel="1" x14ac:dyDescent="0.3">
      <c r="C897" s="283" t="str">
        <f>RES_BA!D47</f>
        <v>Personnel Cadre - Other 34</v>
      </c>
      <c r="M897" s="279">
        <f>RES_BA!R47</f>
        <v>0</v>
      </c>
      <c r="O897" s="279">
        <f>RES_BA!S47</f>
        <v>0</v>
      </c>
      <c r="Q897" s="279">
        <f>RES_BA!T47</f>
        <v>0</v>
      </c>
      <c r="S897" s="279">
        <f>RES_BA!U47</f>
        <v>0</v>
      </c>
    </row>
    <row r="898" spans="3:19" s="277" customFormat="1" hidden="1" outlineLevel="1" x14ac:dyDescent="0.3">
      <c r="C898" s="283" t="str">
        <f>RES_BA!D48</f>
        <v>Personnel Cadre - Other 35</v>
      </c>
      <c r="M898" s="279">
        <f>RES_BA!R48</f>
        <v>0</v>
      </c>
      <c r="O898" s="279">
        <f>RES_BA!S48</f>
        <v>0</v>
      </c>
      <c r="Q898" s="279">
        <f>RES_BA!T48</f>
        <v>0</v>
      </c>
      <c r="S898" s="279">
        <f>RES_BA!U48</f>
        <v>0</v>
      </c>
    </row>
    <row r="899" spans="3:19" hidden="1" outlineLevel="1" x14ac:dyDescent="0.3"/>
    <row r="900" spans="3:19" hidden="1" outlineLevel="1" x14ac:dyDescent="0.3">
      <c r="M900" s="40" t="str">
        <f>$D$858</f>
        <v>USD</v>
      </c>
      <c r="O900" s="40" t="str">
        <f>$D$858</f>
        <v>USD</v>
      </c>
      <c r="Q900" s="40" t="str">
        <f>$D$859</f>
        <v>GOZ</v>
      </c>
      <c r="S900" s="40" t="str">
        <f>$D$859</f>
        <v>GOZ</v>
      </c>
    </row>
    <row r="901" spans="3:19" hidden="1" outlineLevel="1" x14ac:dyDescent="0.3">
      <c r="C901" s="89" t="str">
        <f>RES_BA!D53</f>
        <v>Allowances Category 1</v>
      </c>
      <c r="M901" s="40">
        <f>RES_BA!R53</f>
        <v>0</v>
      </c>
      <c r="O901" s="40">
        <f>RES_BA!S53</f>
        <v>0</v>
      </c>
      <c r="Q901" s="40">
        <f>RES_BA!T53</f>
        <v>0</v>
      </c>
      <c r="S901" s="40">
        <f>RES_BA!U53</f>
        <v>0</v>
      </c>
    </row>
    <row r="902" spans="3:19" hidden="1" outlineLevel="1" x14ac:dyDescent="0.3">
      <c r="C902" s="89" t="str">
        <f>RES_BA!D54</f>
        <v>Allowances Category 2</v>
      </c>
      <c r="M902" s="40">
        <f>RES_BA!R54</f>
        <v>0</v>
      </c>
      <c r="O902" s="40">
        <f>RES_BA!S54</f>
        <v>0</v>
      </c>
      <c r="Q902" s="40">
        <f>RES_BA!T54</f>
        <v>0</v>
      </c>
      <c r="S902" s="40">
        <f>RES_BA!U54</f>
        <v>0</v>
      </c>
    </row>
    <row r="903" spans="3:19" hidden="1" outlineLevel="1" x14ac:dyDescent="0.3">
      <c r="C903" s="89" t="str">
        <f>RES_BA!D55</f>
        <v>Allowances Category 3</v>
      </c>
      <c r="M903" s="40">
        <f>RES_BA!R55</f>
        <v>0</v>
      </c>
      <c r="O903" s="40">
        <f>RES_BA!S55</f>
        <v>0</v>
      </c>
      <c r="Q903" s="40">
        <f>RES_BA!T55</f>
        <v>0</v>
      </c>
      <c r="S903" s="40">
        <f>RES_BA!U55</f>
        <v>0</v>
      </c>
    </row>
    <row r="904" spans="3:19" hidden="1" outlineLevel="1" x14ac:dyDescent="0.3">
      <c r="C904" s="89" t="str">
        <f>RES_BA!D56</f>
        <v>Allowances Category 4</v>
      </c>
      <c r="M904" s="40">
        <f>RES_BA!R56</f>
        <v>0</v>
      </c>
      <c r="O904" s="40">
        <f>RES_BA!S56</f>
        <v>0</v>
      </c>
      <c r="Q904" s="40">
        <f>RES_BA!T56</f>
        <v>0</v>
      </c>
      <c r="S904" s="40">
        <f>RES_BA!U56</f>
        <v>0</v>
      </c>
    </row>
    <row r="905" spans="3:19" hidden="1" outlineLevel="1" x14ac:dyDescent="0.3">
      <c r="C905" s="89" t="str">
        <f>RES_BA!D57</f>
        <v>Allowances Category 5</v>
      </c>
      <c r="M905" s="40">
        <f>RES_BA!R57</f>
        <v>0</v>
      </c>
      <c r="O905" s="40">
        <f>RES_BA!S57</f>
        <v>0</v>
      </c>
      <c r="Q905" s="40">
        <f>RES_BA!T57</f>
        <v>0</v>
      </c>
      <c r="S905" s="40">
        <f>RES_BA!U57</f>
        <v>0</v>
      </c>
    </row>
    <row r="906" spans="3:19" s="277" customFormat="1" hidden="1" outlineLevel="1" collapsed="1" x14ac:dyDescent="0.3">
      <c r="C906" s="283" t="str">
        <f>RES_BA!D58</f>
        <v>Allowances Category 6</v>
      </c>
      <c r="M906" s="279">
        <f>RES_BA!R58</f>
        <v>0</v>
      </c>
      <c r="O906" s="279">
        <f>RES_BA!S58</f>
        <v>0</v>
      </c>
      <c r="Q906" s="279">
        <f>RES_BA!T58</f>
        <v>0</v>
      </c>
      <c r="S906" s="279">
        <f>RES_BA!U58</f>
        <v>0</v>
      </c>
    </row>
    <row r="907" spans="3:19" s="277" customFormat="1" hidden="1" outlineLevel="1" x14ac:dyDescent="0.3">
      <c r="C907" s="283" t="str">
        <f>RES_BA!D59</f>
        <v>Allowances Category 7</v>
      </c>
      <c r="M907" s="279">
        <f>RES_BA!R59</f>
        <v>0</v>
      </c>
      <c r="O907" s="279">
        <f>RES_BA!S59</f>
        <v>0</v>
      </c>
      <c r="Q907" s="279">
        <f>RES_BA!T59</f>
        <v>0</v>
      </c>
      <c r="S907" s="279">
        <f>RES_BA!U59</f>
        <v>0</v>
      </c>
    </row>
    <row r="908" spans="3:19" s="277" customFormat="1" hidden="1" outlineLevel="1" x14ac:dyDescent="0.3">
      <c r="C908" s="283" t="str">
        <f>RES_BA!D60</f>
        <v>Allowances Category 8</v>
      </c>
      <c r="M908" s="279">
        <f>RES_BA!R60</f>
        <v>0</v>
      </c>
      <c r="O908" s="279">
        <f>RES_BA!S60</f>
        <v>0</v>
      </c>
      <c r="Q908" s="279">
        <f>RES_BA!T60</f>
        <v>0</v>
      </c>
      <c r="S908" s="279">
        <f>RES_BA!U60</f>
        <v>0</v>
      </c>
    </row>
    <row r="909" spans="3:19" s="277" customFormat="1" hidden="1" outlineLevel="1" x14ac:dyDescent="0.3">
      <c r="C909" s="283" t="str">
        <f>RES_BA!D61</f>
        <v>Allowances Category 9</v>
      </c>
      <c r="M909" s="279">
        <f>RES_BA!R61</f>
        <v>0</v>
      </c>
      <c r="O909" s="279">
        <f>RES_BA!S61</f>
        <v>0</v>
      </c>
      <c r="Q909" s="279">
        <f>RES_BA!T61</f>
        <v>0</v>
      </c>
      <c r="S909" s="279">
        <f>RES_BA!U61</f>
        <v>0</v>
      </c>
    </row>
    <row r="910" spans="3:19" s="277" customFormat="1" hidden="1" outlineLevel="1" x14ac:dyDescent="0.3">
      <c r="C910" s="283" t="str">
        <f>RES_BA!D62</f>
        <v>Allowances Category 10</v>
      </c>
      <c r="M910" s="279">
        <f>RES_BA!R62</f>
        <v>0</v>
      </c>
      <c r="O910" s="279">
        <f>RES_BA!S62</f>
        <v>0</v>
      </c>
      <c r="Q910" s="279">
        <f>RES_BA!T62</f>
        <v>0</v>
      </c>
      <c r="S910" s="279">
        <f>RES_BA!U62</f>
        <v>0</v>
      </c>
    </row>
    <row r="911" spans="3:19" s="277" customFormat="1" hidden="1" outlineLevel="1" x14ac:dyDescent="0.3">
      <c r="C911" s="283" t="str">
        <f>RES_BA!D63</f>
        <v>Allowances Category 11</v>
      </c>
      <c r="M911" s="279">
        <f>RES_BA!R63</f>
        <v>0</v>
      </c>
      <c r="O911" s="279">
        <f>RES_BA!S63</f>
        <v>0</v>
      </c>
      <c r="Q911" s="279">
        <f>RES_BA!T63</f>
        <v>0</v>
      </c>
      <c r="S911" s="279">
        <f>RES_BA!U63</f>
        <v>0</v>
      </c>
    </row>
    <row r="912" spans="3:19" s="277" customFormat="1" hidden="1" outlineLevel="1" x14ac:dyDescent="0.3">
      <c r="C912" s="283" t="str">
        <f>RES_BA!D64</f>
        <v>Allowances Category 12</v>
      </c>
      <c r="M912" s="279">
        <f>RES_BA!R64</f>
        <v>0</v>
      </c>
      <c r="O912" s="279">
        <f>RES_BA!S64</f>
        <v>0</v>
      </c>
      <c r="Q912" s="279">
        <f>RES_BA!T64</f>
        <v>0</v>
      </c>
      <c r="S912" s="279">
        <f>RES_BA!U64</f>
        <v>0</v>
      </c>
    </row>
    <row r="913" spans="3:19" s="277" customFormat="1" hidden="1" outlineLevel="1" x14ac:dyDescent="0.3">
      <c r="C913" s="283" t="str">
        <f>RES_BA!D65</f>
        <v>Allowances Category 13</v>
      </c>
      <c r="M913" s="279">
        <f>RES_BA!R65</f>
        <v>0</v>
      </c>
      <c r="O913" s="279">
        <f>RES_BA!S65</f>
        <v>0</v>
      </c>
      <c r="Q913" s="279">
        <f>RES_BA!T65</f>
        <v>0</v>
      </c>
      <c r="S913" s="279">
        <f>RES_BA!U65</f>
        <v>0</v>
      </c>
    </row>
    <row r="914" spans="3:19" s="277" customFormat="1" hidden="1" outlineLevel="1" x14ac:dyDescent="0.3">
      <c r="C914" s="283" t="str">
        <f>RES_BA!D66</f>
        <v>Allowances Category 14</v>
      </c>
      <c r="M914" s="279">
        <f>RES_BA!R66</f>
        <v>0</v>
      </c>
      <c r="O914" s="279">
        <f>RES_BA!S66</f>
        <v>0</v>
      </c>
      <c r="Q914" s="279">
        <f>RES_BA!T66</f>
        <v>0</v>
      </c>
      <c r="S914" s="279">
        <f>RES_BA!U66</f>
        <v>0</v>
      </c>
    </row>
    <row r="915" spans="3:19" s="277" customFormat="1" hidden="1" outlineLevel="1" x14ac:dyDescent="0.3">
      <c r="C915" s="283" t="str">
        <f>RES_BA!D67</f>
        <v>Allowances Category 15</v>
      </c>
      <c r="M915" s="279">
        <f>RES_BA!R67</f>
        <v>0</v>
      </c>
      <c r="O915" s="279">
        <f>RES_BA!S67</f>
        <v>0</v>
      </c>
      <c r="Q915" s="279">
        <f>RES_BA!T67</f>
        <v>0</v>
      </c>
      <c r="S915" s="279">
        <f>RES_BA!U67</f>
        <v>0</v>
      </c>
    </row>
    <row r="916" spans="3:19" s="277" customFormat="1" hidden="1" outlineLevel="1" x14ac:dyDescent="0.3">
      <c r="C916" s="283" t="str">
        <f>RES_BA!D68</f>
        <v>Allowances Category 16</v>
      </c>
      <c r="M916" s="279">
        <f>RES_BA!R68</f>
        <v>0</v>
      </c>
      <c r="O916" s="279">
        <f>RES_BA!S68</f>
        <v>0</v>
      </c>
      <c r="Q916" s="279">
        <f>RES_BA!T68</f>
        <v>0</v>
      </c>
      <c r="S916" s="279">
        <f>RES_BA!U68</f>
        <v>0</v>
      </c>
    </row>
    <row r="917" spans="3:19" hidden="1" outlineLevel="1" x14ac:dyDescent="0.3">
      <c r="C917" s="89" t="str">
        <f>RES_BA!D69</f>
        <v>Allowances Category 17</v>
      </c>
      <c r="M917" s="40">
        <f>RES_BA!R69</f>
        <v>0</v>
      </c>
      <c r="O917" s="40">
        <f>RES_BA!S69</f>
        <v>0</v>
      </c>
      <c r="Q917" s="40">
        <f>RES_BA!T69</f>
        <v>0</v>
      </c>
      <c r="S917" s="40">
        <f>RES_BA!U69</f>
        <v>0</v>
      </c>
    </row>
    <row r="918" spans="3:19" hidden="1" outlineLevel="1" x14ac:dyDescent="0.3">
      <c r="C918" s="89" t="str">
        <f>RES_BA!D70</f>
        <v>Allowances Category 18</v>
      </c>
      <c r="M918" s="40">
        <f>RES_BA!R70</f>
        <v>0</v>
      </c>
      <c r="O918" s="40">
        <f>RES_BA!S70</f>
        <v>0</v>
      </c>
      <c r="Q918" s="40">
        <f>RES_BA!T70</f>
        <v>0</v>
      </c>
      <c r="S918" s="40">
        <f>RES_BA!U70</f>
        <v>0</v>
      </c>
    </row>
    <row r="919" spans="3:19" hidden="1" outlineLevel="1" x14ac:dyDescent="0.3">
      <c r="C919" s="89" t="str">
        <f>RES_BA!D71</f>
        <v>Allowances Category 19</v>
      </c>
      <c r="M919" s="40">
        <f>RES_BA!R71</f>
        <v>0</v>
      </c>
      <c r="O919" s="40">
        <f>RES_BA!S71</f>
        <v>0</v>
      </c>
      <c r="Q919" s="40">
        <f>RES_BA!T71</f>
        <v>0</v>
      </c>
      <c r="S919" s="40">
        <f>RES_BA!U71</f>
        <v>0</v>
      </c>
    </row>
    <row r="920" spans="3:19" hidden="1" outlineLevel="1" x14ac:dyDescent="0.3">
      <c r="C920" s="89" t="str">
        <f>RES_BA!D72</f>
        <v>Allowances Category 20</v>
      </c>
      <c r="M920" s="40">
        <f>RES_BA!R72</f>
        <v>0</v>
      </c>
      <c r="O920" s="40">
        <f>RES_BA!S72</f>
        <v>0</v>
      </c>
      <c r="Q920" s="40">
        <f>RES_BA!T72</f>
        <v>0</v>
      </c>
      <c r="S920" s="40">
        <f>RES_BA!U72</f>
        <v>0</v>
      </c>
    </row>
    <row r="921" spans="3:19" hidden="1" outlineLevel="1" x14ac:dyDescent="0.3">
      <c r="C921" s="89" t="str">
        <f>RES_BA!D73</f>
        <v>Allowances Category 21</v>
      </c>
      <c r="M921" s="40">
        <f>RES_BA!R73</f>
        <v>0</v>
      </c>
      <c r="O921" s="40">
        <f>RES_BA!S73</f>
        <v>0</v>
      </c>
      <c r="Q921" s="40">
        <f>RES_BA!T73</f>
        <v>0</v>
      </c>
      <c r="S921" s="40">
        <f>RES_BA!U73</f>
        <v>0</v>
      </c>
    </row>
    <row r="922" spans="3:19" hidden="1" outlineLevel="1" x14ac:dyDescent="0.3">
      <c r="C922" s="89" t="str">
        <f>RES_BA!D74</f>
        <v>Allowances Category 22</v>
      </c>
      <c r="M922" s="40">
        <f>RES_BA!R74</f>
        <v>0</v>
      </c>
      <c r="O922" s="40">
        <f>RES_BA!S74</f>
        <v>0</v>
      </c>
      <c r="Q922" s="40">
        <f>RES_BA!T74</f>
        <v>0</v>
      </c>
      <c r="S922" s="40">
        <f>RES_BA!U74</f>
        <v>0</v>
      </c>
    </row>
    <row r="923" spans="3:19" hidden="1" outlineLevel="1" x14ac:dyDescent="0.3">
      <c r="C923" s="89" t="str">
        <f>RES_BA!D75</f>
        <v>Allowances Category 23</v>
      </c>
      <c r="M923" s="40">
        <f>RES_BA!R75</f>
        <v>0</v>
      </c>
      <c r="O923" s="40">
        <f>RES_BA!S75</f>
        <v>0</v>
      </c>
      <c r="Q923" s="40">
        <f>RES_BA!T75</f>
        <v>0</v>
      </c>
      <c r="S923" s="40">
        <f>RES_BA!U75</f>
        <v>0</v>
      </c>
    </row>
    <row r="924" spans="3:19" s="277" customFormat="1" hidden="1" outlineLevel="1" collapsed="1" x14ac:dyDescent="0.3">
      <c r="C924" s="283" t="str">
        <f>RES_BA!D76</f>
        <v>Allowances Category 24</v>
      </c>
      <c r="M924" s="279">
        <f>RES_BA!R76</f>
        <v>0</v>
      </c>
      <c r="O924" s="279">
        <f>RES_BA!S76</f>
        <v>0</v>
      </c>
      <c r="Q924" s="279">
        <f>RES_BA!T76</f>
        <v>0</v>
      </c>
      <c r="S924" s="279">
        <f>RES_BA!U76</f>
        <v>0</v>
      </c>
    </row>
    <row r="925" spans="3:19" s="277" customFormat="1" hidden="1" outlineLevel="1" x14ac:dyDescent="0.3">
      <c r="C925" s="283" t="str">
        <f>RES_BA!D77</f>
        <v>Allowances Category 25</v>
      </c>
      <c r="M925" s="279">
        <f>RES_BA!R77</f>
        <v>0</v>
      </c>
      <c r="O925" s="279">
        <f>RES_BA!S77</f>
        <v>0</v>
      </c>
      <c r="Q925" s="279">
        <f>RES_BA!T77</f>
        <v>0</v>
      </c>
      <c r="S925" s="279">
        <f>RES_BA!U77</f>
        <v>0</v>
      </c>
    </row>
    <row r="926" spans="3:19" s="277" customFormat="1" hidden="1" outlineLevel="1" x14ac:dyDescent="0.3">
      <c r="C926" s="283" t="str">
        <f>RES_BA!D78</f>
        <v>Allowances Category 26</v>
      </c>
      <c r="M926" s="279">
        <f>RES_BA!R78</f>
        <v>0</v>
      </c>
      <c r="O926" s="279">
        <f>RES_BA!S78</f>
        <v>0</v>
      </c>
      <c r="Q926" s="279">
        <f>RES_BA!T78</f>
        <v>0</v>
      </c>
      <c r="S926" s="279">
        <f>RES_BA!U78</f>
        <v>0</v>
      </c>
    </row>
    <row r="927" spans="3:19" s="277" customFormat="1" hidden="1" outlineLevel="1" x14ac:dyDescent="0.3">
      <c r="C927" s="283" t="str">
        <f>RES_BA!D79</f>
        <v>Allowances Category 27</v>
      </c>
      <c r="M927" s="279">
        <f>RES_BA!R79</f>
        <v>0</v>
      </c>
      <c r="O927" s="279">
        <f>RES_BA!S79</f>
        <v>0</v>
      </c>
      <c r="Q927" s="279">
        <f>RES_BA!T79</f>
        <v>0</v>
      </c>
      <c r="S927" s="279">
        <f>RES_BA!U79</f>
        <v>0</v>
      </c>
    </row>
    <row r="928" spans="3:19" s="277" customFormat="1" hidden="1" outlineLevel="1" x14ac:dyDescent="0.3">
      <c r="C928" s="283" t="str">
        <f>RES_BA!D80</f>
        <v>Allowances Category 28</v>
      </c>
      <c r="M928" s="279">
        <f>RES_BA!R80</f>
        <v>0</v>
      </c>
      <c r="O928" s="279">
        <f>RES_BA!S80</f>
        <v>0</v>
      </c>
      <c r="Q928" s="279">
        <f>RES_BA!T80</f>
        <v>0</v>
      </c>
      <c r="S928" s="279">
        <f>RES_BA!U80</f>
        <v>0</v>
      </c>
    </row>
    <row r="929" spans="3:19" s="277" customFormat="1" hidden="1" outlineLevel="1" x14ac:dyDescent="0.3">
      <c r="C929" s="283" t="str">
        <f>RES_BA!D81</f>
        <v>Allowances Category 29</v>
      </c>
      <c r="M929" s="279">
        <f>RES_BA!R81</f>
        <v>0</v>
      </c>
      <c r="O929" s="279">
        <f>RES_BA!S81</f>
        <v>0</v>
      </c>
      <c r="Q929" s="279">
        <f>RES_BA!T81</f>
        <v>0</v>
      </c>
      <c r="S929" s="279">
        <f>RES_BA!U81</f>
        <v>0</v>
      </c>
    </row>
    <row r="930" spans="3:19" s="277" customFormat="1" hidden="1" outlineLevel="1" x14ac:dyDescent="0.3">
      <c r="C930" s="283" t="str">
        <f>RES_BA!D82</f>
        <v>Allowances Category 30</v>
      </c>
      <c r="M930" s="279">
        <f>RES_BA!R82</f>
        <v>0</v>
      </c>
      <c r="O930" s="279">
        <f>RES_BA!S82</f>
        <v>0</v>
      </c>
      <c r="Q930" s="279">
        <f>RES_BA!T82</f>
        <v>0</v>
      </c>
      <c r="S930" s="279">
        <f>RES_BA!U82</f>
        <v>0</v>
      </c>
    </row>
    <row r="931" spans="3:19" hidden="1" outlineLevel="1" x14ac:dyDescent="0.3">
      <c r="C931" s="89" t="str">
        <f>RES_BA!D83</f>
        <v>Allowances Category 31</v>
      </c>
      <c r="M931" s="40">
        <f>RES_BA!R83</f>
        <v>0</v>
      </c>
      <c r="O931" s="40">
        <f>RES_BA!S83</f>
        <v>0</v>
      </c>
      <c r="Q931" s="40">
        <f>RES_BA!T83</f>
        <v>0</v>
      </c>
      <c r="S931" s="40">
        <f>RES_BA!U83</f>
        <v>0</v>
      </c>
    </row>
    <row r="932" spans="3:19" hidden="1" outlineLevel="1" x14ac:dyDescent="0.3">
      <c r="C932" s="89" t="str">
        <f>RES_BA!D84</f>
        <v>Allowances Category 32</v>
      </c>
      <c r="M932" s="40">
        <f>RES_BA!R84</f>
        <v>0</v>
      </c>
      <c r="O932" s="40">
        <f>RES_BA!S84</f>
        <v>0</v>
      </c>
      <c r="Q932" s="40">
        <f>RES_BA!T84</f>
        <v>0</v>
      </c>
      <c r="S932" s="40">
        <f>RES_BA!U84</f>
        <v>0</v>
      </c>
    </row>
    <row r="933" spans="3:19" hidden="1" outlineLevel="1" x14ac:dyDescent="0.3">
      <c r="C933" s="89" t="str">
        <f>RES_BA!D85</f>
        <v>Allowances Category 33</v>
      </c>
      <c r="M933" s="40">
        <f>RES_BA!R85</f>
        <v>0</v>
      </c>
      <c r="O933" s="40">
        <f>RES_BA!S85</f>
        <v>0</v>
      </c>
      <c r="Q933" s="40">
        <f>RES_BA!T85</f>
        <v>0</v>
      </c>
      <c r="S933" s="40">
        <f>RES_BA!U85</f>
        <v>0</v>
      </c>
    </row>
    <row r="934" spans="3:19" hidden="1" outlineLevel="1" x14ac:dyDescent="0.3">
      <c r="C934" s="89" t="str">
        <f>RES_BA!D86</f>
        <v>Allowances Category 34</v>
      </c>
      <c r="M934" s="40">
        <f>RES_BA!R86</f>
        <v>0</v>
      </c>
      <c r="O934" s="40">
        <f>RES_BA!S86</f>
        <v>0</v>
      </c>
      <c r="Q934" s="40">
        <f>RES_BA!T86</f>
        <v>0</v>
      </c>
      <c r="S934" s="40">
        <f>RES_BA!U86</f>
        <v>0</v>
      </c>
    </row>
    <row r="935" spans="3:19" hidden="1" outlineLevel="1" x14ac:dyDescent="0.3">
      <c r="C935" s="89" t="str">
        <f>RES_BA!D87</f>
        <v>Allowances Category 35</v>
      </c>
      <c r="M935" s="40">
        <f>RES_BA!R87</f>
        <v>0</v>
      </c>
      <c r="O935" s="40">
        <f>RES_BA!S87</f>
        <v>0</v>
      </c>
      <c r="Q935" s="40">
        <f>RES_BA!T87</f>
        <v>0</v>
      </c>
      <c r="S935" s="40">
        <f>RES_BA!U87</f>
        <v>0</v>
      </c>
    </row>
    <row r="936" spans="3:19" hidden="1" outlineLevel="1" x14ac:dyDescent="0.3"/>
    <row r="937" spans="3:19" hidden="1" outlineLevel="1" x14ac:dyDescent="0.3"/>
    <row r="938" spans="3:19" hidden="1" outlineLevel="1" x14ac:dyDescent="0.3">
      <c r="M938" s="40" t="str">
        <f>$D$858</f>
        <v>USD</v>
      </c>
      <c r="O938" s="40" t="str">
        <f>$D$858</f>
        <v>USD</v>
      </c>
      <c r="Q938" s="40" t="str">
        <f>$D$859</f>
        <v>GOZ</v>
      </c>
      <c r="S938" s="40" t="str">
        <f>$D$859</f>
        <v>GOZ</v>
      </c>
    </row>
    <row r="939" spans="3:19" hidden="1" outlineLevel="1" x14ac:dyDescent="0.3">
      <c r="C939" s="89" t="str">
        <f>RES_BA!D91</f>
        <v>Supplies Category 1</v>
      </c>
      <c r="M939" s="40">
        <f>RES_BA!R91</f>
        <v>0</v>
      </c>
      <c r="O939" s="40">
        <f>RES_BA!S91</f>
        <v>0</v>
      </c>
      <c r="Q939" s="40">
        <f>RES_BA!T91</f>
        <v>0</v>
      </c>
      <c r="S939" s="40">
        <f>RES_BA!U91</f>
        <v>0</v>
      </c>
    </row>
    <row r="940" spans="3:19" hidden="1" outlineLevel="1" x14ac:dyDescent="0.3">
      <c r="C940" s="89" t="str">
        <f>RES_BA!D92</f>
        <v>Supplies Category 2</v>
      </c>
      <c r="M940" s="40">
        <f>RES_BA!R92</f>
        <v>0</v>
      </c>
      <c r="O940" s="40">
        <f>RES_BA!S92</f>
        <v>0</v>
      </c>
      <c r="Q940" s="40">
        <f>RES_BA!T92</f>
        <v>0</v>
      </c>
      <c r="S940" s="40">
        <f>RES_BA!U92</f>
        <v>0</v>
      </c>
    </row>
    <row r="941" spans="3:19" hidden="1" outlineLevel="1" x14ac:dyDescent="0.3">
      <c r="C941" s="89" t="str">
        <f>RES_BA!D93</f>
        <v>Supplies Category 3</v>
      </c>
      <c r="M941" s="40">
        <f>RES_BA!R93</f>
        <v>0</v>
      </c>
      <c r="O941" s="40">
        <f>RES_BA!S93</f>
        <v>0</v>
      </c>
      <c r="Q941" s="40">
        <f>RES_BA!T93</f>
        <v>0</v>
      </c>
      <c r="S941" s="40">
        <f>RES_BA!U93</f>
        <v>0</v>
      </c>
    </row>
    <row r="942" spans="3:19" hidden="1" outlineLevel="1" x14ac:dyDescent="0.3">
      <c r="C942" s="89" t="str">
        <f>RES_BA!D94</f>
        <v>Supplies Category 4</v>
      </c>
      <c r="M942" s="40">
        <f>RES_BA!R94</f>
        <v>0</v>
      </c>
      <c r="O942" s="40">
        <f>RES_BA!S94</f>
        <v>0</v>
      </c>
      <c r="Q942" s="40">
        <f>RES_BA!T94</f>
        <v>0</v>
      </c>
      <c r="S942" s="40">
        <f>RES_BA!U94</f>
        <v>0</v>
      </c>
    </row>
    <row r="943" spans="3:19" hidden="1" outlineLevel="1" x14ac:dyDescent="0.3">
      <c r="C943" s="89" t="str">
        <f>RES_BA!D95</f>
        <v>Supplies Category 5</v>
      </c>
      <c r="M943" s="40">
        <f>RES_BA!R95</f>
        <v>0</v>
      </c>
      <c r="O943" s="40">
        <f>RES_BA!S95</f>
        <v>0</v>
      </c>
      <c r="Q943" s="40">
        <f>RES_BA!T95</f>
        <v>0</v>
      </c>
      <c r="S943" s="40">
        <f>RES_BA!U95</f>
        <v>0</v>
      </c>
    </row>
    <row r="944" spans="3:19" hidden="1" outlineLevel="1" x14ac:dyDescent="0.3">
      <c r="C944" s="89" t="str">
        <f>RES_BA!D96</f>
        <v>Supplies Category 6</v>
      </c>
      <c r="M944" s="40">
        <f>RES_BA!R96</f>
        <v>0</v>
      </c>
      <c r="O944" s="40">
        <f>RES_BA!S96</f>
        <v>0</v>
      </c>
      <c r="Q944" s="40">
        <f>RES_BA!T96</f>
        <v>0</v>
      </c>
      <c r="S944" s="40">
        <f>RES_BA!U96</f>
        <v>0</v>
      </c>
    </row>
    <row r="945" spans="3:19" hidden="1" outlineLevel="1" x14ac:dyDescent="0.3">
      <c r="C945" s="89" t="str">
        <f>RES_BA!D97</f>
        <v>Supplies Category 7</v>
      </c>
      <c r="M945" s="40">
        <f>RES_BA!R97</f>
        <v>0</v>
      </c>
      <c r="O945" s="40">
        <f>RES_BA!S97</f>
        <v>0</v>
      </c>
      <c r="Q945" s="40">
        <f>RES_BA!T97</f>
        <v>0</v>
      </c>
      <c r="S945" s="40">
        <f>RES_BA!U97</f>
        <v>0</v>
      </c>
    </row>
    <row r="946" spans="3:19" hidden="1" outlineLevel="1" x14ac:dyDescent="0.3">
      <c r="C946" s="89" t="str">
        <f>RES_BA!D98</f>
        <v>Supplies Category 8</v>
      </c>
      <c r="M946" s="40">
        <f>RES_BA!R98</f>
        <v>0</v>
      </c>
      <c r="O946" s="40">
        <f>RES_BA!S98</f>
        <v>0</v>
      </c>
      <c r="Q946" s="40">
        <f>RES_BA!T98</f>
        <v>0</v>
      </c>
      <c r="S946" s="40">
        <f>RES_BA!U98</f>
        <v>0</v>
      </c>
    </row>
    <row r="947" spans="3:19" hidden="1" outlineLevel="1" x14ac:dyDescent="0.3">
      <c r="C947" s="89" t="str">
        <f>RES_BA!D99</f>
        <v>Supplies Category 9</v>
      </c>
      <c r="M947" s="40">
        <f>RES_BA!R99</f>
        <v>0</v>
      </c>
      <c r="O947" s="40">
        <f>RES_BA!S99</f>
        <v>0</v>
      </c>
      <c r="Q947" s="40">
        <f>RES_BA!T99</f>
        <v>0</v>
      </c>
      <c r="S947" s="40">
        <f>RES_BA!U99</f>
        <v>0</v>
      </c>
    </row>
    <row r="948" spans="3:19" hidden="1" outlineLevel="1" x14ac:dyDescent="0.3">
      <c r="C948" s="89" t="str">
        <f>RES_BA!D100</f>
        <v>Supplies Category 10</v>
      </c>
      <c r="M948" s="40">
        <f>RES_BA!R100</f>
        <v>0</v>
      </c>
      <c r="O948" s="40">
        <f>RES_BA!S100</f>
        <v>0</v>
      </c>
      <c r="Q948" s="40">
        <f>RES_BA!T100</f>
        <v>0</v>
      </c>
      <c r="S948" s="40">
        <f>RES_BA!U100</f>
        <v>0</v>
      </c>
    </row>
    <row r="949" spans="3:19" hidden="1" outlineLevel="1" x14ac:dyDescent="0.3">
      <c r="C949" s="89" t="str">
        <f>RES_BA!D101</f>
        <v>Supplies Category 11</v>
      </c>
      <c r="M949" s="40">
        <f>RES_BA!R101</f>
        <v>0</v>
      </c>
      <c r="O949" s="40">
        <f>RES_BA!S101</f>
        <v>0</v>
      </c>
      <c r="Q949" s="40">
        <f>RES_BA!T101</f>
        <v>0</v>
      </c>
      <c r="S949" s="40">
        <f>RES_BA!U101</f>
        <v>0</v>
      </c>
    </row>
    <row r="950" spans="3:19" hidden="1" outlineLevel="1" x14ac:dyDescent="0.3">
      <c r="C950" s="89" t="str">
        <f>RES_BA!D102</f>
        <v>Supplies Category 12</v>
      </c>
      <c r="M950" s="40">
        <f>RES_BA!R102</f>
        <v>0</v>
      </c>
      <c r="O950" s="40">
        <f>RES_BA!S102</f>
        <v>0</v>
      </c>
      <c r="Q950" s="40">
        <f>RES_BA!T102</f>
        <v>0</v>
      </c>
      <c r="S950" s="40">
        <f>RES_BA!U102</f>
        <v>0</v>
      </c>
    </row>
    <row r="951" spans="3:19" hidden="1" outlineLevel="1" x14ac:dyDescent="0.3">
      <c r="C951" s="89" t="str">
        <f>RES_BA!D103</f>
        <v>Supplies Category 13</v>
      </c>
      <c r="M951" s="40">
        <f>RES_BA!R103</f>
        <v>0</v>
      </c>
      <c r="O951" s="40">
        <f>RES_BA!S103</f>
        <v>0</v>
      </c>
      <c r="Q951" s="40">
        <f>RES_BA!T103</f>
        <v>0</v>
      </c>
      <c r="S951" s="40">
        <f>RES_BA!U103</f>
        <v>0</v>
      </c>
    </row>
    <row r="952" spans="3:19" hidden="1" outlineLevel="1" x14ac:dyDescent="0.3">
      <c r="C952" s="89" t="str">
        <f>RES_BA!D104</f>
        <v>Supplies Category 14</v>
      </c>
      <c r="M952" s="40">
        <f>RES_BA!R104</f>
        <v>0</v>
      </c>
      <c r="O952" s="40">
        <f>RES_BA!S104</f>
        <v>0</v>
      </c>
      <c r="Q952" s="40">
        <f>RES_BA!T104</f>
        <v>0</v>
      </c>
      <c r="S952" s="40">
        <f>RES_BA!U104</f>
        <v>0</v>
      </c>
    </row>
    <row r="953" spans="3:19" hidden="1" outlineLevel="1" x14ac:dyDescent="0.3">
      <c r="C953" s="89" t="str">
        <f>RES_BA!D105</f>
        <v>Supplies Category 15</v>
      </c>
      <c r="M953" s="40">
        <f>RES_BA!R105</f>
        <v>0</v>
      </c>
      <c r="O953" s="40">
        <f>RES_BA!S105</f>
        <v>0</v>
      </c>
      <c r="Q953" s="40">
        <f>RES_BA!T105</f>
        <v>0</v>
      </c>
      <c r="S953" s="40">
        <f>RES_BA!U105</f>
        <v>0</v>
      </c>
    </row>
    <row r="954" spans="3:19" hidden="1" outlineLevel="1" x14ac:dyDescent="0.3">
      <c r="C954" s="89" t="str">
        <f>RES_BA!D106</f>
        <v>Supplies Category 16</v>
      </c>
      <c r="M954" s="40">
        <f>RES_BA!R106</f>
        <v>0</v>
      </c>
      <c r="O954" s="40">
        <f>RES_BA!S106</f>
        <v>0</v>
      </c>
      <c r="Q954" s="40">
        <f>RES_BA!T106</f>
        <v>0</v>
      </c>
      <c r="S954" s="40">
        <f>RES_BA!U106</f>
        <v>0</v>
      </c>
    </row>
    <row r="955" spans="3:19" s="277" customFormat="1" hidden="1" outlineLevel="1" collapsed="1" x14ac:dyDescent="0.3">
      <c r="C955" s="283" t="str">
        <f>RES_BA!D107</f>
        <v>Supplies Category 17</v>
      </c>
      <c r="M955" s="279">
        <f>RES_BA!R107</f>
        <v>0</v>
      </c>
      <c r="O955" s="279">
        <f>RES_BA!S107</f>
        <v>0</v>
      </c>
      <c r="Q955" s="279">
        <f>RES_BA!T107</f>
        <v>0</v>
      </c>
      <c r="S955" s="279">
        <f>RES_BA!U107</f>
        <v>0</v>
      </c>
    </row>
    <row r="956" spans="3:19" s="277" customFormat="1" hidden="1" outlineLevel="1" x14ac:dyDescent="0.3">
      <c r="C956" s="283" t="str">
        <f>RES_BA!D108</f>
        <v>Supplies Category 18</v>
      </c>
      <c r="M956" s="279">
        <f>RES_BA!R108</f>
        <v>0</v>
      </c>
      <c r="O956" s="279">
        <f>RES_BA!S108</f>
        <v>0</v>
      </c>
      <c r="Q956" s="279">
        <f>RES_BA!T108</f>
        <v>0</v>
      </c>
      <c r="S956" s="279">
        <f>RES_BA!U108</f>
        <v>0</v>
      </c>
    </row>
    <row r="957" spans="3:19" s="277" customFormat="1" hidden="1" outlineLevel="1" x14ac:dyDescent="0.3">
      <c r="C957" s="283" t="str">
        <f>RES_BA!D109</f>
        <v>Supplies Category 19</v>
      </c>
      <c r="M957" s="279">
        <f>RES_BA!R109</f>
        <v>0</v>
      </c>
      <c r="O957" s="279">
        <f>RES_BA!S109</f>
        <v>0</v>
      </c>
      <c r="Q957" s="279">
        <f>RES_BA!T109</f>
        <v>0</v>
      </c>
      <c r="S957" s="279">
        <f>RES_BA!U109</f>
        <v>0</v>
      </c>
    </row>
    <row r="958" spans="3:19" s="277" customFormat="1" hidden="1" outlineLevel="1" x14ac:dyDescent="0.3">
      <c r="C958" s="283" t="str">
        <f>RES_BA!D110</f>
        <v>Supplies Category 20</v>
      </c>
      <c r="M958" s="279">
        <f>RES_BA!R110</f>
        <v>0</v>
      </c>
      <c r="O958" s="279">
        <f>RES_BA!S110</f>
        <v>0</v>
      </c>
      <c r="Q958" s="279">
        <f>RES_BA!T110</f>
        <v>0</v>
      </c>
      <c r="S958" s="279">
        <f>RES_BA!U110</f>
        <v>0</v>
      </c>
    </row>
    <row r="959" spans="3:19" s="277" customFormat="1" hidden="1" outlineLevel="1" x14ac:dyDescent="0.3">
      <c r="C959" s="283" t="str">
        <f>RES_BA!D111</f>
        <v>Supplies Category 21</v>
      </c>
      <c r="M959" s="279">
        <f>RES_BA!R111</f>
        <v>0</v>
      </c>
      <c r="O959" s="279">
        <f>RES_BA!S111</f>
        <v>0</v>
      </c>
      <c r="Q959" s="279">
        <f>RES_BA!T111</f>
        <v>0</v>
      </c>
      <c r="S959" s="279">
        <f>RES_BA!U111</f>
        <v>0</v>
      </c>
    </row>
    <row r="960" spans="3:19" s="277" customFormat="1" hidden="1" outlineLevel="1" x14ac:dyDescent="0.3">
      <c r="C960" s="283" t="str">
        <f>RES_BA!D112</f>
        <v>Supplies Category 22</v>
      </c>
      <c r="M960" s="279">
        <f>RES_BA!R112</f>
        <v>0</v>
      </c>
      <c r="O960" s="279">
        <f>RES_BA!S112</f>
        <v>0</v>
      </c>
      <c r="Q960" s="279">
        <f>RES_BA!T112</f>
        <v>0</v>
      </c>
      <c r="S960" s="279">
        <f>RES_BA!U112</f>
        <v>0</v>
      </c>
    </row>
    <row r="961" spans="3:19" s="277" customFormat="1" hidden="1" outlineLevel="1" x14ac:dyDescent="0.3">
      <c r="C961" s="283" t="str">
        <f>RES_BA!D113</f>
        <v>Supplies Category 23</v>
      </c>
      <c r="M961" s="279">
        <f>RES_BA!R113</f>
        <v>0</v>
      </c>
      <c r="O961" s="279">
        <f>RES_BA!S113</f>
        <v>0</v>
      </c>
      <c r="Q961" s="279">
        <f>RES_BA!T113</f>
        <v>0</v>
      </c>
      <c r="S961" s="279">
        <f>RES_BA!U113</f>
        <v>0</v>
      </c>
    </row>
    <row r="962" spans="3:19" s="277" customFormat="1" hidden="1" outlineLevel="1" x14ac:dyDescent="0.3">
      <c r="C962" s="283" t="str">
        <f>RES_BA!D114</f>
        <v>Supplies Category 24</v>
      </c>
      <c r="M962" s="279">
        <f>RES_BA!R114</f>
        <v>0</v>
      </c>
      <c r="O962" s="279">
        <f>RES_BA!S114</f>
        <v>0</v>
      </c>
      <c r="Q962" s="279">
        <f>RES_BA!T114</f>
        <v>0</v>
      </c>
      <c r="S962" s="279">
        <f>RES_BA!U114</f>
        <v>0</v>
      </c>
    </row>
    <row r="963" spans="3:19" s="277" customFormat="1" hidden="1" outlineLevel="1" x14ac:dyDescent="0.3">
      <c r="C963" s="283" t="str">
        <f>RES_BA!D115</f>
        <v>Supplies Category 25</v>
      </c>
      <c r="M963" s="279">
        <f>RES_BA!R115</f>
        <v>0</v>
      </c>
      <c r="O963" s="279">
        <f>RES_BA!S115</f>
        <v>0</v>
      </c>
      <c r="Q963" s="279">
        <f>RES_BA!T115</f>
        <v>0</v>
      </c>
      <c r="S963" s="279">
        <f>RES_BA!U115</f>
        <v>0</v>
      </c>
    </row>
    <row r="964" spans="3:19" s="277" customFormat="1" hidden="1" outlineLevel="1" x14ac:dyDescent="0.3">
      <c r="C964" s="283" t="str">
        <f>RES_BA!D116</f>
        <v>Supplies Category 26</v>
      </c>
      <c r="M964" s="279">
        <f>RES_BA!R116</f>
        <v>0</v>
      </c>
      <c r="O964" s="279">
        <f>RES_BA!S116</f>
        <v>0</v>
      </c>
      <c r="Q964" s="279">
        <f>RES_BA!T116</f>
        <v>0</v>
      </c>
      <c r="S964" s="279">
        <f>RES_BA!U116</f>
        <v>0</v>
      </c>
    </row>
    <row r="965" spans="3:19" s="277" customFormat="1" hidden="1" outlineLevel="1" x14ac:dyDescent="0.3">
      <c r="C965" s="283" t="str">
        <f>RES_BA!D117</f>
        <v>Supplies Category 27</v>
      </c>
      <c r="M965" s="279">
        <f>RES_BA!R117</f>
        <v>0</v>
      </c>
      <c r="O965" s="279">
        <f>RES_BA!S117</f>
        <v>0</v>
      </c>
      <c r="Q965" s="279">
        <f>RES_BA!T117</f>
        <v>0</v>
      </c>
      <c r="S965" s="279">
        <f>RES_BA!U117</f>
        <v>0</v>
      </c>
    </row>
    <row r="966" spans="3:19" s="277" customFormat="1" hidden="1" outlineLevel="1" x14ac:dyDescent="0.3">
      <c r="C966" s="283" t="str">
        <f>RES_BA!D118</f>
        <v>Supplies Category 28</v>
      </c>
      <c r="M966" s="279">
        <f>RES_BA!R118</f>
        <v>0</v>
      </c>
      <c r="O966" s="279">
        <f>RES_BA!S118</f>
        <v>0</v>
      </c>
      <c r="Q966" s="279">
        <f>RES_BA!T118</f>
        <v>0</v>
      </c>
      <c r="S966" s="279">
        <f>RES_BA!U118</f>
        <v>0</v>
      </c>
    </row>
    <row r="967" spans="3:19" s="277" customFormat="1" hidden="1" outlineLevel="1" x14ac:dyDescent="0.3">
      <c r="C967" s="283" t="str">
        <f>RES_BA!D119</f>
        <v>Supplies Category 29</v>
      </c>
      <c r="M967" s="279">
        <f>RES_BA!R119</f>
        <v>0</v>
      </c>
      <c r="O967" s="279">
        <f>RES_BA!S119</f>
        <v>0</v>
      </c>
      <c r="Q967" s="279">
        <f>RES_BA!T119</f>
        <v>0</v>
      </c>
      <c r="S967" s="279">
        <f>RES_BA!U119</f>
        <v>0</v>
      </c>
    </row>
    <row r="968" spans="3:19" s="277" customFormat="1" hidden="1" outlineLevel="1" collapsed="1" x14ac:dyDescent="0.3">
      <c r="C968" s="283" t="str">
        <f>RES_BA!D120</f>
        <v>Supplies Category 30</v>
      </c>
      <c r="M968" s="279">
        <f>RES_BA!R120</f>
        <v>0</v>
      </c>
      <c r="O968" s="279">
        <f>RES_BA!S120</f>
        <v>0</v>
      </c>
      <c r="Q968" s="279">
        <f>RES_BA!T120</f>
        <v>0</v>
      </c>
      <c r="S968" s="279">
        <f>RES_BA!U120</f>
        <v>0</v>
      </c>
    </row>
    <row r="969" spans="3:19" s="277" customFormat="1" hidden="1" outlineLevel="1" x14ac:dyDescent="0.3">
      <c r="C969" s="283" t="str">
        <f>RES_BA!D121</f>
        <v>Supplies Category 31</v>
      </c>
      <c r="M969" s="279">
        <f>RES_BA!R121</f>
        <v>0</v>
      </c>
      <c r="O969" s="279">
        <f>RES_BA!S121</f>
        <v>0</v>
      </c>
      <c r="Q969" s="279">
        <f>RES_BA!T121</f>
        <v>0</v>
      </c>
      <c r="S969" s="279">
        <f>RES_BA!U121</f>
        <v>0</v>
      </c>
    </row>
    <row r="970" spans="3:19" s="277" customFormat="1" hidden="1" outlineLevel="1" x14ac:dyDescent="0.3">
      <c r="C970" s="283" t="str">
        <f>RES_BA!D122</f>
        <v>Supplies Category 32</v>
      </c>
      <c r="M970" s="279">
        <f>RES_BA!R122</f>
        <v>0</v>
      </c>
      <c r="O970" s="279">
        <f>RES_BA!S122</f>
        <v>0</v>
      </c>
      <c r="Q970" s="279">
        <f>RES_BA!T122</f>
        <v>0</v>
      </c>
      <c r="S970" s="279">
        <f>RES_BA!U122</f>
        <v>0</v>
      </c>
    </row>
    <row r="971" spans="3:19" s="277" customFormat="1" hidden="1" outlineLevel="1" x14ac:dyDescent="0.3">
      <c r="C971" s="283" t="str">
        <f>RES_BA!D123</f>
        <v>Supplies Category 33</v>
      </c>
      <c r="M971" s="279">
        <f>RES_BA!R123</f>
        <v>0</v>
      </c>
      <c r="O971" s="279">
        <f>RES_BA!S123</f>
        <v>0</v>
      </c>
      <c r="Q971" s="279">
        <f>RES_BA!T123</f>
        <v>0</v>
      </c>
      <c r="S971" s="279">
        <f>RES_BA!U123</f>
        <v>0</v>
      </c>
    </row>
    <row r="972" spans="3:19" s="277" customFormat="1" hidden="1" outlineLevel="1" x14ac:dyDescent="0.3">
      <c r="C972" s="283" t="str">
        <f>RES_BA!D124</f>
        <v>Supplies Category 34</v>
      </c>
      <c r="M972" s="279">
        <f>RES_BA!R124</f>
        <v>0</v>
      </c>
      <c r="O972" s="279">
        <f>RES_BA!S124</f>
        <v>0</v>
      </c>
      <c r="Q972" s="279">
        <f>RES_BA!T124</f>
        <v>0</v>
      </c>
      <c r="S972" s="279">
        <f>RES_BA!U124</f>
        <v>0</v>
      </c>
    </row>
    <row r="973" spans="3:19" s="277" customFormat="1" hidden="1" outlineLevel="1" x14ac:dyDescent="0.3">
      <c r="C973" s="283" t="str">
        <f>RES_BA!D125</f>
        <v>Supplies Category 35</v>
      </c>
      <c r="M973" s="279">
        <f>RES_BA!R125</f>
        <v>0</v>
      </c>
      <c r="O973" s="279">
        <f>RES_BA!S125</f>
        <v>0</v>
      </c>
      <c r="Q973" s="279">
        <f>RES_BA!T125</f>
        <v>0</v>
      </c>
      <c r="S973" s="279">
        <f>RES_BA!U125</f>
        <v>0</v>
      </c>
    </row>
    <row r="974" spans="3:19" hidden="1" outlineLevel="1" x14ac:dyDescent="0.3"/>
    <row r="975" spans="3:19" hidden="1" outlineLevel="1" x14ac:dyDescent="0.3">
      <c r="M975" s="40" t="str">
        <f>$D$858</f>
        <v>USD</v>
      </c>
      <c r="O975" s="40" t="str">
        <f>$D$858</f>
        <v>USD</v>
      </c>
      <c r="Q975" s="40" t="str">
        <f>$D$859</f>
        <v>GOZ</v>
      </c>
      <c r="S975" s="40" t="str">
        <f>$D$859</f>
        <v>GOZ</v>
      </c>
    </row>
    <row r="976" spans="3:19" hidden="1" outlineLevel="1" x14ac:dyDescent="0.3">
      <c r="C976" s="89" t="str">
        <f>RES_BA!D130</f>
        <v>Equipment Category 1</v>
      </c>
      <c r="M976" s="40">
        <f>RES_BA!R130</f>
        <v>0</v>
      </c>
      <c r="O976" s="40">
        <f>RES_BA!S130</f>
        <v>0</v>
      </c>
      <c r="Q976" s="40">
        <f>RES_BA!T130</f>
        <v>0</v>
      </c>
      <c r="S976" s="40">
        <f>RES_BA!U130</f>
        <v>0</v>
      </c>
    </row>
    <row r="977" spans="3:19" hidden="1" outlineLevel="1" x14ac:dyDescent="0.3">
      <c r="C977" s="89" t="str">
        <f>RES_BA!D131</f>
        <v>Equipment Category 2</v>
      </c>
      <c r="M977" s="40">
        <f>RES_BA!R131</f>
        <v>0</v>
      </c>
      <c r="O977" s="40">
        <f>RES_BA!S131</f>
        <v>0</v>
      </c>
      <c r="Q977" s="40">
        <f>RES_BA!T131</f>
        <v>0</v>
      </c>
      <c r="S977" s="40">
        <f>RES_BA!U131</f>
        <v>0</v>
      </c>
    </row>
    <row r="978" spans="3:19" hidden="1" outlineLevel="1" x14ac:dyDescent="0.3">
      <c r="C978" s="89" t="str">
        <f>RES_BA!D132</f>
        <v>Equipment Category 3</v>
      </c>
      <c r="M978" s="40">
        <f>RES_BA!R132</f>
        <v>0</v>
      </c>
      <c r="O978" s="40">
        <f>RES_BA!S132</f>
        <v>0</v>
      </c>
      <c r="Q978" s="40">
        <f>RES_BA!T132</f>
        <v>0</v>
      </c>
      <c r="S978" s="40">
        <f>RES_BA!U132</f>
        <v>0</v>
      </c>
    </row>
    <row r="979" spans="3:19" hidden="1" outlineLevel="1" x14ac:dyDescent="0.3">
      <c r="C979" s="89" t="str">
        <f>RES_BA!D133</f>
        <v>Equipment Category 4</v>
      </c>
      <c r="M979" s="40">
        <f>RES_BA!R133</f>
        <v>0</v>
      </c>
      <c r="O979" s="40">
        <f>RES_BA!S133</f>
        <v>0</v>
      </c>
      <c r="Q979" s="40">
        <f>RES_BA!T133</f>
        <v>0</v>
      </c>
      <c r="S979" s="40">
        <f>RES_BA!U133</f>
        <v>0</v>
      </c>
    </row>
    <row r="980" spans="3:19" hidden="1" outlineLevel="1" x14ac:dyDescent="0.3">
      <c r="C980" s="89" t="str">
        <f>RES_BA!D134</f>
        <v>Equipment Category 5</v>
      </c>
      <c r="M980" s="40">
        <f>RES_BA!R134</f>
        <v>0</v>
      </c>
      <c r="O980" s="40">
        <f>RES_BA!S134</f>
        <v>0</v>
      </c>
      <c r="Q980" s="40">
        <f>RES_BA!T134</f>
        <v>0</v>
      </c>
      <c r="S980" s="40">
        <f>RES_BA!U134</f>
        <v>0</v>
      </c>
    </row>
    <row r="981" spans="3:19" hidden="1" outlineLevel="1" x14ac:dyDescent="0.3">
      <c r="C981" s="89" t="str">
        <f>RES_BA!D135</f>
        <v>Equipment Category 6</v>
      </c>
      <c r="M981" s="40">
        <f>RES_BA!R135</f>
        <v>0</v>
      </c>
      <c r="O981" s="40">
        <f>RES_BA!S135</f>
        <v>0</v>
      </c>
      <c r="Q981" s="40">
        <f>RES_BA!T135</f>
        <v>0</v>
      </c>
      <c r="S981" s="40">
        <f>RES_BA!U135</f>
        <v>0</v>
      </c>
    </row>
    <row r="982" spans="3:19" s="277" customFormat="1" hidden="1" outlineLevel="1" collapsed="1" x14ac:dyDescent="0.3">
      <c r="C982" s="283" t="str">
        <f>RES_BA!D136</f>
        <v>Equipment Category 7</v>
      </c>
      <c r="M982" s="279">
        <f>RES_BA!R136</f>
        <v>0</v>
      </c>
      <c r="O982" s="279">
        <f>RES_BA!S136</f>
        <v>0</v>
      </c>
      <c r="Q982" s="279">
        <f>RES_BA!T136</f>
        <v>0</v>
      </c>
      <c r="S982" s="279">
        <f>RES_BA!U136</f>
        <v>0</v>
      </c>
    </row>
    <row r="983" spans="3:19" s="277" customFormat="1" hidden="1" outlineLevel="1" x14ac:dyDescent="0.3">
      <c r="C983" s="283" t="str">
        <f>RES_BA!D137</f>
        <v>Equipment Category 8</v>
      </c>
      <c r="M983" s="279">
        <f>RES_BA!R137</f>
        <v>0</v>
      </c>
      <c r="O983" s="279">
        <f>RES_BA!S137</f>
        <v>0</v>
      </c>
      <c r="Q983" s="279">
        <f>RES_BA!T137</f>
        <v>0</v>
      </c>
      <c r="S983" s="279">
        <f>RES_BA!U137</f>
        <v>0</v>
      </c>
    </row>
    <row r="984" spans="3:19" s="277" customFormat="1" hidden="1" outlineLevel="1" x14ac:dyDescent="0.3">
      <c r="C984" s="283" t="str">
        <f>RES_BA!D138</f>
        <v>Equipment Category 9</v>
      </c>
      <c r="M984" s="279">
        <f>RES_BA!R138</f>
        <v>0</v>
      </c>
      <c r="O984" s="279">
        <f>RES_BA!S138</f>
        <v>0</v>
      </c>
      <c r="Q984" s="279">
        <f>RES_BA!T138</f>
        <v>0</v>
      </c>
      <c r="S984" s="279">
        <f>RES_BA!U138</f>
        <v>0</v>
      </c>
    </row>
    <row r="985" spans="3:19" s="277" customFormat="1" hidden="1" outlineLevel="1" x14ac:dyDescent="0.3">
      <c r="C985" s="283" t="str">
        <f>RES_BA!D139</f>
        <v>Equipment Category 10</v>
      </c>
      <c r="M985" s="279">
        <f>RES_BA!R139</f>
        <v>0</v>
      </c>
      <c r="O985" s="279">
        <f>RES_BA!S139</f>
        <v>0</v>
      </c>
      <c r="Q985" s="279">
        <f>RES_BA!T139</f>
        <v>0</v>
      </c>
      <c r="S985" s="279">
        <f>RES_BA!U139</f>
        <v>0</v>
      </c>
    </row>
    <row r="986" spans="3:19" s="277" customFormat="1" hidden="1" outlineLevel="1" x14ac:dyDescent="0.3">
      <c r="C986" s="283" t="str">
        <f>RES_BA!D140</f>
        <v>Equipment Category 11</v>
      </c>
      <c r="M986" s="279">
        <f>RES_BA!R140</f>
        <v>0</v>
      </c>
      <c r="O986" s="279">
        <f>RES_BA!S140</f>
        <v>0</v>
      </c>
      <c r="Q986" s="279">
        <f>RES_BA!T140</f>
        <v>0</v>
      </c>
      <c r="S986" s="279">
        <f>RES_BA!U140</f>
        <v>0</v>
      </c>
    </row>
    <row r="987" spans="3:19" s="277" customFormat="1" hidden="1" outlineLevel="1" x14ac:dyDescent="0.3">
      <c r="C987" s="283" t="str">
        <f>RES_BA!D141</f>
        <v>Equipment Category 12</v>
      </c>
      <c r="M987" s="279">
        <f>RES_BA!R141</f>
        <v>0</v>
      </c>
      <c r="O987" s="279">
        <f>RES_BA!S141</f>
        <v>0</v>
      </c>
      <c r="Q987" s="279">
        <f>RES_BA!T141</f>
        <v>0</v>
      </c>
      <c r="S987" s="279">
        <f>RES_BA!U141</f>
        <v>0</v>
      </c>
    </row>
    <row r="988" spans="3:19" s="277" customFormat="1" hidden="1" outlineLevel="1" collapsed="1" x14ac:dyDescent="0.3">
      <c r="C988" s="283" t="str">
        <f>RES_BA!D142</f>
        <v>Equipment Category 13</v>
      </c>
      <c r="M988" s="279">
        <f>RES_BA!R142</f>
        <v>0</v>
      </c>
      <c r="O988" s="279">
        <f>RES_BA!S142</f>
        <v>0</v>
      </c>
      <c r="Q988" s="279">
        <f>RES_BA!T142</f>
        <v>0</v>
      </c>
      <c r="S988" s="279">
        <f>RES_BA!U142</f>
        <v>0</v>
      </c>
    </row>
    <row r="989" spans="3:19" s="277" customFormat="1" hidden="1" outlineLevel="1" x14ac:dyDescent="0.3">
      <c r="C989" s="283" t="str">
        <f>RES_BA!D143</f>
        <v>Equipment Category 14</v>
      </c>
      <c r="M989" s="279">
        <f>RES_BA!R143</f>
        <v>0</v>
      </c>
      <c r="O989" s="279">
        <f>RES_BA!S143</f>
        <v>0</v>
      </c>
      <c r="Q989" s="279">
        <f>RES_BA!T143</f>
        <v>0</v>
      </c>
      <c r="S989" s="279">
        <f>RES_BA!U143</f>
        <v>0</v>
      </c>
    </row>
    <row r="990" spans="3:19" s="277" customFormat="1" hidden="1" outlineLevel="1" x14ac:dyDescent="0.3">
      <c r="C990" s="283" t="str">
        <f>RES_BA!D144</f>
        <v>Equipment Category 15</v>
      </c>
      <c r="M990" s="279">
        <f>RES_BA!R144</f>
        <v>0</v>
      </c>
      <c r="O990" s="279">
        <f>RES_BA!S144</f>
        <v>0</v>
      </c>
      <c r="Q990" s="279">
        <f>RES_BA!T144</f>
        <v>0</v>
      </c>
      <c r="S990" s="279">
        <f>RES_BA!U144</f>
        <v>0</v>
      </c>
    </row>
    <row r="991" spans="3:19" s="277" customFormat="1" hidden="1" outlineLevel="1" x14ac:dyDescent="0.3">
      <c r="C991" s="283" t="str">
        <f>RES_BA!D145</f>
        <v>Equipment Category 16</v>
      </c>
      <c r="M991" s="279">
        <f>RES_BA!R145</f>
        <v>0</v>
      </c>
      <c r="O991" s="279">
        <f>RES_BA!S145</f>
        <v>0</v>
      </c>
      <c r="Q991" s="279">
        <f>RES_BA!T145</f>
        <v>0</v>
      </c>
      <c r="S991" s="279">
        <f>RES_BA!U145</f>
        <v>0</v>
      </c>
    </row>
    <row r="992" spans="3:19" s="277" customFormat="1" hidden="1" outlineLevel="1" x14ac:dyDescent="0.3">
      <c r="C992" s="283" t="str">
        <f>RES_BA!D146</f>
        <v>Equipment Category 17</v>
      </c>
      <c r="M992" s="279">
        <f>RES_BA!R146</f>
        <v>0</v>
      </c>
      <c r="O992" s="279">
        <f>RES_BA!S146</f>
        <v>0</v>
      </c>
      <c r="Q992" s="279">
        <f>RES_BA!T146</f>
        <v>0</v>
      </c>
      <c r="S992" s="279">
        <f>RES_BA!U146</f>
        <v>0</v>
      </c>
    </row>
    <row r="993" spans="3:19" s="277" customFormat="1" hidden="1" outlineLevel="1" x14ac:dyDescent="0.3">
      <c r="C993" s="283" t="str">
        <f>RES_BA!D147</f>
        <v>Equipment Category 18</v>
      </c>
      <c r="M993" s="279">
        <f>RES_BA!R147</f>
        <v>0</v>
      </c>
      <c r="O993" s="279">
        <f>RES_BA!S147</f>
        <v>0</v>
      </c>
      <c r="Q993" s="279">
        <f>RES_BA!T147</f>
        <v>0</v>
      </c>
      <c r="S993" s="279">
        <f>RES_BA!U147</f>
        <v>0</v>
      </c>
    </row>
    <row r="994" spans="3:19" s="277" customFormat="1" hidden="1" outlineLevel="1" x14ac:dyDescent="0.3">
      <c r="C994" s="283" t="str">
        <f>RES_BA!D148</f>
        <v>Equipment Category 19</v>
      </c>
      <c r="M994" s="279">
        <f>RES_BA!R148</f>
        <v>0</v>
      </c>
      <c r="O994" s="279">
        <f>RES_BA!S148</f>
        <v>0</v>
      </c>
      <c r="Q994" s="279">
        <f>RES_BA!T148</f>
        <v>0</v>
      </c>
      <c r="S994" s="279">
        <f>RES_BA!U148</f>
        <v>0</v>
      </c>
    </row>
    <row r="995" spans="3:19" s="277" customFormat="1" hidden="1" outlineLevel="1" x14ac:dyDescent="0.3">
      <c r="C995" s="283" t="str">
        <f>RES_BA!D149</f>
        <v>Equipment Category 20</v>
      </c>
      <c r="M995" s="279">
        <f>RES_BA!R149</f>
        <v>0</v>
      </c>
      <c r="O995" s="279">
        <f>RES_BA!S149</f>
        <v>0</v>
      </c>
      <c r="Q995" s="279">
        <f>RES_BA!T149</f>
        <v>0</v>
      </c>
      <c r="S995" s="279">
        <f>RES_BA!U149</f>
        <v>0</v>
      </c>
    </row>
    <row r="996" spans="3:19" s="277" customFormat="1" hidden="1" outlineLevel="1" x14ac:dyDescent="0.3">
      <c r="C996" s="283" t="str">
        <f>RES_BA!D150</f>
        <v>Equipment Category 21</v>
      </c>
      <c r="M996" s="279">
        <f>RES_BA!R150</f>
        <v>0</v>
      </c>
      <c r="O996" s="279">
        <f>RES_BA!S150</f>
        <v>0</v>
      </c>
      <c r="Q996" s="279">
        <f>RES_BA!T150</f>
        <v>0</v>
      </c>
      <c r="S996" s="279">
        <f>RES_BA!U150</f>
        <v>0</v>
      </c>
    </row>
    <row r="997" spans="3:19" s="277" customFormat="1" hidden="1" outlineLevel="1" x14ac:dyDescent="0.3">
      <c r="C997" s="283" t="str">
        <f>RES_BA!D151</f>
        <v>Equipment Category 22</v>
      </c>
      <c r="M997" s="279">
        <f>RES_BA!R151</f>
        <v>0</v>
      </c>
      <c r="O997" s="279">
        <f>RES_BA!S151</f>
        <v>0</v>
      </c>
      <c r="Q997" s="279">
        <f>RES_BA!T151</f>
        <v>0</v>
      </c>
      <c r="S997" s="279">
        <f>RES_BA!U151</f>
        <v>0</v>
      </c>
    </row>
    <row r="998" spans="3:19" s="277" customFormat="1" hidden="1" outlineLevel="1" x14ac:dyDescent="0.3">
      <c r="C998" s="283" t="str">
        <f>RES_BA!D152</f>
        <v>Equipment Category 23</v>
      </c>
      <c r="M998" s="279">
        <f>RES_BA!R152</f>
        <v>0</v>
      </c>
      <c r="O998" s="279">
        <f>RES_BA!S152</f>
        <v>0</v>
      </c>
      <c r="Q998" s="279">
        <f>RES_BA!T152</f>
        <v>0</v>
      </c>
      <c r="S998" s="279">
        <f>RES_BA!U152</f>
        <v>0</v>
      </c>
    </row>
    <row r="999" spans="3:19" s="277" customFormat="1" hidden="1" outlineLevel="1" collapsed="1" x14ac:dyDescent="0.3">
      <c r="C999" s="283" t="str">
        <f>RES_BA!D153</f>
        <v>Equipment Category 24</v>
      </c>
      <c r="M999" s="279">
        <f>RES_BA!R153</f>
        <v>0</v>
      </c>
      <c r="O999" s="279">
        <f>RES_BA!S153</f>
        <v>0</v>
      </c>
      <c r="Q999" s="279">
        <f>RES_BA!T153</f>
        <v>0</v>
      </c>
      <c r="S999" s="279">
        <f>RES_BA!U153</f>
        <v>0</v>
      </c>
    </row>
    <row r="1000" spans="3:19" s="277" customFormat="1" hidden="1" outlineLevel="1" x14ac:dyDescent="0.3">
      <c r="C1000" s="283" t="str">
        <f>RES_BA!D154</f>
        <v>Equipment Category 25</v>
      </c>
      <c r="M1000" s="279">
        <f>RES_BA!R154</f>
        <v>0</v>
      </c>
      <c r="O1000" s="279">
        <f>RES_BA!S154</f>
        <v>0</v>
      </c>
      <c r="Q1000" s="279">
        <f>RES_BA!T154</f>
        <v>0</v>
      </c>
      <c r="S1000" s="279">
        <f>RES_BA!U154</f>
        <v>0</v>
      </c>
    </row>
    <row r="1001" spans="3:19" s="277" customFormat="1" hidden="1" outlineLevel="1" x14ac:dyDescent="0.3">
      <c r="C1001" s="283" t="str">
        <f>RES_BA!D155</f>
        <v>Equipment Category 26</v>
      </c>
      <c r="M1001" s="279">
        <f>RES_BA!R155</f>
        <v>0</v>
      </c>
      <c r="O1001" s="279">
        <f>RES_BA!S155</f>
        <v>0</v>
      </c>
      <c r="Q1001" s="279">
        <f>RES_BA!T155</f>
        <v>0</v>
      </c>
      <c r="S1001" s="279">
        <f>RES_BA!U155</f>
        <v>0</v>
      </c>
    </row>
    <row r="1002" spans="3:19" s="277" customFormat="1" hidden="1" outlineLevel="1" x14ac:dyDescent="0.3">
      <c r="C1002" s="283" t="str">
        <f>RES_BA!D156</f>
        <v>Equipment Category 27</v>
      </c>
      <c r="M1002" s="279">
        <f>RES_BA!R156</f>
        <v>0</v>
      </c>
      <c r="O1002" s="279">
        <f>RES_BA!S156</f>
        <v>0</v>
      </c>
      <c r="Q1002" s="279">
        <f>RES_BA!T156</f>
        <v>0</v>
      </c>
      <c r="S1002" s="279">
        <f>RES_BA!U156</f>
        <v>0</v>
      </c>
    </row>
    <row r="1003" spans="3:19" s="277" customFormat="1" hidden="1" outlineLevel="1" x14ac:dyDescent="0.3">
      <c r="C1003" s="283" t="str">
        <f>RES_BA!D157</f>
        <v>Equipment Category 28</v>
      </c>
      <c r="M1003" s="279">
        <f>RES_BA!R157</f>
        <v>0</v>
      </c>
      <c r="O1003" s="279">
        <f>RES_BA!S157</f>
        <v>0</v>
      </c>
      <c r="Q1003" s="279">
        <f>RES_BA!T157</f>
        <v>0</v>
      </c>
      <c r="S1003" s="279">
        <f>RES_BA!U157</f>
        <v>0</v>
      </c>
    </row>
    <row r="1004" spans="3:19" s="277" customFormat="1" hidden="1" outlineLevel="1" x14ac:dyDescent="0.3">
      <c r="C1004" s="283" t="str">
        <f>RES_BA!D158</f>
        <v>Equipment Category 29</v>
      </c>
      <c r="M1004" s="279">
        <f>RES_BA!R158</f>
        <v>0</v>
      </c>
      <c r="O1004" s="279">
        <f>RES_BA!S158</f>
        <v>0</v>
      </c>
      <c r="Q1004" s="279">
        <f>RES_BA!T158</f>
        <v>0</v>
      </c>
      <c r="S1004" s="279">
        <f>RES_BA!U158</f>
        <v>0</v>
      </c>
    </row>
    <row r="1005" spans="3:19" s="277" customFormat="1" hidden="1" outlineLevel="1" x14ac:dyDescent="0.3">
      <c r="C1005" s="283" t="str">
        <f>RES_BA!D159</f>
        <v>Equipment Category 30</v>
      </c>
      <c r="M1005" s="279">
        <f>RES_BA!R159</f>
        <v>0</v>
      </c>
      <c r="O1005" s="279">
        <f>RES_BA!S159</f>
        <v>0</v>
      </c>
      <c r="Q1005" s="279">
        <f>RES_BA!T159</f>
        <v>0</v>
      </c>
      <c r="S1005" s="279">
        <f>RES_BA!U159</f>
        <v>0</v>
      </c>
    </row>
    <row r="1006" spans="3:19" s="277" customFormat="1" hidden="1" outlineLevel="1" x14ac:dyDescent="0.3">
      <c r="C1006" s="283" t="str">
        <f>RES_BA!D160</f>
        <v>Equipment Category 31</v>
      </c>
      <c r="M1006" s="279">
        <f>RES_BA!R160</f>
        <v>0</v>
      </c>
      <c r="O1006" s="279">
        <f>RES_BA!S160</f>
        <v>0</v>
      </c>
      <c r="Q1006" s="279">
        <f>RES_BA!T160</f>
        <v>0</v>
      </c>
      <c r="S1006" s="279">
        <f>RES_BA!U160</f>
        <v>0</v>
      </c>
    </row>
    <row r="1007" spans="3:19" s="277" customFormat="1" hidden="1" outlineLevel="1" x14ac:dyDescent="0.3">
      <c r="C1007" s="283" t="str">
        <f>RES_BA!D161</f>
        <v>Equipment Category 32</v>
      </c>
      <c r="M1007" s="279">
        <f>RES_BA!R161</f>
        <v>0</v>
      </c>
      <c r="O1007" s="279">
        <f>RES_BA!S161</f>
        <v>0</v>
      </c>
      <c r="Q1007" s="279">
        <f>RES_BA!T161</f>
        <v>0</v>
      </c>
      <c r="S1007" s="279">
        <f>RES_BA!U161</f>
        <v>0</v>
      </c>
    </row>
    <row r="1008" spans="3:19" s="277" customFormat="1" hidden="1" outlineLevel="1" x14ac:dyDescent="0.3">
      <c r="C1008" s="283" t="str">
        <f>RES_BA!D162</f>
        <v>Equipment Category 33</v>
      </c>
      <c r="M1008" s="279">
        <f>RES_BA!R162</f>
        <v>0</v>
      </c>
      <c r="O1008" s="279">
        <f>RES_BA!S162</f>
        <v>0</v>
      </c>
      <c r="Q1008" s="279">
        <f>RES_BA!T162</f>
        <v>0</v>
      </c>
      <c r="S1008" s="279">
        <f>RES_BA!U162</f>
        <v>0</v>
      </c>
    </row>
    <row r="1009" spans="3:19" s="277" customFormat="1" hidden="1" outlineLevel="1" collapsed="1" x14ac:dyDescent="0.3">
      <c r="C1009" s="283" t="str">
        <f>RES_BA!D163</f>
        <v>Equipment Category 34</v>
      </c>
      <c r="M1009" s="279">
        <f>RES_BA!R163</f>
        <v>0</v>
      </c>
      <c r="O1009" s="279">
        <f>RES_BA!S163</f>
        <v>0</v>
      </c>
      <c r="Q1009" s="279">
        <f>RES_BA!T163</f>
        <v>0</v>
      </c>
      <c r="S1009" s="279">
        <f>RES_BA!U163</f>
        <v>0</v>
      </c>
    </row>
    <row r="1010" spans="3:19" s="277" customFormat="1" hidden="1" outlineLevel="1" x14ac:dyDescent="0.3">
      <c r="C1010" s="283" t="str">
        <f>RES_BA!D164</f>
        <v>Equipment Category 35</v>
      </c>
      <c r="M1010" s="279">
        <f>RES_BA!R164</f>
        <v>0</v>
      </c>
      <c r="O1010" s="279">
        <f>RES_BA!S164</f>
        <v>0</v>
      </c>
      <c r="Q1010" s="279">
        <f>RES_BA!T164</f>
        <v>0</v>
      </c>
      <c r="S1010" s="279">
        <f>RES_BA!U164</f>
        <v>0</v>
      </c>
    </row>
    <row r="1011" spans="3:19" hidden="1" outlineLevel="1" x14ac:dyDescent="0.3"/>
    <row r="1012" spans="3:19" hidden="1" outlineLevel="1" x14ac:dyDescent="0.3"/>
    <row r="1013" spans="3:19" hidden="1" outlineLevel="1" x14ac:dyDescent="0.3">
      <c r="M1013" s="40" t="str">
        <f>$D$858</f>
        <v>USD</v>
      </c>
      <c r="O1013" s="40" t="str">
        <f>$D$858</f>
        <v>USD</v>
      </c>
      <c r="Q1013" s="40" t="str">
        <f>$D$859</f>
        <v>GOZ</v>
      </c>
      <c r="S1013" s="40" t="str">
        <f>$D$859</f>
        <v>GOZ</v>
      </c>
    </row>
    <row r="1014" spans="3:19" hidden="1" outlineLevel="1" x14ac:dyDescent="0.3">
      <c r="C1014" s="89" t="str">
        <f>RES_BA!D169</f>
        <v>Other Direct Costs Category 1</v>
      </c>
      <c r="M1014" s="40">
        <f>RES_BA!R169</f>
        <v>0</v>
      </c>
      <c r="O1014" s="40">
        <f>RES_BA!S169</f>
        <v>0</v>
      </c>
      <c r="Q1014" s="40">
        <f>RES_BA!T169</f>
        <v>0</v>
      </c>
      <c r="S1014" s="40">
        <f>RES_BA!U169</f>
        <v>0</v>
      </c>
    </row>
    <row r="1015" spans="3:19" hidden="1" outlineLevel="1" x14ac:dyDescent="0.3">
      <c r="C1015" s="89" t="str">
        <f>RES_BA!D170</f>
        <v>Other Direct Costs Category 2</v>
      </c>
      <c r="M1015" s="40">
        <f>RES_BA!R170</f>
        <v>0</v>
      </c>
      <c r="O1015" s="40">
        <f>RES_BA!S170</f>
        <v>0</v>
      </c>
      <c r="Q1015" s="40">
        <f>RES_BA!T170</f>
        <v>0</v>
      </c>
      <c r="S1015" s="40">
        <f>RES_BA!U170</f>
        <v>0</v>
      </c>
    </row>
    <row r="1016" spans="3:19" hidden="1" outlineLevel="1" x14ac:dyDescent="0.3">
      <c r="C1016" s="89" t="str">
        <f>RES_BA!D171</f>
        <v>Other Direct Costs Category 3</v>
      </c>
      <c r="M1016" s="40">
        <f>RES_BA!R171</f>
        <v>0</v>
      </c>
      <c r="O1016" s="40">
        <f>RES_BA!S171</f>
        <v>0</v>
      </c>
      <c r="Q1016" s="40">
        <f>RES_BA!T171</f>
        <v>0</v>
      </c>
      <c r="S1016" s="40">
        <f>RES_BA!U171</f>
        <v>0</v>
      </c>
    </row>
    <row r="1017" spans="3:19" s="277" customFormat="1" hidden="1" outlineLevel="1" collapsed="1" x14ac:dyDescent="0.3">
      <c r="C1017" s="283" t="str">
        <f>RES_BA!D172</f>
        <v>Other Direct Costs Category 4</v>
      </c>
      <c r="M1017" s="279">
        <f>RES_BA!R172</f>
        <v>0</v>
      </c>
      <c r="O1017" s="279">
        <f>RES_BA!S172</f>
        <v>0</v>
      </c>
      <c r="Q1017" s="279">
        <f>RES_BA!T172</f>
        <v>0</v>
      </c>
      <c r="S1017" s="279">
        <f>RES_BA!U172</f>
        <v>0</v>
      </c>
    </row>
    <row r="1018" spans="3:19" s="277" customFormat="1" hidden="1" outlineLevel="1" x14ac:dyDescent="0.3">
      <c r="C1018" s="283" t="str">
        <f>RES_BA!D173</f>
        <v>Other Direct Costs Category 5</v>
      </c>
      <c r="M1018" s="279">
        <f>RES_BA!R173</f>
        <v>0</v>
      </c>
      <c r="O1018" s="279">
        <f>RES_BA!S173</f>
        <v>0</v>
      </c>
      <c r="Q1018" s="279">
        <f>RES_BA!T173</f>
        <v>0</v>
      </c>
      <c r="S1018" s="279">
        <f>RES_BA!U173</f>
        <v>0</v>
      </c>
    </row>
    <row r="1019" spans="3:19" s="277" customFormat="1" hidden="1" outlineLevel="1" x14ac:dyDescent="0.3">
      <c r="C1019" s="283" t="str">
        <f>RES_BA!D174</f>
        <v>Other Direct Costs Category 6</v>
      </c>
      <c r="M1019" s="279">
        <f>RES_BA!R174</f>
        <v>0</v>
      </c>
      <c r="O1019" s="279">
        <f>RES_BA!S174</f>
        <v>0</v>
      </c>
      <c r="Q1019" s="279">
        <f>RES_BA!T174</f>
        <v>0</v>
      </c>
      <c r="S1019" s="279">
        <f>RES_BA!U174</f>
        <v>0</v>
      </c>
    </row>
    <row r="1020" spans="3:19" s="277" customFormat="1" hidden="1" outlineLevel="1" x14ac:dyDescent="0.3">
      <c r="C1020" s="283" t="str">
        <f>RES_BA!D175</f>
        <v>Other Direct Costs Category 7</v>
      </c>
      <c r="M1020" s="279">
        <f>RES_BA!R175</f>
        <v>0</v>
      </c>
      <c r="O1020" s="279">
        <f>RES_BA!S175</f>
        <v>0</v>
      </c>
      <c r="Q1020" s="279">
        <f>RES_BA!T175</f>
        <v>0</v>
      </c>
      <c r="S1020" s="279">
        <f>RES_BA!U175</f>
        <v>0</v>
      </c>
    </row>
    <row r="1021" spans="3:19" s="277" customFormat="1" hidden="1" outlineLevel="1" x14ac:dyDescent="0.3">
      <c r="C1021" s="283" t="str">
        <f>RES_BA!D176</f>
        <v>Other Direct Costs Category 8</v>
      </c>
      <c r="M1021" s="279">
        <f>RES_BA!R176</f>
        <v>0</v>
      </c>
      <c r="O1021" s="279">
        <f>RES_BA!S176</f>
        <v>0</v>
      </c>
      <c r="Q1021" s="279">
        <f>RES_BA!T176</f>
        <v>0</v>
      </c>
      <c r="S1021" s="279">
        <f>RES_BA!U176</f>
        <v>0</v>
      </c>
    </row>
    <row r="1022" spans="3:19" s="277" customFormat="1" hidden="1" outlineLevel="1" x14ac:dyDescent="0.3">
      <c r="C1022" s="283" t="str">
        <f>RES_BA!D177</f>
        <v>Other Direct Costs Category 9</v>
      </c>
      <c r="M1022" s="279">
        <f>RES_BA!R177</f>
        <v>0</v>
      </c>
      <c r="O1022" s="279">
        <f>RES_BA!S177</f>
        <v>0</v>
      </c>
      <c r="Q1022" s="279">
        <f>RES_BA!T177</f>
        <v>0</v>
      </c>
      <c r="S1022" s="279">
        <f>RES_BA!U177</f>
        <v>0</v>
      </c>
    </row>
    <row r="1023" spans="3:19" s="277" customFormat="1" hidden="1" outlineLevel="1" x14ac:dyDescent="0.3">
      <c r="C1023" s="283" t="str">
        <f>RES_BA!D178</f>
        <v>Other Direct Costs Category 10</v>
      </c>
      <c r="M1023" s="279">
        <f>RES_BA!R178</f>
        <v>0</v>
      </c>
      <c r="O1023" s="279">
        <f>RES_BA!S178</f>
        <v>0</v>
      </c>
      <c r="Q1023" s="279">
        <f>RES_BA!T178</f>
        <v>0</v>
      </c>
      <c r="S1023" s="279">
        <f>RES_BA!U178</f>
        <v>0</v>
      </c>
    </row>
    <row r="1024" spans="3:19" s="277" customFormat="1" hidden="1" outlineLevel="1" x14ac:dyDescent="0.3">
      <c r="C1024" s="283" t="str">
        <f>RES_BA!D179</f>
        <v>Other Direct Costs Category 11</v>
      </c>
      <c r="M1024" s="279">
        <f>RES_BA!R179</f>
        <v>0</v>
      </c>
      <c r="O1024" s="279">
        <f>RES_BA!S179</f>
        <v>0</v>
      </c>
      <c r="Q1024" s="279">
        <f>RES_BA!T179</f>
        <v>0</v>
      </c>
      <c r="S1024" s="279">
        <f>RES_BA!U179</f>
        <v>0</v>
      </c>
    </row>
    <row r="1025" spans="3:19" s="277" customFormat="1" hidden="1" outlineLevel="1" collapsed="1" x14ac:dyDescent="0.3">
      <c r="C1025" s="283" t="str">
        <f>RES_BA!D180</f>
        <v>Other Direct Costs Category 12</v>
      </c>
      <c r="M1025" s="279">
        <f>RES_BA!R180</f>
        <v>0</v>
      </c>
      <c r="O1025" s="279">
        <f>RES_BA!S180</f>
        <v>0</v>
      </c>
      <c r="Q1025" s="279">
        <f>RES_BA!T180</f>
        <v>0</v>
      </c>
      <c r="S1025" s="279">
        <f>RES_BA!U180</f>
        <v>0</v>
      </c>
    </row>
    <row r="1026" spans="3:19" s="277" customFormat="1" hidden="1" outlineLevel="1" x14ac:dyDescent="0.3">
      <c r="C1026" s="283" t="str">
        <f>RES_BA!D181</f>
        <v>Other Direct Costs Category 13</v>
      </c>
      <c r="M1026" s="279">
        <f>RES_BA!R181</f>
        <v>0</v>
      </c>
      <c r="O1026" s="279">
        <f>RES_BA!S181</f>
        <v>0</v>
      </c>
      <c r="Q1026" s="279">
        <f>RES_BA!T181</f>
        <v>0</v>
      </c>
      <c r="S1026" s="279">
        <f>RES_BA!U181</f>
        <v>0</v>
      </c>
    </row>
    <row r="1027" spans="3:19" s="277" customFormat="1" hidden="1" outlineLevel="1" x14ac:dyDescent="0.3">
      <c r="C1027" s="283" t="str">
        <f>RES_BA!D182</f>
        <v>Other Direct Costs Category 14</v>
      </c>
      <c r="M1027" s="279">
        <f>RES_BA!R182</f>
        <v>0</v>
      </c>
      <c r="O1027" s="279">
        <f>RES_BA!S182</f>
        <v>0</v>
      </c>
      <c r="Q1027" s="279">
        <f>RES_BA!T182</f>
        <v>0</v>
      </c>
      <c r="S1027" s="279">
        <f>RES_BA!U182</f>
        <v>0</v>
      </c>
    </row>
    <row r="1028" spans="3:19" s="277" customFormat="1" hidden="1" outlineLevel="1" x14ac:dyDescent="0.3">
      <c r="C1028" s="283" t="str">
        <f>RES_BA!D183</f>
        <v>Other Direct Costs Category 15</v>
      </c>
      <c r="M1028" s="279">
        <f>RES_BA!R183</f>
        <v>0</v>
      </c>
      <c r="O1028" s="279">
        <f>RES_BA!S183</f>
        <v>0</v>
      </c>
      <c r="Q1028" s="279">
        <f>RES_BA!T183</f>
        <v>0</v>
      </c>
      <c r="S1028" s="279">
        <f>RES_BA!U183</f>
        <v>0</v>
      </c>
    </row>
    <row r="1029" spans="3:19" s="277" customFormat="1" hidden="1" outlineLevel="1" x14ac:dyDescent="0.3">
      <c r="C1029" s="283" t="str">
        <f>RES_BA!D184</f>
        <v>Other Direct Costs Category 16</v>
      </c>
      <c r="M1029" s="279">
        <f>RES_BA!R184</f>
        <v>0</v>
      </c>
      <c r="O1029" s="279">
        <f>RES_BA!S184</f>
        <v>0</v>
      </c>
      <c r="Q1029" s="279">
        <f>RES_BA!T184</f>
        <v>0</v>
      </c>
      <c r="S1029" s="279">
        <f>RES_BA!U184</f>
        <v>0</v>
      </c>
    </row>
    <row r="1030" spans="3:19" s="277" customFormat="1" hidden="1" outlineLevel="1" x14ac:dyDescent="0.3">
      <c r="C1030" s="283" t="str">
        <f>RES_BA!D185</f>
        <v>Other Direct Costs Category 17</v>
      </c>
      <c r="M1030" s="279">
        <f>RES_BA!R185</f>
        <v>0</v>
      </c>
      <c r="O1030" s="279">
        <f>RES_BA!S185</f>
        <v>0</v>
      </c>
      <c r="Q1030" s="279">
        <f>RES_BA!T185</f>
        <v>0</v>
      </c>
      <c r="S1030" s="279">
        <f>RES_BA!U185</f>
        <v>0</v>
      </c>
    </row>
    <row r="1031" spans="3:19" s="277" customFormat="1" hidden="1" outlineLevel="1" x14ac:dyDescent="0.3">
      <c r="C1031" s="283" t="str">
        <f>RES_BA!D186</f>
        <v>Other Direct Costs Category 18</v>
      </c>
      <c r="M1031" s="279">
        <f>RES_BA!R186</f>
        <v>0</v>
      </c>
      <c r="O1031" s="279">
        <f>RES_BA!S186</f>
        <v>0</v>
      </c>
      <c r="Q1031" s="279">
        <f>RES_BA!T186</f>
        <v>0</v>
      </c>
      <c r="S1031" s="279">
        <f>RES_BA!U186</f>
        <v>0</v>
      </c>
    </row>
    <row r="1032" spans="3:19" s="277" customFormat="1" hidden="1" outlineLevel="1" x14ac:dyDescent="0.3">
      <c r="C1032" s="283" t="str">
        <f>RES_BA!D187</f>
        <v>Other Direct Costs Category 19</v>
      </c>
      <c r="M1032" s="279">
        <f>RES_BA!R187</f>
        <v>0</v>
      </c>
      <c r="O1032" s="279">
        <f>RES_BA!S187</f>
        <v>0</v>
      </c>
      <c r="Q1032" s="279">
        <f>RES_BA!T187</f>
        <v>0</v>
      </c>
      <c r="S1032" s="279">
        <f>RES_BA!U187</f>
        <v>0</v>
      </c>
    </row>
    <row r="1033" spans="3:19" s="277" customFormat="1" hidden="1" outlineLevel="1" x14ac:dyDescent="0.3">
      <c r="C1033" s="283" t="str">
        <f>RES_BA!D188</f>
        <v>Other Direct Costs Category 20</v>
      </c>
      <c r="M1033" s="279">
        <f>RES_BA!R188</f>
        <v>0</v>
      </c>
      <c r="O1033" s="279">
        <f>RES_BA!S188</f>
        <v>0</v>
      </c>
      <c r="Q1033" s="279">
        <f>RES_BA!T188</f>
        <v>0</v>
      </c>
      <c r="S1033" s="279">
        <f>RES_BA!U188</f>
        <v>0</v>
      </c>
    </row>
    <row r="1034" spans="3:19" s="277" customFormat="1" hidden="1" outlineLevel="1" x14ac:dyDescent="0.3">
      <c r="C1034" s="283" t="str">
        <f>RES_BA!D189</f>
        <v>Other Direct Costs Category 21</v>
      </c>
      <c r="M1034" s="279">
        <f>RES_BA!R189</f>
        <v>0</v>
      </c>
      <c r="O1034" s="279">
        <f>RES_BA!S189</f>
        <v>0</v>
      </c>
      <c r="Q1034" s="279">
        <f>RES_BA!T189</f>
        <v>0</v>
      </c>
      <c r="S1034" s="279">
        <f>RES_BA!U189</f>
        <v>0</v>
      </c>
    </row>
    <row r="1035" spans="3:19" s="277" customFormat="1" hidden="1" outlineLevel="1" x14ac:dyDescent="0.3">
      <c r="C1035" s="283" t="str">
        <f>RES_BA!D190</f>
        <v>Other Direct Costs Category 22</v>
      </c>
      <c r="M1035" s="279">
        <f>RES_BA!R190</f>
        <v>0</v>
      </c>
      <c r="O1035" s="279">
        <f>RES_BA!S190</f>
        <v>0</v>
      </c>
      <c r="Q1035" s="279">
        <f>RES_BA!T190</f>
        <v>0</v>
      </c>
      <c r="S1035" s="279">
        <f>RES_BA!U190</f>
        <v>0</v>
      </c>
    </row>
    <row r="1036" spans="3:19" s="277" customFormat="1" hidden="1" outlineLevel="1" x14ac:dyDescent="0.3">
      <c r="C1036" s="283" t="str">
        <f>RES_BA!D191</f>
        <v>Other Direct Costs Category 23</v>
      </c>
      <c r="M1036" s="279">
        <f>RES_BA!R191</f>
        <v>0</v>
      </c>
      <c r="O1036" s="279">
        <f>RES_BA!S191</f>
        <v>0</v>
      </c>
      <c r="Q1036" s="279">
        <f>RES_BA!T191</f>
        <v>0</v>
      </c>
      <c r="S1036" s="279">
        <f>RES_BA!U191</f>
        <v>0</v>
      </c>
    </row>
    <row r="1037" spans="3:19" s="277" customFormat="1" hidden="1" outlineLevel="1" collapsed="1" x14ac:dyDescent="0.3">
      <c r="C1037" s="283" t="str">
        <f>RES_BA!D192</f>
        <v>Other Direct Costs Category 24</v>
      </c>
      <c r="M1037" s="279">
        <f>RES_BA!R192</f>
        <v>0</v>
      </c>
      <c r="O1037" s="279">
        <f>RES_BA!S192</f>
        <v>0</v>
      </c>
      <c r="Q1037" s="279">
        <f>RES_BA!T192</f>
        <v>0</v>
      </c>
      <c r="S1037" s="279">
        <f>RES_BA!U192</f>
        <v>0</v>
      </c>
    </row>
    <row r="1038" spans="3:19" s="277" customFormat="1" hidden="1" outlineLevel="1" x14ac:dyDescent="0.3">
      <c r="C1038" s="283" t="str">
        <f>RES_BA!D193</f>
        <v>Other Direct Costs Category 25</v>
      </c>
      <c r="M1038" s="279">
        <f>RES_BA!R193</f>
        <v>0</v>
      </c>
      <c r="O1038" s="279">
        <f>RES_BA!S193</f>
        <v>0</v>
      </c>
      <c r="Q1038" s="279">
        <f>RES_BA!T193</f>
        <v>0</v>
      </c>
      <c r="S1038" s="279">
        <f>RES_BA!U193</f>
        <v>0</v>
      </c>
    </row>
    <row r="1039" spans="3:19" s="277" customFormat="1" hidden="1" outlineLevel="1" x14ac:dyDescent="0.3">
      <c r="C1039" s="283" t="str">
        <f>RES_BA!D194</f>
        <v>Other Direct Costs Category 26</v>
      </c>
      <c r="M1039" s="279">
        <f>RES_BA!R194</f>
        <v>0</v>
      </c>
      <c r="O1039" s="279">
        <f>RES_BA!S194</f>
        <v>0</v>
      </c>
      <c r="Q1039" s="279">
        <f>RES_BA!T194</f>
        <v>0</v>
      </c>
      <c r="S1039" s="279">
        <f>RES_BA!U194</f>
        <v>0</v>
      </c>
    </row>
    <row r="1040" spans="3:19" s="277" customFormat="1" hidden="1" outlineLevel="1" x14ac:dyDescent="0.3">
      <c r="C1040" s="283" t="str">
        <f>RES_BA!D195</f>
        <v>Other Direct Costs Category 27</v>
      </c>
      <c r="M1040" s="279">
        <f>RES_BA!R195</f>
        <v>0</v>
      </c>
      <c r="O1040" s="279">
        <f>RES_BA!S195</f>
        <v>0</v>
      </c>
      <c r="Q1040" s="279">
        <f>RES_BA!T195</f>
        <v>0</v>
      </c>
      <c r="S1040" s="279">
        <f>RES_BA!U195</f>
        <v>0</v>
      </c>
    </row>
    <row r="1041" spans="2:24" s="277" customFormat="1" hidden="1" outlineLevel="1" x14ac:dyDescent="0.3">
      <c r="C1041" s="283" t="str">
        <f>RES_BA!D196</f>
        <v>Other Direct Costs Category 28</v>
      </c>
      <c r="M1041" s="279">
        <f>RES_BA!R196</f>
        <v>0</v>
      </c>
      <c r="O1041" s="279">
        <f>RES_BA!S196</f>
        <v>0</v>
      </c>
      <c r="Q1041" s="279">
        <f>RES_BA!T196</f>
        <v>0</v>
      </c>
      <c r="S1041" s="279">
        <f>RES_BA!U196</f>
        <v>0</v>
      </c>
    </row>
    <row r="1042" spans="2:24" s="277" customFormat="1" hidden="1" outlineLevel="1" x14ac:dyDescent="0.3">
      <c r="C1042" s="283" t="str">
        <f>RES_BA!D197</f>
        <v>Other Direct Costs Category 29</v>
      </c>
      <c r="M1042" s="279">
        <f>RES_BA!R197</f>
        <v>0</v>
      </c>
      <c r="O1042" s="279">
        <f>RES_BA!S197</f>
        <v>0</v>
      </c>
      <c r="Q1042" s="279">
        <f>RES_BA!T197</f>
        <v>0</v>
      </c>
      <c r="S1042" s="279">
        <f>RES_BA!U197</f>
        <v>0</v>
      </c>
    </row>
    <row r="1043" spans="2:24" s="277" customFormat="1" hidden="1" outlineLevel="1" x14ac:dyDescent="0.3">
      <c r="C1043" s="283" t="str">
        <f>RES_BA!D198</f>
        <v>Other Direct Costs Category 30</v>
      </c>
      <c r="M1043" s="279">
        <f>RES_BA!R198</f>
        <v>0</v>
      </c>
      <c r="O1043" s="279">
        <f>RES_BA!S198</f>
        <v>0</v>
      </c>
      <c r="Q1043" s="279">
        <f>RES_BA!T198</f>
        <v>0</v>
      </c>
      <c r="S1043" s="279">
        <f>RES_BA!U198</f>
        <v>0</v>
      </c>
    </row>
    <row r="1044" spans="2:24" s="277" customFormat="1" hidden="1" outlineLevel="1" x14ac:dyDescent="0.3">
      <c r="C1044" s="283" t="str">
        <f>RES_BA!D199</f>
        <v>Other Direct Costs Category 31</v>
      </c>
      <c r="M1044" s="279">
        <f>RES_BA!R199</f>
        <v>0</v>
      </c>
      <c r="O1044" s="279">
        <f>RES_BA!S199</f>
        <v>0</v>
      </c>
      <c r="Q1044" s="279">
        <f>RES_BA!T199</f>
        <v>0</v>
      </c>
      <c r="S1044" s="279">
        <f>RES_BA!U199</f>
        <v>0</v>
      </c>
    </row>
    <row r="1045" spans="2:24" s="277" customFormat="1" hidden="1" outlineLevel="1" x14ac:dyDescent="0.3">
      <c r="C1045" s="283" t="str">
        <f>RES_BA!D200</f>
        <v>Other Direct Costs Category 32</v>
      </c>
      <c r="M1045" s="279">
        <f>RES_BA!R200</f>
        <v>0</v>
      </c>
      <c r="O1045" s="279">
        <f>RES_BA!S200</f>
        <v>0</v>
      </c>
      <c r="Q1045" s="279">
        <f>RES_BA!T200</f>
        <v>0</v>
      </c>
      <c r="S1045" s="279">
        <f>RES_BA!U200</f>
        <v>0</v>
      </c>
    </row>
    <row r="1046" spans="2:24" s="277" customFormat="1" hidden="1" outlineLevel="1" x14ac:dyDescent="0.3">
      <c r="C1046" s="283" t="str">
        <f>RES_BA!D201</f>
        <v>Other Direct Costs Category 33</v>
      </c>
      <c r="M1046" s="279">
        <f>RES_BA!R201</f>
        <v>0</v>
      </c>
      <c r="O1046" s="279">
        <f>RES_BA!S201</f>
        <v>0</v>
      </c>
      <c r="Q1046" s="279">
        <f>RES_BA!T201</f>
        <v>0</v>
      </c>
      <c r="S1046" s="279">
        <f>RES_BA!U201</f>
        <v>0</v>
      </c>
    </row>
    <row r="1047" spans="2:24" s="277" customFormat="1" hidden="1" outlineLevel="1" x14ac:dyDescent="0.3">
      <c r="C1047" s="283" t="str">
        <f>RES_BA!D202</f>
        <v>Other Direct Costs Category 34</v>
      </c>
      <c r="M1047" s="279">
        <f>RES_BA!R202</f>
        <v>0</v>
      </c>
      <c r="O1047" s="279">
        <f>RES_BA!S202</f>
        <v>0</v>
      </c>
      <c r="Q1047" s="279">
        <f>RES_BA!T202</f>
        <v>0</v>
      </c>
      <c r="S1047" s="279">
        <f>RES_BA!U202</f>
        <v>0</v>
      </c>
    </row>
    <row r="1048" spans="2:24" s="277" customFormat="1" hidden="1" outlineLevel="1" x14ac:dyDescent="0.3">
      <c r="C1048" s="283" t="str">
        <f>RES_BA!D203</f>
        <v>Other Direct Costs Category 35</v>
      </c>
      <c r="M1048" s="279">
        <f>RES_BA!R203</f>
        <v>0</v>
      </c>
      <c r="O1048" s="279">
        <f>RES_BA!S203</f>
        <v>0</v>
      </c>
      <c r="Q1048" s="279">
        <f>RES_BA!T203</f>
        <v>0</v>
      </c>
      <c r="S1048" s="279">
        <f>RES_BA!U203</f>
        <v>0</v>
      </c>
    </row>
    <row r="1049" spans="2:24" collapsed="1" x14ac:dyDescent="0.3"/>
    <row r="1051" spans="2:24" ht="18" x14ac:dyDescent="0.3">
      <c r="B1051" s="31" t="str">
        <f>I1052</f>
        <v>Social Mobilisation Activity #4 [not in use]</v>
      </c>
    </row>
    <row r="1052" spans="2:24" x14ac:dyDescent="0.3">
      <c r="G1052" s="41" t="s">
        <v>119</v>
      </c>
      <c r="I1052" s="356" t="s">
        <v>1004</v>
      </c>
      <c r="J1052" s="356"/>
      <c r="K1052" s="356"/>
      <c r="L1052" s="356"/>
      <c r="M1052" s="356"/>
    </row>
    <row r="1053" spans="2:24" ht="10.5" customHeight="1" x14ac:dyDescent="0.3">
      <c r="G1053" s="41" t="s">
        <v>644</v>
      </c>
      <c r="I1053" s="32">
        <v>2</v>
      </c>
    </row>
    <row r="1054" spans="2:24" ht="15.6" x14ac:dyDescent="0.3">
      <c r="C1054" s="92" t="s">
        <v>77</v>
      </c>
      <c r="M1054" s="40" t="str">
        <f>IF(DD_ACT_10_Meet1_Curr=1,$D$1206,$D$1207)</f>
        <v>GOZ</v>
      </c>
      <c r="O1054" s="40" t="str">
        <f>IF(DD_ACT_10_Meet1_Curr=1,$D$1206,$D$1207)</f>
        <v>GOZ</v>
      </c>
      <c r="Q1054" s="40" t="str">
        <f>IF(DD_ACT_10_Meet1_Curr=1,$D$1206,$D$1207)</f>
        <v>GOZ</v>
      </c>
      <c r="S1054" s="40" t="str">
        <f>IF(DD_ACT_10_Meet1_Curr=1,$D$1206,$D$1207)</f>
        <v>GOZ</v>
      </c>
    </row>
    <row r="1055" spans="2:24" ht="27.6" x14ac:dyDescent="0.3">
      <c r="D1055" s="90" t="s">
        <v>77</v>
      </c>
      <c r="I1055" s="88" t="s">
        <v>80</v>
      </c>
      <c r="K1055" s="91" t="s">
        <v>432</v>
      </c>
      <c r="M1055" s="42" t="s">
        <v>103</v>
      </c>
      <c r="O1055" s="42" t="s">
        <v>104</v>
      </c>
      <c r="Q1055" s="42" t="s">
        <v>105</v>
      </c>
      <c r="S1055" s="42" t="s">
        <v>106</v>
      </c>
      <c r="U1055" s="350" t="s">
        <v>185</v>
      </c>
      <c r="V1055" s="351"/>
      <c r="W1055" s="351"/>
      <c r="X1055" s="351"/>
    </row>
    <row r="1056" spans="2:24" x14ac:dyDescent="0.3">
      <c r="D1056" s="356" t="s">
        <v>188</v>
      </c>
      <c r="E1056" s="356"/>
      <c r="F1056" s="356"/>
      <c r="G1056" s="356"/>
      <c r="I1056" s="48">
        <v>0</v>
      </c>
      <c r="K1056" s="48">
        <v>0</v>
      </c>
      <c r="M1056" s="40">
        <f t="shared" ref="M1056:M1080" si="60">IFERROR(IF(DD_ACT_10_Meet1_Curr=1,INDEX($M$1212:$M$1246,MATCH(D1056,LU_ACT_10_Pers_Res,0)),INDEX($Q$1212:$Q$1246,MATCH(D1056,LU_ACT_10_Pers_Res,0))),0)</f>
        <v>0</v>
      </c>
      <c r="O1056" s="40">
        <f t="shared" ref="O1056:O1080" si="61">IFERROR(IF(DD_ACT_10_Meet1_Curr=1,INDEX($O$1212:$O$1246,MATCH(D1056,LU_ACT_10_Pers_Res,0)),INDEX($S$1212:$S$1246,MATCH(D1056,LU_ACT_10_Pers_Res,0))),0)</f>
        <v>0</v>
      </c>
      <c r="Q1056" s="293">
        <f t="shared" ref="Q1056:Q1080" si="62">I1056*K1056*M1056</f>
        <v>0</v>
      </c>
      <c r="S1056" s="293">
        <f t="shared" ref="S1056:S1080" si="63">I1056*K1056*O1056</f>
        <v>0</v>
      </c>
      <c r="U1056" s="356"/>
      <c r="V1056" s="356"/>
      <c r="W1056" s="356"/>
      <c r="X1056" s="356"/>
    </row>
    <row r="1057" spans="4:24" x14ac:dyDescent="0.3">
      <c r="D1057" s="356" t="s">
        <v>189</v>
      </c>
      <c r="E1057" s="356"/>
      <c r="F1057" s="356"/>
      <c r="G1057" s="356"/>
      <c r="I1057" s="48">
        <v>0</v>
      </c>
      <c r="K1057" s="48">
        <v>0</v>
      </c>
      <c r="M1057" s="40">
        <f t="shared" si="60"/>
        <v>0</v>
      </c>
      <c r="O1057" s="40">
        <f t="shared" si="61"/>
        <v>0</v>
      </c>
      <c r="Q1057" s="293">
        <f t="shared" si="62"/>
        <v>0</v>
      </c>
      <c r="S1057" s="293">
        <f t="shared" si="63"/>
        <v>0</v>
      </c>
      <c r="U1057" s="356"/>
      <c r="V1057" s="356"/>
      <c r="W1057" s="356"/>
      <c r="X1057" s="356"/>
    </row>
    <row r="1058" spans="4:24" x14ac:dyDescent="0.3">
      <c r="D1058" s="356" t="s">
        <v>190</v>
      </c>
      <c r="E1058" s="356"/>
      <c r="F1058" s="356"/>
      <c r="G1058" s="356"/>
      <c r="I1058" s="48">
        <v>0</v>
      </c>
      <c r="K1058" s="48">
        <v>0</v>
      </c>
      <c r="M1058" s="40">
        <f t="shared" si="60"/>
        <v>0</v>
      </c>
      <c r="O1058" s="40">
        <f t="shared" si="61"/>
        <v>0</v>
      </c>
      <c r="Q1058" s="293">
        <f t="shared" si="62"/>
        <v>0</v>
      </c>
      <c r="S1058" s="293">
        <f t="shared" si="63"/>
        <v>0</v>
      </c>
      <c r="U1058" s="356"/>
      <c r="V1058" s="356"/>
      <c r="W1058" s="356"/>
      <c r="X1058" s="356"/>
    </row>
    <row r="1059" spans="4:24" x14ac:dyDescent="0.3">
      <c r="D1059" s="356" t="s">
        <v>191</v>
      </c>
      <c r="E1059" s="356"/>
      <c r="F1059" s="356"/>
      <c r="G1059" s="356"/>
      <c r="I1059" s="48">
        <v>0</v>
      </c>
      <c r="K1059" s="48">
        <v>0</v>
      </c>
      <c r="M1059" s="40">
        <f t="shared" si="60"/>
        <v>0</v>
      </c>
      <c r="O1059" s="40">
        <f t="shared" si="61"/>
        <v>0</v>
      </c>
      <c r="Q1059" s="293">
        <f t="shared" si="62"/>
        <v>0</v>
      </c>
      <c r="S1059" s="293">
        <f t="shared" si="63"/>
        <v>0</v>
      </c>
      <c r="U1059" s="356"/>
      <c r="V1059" s="356"/>
      <c r="W1059" s="356"/>
      <c r="X1059" s="356"/>
    </row>
    <row r="1060" spans="4:24" x14ac:dyDescent="0.3">
      <c r="D1060" s="356" t="s">
        <v>192</v>
      </c>
      <c r="E1060" s="356"/>
      <c r="F1060" s="356"/>
      <c r="G1060" s="356"/>
      <c r="I1060" s="48">
        <v>0</v>
      </c>
      <c r="K1060" s="48">
        <v>0</v>
      </c>
      <c r="M1060" s="40">
        <f t="shared" si="60"/>
        <v>0</v>
      </c>
      <c r="O1060" s="40">
        <f t="shared" si="61"/>
        <v>0</v>
      </c>
      <c r="Q1060" s="293">
        <f t="shared" si="62"/>
        <v>0</v>
      </c>
      <c r="S1060" s="293">
        <f t="shared" si="63"/>
        <v>0</v>
      </c>
      <c r="U1060" s="356"/>
      <c r="V1060" s="356"/>
      <c r="W1060" s="356"/>
      <c r="X1060" s="356"/>
    </row>
    <row r="1061" spans="4:24" x14ac:dyDescent="0.3">
      <c r="D1061" s="356" t="s">
        <v>193</v>
      </c>
      <c r="E1061" s="356"/>
      <c r="F1061" s="356"/>
      <c r="G1061" s="356"/>
      <c r="I1061" s="48">
        <v>0</v>
      </c>
      <c r="K1061" s="48">
        <v>0</v>
      </c>
      <c r="M1061" s="40">
        <f t="shared" si="60"/>
        <v>0</v>
      </c>
      <c r="O1061" s="40">
        <f t="shared" si="61"/>
        <v>0</v>
      </c>
      <c r="Q1061" s="293">
        <f t="shared" si="62"/>
        <v>0</v>
      </c>
      <c r="S1061" s="293">
        <f t="shared" si="63"/>
        <v>0</v>
      </c>
      <c r="U1061" s="356"/>
      <c r="V1061" s="356"/>
      <c r="W1061" s="356"/>
      <c r="X1061" s="356"/>
    </row>
    <row r="1062" spans="4:24" x14ac:dyDescent="0.3">
      <c r="D1062" s="356" t="s">
        <v>120</v>
      </c>
      <c r="E1062" s="356"/>
      <c r="F1062" s="356"/>
      <c r="G1062" s="356"/>
      <c r="I1062" s="48">
        <v>0</v>
      </c>
      <c r="K1062" s="48">
        <v>0</v>
      </c>
      <c r="M1062" s="40">
        <f t="shared" si="60"/>
        <v>0</v>
      </c>
      <c r="O1062" s="40">
        <f t="shared" si="61"/>
        <v>0</v>
      </c>
      <c r="Q1062" s="293">
        <f t="shared" si="62"/>
        <v>0</v>
      </c>
      <c r="S1062" s="293">
        <f t="shared" si="63"/>
        <v>0</v>
      </c>
      <c r="U1062" s="356"/>
      <c r="V1062" s="356"/>
      <c r="W1062" s="356"/>
      <c r="X1062" s="356"/>
    </row>
    <row r="1063" spans="4:24" x14ac:dyDescent="0.3">
      <c r="D1063" s="356" t="s">
        <v>121</v>
      </c>
      <c r="E1063" s="356"/>
      <c r="F1063" s="356"/>
      <c r="G1063" s="356"/>
      <c r="I1063" s="48">
        <v>0</v>
      </c>
      <c r="K1063" s="48">
        <v>0</v>
      </c>
      <c r="M1063" s="40">
        <f t="shared" si="60"/>
        <v>0</v>
      </c>
      <c r="O1063" s="40">
        <f t="shared" si="61"/>
        <v>0</v>
      </c>
      <c r="Q1063" s="293">
        <f t="shared" si="62"/>
        <v>0</v>
      </c>
      <c r="S1063" s="293">
        <f t="shared" si="63"/>
        <v>0</v>
      </c>
      <c r="U1063" s="356"/>
      <c r="V1063" s="356"/>
      <c r="W1063" s="356"/>
      <c r="X1063" s="356"/>
    </row>
    <row r="1064" spans="4:24" s="277" customFormat="1" x14ac:dyDescent="0.3">
      <c r="D1064" s="356" t="s">
        <v>830</v>
      </c>
      <c r="E1064" s="356"/>
      <c r="F1064" s="356"/>
      <c r="G1064" s="356"/>
      <c r="I1064" s="48">
        <v>0</v>
      </c>
      <c r="K1064" s="48">
        <v>0</v>
      </c>
      <c r="M1064" s="279">
        <f t="shared" si="60"/>
        <v>0</v>
      </c>
      <c r="O1064" s="279">
        <f t="shared" si="61"/>
        <v>0</v>
      </c>
      <c r="Q1064" s="293">
        <f t="shared" si="62"/>
        <v>0</v>
      </c>
      <c r="S1064" s="293">
        <f t="shared" si="63"/>
        <v>0</v>
      </c>
      <c r="U1064" s="385"/>
      <c r="V1064" s="385"/>
      <c r="W1064" s="385"/>
      <c r="X1064" s="385"/>
    </row>
    <row r="1065" spans="4:24" s="277" customFormat="1" x14ac:dyDescent="0.3">
      <c r="D1065" s="356" t="s">
        <v>831</v>
      </c>
      <c r="E1065" s="356"/>
      <c r="F1065" s="356"/>
      <c r="G1065" s="356"/>
      <c r="I1065" s="48">
        <v>0</v>
      </c>
      <c r="K1065" s="48">
        <v>0</v>
      </c>
      <c r="M1065" s="279">
        <f t="shared" si="60"/>
        <v>0</v>
      </c>
      <c r="O1065" s="279">
        <f t="shared" si="61"/>
        <v>0</v>
      </c>
      <c r="Q1065" s="293">
        <f t="shared" si="62"/>
        <v>0</v>
      </c>
      <c r="S1065" s="293">
        <f t="shared" si="63"/>
        <v>0</v>
      </c>
      <c r="U1065" s="385"/>
      <c r="V1065" s="385"/>
      <c r="W1065" s="385"/>
      <c r="X1065" s="385"/>
    </row>
    <row r="1066" spans="4:24" s="277" customFormat="1" x14ac:dyDescent="0.3">
      <c r="D1066" s="356" t="s">
        <v>832</v>
      </c>
      <c r="E1066" s="356"/>
      <c r="F1066" s="356"/>
      <c r="G1066" s="356"/>
      <c r="I1066" s="48">
        <v>0</v>
      </c>
      <c r="K1066" s="48">
        <v>0</v>
      </c>
      <c r="M1066" s="279">
        <f t="shared" si="60"/>
        <v>0</v>
      </c>
      <c r="O1066" s="279">
        <f t="shared" si="61"/>
        <v>0</v>
      </c>
      <c r="Q1066" s="293">
        <f t="shared" si="62"/>
        <v>0</v>
      </c>
      <c r="S1066" s="293">
        <f t="shared" si="63"/>
        <v>0</v>
      </c>
      <c r="U1066" s="385"/>
      <c r="V1066" s="385"/>
      <c r="W1066" s="385"/>
      <c r="X1066" s="385"/>
    </row>
    <row r="1067" spans="4:24" s="277" customFormat="1" x14ac:dyDescent="0.3">
      <c r="D1067" s="356" t="s">
        <v>833</v>
      </c>
      <c r="E1067" s="356"/>
      <c r="F1067" s="356"/>
      <c r="G1067" s="356"/>
      <c r="I1067" s="48">
        <v>0</v>
      </c>
      <c r="K1067" s="48">
        <v>0</v>
      </c>
      <c r="M1067" s="279">
        <f t="shared" si="60"/>
        <v>0</v>
      </c>
      <c r="O1067" s="279">
        <f t="shared" si="61"/>
        <v>0</v>
      </c>
      <c r="Q1067" s="293">
        <f t="shared" si="62"/>
        <v>0</v>
      </c>
      <c r="S1067" s="293">
        <f t="shared" si="63"/>
        <v>0</v>
      </c>
      <c r="U1067" s="385"/>
      <c r="V1067" s="385"/>
      <c r="W1067" s="385"/>
      <c r="X1067" s="385"/>
    </row>
    <row r="1068" spans="4:24" s="277" customFormat="1" x14ac:dyDescent="0.3">
      <c r="D1068" s="356" t="s">
        <v>834</v>
      </c>
      <c r="E1068" s="356"/>
      <c r="F1068" s="356"/>
      <c r="G1068" s="356"/>
      <c r="I1068" s="48">
        <v>0</v>
      </c>
      <c r="K1068" s="48">
        <v>0</v>
      </c>
      <c r="M1068" s="279">
        <f t="shared" si="60"/>
        <v>0</v>
      </c>
      <c r="O1068" s="279">
        <f t="shared" si="61"/>
        <v>0</v>
      </c>
      <c r="Q1068" s="293">
        <f t="shared" si="62"/>
        <v>0</v>
      </c>
      <c r="S1068" s="293">
        <f t="shared" si="63"/>
        <v>0</v>
      </c>
      <c r="U1068" s="385"/>
      <c r="V1068" s="385"/>
      <c r="W1068" s="385"/>
      <c r="X1068" s="385"/>
    </row>
    <row r="1069" spans="4:24" s="277" customFormat="1" x14ac:dyDescent="0.3">
      <c r="D1069" s="356" t="s">
        <v>835</v>
      </c>
      <c r="E1069" s="356"/>
      <c r="F1069" s="356"/>
      <c r="G1069" s="356"/>
      <c r="I1069" s="48">
        <v>0</v>
      </c>
      <c r="K1069" s="48">
        <v>0</v>
      </c>
      <c r="M1069" s="279">
        <f t="shared" si="60"/>
        <v>0</v>
      </c>
      <c r="O1069" s="279">
        <f t="shared" si="61"/>
        <v>0</v>
      </c>
      <c r="Q1069" s="293">
        <f t="shared" si="62"/>
        <v>0</v>
      </c>
      <c r="S1069" s="293">
        <f t="shared" si="63"/>
        <v>0</v>
      </c>
      <c r="U1069" s="385"/>
      <c r="V1069" s="385"/>
      <c r="W1069" s="385"/>
      <c r="X1069" s="385"/>
    </row>
    <row r="1070" spans="4:24" s="277" customFormat="1" x14ac:dyDescent="0.3">
      <c r="D1070" s="356" t="s">
        <v>836</v>
      </c>
      <c r="E1070" s="356"/>
      <c r="F1070" s="356"/>
      <c r="G1070" s="356"/>
      <c r="I1070" s="48">
        <v>0</v>
      </c>
      <c r="K1070" s="48">
        <v>0</v>
      </c>
      <c r="M1070" s="279">
        <f t="shared" si="60"/>
        <v>0</v>
      </c>
      <c r="O1070" s="279">
        <f t="shared" si="61"/>
        <v>0</v>
      </c>
      <c r="Q1070" s="293">
        <f t="shared" si="62"/>
        <v>0</v>
      </c>
      <c r="S1070" s="293">
        <f t="shared" si="63"/>
        <v>0</v>
      </c>
      <c r="U1070" s="385"/>
      <c r="V1070" s="385"/>
      <c r="W1070" s="385"/>
      <c r="X1070" s="385"/>
    </row>
    <row r="1071" spans="4:24" s="277" customFormat="1" x14ac:dyDescent="0.3">
      <c r="D1071" s="356" t="s">
        <v>837</v>
      </c>
      <c r="E1071" s="356"/>
      <c r="F1071" s="356"/>
      <c r="G1071" s="356"/>
      <c r="I1071" s="48">
        <v>0</v>
      </c>
      <c r="K1071" s="48">
        <v>0</v>
      </c>
      <c r="M1071" s="279">
        <f t="shared" si="60"/>
        <v>0</v>
      </c>
      <c r="O1071" s="279">
        <f t="shared" si="61"/>
        <v>0</v>
      </c>
      <c r="Q1071" s="293">
        <f t="shared" si="62"/>
        <v>0</v>
      </c>
      <c r="S1071" s="293">
        <f t="shared" si="63"/>
        <v>0</v>
      </c>
      <c r="U1071" s="385"/>
      <c r="V1071" s="385"/>
      <c r="W1071" s="385"/>
      <c r="X1071" s="385"/>
    </row>
    <row r="1072" spans="4:24" s="277" customFormat="1" x14ac:dyDescent="0.3">
      <c r="D1072" s="356" t="s">
        <v>846</v>
      </c>
      <c r="E1072" s="356"/>
      <c r="F1072" s="356"/>
      <c r="G1072" s="356"/>
      <c r="I1072" s="48">
        <v>0</v>
      </c>
      <c r="K1072" s="48">
        <v>0</v>
      </c>
      <c r="M1072" s="279">
        <f t="shared" si="60"/>
        <v>0</v>
      </c>
      <c r="O1072" s="279">
        <f t="shared" si="61"/>
        <v>0</v>
      </c>
      <c r="Q1072" s="293">
        <f t="shared" si="62"/>
        <v>0</v>
      </c>
      <c r="S1072" s="293">
        <f t="shared" si="63"/>
        <v>0</v>
      </c>
      <c r="U1072" s="385"/>
      <c r="V1072" s="385"/>
      <c r="W1072" s="385"/>
      <c r="X1072" s="385"/>
    </row>
    <row r="1073" spans="3:24" s="277" customFormat="1" x14ac:dyDescent="0.3">
      <c r="D1073" s="356" t="s">
        <v>847</v>
      </c>
      <c r="E1073" s="356"/>
      <c r="F1073" s="356"/>
      <c r="G1073" s="356"/>
      <c r="I1073" s="48">
        <v>0</v>
      </c>
      <c r="K1073" s="48">
        <v>0</v>
      </c>
      <c r="M1073" s="279">
        <f t="shared" si="60"/>
        <v>0</v>
      </c>
      <c r="O1073" s="279">
        <f t="shared" si="61"/>
        <v>0</v>
      </c>
      <c r="Q1073" s="293">
        <f t="shared" si="62"/>
        <v>0</v>
      </c>
      <c r="S1073" s="293">
        <f t="shared" si="63"/>
        <v>0</v>
      </c>
      <c r="U1073" s="385"/>
      <c r="V1073" s="385"/>
      <c r="W1073" s="385"/>
      <c r="X1073" s="385"/>
    </row>
    <row r="1074" spans="3:24" s="277" customFormat="1" x14ac:dyDescent="0.3">
      <c r="D1074" s="356" t="s">
        <v>848</v>
      </c>
      <c r="E1074" s="356"/>
      <c r="F1074" s="356"/>
      <c r="G1074" s="356"/>
      <c r="I1074" s="48">
        <v>0</v>
      </c>
      <c r="K1074" s="48">
        <v>0</v>
      </c>
      <c r="M1074" s="279">
        <f t="shared" si="60"/>
        <v>0</v>
      </c>
      <c r="O1074" s="279">
        <f t="shared" si="61"/>
        <v>0</v>
      </c>
      <c r="Q1074" s="293">
        <f t="shared" si="62"/>
        <v>0</v>
      </c>
      <c r="S1074" s="293">
        <f t="shared" si="63"/>
        <v>0</v>
      </c>
      <c r="U1074" s="385"/>
      <c r="V1074" s="385"/>
      <c r="W1074" s="385"/>
      <c r="X1074" s="385"/>
    </row>
    <row r="1075" spans="3:24" s="277" customFormat="1" x14ac:dyDescent="0.3">
      <c r="D1075" s="356" t="s">
        <v>849</v>
      </c>
      <c r="E1075" s="356"/>
      <c r="F1075" s="356"/>
      <c r="G1075" s="356"/>
      <c r="I1075" s="48">
        <v>0</v>
      </c>
      <c r="K1075" s="48">
        <v>0</v>
      </c>
      <c r="M1075" s="279">
        <f t="shared" si="60"/>
        <v>0</v>
      </c>
      <c r="O1075" s="279">
        <f t="shared" si="61"/>
        <v>0</v>
      </c>
      <c r="Q1075" s="293">
        <f t="shared" si="62"/>
        <v>0</v>
      </c>
      <c r="S1075" s="293">
        <f t="shared" si="63"/>
        <v>0</v>
      </c>
      <c r="U1075" s="385"/>
      <c r="V1075" s="385"/>
      <c r="W1075" s="385"/>
      <c r="X1075" s="385"/>
    </row>
    <row r="1076" spans="3:24" s="277" customFormat="1" x14ac:dyDescent="0.3">
      <c r="D1076" s="356" t="s">
        <v>971</v>
      </c>
      <c r="E1076" s="356"/>
      <c r="F1076" s="356"/>
      <c r="G1076" s="356"/>
      <c r="I1076" s="48">
        <v>0</v>
      </c>
      <c r="K1076" s="48">
        <v>0</v>
      </c>
      <c r="M1076" s="279">
        <f t="shared" si="60"/>
        <v>0</v>
      </c>
      <c r="O1076" s="279">
        <f t="shared" si="61"/>
        <v>0</v>
      </c>
      <c r="Q1076" s="293">
        <f t="shared" si="62"/>
        <v>0</v>
      </c>
      <c r="S1076" s="293">
        <f t="shared" si="63"/>
        <v>0</v>
      </c>
      <c r="U1076" s="385"/>
      <c r="V1076" s="385"/>
      <c r="W1076" s="385"/>
      <c r="X1076" s="385"/>
    </row>
    <row r="1077" spans="3:24" s="277" customFormat="1" x14ac:dyDescent="0.3">
      <c r="D1077" s="356" t="s">
        <v>973</v>
      </c>
      <c r="E1077" s="356"/>
      <c r="F1077" s="356"/>
      <c r="G1077" s="356"/>
      <c r="I1077" s="48">
        <v>0</v>
      </c>
      <c r="K1077" s="48">
        <v>0</v>
      </c>
      <c r="M1077" s="279">
        <f t="shared" si="60"/>
        <v>0</v>
      </c>
      <c r="O1077" s="279">
        <f t="shared" si="61"/>
        <v>0</v>
      </c>
      <c r="Q1077" s="293">
        <f t="shared" si="62"/>
        <v>0</v>
      </c>
      <c r="S1077" s="293">
        <f t="shared" si="63"/>
        <v>0</v>
      </c>
      <c r="U1077" s="385"/>
      <c r="V1077" s="385"/>
      <c r="W1077" s="385"/>
      <c r="X1077" s="385"/>
    </row>
    <row r="1078" spans="3:24" s="277" customFormat="1" x14ac:dyDescent="0.3">
      <c r="D1078" s="356" t="s">
        <v>974</v>
      </c>
      <c r="E1078" s="356"/>
      <c r="F1078" s="356"/>
      <c r="G1078" s="356"/>
      <c r="I1078" s="48">
        <v>0</v>
      </c>
      <c r="K1078" s="48">
        <v>0</v>
      </c>
      <c r="M1078" s="279">
        <f t="shared" si="60"/>
        <v>0</v>
      </c>
      <c r="O1078" s="279">
        <f t="shared" si="61"/>
        <v>0</v>
      </c>
      <c r="Q1078" s="293">
        <f t="shared" si="62"/>
        <v>0</v>
      </c>
      <c r="S1078" s="293">
        <f t="shared" si="63"/>
        <v>0</v>
      </c>
      <c r="U1078" s="385"/>
      <c r="V1078" s="385"/>
      <c r="W1078" s="385"/>
      <c r="X1078" s="385"/>
    </row>
    <row r="1079" spans="3:24" s="277" customFormat="1" x14ac:dyDescent="0.3">
      <c r="D1079" s="356" t="s">
        <v>975</v>
      </c>
      <c r="E1079" s="356"/>
      <c r="F1079" s="356"/>
      <c r="G1079" s="356"/>
      <c r="I1079" s="48">
        <v>0</v>
      </c>
      <c r="K1079" s="48">
        <v>0</v>
      </c>
      <c r="M1079" s="279">
        <f t="shared" si="60"/>
        <v>0</v>
      </c>
      <c r="O1079" s="279">
        <f t="shared" si="61"/>
        <v>0</v>
      </c>
      <c r="Q1079" s="293">
        <f t="shared" si="62"/>
        <v>0</v>
      </c>
      <c r="S1079" s="293">
        <f t="shared" si="63"/>
        <v>0</v>
      </c>
      <c r="U1079" s="385"/>
      <c r="V1079" s="385"/>
      <c r="W1079" s="385"/>
      <c r="X1079" s="385"/>
    </row>
    <row r="1080" spans="3:24" s="277" customFormat="1" x14ac:dyDescent="0.3">
      <c r="D1080" s="356" t="s">
        <v>976</v>
      </c>
      <c r="E1080" s="356"/>
      <c r="F1080" s="356"/>
      <c r="G1080" s="356"/>
      <c r="I1080" s="48">
        <v>0</v>
      </c>
      <c r="K1080" s="48">
        <v>0</v>
      </c>
      <c r="M1080" s="279">
        <f t="shared" si="60"/>
        <v>0</v>
      </c>
      <c r="O1080" s="279">
        <f t="shared" si="61"/>
        <v>0</v>
      </c>
      <c r="Q1080" s="293">
        <f t="shared" si="62"/>
        <v>0</v>
      </c>
      <c r="S1080" s="293">
        <f t="shared" si="63"/>
        <v>0</v>
      </c>
      <c r="U1080" s="385"/>
      <c r="V1080" s="385"/>
      <c r="W1080" s="385"/>
      <c r="X1080" s="385"/>
    </row>
    <row r="1081" spans="3:24" ht="14.4" x14ac:dyDescent="0.3">
      <c r="D1081" s="420" t="s">
        <v>79</v>
      </c>
      <c r="E1081" s="421"/>
      <c r="F1081" s="421"/>
      <c r="G1081" s="421"/>
      <c r="I1081" s="43"/>
      <c r="K1081" s="43"/>
      <c r="M1081" s="43"/>
      <c r="O1081" s="43"/>
      <c r="Q1081" s="294">
        <f>SUM(Q1056:Q1080)</f>
        <v>0</v>
      </c>
      <c r="S1081" s="294">
        <f>SUM(S1056:S1080)</f>
        <v>0</v>
      </c>
    </row>
    <row r="1083" spans="3:24" ht="15.6" x14ac:dyDescent="0.3">
      <c r="C1083" s="92" t="s">
        <v>164</v>
      </c>
      <c r="M1083" s="40" t="str">
        <f>IF(DD_ACT_10_Meet1_Curr=1,$D$1206,$D$1207)</f>
        <v>GOZ</v>
      </c>
      <c r="O1083" s="40" t="str">
        <f>IF(DD_ACT_10_Meet1_Curr=1,$D$1206,$D$1207)</f>
        <v>GOZ</v>
      </c>
      <c r="Q1083" s="40" t="str">
        <f>IF(DD_ACT_10_Meet1_Curr=1,$D$1206,$D$1207)</f>
        <v>GOZ</v>
      </c>
      <c r="S1083" s="40" t="str">
        <f>IF(DD_ACT_10_Meet1_Curr=1,$D$1206,$D$1207)</f>
        <v>GOZ</v>
      </c>
    </row>
    <row r="1084" spans="3:24" ht="27.6" x14ac:dyDescent="0.3">
      <c r="D1084" s="90" t="s">
        <v>102</v>
      </c>
      <c r="I1084" s="91" t="s">
        <v>80</v>
      </c>
      <c r="K1084" s="91" t="s">
        <v>432</v>
      </c>
      <c r="M1084" s="42" t="s">
        <v>103</v>
      </c>
      <c r="O1084" s="42" t="s">
        <v>104</v>
      </c>
      <c r="Q1084" s="42" t="s">
        <v>105</v>
      </c>
      <c r="S1084" s="42" t="s">
        <v>106</v>
      </c>
      <c r="U1084" s="350" t="s">
        <v>185</v>
      </c>
      <c r="V1084" s="351"/>
      <c r="W1084" s="351"/>
      <c r="X1084" s="351"/>
    </row>
    <row r="1085" spans="3:24" x14ac:dyDescent="0.3">
      <c r="D1085" s="356" t="s">
        <v>109</v>
      </c>
      <c r="E1085" s="356"/>
      <c r="F1085" s="356"/>
      <c r="G1085" s="356"/>
      <c r="I1085" s="48">
        <v>0</v>
      </c>
      <c r="K1085" s="48">
        <v>0</v>
      </c>
      <c r="M1085" s="40">
        <f t="shared" ref="M1085:M1109" si="64">IFERROR(IF(DD_ACT_10_Meet1_Curr=1,INDEX($M$1249:$M$1283,MATCH(D1085,LU_ACT_10_Allowances,0)),INDEX($Q$1249:$Q$1283,MATCH(D1085,LU_ACT_10_Allowances,0))),0)</f>
        <v>0</v>
      </c>
      <c r="O1085" s="40">
        <f t="shared" ref="O1085:O1109" si="65">IFERROR(IF(DD_ACT_10_Meet1_Curr=1,INDEX($O$1249:$O$1283,MATCH(D1085,LU_ACT_10_Allowances,0)),INDEX($S$1249:$S$1283,MATCH(D1085,LU_ACT_10_Allowances,0))),0)</f>
        <v>0</v>
      </c>
      <c r="Q1085" s="293">
        <f t="shared" ref="Q1085:Q1109" si="66">I1085*K1085*M1085</f>
        <v>0</v>
      </c>
      <c r="S1085" s="293">
        <f t="shared" ref="S1085:S1109" si="67">I1085*K1085*O1085</f>
        <v>0</v>
      </c>
      <c r="U1085" s="356"/>
      <c r="V1085" s="356"/>
      <c r="W1085" s="356"/>
      <c r="X1085" s="356"/>
    </row>
    <row r="1086" spans="3:24" x14ac:dyDescent="0.3">
      <c r="D1086" s="356" t="s">
        <v>110</v>
      </c>
      <c r="E1086" s="356"/>
      <c r="F1086" s="356"/>
      <c r="G1086" s="356"/>
      <c r="I1086" s="48">
        <v>0</v>
      </c>
      <c r="K1086" s="48">
        <v>0</v>
      </c>
      <c r="M1086" s="40">
        <f t="shared" si="64"/>
        <v>0</v>
      </c>
      <c r="O1086" s="40">
        <f t="shared" si="65"/>
        <v>0</v>
      </c>
      <c r="Q1086" s="293">
        <f t="shared" si="66"/>
        <v>0</v>
      </c>
      <c r="S1086" s="293">
        <f t="shared" si="67"/>
        <v>0</v>
      </c>
      <c r="U1086" s="356"/>
      <c r="V1086" s="356"/>
      <c r="W1086" s="356"/>
      <c r="X1086" s="356"/>
    </row>
    <row r="1087" spans="3:24" x14ac:dyDescent="0.3">
      <c r="D1087" s="356" t="s">
        <v>111</v>
      </c>
      <c r="E1087" s="356"/>
      <c r="F1087" s="356"/>
      <c r="G1087" s="356"/>
      <c r="I1087" s="48">
        <v>0</v>
      </c>
      <c r="K1087" s="48">
        <v>0</v>
      </c>
      <c r="M1087" s="40">
        <f t="shared" si="64"/>
        <v>0</v>
      </c>
      <c r="O1087" s="40">
        <f t="shared" si="65"/>
        <v>0</v>
      </c>
      <c r="Q1087" s="293">
        <f t="shared" si="66"/>
        <v>0</v>
      </c>
      <c r="S1087" s="293">
        <f t="shared" si="67"/>
        <v>0</v>
      </c>
      <c r="U1087" s="356"/>
      <c r="V1087" s="356"/>
      <c r="W1087" s="356"/>
      <c r="X1087" s="356"/>
    </row>
    <row r="1088" spans="3:24" x14ac:dyDescent="0.3">
      <c r="D1088" s="356" t="s">
        <v>112</v>
      </c>
      <c r="E1088" s="356"/>
      <c r="F1088" s="356"/>
      <c r="G1088" s="356"/>
      <c r="I1088" s="48">
        <v>0</v>
      </c>
      <c r="K1088" s="48">
        <v>0</v>
      </c>
      <c r="M1088" s="40">
        <f t="shared" si="64"/>
        <v>0</v>
      </c>
      <c r="O1088" s="40">
        <f t="shared" si="65"/>
        <v>0</v>
      </c>
      <c r="Q1088" s="293">
        <f t="shared" si="66"/>
        <v>0</v>
      </c>
      <c r="S1088" s="293">
        <f t="shared" si="67"/>
        <v>0</v>
      </c>
      <c r="U1088" s="356"/>
      <c r="V1088" s="356"/>
      <c r="W1088" s="356"/>
      <c r="X1088" s="356"/>
    </row>
    <row r="1089" spans="4:24" x14ac:dyDescent="0.3">
      <c r="D1089" s="356" t="s">
        <v>113</v>
      </c>
      <c r="E1089" s="356"/>
      <c r="F1089" s="356"/>
      <c r="G1089" s="356"/>
      <c r="I1089" s="48">
        <v>0</v>
      </c>
      <c r="K1089" s="48">
        <v>0</v>
      </c>
      <c r="M1089" s="40">
        <f t="shared" si="64"/>
        <v>0</v>
      </c>
      <c r="O1089" s="40">
        <f t="shared" si="65"/>
        <v>0</v>
      </c>
      <c r="Q1089" s="293">
        <f t="shared" si="66"/>
        <v>0</v>
      </c>
      <c r="S1089" s="293">
        <f t="shared" si="67"/>
        <v>0</v>
      </c>
      <c r="U1089" s="356"/>
      <c r="V1089" s="356"/>
      <c r="W1089" s="356"/>
      <c r="X1089" s="356"/>
    </row>
    <row r="1090" spans="4:24" x14ac:dyDescent="0.3">
      <c r="D1090" s="356" t="s">
        <v>114</v>
      </c>
      <c r="E1090" s="356"/>
      <c r="F1090" s="356"/>
      <c r="G1090" s="356"/>
      <c r="I1090" s="48">
        <v>0</v>
      </c>
      <c r="K1090" s="48">
        <v>0</v>
      </c>
      <c r="M1090" s="40">
        <f t="shared" si="64"/>
        <v>0</v>
      </c>
      <c r="O1090" s="40">
        <f t="shared" si="65"/>
        <v>0</v>
      </c>
      <c r="Q1090" s="293">
        <f t="shared" si="66"/>
        <v>0</v>
      </c>
      <c r="S1090" s="293">
        <f t="shared" si="67"/>
        <v>0</v>
      </c>
      <c r="U1090" s="356"/>
      <c r="V1090" s="356"/>
      <c r="W1090" s="356"/>
      <c r="X1090" s="356"/>
    </row>
    <row r="1091" spans="4:24" x14ac:dyDescent="0.3">
      <c r="D1091" s="356" t="s">
        <v>115</v>
      </c>
      <c r="E1091" s="356"/>
      <c r="F1091" s="356"/>
      <c r="G1091" s="356"/>
      <c r="I1091" s="48">
        <v>0</v>
      </c>
      <c r="K1091" s="48">
        <v>0</v>
      </c>
      <c r="M1091" s="40">
        <f t="shared" si="64"/>
        <v>0</v>
      </c>
      <c r="O1091" s="40">
        <f t="shared" si="65"/>
        <v>0</v>
      </c>
      <c r="Q1091" s="293">
        <f t="shared" si="66"/>
        <v>0</v>
      </c>
      <c r="S1091" s="293">
        <f t="shared" si="67"/>
        <v>0</v>
      </c>
      <c r="U1091" s="356"/>
      <c r="V1091" s="356"/>
      <c r="W1091" s="356"/>
      <c r="X1091" s="356"/>
    </row>
    <row r="1092" spans="4:24" x14ac:dyDescent="0.3">
      <c r="D1092" s="356" t="s">
        <v>116</v>
      </c>
      <c r="E1092" s="356"/>
      <c r="F1092" s="356"/>
      <c r="G1092" s="356"/>
      <c r="I1092" s="48">
        <v>0</v>
      </c>
      <c r="K1092" s="48">
        <v>0</v>
      </c>
      <c r="M1092" s="40">
        <f t="shared" si="64"/>
        <v>0</v>
      </c>
      <c r="O1092" s="40">
        <f t="shared" si="65"/>
        <v>0</v>
      </c>
      <c r="Q1092" s="293">
        <f t="shared" si="66"/>
        <v>0</v>
      </c>
      <c r="S1092" s="293">
        <f t="shared" si="67"/>
        <v>0</v>
      </c>
      <c r="U1092" s="356"/>
      <c r="V1092" s="356"/>
      <c r="W1092" s="356"/>
      <c r="X1092" s="356"/>
    </row>
    <row r="1093" spans="4:24" s="277" customFormat="1" x14ac:dyDescent="0.3">
      <c r="D1093" s="356" t="s">
        <v>838</v>
      </c>
      <c r="E1093" s="356"/>
      <c r="F1093" s="356"/>
      <c r="G1093" s="356"/>
      <c r="I1093" s="48">
        <v>0</v>
      </c>
      <c r="K1093" s="48">
        <v>0</v>
      </c>
      <c r="M1093" s="279">
        <f t="shared" si="64"/>
        <v>0</v>
      </c>
      <c r="O1093" s="279">
        <f t="shared" si="65"/>
        <v>0</v>
      </c>
      <c r="Q1093" s="293">
        <f t="shared" si="66"/>
        <v>0</v>
      </c>
      <c r="S1093" s="293">
        <f t="shared" si="67"/>
        <v>0</v>
      </c>
      <c r="U1093" s="385"/>
      <c r="V1093" s="385"/>
      <c r="W1093" s="385"/>
      <c r="X1093" s="385"/>
    </row>
    <row r="1094" spans="4:24" s="277" customFormat="1" x14ac:dyDescent="0.3">
      <c r="D1094" s="356" t="s">
        <v>839</v>
      </c>
      <c r="E1094" s="356"/>
      <c r="F1094" s="356"/>
      <c r="G1094" s="356"/>
      <c r="I1094" s="48">
        <v>0</v>
      </c>
      <c r="K1094" s="48">
        <v>0</v>
      </c>
      <c r="M1094" s="279">
        <f t="shared" si="64"/>
        <v>0</v>
      </c>
      <c r="O1094" s="279">
        <f t="shared" si="65"/>
        <v>0</v>
      </c>
      <c r="Q1094" s="293">
        <f t="shared" si="66"/>
        <v>0</v>
      </c>
      <c r="S1094" s="293">
        <f t="shared" si="67"/>
        <v>0</v>
      </c>
      <c r="U1094" s="385"/>
      <c r="V1094" s="385"/>
      <c r="W1094" s="385"/>
      <c r="X1094" s="385"/>
    </row>
    <row r="1095" spans="4:24" s="277" customFormat="1" x14ac:dyDescent="0.3">
      <c r="D1095" s="356" t="s">
        <v>840</v>
      </c>
      <c r="E1095" s="356"/>
      <c r="F1095" s="356"/>
      <c r="G1095" s="356"/>
      <c r="I1095" s="48">
        <v>0</v>
      </c>
      <c r="K1095" s="48">
        <v>0</v>
      </c>
      <c r="M1095" s="279">
        <f t="shared" si="64"/>
        <v>0</v>
      </c>
      <c r="O1095" s="279">
        <f t="shared" si="65"/>
        <v>0</v>
      </c>
      <c r="Q1095" s="293">
        <f t="shared" si="66"/>
        <v>0</v>
      </c>
      <c r="S1095" s="293">
        <f t="shared" si="67"/>
        <v>0</v>
      </c>
      <c r="U1095" s="385"/>
      <c r="V1095" s="385"/>
      <c r="W1095" s="385"/>
      <c r="X1095" s="385"/>
    </row>
    <row r="1096" spans="4:24" s="277" customFormat="1" x14ac:dyDescent="0.3">
      <c r="D1096" s="356" t="s">
        <v>841</v>
      </c>
      <c r="E1096" s="356"/>
      <c r="F1096" s="356"/>
      <c r="G1096" s="356"/>
      <c r="I1096" s="48">
        <v>0</v>
      </c>
      <c r="K1096" s="48">
        <v>0</v>
      </c>
      <c r="M1096" s="279">
        <f t="shared" si="64"/>
        <v>0</v>
      </c>
      <c r="O1096" s="279">
        <f t="shared" si="65"/>
        <v>0</v>
      </c>
      <c r="Q1096" s="293">
        <f t="shared" si="66"/>
        <v>0</v>
      </c>
      <c r="S1096" s="293">
        <f t="shared" si="67"/>
        <v>0</v>
      </c>
      <c r="U1096" s="385"/>
      <c r="V1096" s="385"/>
      <c r="W1096" s="385"/>
      <c r="X1096" s="385"/>
    </row>
    <row r="1097" spans="4:24" s="277" customFormat="1" x14ac:dyDescent="0.3">
      <c r="D1097" s="356" t="s">
        <v>842</v>
      </c>
      <c r="E1097" s="356"/>
      <c r="F1097" s="356"/>
      <c r="G1097" s="356"/>
      <c r="I1097" s="48">
        <v>0</v>
      </c>
      <c r="K1097" s="48">
        <v>0</v>
      </c>
      <c r="M1097" s="279">
        <f t="shared" si="64"/>
        <v>0</v>
      </c>
      <c r="O1097" s="279">
        <f t="shared" si="65"/>
        <v>0</v>
      </c>
      <c r="Q1097" s="293">
        <f t="shared" si="66"/>
        <v>0</v>
      </c>
      <c r="S1097" s="293">
        <f t="shared" si="67"/>
        <v>0</v>
      </c>
      <c r="U1097" s="385"/>
      <c r="V1097" s="385"/>
      <c r="W1097" s="385"/>
      <c r="X1097" s="385"/>
    </row>
    <row r="1098" spans="4:24" s="277" customFormat="1" x14ac:dyDescent="0.3">
      <c r="D1098" s="356" t="s">
        <v>843</v>
      </c>
      <c r="E1098" s="356"/>
      <c r="F1098" s="356"/>
      <c r="G1098" s="356"/>
      <c r="I1098" s="48">
        <v>0</v>
      </c>
      <c r="K1098" s="48">
        <v>0</v>
      </c>
      <c r="M1098" s="279">
        <f t="shared" si="64"/>
        <v>0</v>
      </c>
      <c r="O1098" s="279">
        <f t="shared" si="65"/>
        <v>0</v>
      </c>
      <c r="Q1098" s="293">
        <f t="shared" si="66"/>
        <v>0</v>
      </c>
      <c r="S1098" s="293">
        <f t="shared" si="67"/>
        <v>0</v>
      </c>
      <c r="U1098" s="385"/>
      <c r="V1098" s="385"/>
      <c r="W1098" s="385"/>
      <c r="X1098" s="385"/>
    </row>
    <row r="1099" spans="4:24" s="277" customFormat="1" x14ac:dyDescent="0.3">
      <c r="D1099" s="356" t="s">
        <v>844</v>
      </c>
      <c r="E1099" s="356"/>
      <c r="F1099" s="356"/>
      <c r="G1099" s="356"/>
      <c r="I1099" s="48">
        <v>0</v>
      </c>
      <c r="K1099" s="48">
        <v>0</v>
      </c>
      <c r="M1099" s="279">
        <f t="shared" si="64"/>
        <v>0</v>
      </c>
      <c r="O1099" s="279">
        <f t="shared" si="65"/>
        <v>0</v>
      </c>
      <c r="Q1099" s="293">
        <f t="shared" si="66"/>
        <v>0</v>
      </c>
      <c r="S1099" s="293">
        <f t="shared" si="67"/>
        <v>0</v>
      </c>
      <c r="U1099" s="385"/>
      <c r="V1099" s="385"/>
      <c r="W1099" s="385"/>
      <c r="X1099" s="385"/>
    </row>
    <row r="1100" spans="4:24" s="277" customFormat="1" x14ac:dyDescent="0.3">
      <c r="D1100" s="356" t="s">
        <v>845</v>
      </c>
      <c r="E1100" s="356"/>
      <c r="F1100" s="356"/>
      <c r="G1100" s="356"/>
      <c r="I1100" s="48">
        <v>0</v>
      </c>
      <c r="K1100" s="48">
        <v>0</v>
      </c>
      <c r="M1100" s="279">
        <f t="shared" si="64"/>
        <v>0</v>
      </c>
      <c r="O1100" s="279">
        <f t="shared" si="65"/>
        <v>0</v>
      </c>
      <c r="Q1100" s="293">
        <f t="shared" si="66"/>
        <v>0</v>
      </c>
      <c r="S1100" s="293">
        <f t="shared" si="67"/>
        <v>0</v>
      </c>
      <c r="U1100" s="385"/>
      <c r="V1100" s="385"/>
      <c r="W1100" s="385"/>
      <c r="X1100" s="385"/>
    </row>
    <row r="1101" spans="4:24" s="277" customFormat="1" x14ac:dyDescent="0.3">
      <c r="D1101" s="356" t="s">
        <v>850</v>
      </c>
      <c r="E1101" s="356"/>
      <c r="F1101" s="356"/>
      <c r="G1101" s="356"/>
      <c r="I1101" s="48">
        <v>0</v>
      </c>
      <c r="K1101" s="48">
        <v>0</v>
      </c>
      <c r="M1101" s="279">
        <f t="shared" si="64"/>
        <v>0</v>
      </c>
      <c r="O1101" s="279">
        <f t="shared" si="65"/>
        <v>0</v>
      </c>
      <c r="Q1101" s="293">
        <f t="shared" si="66"/>
        <v>0</v>
      </c>
      <c r="S1101" s="293">
        <f t="shared" si="67"/>
        <v>0</v>
      </c>
      <c r="U1101" s="385"/>
      <c r="V1101" s="385"/>
      <c r="W1101" s="385"/>
      <c r="X1101" s="385"/>
    </row>
    <row r="1102" spans="4:24" s="277" customFormat="1" x14ac:dyDescent="0.3">
      <c r="D1102" s="356" t="s">
        <v>851</v>
      </c>
      <c r="E1102" s="356"/>
      <c r="F1102" s="356"/>
      <c r="G1102" s="356"/>
      <c r="I1102" s="48">
        <v>0</v>
      </c>
      <c r="K1102" s="48">
        <v>0</v>
      </c>
      <c r="M1102" s="279">
        <f t="shared" si="64"/>
        <v>0</v>
      </c>
      <c r="O1102" s="279">
        <f t="shared" si="65"/>
        <v>0</v>
      </c>
      <c r="Q1102" s="293">
        <f t="shared" si="66"/>
        <v>0</v>
      </c>
      <c r="S1102" s="293">
        <f t="shared" si="67"/>
        <v>0</v>
      </c>
      <c r="U1102" s="385"/>
      <c r="V1102" s="385"/>
      <c r="W1102" s="385"/>
      <c r="X1102" s="385"/>
    </row>
    <row r="1103" spans="4:24" s="277" customFormat="1" x14ac:dyDescent="0.3">
      <c r="D1103" s="356" t="s">
        <v>852</v>
      </c>
      <c r="E1103" s="356"/>
      <c r="F1103" s="356"/>
      <c r="G1103" s="356"/>
      <c r="I1103" s="48">
        <v>0</v>
      </c>
      <c r="K1103" s="48">
        <v>0</v>
      </c>
      <c r="M1103" s="279">
        <f t="shared" si="64"/>
        <v>0</v>
      </c>
      <c r="O1103" s="279">
        <f t="shared" si="65"/>
        <v>0</v>
      </c>
      <c r="Q1103" s="293">
        <f t="shared" si="66"/>
        <v>0</v>
      </c>
      <c r="S1103" s="293">
        <f t="shared" si="67"/>
        <v>0</v>
      </c>
      <c r="U1103" s="385"/>
      <c r="V1103" s="385"/>
      <c r="W1103" s="385"/>
      <c r="X1103" s="385"/>
    </row>
    <row r="1104" spans="4:24" s="277" customFormat="1" x14ac:dyDescent="0.3">
      <c r="D1104" s="356" t="s">
        <v>853</v>
      </c>
      <c r="E1104" s="356"/>
      <c r="F1104" s="356"/>
      <c r="G1104" s="356"/>
      <c r="I1104" s="48">
        <v>0</v>
      </c>
      <c r="K1104" s="48">
        <v>0</v>
      </c>
      <c r="M1104" s="279">
        <f t="shared" si="64"/>
        <v>0</v>
      </c>
      <c r="O1104" s="279">
        <f t="shared" si="65"/>
        <v>0</v>
      </c>
      <c r="Q1104" s="293">
        <f t="shared" si="66"/>
        <v>0</v>
      </c>
      <c r="S1104" s="293">
        <f t="shared" si="67"/>
        <v>0</v>
      </c>
      <c r="U1104" s="385"/>
      <c r="V1104" s="385"/>
      <c r="W1104" s="385"/>
      <c r="X1104" s="385"/>
    </row>
    <row r="1105" spans="3:24" s="277" customFormat="1" x14ac:dyDescent="0.3">
      <c r="D1105" s="356" t="s">
        <v>972</v>
      </c>
      <c r="E1105" s="356"/>
      <c r="F1105" s="356"/>
      <c r="G1105" s="356"/>
      <c r="I1105" s="48">
        <v>0</v>
      </c>
      <c r="K1105" s="48">
        <v>0</v>
      </c>
      <c r="M1105" s="279">
        <f t="shared" si="64"/>
        <v>0</v>
      </c>
      <c r="O1105" s="279">
        <f t="shared" si="65"/>
        <v>0</v>
      </c>
      <c r="Q1105" s="293">
        <f t="shared" si="66"/>
        <v>0</v>
      </c>
      <c r="S1105" s="293">
        <f t="shared" si="67"/>
        <v>0</v>
      </c>
      <c r="U1105" s="385"/>
      <c r="V1105" s="385"/>
      <c r="W1105" s="385"/>
      <c r="X1105" s="385"/>
    </row>
    <row r="1106" spans="3:24" s="277" customFormat="1" x14ac:dyDescent="0.3">
      <c r="D1106" s="356" t="s">
        <v>977</v>
      </c>
      <c r="E1106" s="356"/>
      <c r="F1106" s="356"/>
      <c r="G1106" s="356"/>
      <c r="I1106" s="48">
        <v>0</v>
      </c>
      <c r="K1106" s="48">
        <v>0</v>
      </c>
      <c r="M1106" s="279">
        <f t="shared" si="64"/>
        <v>0</v>
      </c>
      <c r="O1106" s="279">
        <f t="shared" si="65"/>
        <v>0</v>
      </c>
      <c r="Q1106" s="293">
        <f t="shared" si="66"/>
        <v>0</v>
      </c>
      <c r="S1106" s="293">
        <f t="shared" si="67"/>
        <v>0</v>
      </c>
      <c r="U1106" s="385"/>
      <c r="V1106" s="385"/>
      <c r="W1106" s="385"/>
      <c r="X1106" s="385"/>
    </row>
    <row r="1107" spans="3:24" s="277" customFormat="1" x14ac:dyDescent="0.3">
      <c r="D1107" s="356" t="s">
        <v>978</v>
      </c>
      <c r="E1107" s="356"/>
      <c r="F1107" s="356"/>
      <c r="G1107" s="356"/>
      <c r="I1107" s="48">
        <v>0</v>
      </c>
      <c r="K1107" s="48">
        <v>0</v>
      </c>
      <c r="M1107" s="279">
        <f t="shared" si="64"/>
        <v>0</v>
      </c>
      <c r="O1107" s="279">
        <f t="shared" si="65"/>
        <v>0</v>
      </c>
      <c r="Q1107" s="293">
        <f t="shared" si="66"/>
        <v>0</v>
      </c>
      <c r="S1107" s="293">
        <f t="shared" si="67"/>
        <v>0</v>
      </c>
      <c r="U1107" s="385"/>
      <c r="V1107" s="385"/>
      <c r="W1107" s="385"/>
      <c r="X1107" s="385"/>
    </row>
    <row r="1108" spans="3:24" s="277" customFormat="1" x14ac:dyDescent="0.3">
      <c r="D1108" s="356" t="s">
        <v>979</v>
      </c>
      <c r="E1108" s="356"/>
      <c r="F1108" s="356"/>
      <c r="G1108" s="356"/>
      <c r="I1108" s="48">
        <v>0</v>
      </c>
      <c r="K1108" s="48">
        <v>0</v>
      </c>
      <c r="M1108" s="279">
        <f t="shared" si="64"/>
        <v>0</v>
      </c>
      <c r="O1108" s="279">
        <f t="shared" si="65"/>
        <v>0</v>
      </c>
      <c r="Q1108" s="293">
        <f t="shared" si="66"/>
        <v>0</v>
      </c>
      <c r="S1108" s="293">
        <f t="shared" si="67"/>
        <v>0</v>
      </c>
      <c r="U1108" s="385"/>
      <c r="V1108" s="385"/>
      <c r="W1108" s="385"/>
      <c r="X1108" s="385"/>
    </row>
    <row r="1109" spans="3:24" s="277" customFormat="1" x14ac:dyDescent="0.3">
      <c r="D1109" s="356" t="s">
        <v>980</v>
      </c>
      <c r="E1109" s="356"/>
      <c r="F1109" s="356"/>
      <c r="G1109" s="356"/>
      <c r="I1109" s="48">
        <v>0</v>
      </c>
      <c r="K1109" s="48">
        <v>0</v>
      </c>
      <c r="M1109" s="279">
        <f t="shared" si="64"/>
        <v>0</v>
      </c>
      <c r="O1109" s="279">
        <f t="shared" si="65"/>
        <v>0</v>
      </c>
      <c r="Q1109" s="293">
        <f t="shared" si="66"/>
        <v>0</v>
      </c>
      <c r="S1109" s="293">
        <f t="shared" si="67"/>
        <v>0</v>
      </c>
      <c r="U1109" s="385"/>
      <c r="V1109" s="385"/>
      <c r="W1109" s="385"/>
      <c r="X1109" s="385"/>
    </row>
    <row r="1110" spans="3:24" ht="14.4" x14ac:dyDescent="0.3">
      <c r="D1110" s="420" t="s">
        <v>82</v>
      </c>
      <c r="E1110" s="421"/>
      <c r="F1110" s="421"/>
      <c r="G1110" s="421"/>
      <c r="I1110" s="43"/>
      <c r="K1110" s="43"/>
      <c r="M1110" s="43"/>
      <c r="O1110" s="43"/>
      <c r="Q1110" s="294">
        <f>SUM(Q1085:Q1109)</f>
        <v>0</v>
      </c>
      <c r="S1110" s="294">
        <f>SUM(S1085:S1109)</f>
        <v>0</v>
      </c>
    </row>
    <row r="1114" spans="3:24" ht="15.6" x14ac:dyDescent="0.3">
      <c r="C1114" s="92" t="s">
        <v>84</v>
      </c>
      <c r="M1114" s="40" t="str">
        <f>IF(DD_ACT_10_Meet1_Curr=1,$D$1206,$D$1207)</f>
        <v>GOZ</v>
      </c>
      <c r="O1114" s="40" t="str">
        <f>IF(DD_ACT_10_Meet1_Curr=1,$D$1206,$D$1207)</f>
        <v>GOZ</v>
      </c>
      <c r="Q1114" s="40" t="str">
        <f>IF(DD_ACT_10_Meet1_Curr=1,$D$1206,$D$1207)</f>
        <v>GOZ</v>
      </c>
      <c r="S1114" s="40" t="str">
        <f>IF(DD_ACT_10_Meet1_Curr=1,$D$1206,$D$1207)</f>
        <v>GOZ</v>
      </c>
    </row>
    <row r="1115" spans="3:24" ht="27.6" x14ac:dyDescent="0.3">
      <c r="D1115" s="90" t="s">
        <v>102</v>
      </c>
      <c r="I1115" s="91" t="s">
        <v>87</v>
      </c>
      <c r="K1115" s="91" t="s">
        <v>432</v>
      </c>
      <c r="M1115" s="42" t="s">
        <v>107</v>
      </c>
      <c r="O1115" s="42" t="s">
        <v>108</v>
      </c>
      <c r="Q1115" s="42" t="s">
        <v>105</v>
      </c>
      <c r="S1115" s="42" t="s">
        <v>106</v>
      </c>
      <c r="U1115" s="350" t="s">
        <v>185</v>
      </c>
      <c r="V1115" s="351"/>
      <c r="W1115" s="351"/>
      <c r="X1115" s="351"/>
    </row>
    <row r="1116" spans="3:24" x14ac:dyDescent="0.3">
      <c r="D1116" s="356" t="s">
        <v>892</v>
      </c>
      <c r="E1116" s="356"/>
      <c r="F1116" s="356"/>
      <c r="G1116" s="356"/>
      <c r="I1116" s="48">
        <v>0</v>
      </c>
      <c r="K1116" s="48">
        <v>0</v>
      </c>
      <c r="M1116" s="40">
        <f t="shared" ref="M1116:M1140" si="68">IFERROR(IF(DD_ACT_10_Meet1_Curr=1,INDEX($M$1287:$M$1321,MATCH(D1116,LU_ACT_10_Supplies,0)),INDEX($Q$1287:$Q$1321,MATCH(D1116,LU_ACT_10_Supplies,0))),0)</f>
        <v>0</v>
      </c>
      <c r="O1116" s="40">
        <f t="shared" ref="O1116:O1140" si="69">IFERROR(IF(DD_ACT_10_Meet1_Curr=1,INDEX($O$1287:$O$1321,MATCH(D1116,LU_ACT_10_Supplies,0)),INDEX($S$1287:$S$1321,MATCH(D1116,LU_ACT_10_Supplies,0))),0)</f>
        <v>0</v>
      </c>
      <c r="Q1116" s="295">
        <f t="shared" ref="Q1116:Q1140" si="70">I1116*K1116*M1116</f>
        <v>0</v>
      </c>
      <c r="S1116" s="293">
        <f t="shared" ref="S1116:S1140" si="71">I1116*K1116*O1116</f>
        <v>0</v>
      </c>
      <c r="U1116" s="356"/>
      <c r="V1116" s="356"/>
      <c r="W1116" s="356"/>
      <c r="X1116" s="356"/>
    </row>
    <row r="1117" spans="3:24" x14ac:dyDescent="0.3">
      <c r="D1117" s="356" t="s">
        <v>893</v>
      </c>
      <c r="E1117" s="356"/>
      <c r="F1117" s="356"/>
      <c r="G1117" s="356"/>
      <c r="I1117" s="48">
        <v>0</v>
      </c>
      <c r="K1117" s="48">
        <v>0</v>
      </c>
      <c r="M1117" s="40">
        <f t="shared" si="68"/>
        <v>0</v>
      </c>
      <c r="O1117" s="40">
        <f t="shared" si="69"/>
        <v>0</v>
      </c>
      <c r="Q1117" s="295">
        <f t="shared" si="70"/>
        <v>0</v>
      </c>
      <c r="S1117" s="293">
        <f t="shared" si="71"/>
        <v>0</v>
      </c>
      <c r="U1117" s="356"/>
      <c r="V1117" s="356"/>
      <c r="W1117" s="356"/>
      <c r="X1117" s="356"/>
    </row>
    <row r="1118" spans="3:24" s="277" customFormat="1" x14ac:dyDescent="0.3">
      <c r="D1118" s="356" t="s">
        <v>854</v>
      </c>
      <c r="E1118" s="356"/>
      <c r="F1118" s="356"/>
      <c r="G1118" s="356"/>
      <c r="I1118" s="48">
        <v>0</v>
      </c>
      <c r="K1118" s="48">
        <v>0</v>
      </c>
      <c r="M1118" s="279">
        <f t="shared" si="68"/>
        <v>0</v>
      </c>
      <c r="O1118" s="279">
        <f t="shared" si="69"/>
        <v>0</v>
      </c>
      <c r="Q1118" s="295">
        <f t="shared" si="70"/>
        <v>0</v>
      </c>
      <c r="S1118" s="293">
        <f t="shared" si="71"/>
        <v>0</v>
      </c>
      <c r="U1118" s="385"/>
      <c r="V1118" s="385"/>
      <c r="W1118" s="385"/>
      <c r="X1118" s="385"/>
    </row>
    <row r="1119" spans="3:24" s="277" customFormat="1" x14ac:dyDescent="0.3">
      <c r="D1119" s="356" t="s">
        <v>855</v>
      </c>
      <c r="E1119" s="356"/>
      <c r="F1119" s="356"/>
      <c r="G1119" s="356"/>
      <c r="I1119" s="48">
        <v>0</v>
      </c>
      <c r="K1119" s="48">
        <v>0</v>
      </c>
      <c r="M1119" s="279">
        <f t="shared" si="68"/>
        <v>0</v>
      </c>
      <c r="O1119" s="279">
        <f t="shared" si="69"/>
        <v>0</v>
      </c>
      <c r="Q1119" s="295">
        <f t="shared" si="70"/>
        <v>0</v>
      </c>
      <c r="S1119" s="293">
        <f t="shared" si="71"/>
        <v>0</v>
      </c>
      <c r="U1119" s="385"/>
      <c r="V1119" s="385"/>
      <c r="W1119" s="385"/>
      <c r="X1119" s="385"/>
    </row>
    <row r="1120" spans="3:24" s="277" customFormat="1" x14ac:dyDescent="0.3">
      <c r="D1120" s="356" t="s">
        <v>856</v>
      </c>
      <c r="E1120" s="356"/>
      <c r="F1120" s="356"/>
      <c r="G1120" s="356"/>
      <c r="I1120" s="48">
        <v>0</v>
      </c>
      <c r="K1120" s="48">
        <v>0</v>
      </c>
      <c r="M1120" s="279">
        <f t="shared" si="68"/>
        <v>0</v>
      </c>
      <c r="O1120" s="279">
        <f t="shared" si="69"/>
        <v>0</v>
      </c>
      <c r="Q1120" s="295">
        <f t="shared" si="70"/>
        <v>0</v>
      </c>
      <c r="S1120" s="293">
        <f t="shared" si="71"/>
        <v>0</v>
      </c>
      <c r="U1120" s="385"/>
      <c r="V1120" s="385"/>
      <c r="W1120" s="385"/>
      <c r="X1120" s="385"/>
    </row>
    <row r="1121" spans="4:24" s="277" customFormat="1" x14ac:dyDescent="0.3">
      <c r="D1121" s="356" t="s">
        <v>857</v>
      </c>
      <c r="E1121" s="356"/>
      <c r="F1121" s="356"/>
      <c r="G1121" s="356"/>
      <c r="I1121" s="48">
        <v>0</v>
      </c>
      <c r="K1121" s="48">
        <v>0</v>
      </c>
      <c r="M1121" s="279">
        <f t="shared" si="68"/>
        <v>0</v>
      </c>
      <c r="O1121" s="279">
        <f t="shared" si="69"/>
        <v>0</v>
      </c>
      <c r="Q1121" s="295">
        <f t="shared" si="70"/>
        <v>0</v>
      </c>
      <c r="S1121" s="293">
        <f t="shared" si="71"/>
        <v>0</v>
      </c>
      <c r="U1121" s="385"/>
      <c r="V1121" s="385"/>
      <c r="W1121" s="385"/>
      <c r="X1121" s="385"/>
    </row>
    <row r="1122" spans="4:24" s="277" customFormat="1" x14ac:dyDescent="0.3">
      <c r="D1122" s="356" t="s">
        <v>858</v>
      </c>
      <c r="E1122" s="356"/>
      <c r="F1122" s="356"/>
      <c r="G1122" s="356"/>
      <c r="I1122" s="48">
        <v>0</v>
      </c>
      <c r="K1122" s="48">
        <v>0</v>
      </c>
      <c r="M1122" s="279">
        <f t="shared" si="68"/>
        <v>0</v>
      </c>
      <c r="O1122" s="279">
        <f t="shared" si="69"/>
        <v>0</v>
      </c>
      <c r="Q1122" s="295">
        <f t="shared" si="70"/>
        <v>0</v>
      </c>
      <c r="S1122" s="293">
        <f t="shared" si="71"/>
        <v>0</v>
      </c>
      <c r="U1122" s="385"/>
      <c r="V1122" s="385"/>
      <c r="W1122" s="385"/>
      <c r="X1122" s="385"/>
    </row>
    <row r="1123" spans="4:24" s="277" customFormat="1" x14ac:dyDescent="0.3">
      <c r="D1123" s="356" t="s">
        <v>859</v>
      </c>
      <c r="E1123" s="356"/>
      <c r="F1123" s="356"/>
      <c r="G1123" s="356"/>
      <c r="I1123" s="48">
        <v>0</v>
      </c>
      <c r="K1123" s="48">
        <v>0</v>
      </c>
      <c r="M1123" s="279">
        <f t="shared" si="68"/>
        <v>0</v>
      </c>
      <c r="O1123" s="279">
        <f t="shared" si="69"/>
        <v>0</v>
      </c>
      <c r="Q1123" s="295">
        <f t="shared" si="70"/>
        <v>0</v>
      </c>
      <c r="S1123" s="293">
        <f t="shared" si="71"/>
        <v>0</v>
      </c>
      <c r="U1123" s="385"/>
      <c r="V1123" s="385"/>
      <c r="W1123" s="385"/>
      <c r="X1123" s="385"/>
    </row>
    <row r="1124" spans="4:24" s="277" customFormat="1" x14ac:dyDescent="0.3">
      <c r="D1124" s="356" t="s">
        <v>860</v>
      </c>
      <c r="E1124" s="356"/>
      <c r="F1124" s="356"/>
      <c r="G1124" s="356"/>
      <c r="I1124" s="48">
        <v>0</v>
      </c>
      <c r="K1124" s="48">
        <v>0</v>
      </c>
      <c r="M1124" s="279">
        <f t="shared" si="68"/>
        <v>0</v>
      </c>
      <c r="O1124" s="279">
        <f t="shared" si="69"/>
        <v>0</v>
      </c>
      <c r="Q1124" s="295">
        <f t="shared" si="70"/>
        <v>0</v>
      </c>
      <c r="S1124" s="293">
        <f t="shared" si="71"/>
        <v>0</v>
      </c>
      <c r="U1124" s="385"/>
      <c r="V1124" s="385"/>
      <c r="W1124" s="385"/>
      <c r="X1124" s="385"/>
    </row>
    <row r="1125" spans="4:24" s="277" customFormat="1" x14ac:dyDescent="0.3">
      <c r="D1125" s="356" t="s">
        <v>861</v>
      </c>
      <c r="E1125" s="356"/>
      <c r="F1125" s="356"/>
      <c r="G1125" s="356"/>
      <c r="I1125" s="48">
        <v>0</v>
      </c>
      <c r="K1125" s="48">
        <v>0</v>
      </c>
      <c r="M1125" s="279">
        <f t="shared" si="68"/>
        <v>0</v>
      </c>
      <c r="O1125" s="279">
        <f t="shared" si="69"/>
        <v>0</v>
      </c>
      <c r="Q1125" s="295">
        <f t="shared" si="70"/>
        <v>0</v>
      </c>
      <c r="S1125" s="293">
        <f t="shared" si="71"/>
        <v>0</v>
      </c>
      <c r="U1125" s="385"/>
      <c r="V1125" s="385"/>
      <c r="W1125" s="385"/>
      <c r="X1125" s="385"/>
    </row>
    <row r="1126" spans="4:24" s="277" customFormat="1" x14ac:dyDescent="0.3">
      <c r="D1126" s="356" t="s">
        <v>862</v>
      </c>
      <c r="E1126" s="356"/>
      <c r="F1126" s="356"/>
      <c r="G1126" s="356"/>
      <c r="I1126" s="48">
        <v>0</v>
      </c>
      <c r="K1126" s="48">
        <v>0</v>
      </c>
      <c r="M1126" s="279">
        <f t="shared" si="68"/>
        <v>0</v>
      </c>
      <c r="O1126" s="279">
        <f t="shared" si="69"/>
        <v>0</v>
      </c>
      <c r="Q1126" s="295">
        <f t="shared" si="70"/>
        <v>0</v>
      </c>
      <c r="S1126" s="293">
        <f t="shared" si="71"/>
        <v>0</v>
      </c>
      <c r="U1126" s="385"/>
      <c r="V1126" s="385"/>
      <c r="W1126" s="385"/>
      <c r="X1126" s="385"/>
    </row>
    <row r="1127" spans="4:24" s="277" customFormat="1" x14ac:dyDescent="0.3">
      <c r="D1127" s="356" t="s">
        <v>863</v>
      </c>
      <c r="E1127" s="356"/>
      <c r="F1127" s="356"/>
      <c r="G1127" s="356"/>
      <c r="I1127" s="48">
        <v>0</v>
      </c>
      <c r="K1127" s="48">
        <v>0</v>
      </c>
      <c r="M1127" s="279">
        <f t="shared" si="68"/>
        <v>0</v>
      </c>
      <c r="O1127" s="279">
        <f t="shared" si="69"/>
        <v>0</v>
      </c>
      <c r="Q1127" s="295">
        <f t="shared" si="70"/>
        <v>0</v>
      </c>
      <c r="S1127" s="293">
        <f t="shared" si="71"/>
        <v>0</v>
      </c>
      <c r="U1127" s="385"/>
      <c r="V1127" s="385"/>
      <c r="W1127" s="385"/>
      <c r="X1127" s="385"/>
    </row>
    <row r="1128" spans="4:24" s="277" customFormat="1" x14ac:dyDescent="0.3">
      <c r="D1128" s="356" t="s">
        <v>864</v>
      </c>
      <c r="E1128" s="356"/>
      <c r="F1128" s="356"/>
      <c r="G1128" s="356"/>
      <c r="I1128" s="48">
        <v>0</v>
      </c>
      <c r="K1128" s="48">
        <v>0</v>
      </c>
      <c r="M1128" s="279">
        <f t="shared" si="68"/>
        <v>0</v>
      </c>
      <c r="O1128" s="279">
        <f t="shared" si="69"/>
        <v>0</v>
      </c>
      <c r="Q1128" s="295">
        <f t="shared" si="70"/>
        <v>0</v>
      </c>
      <c r="S1128" s="293">
        <f t="shared" si="71"/>
        <v>0</v>
      </c>
      <c r="U1128" s="385"/>
      <c r="V1128" s="385"/>
      <c r="W1128" s="385"/>
      <c r="X1128" s="385"/>
    </row>
    <row r="1129" spans="4:24" s="277" customFormat="1" x14ac:dyDescent="0.3">
      <c r="D1129" s="356" t="s">
        <v>865</v>
      </c>
      <c r="E1129" s="356"/>
      <c r="F1129" s="356"/>
      <c r="G1129" s="356"/>
      <c r="I1129" s="48">
        <v>0</v>
      </c>
      <c r="K1129" s="48">
        <v>0</v>
      </c>
      <c r="M1129" s="279">
        <f t="shared" si="68"/>
        <v>0</v>
      </c>
      <c r="O1129" s="279">
        <f t="shared" si="69"/>
        <v>0</v>
      </c>
      <c r="Q1129" s="295">
        <f t="shared" si="70"/>
        <v>0</v>
      </c>
      <c r="S1129" s="293">
        <f t="shared" si="71"/>
        <v>0</v>
      </c>
      <c r="U1129" s="385"/>
      <c r="V1129" s="385"/>
      <c r="W1129" s="385"/>
      <c r="X1129" s="385"/>
    </row>
    <row r="1130" spans="4:24" s="277" customFormat="1" x14ac:dyDescent="0.3">
      <c r="D1130" s="356" t="s">
        <v>866</v>
      </c>
      <c r="E1130" s="356"/>
      <c r="F1130" s="356"/>
      <c r="G1130" s="356"/>
      <c r="I1130" s="48">
        <v>0</v>
      </c>
      <c r="K1130" s="48">
        <v>0</v>
      </c>
      <c r="M1130" s="279">
        <f t="shared" si="68"/>
        <v>0</v>
      </c>
      <c r="O1130" s="279">
        <f t="shared" si="69"/>
        <v>0</v>
      </c>
      <c r="Q1130" s="295">
        <f t="shared" si="70"/>
        <v>0</v>
      </c>
      <c r="S1130" s="293">
        <f t="shared" si="71"/>
        <v>0</v>
      </c>
      <c r="U1130" s="385"/>
      <c r="V1130" s="385"/>
      <c r="W1130" s="385"/>
      <c r="X1130" s="385"/>
    </row>
    <row r="1131" spans="4:24" s="277" customFormat="1" x14ac:dyDescent="0.3">
      <c r="D1131" s="356" t="s">
        <v>867</v>
      </c>
      <c r="E1131" s="356"/>
      <c r="F1131" s="356"/>
      <c r="G1131" s="356"/>
      <c r="I1131" s="48">
        <v>0</v>
      </c>
      <c r="K1131" s="48">
        <v>0</v>
      </c>
      <c r="M1131" s="279">
        <f t="shared" si="68"/>
        <v>0</v>
      </c>
      <c r="O1131" s="279">
        <f t="shared" si="69"/>
        <v>0</v>
      </c>
      <c r="Q1131" s="295">
        <f t="shared" si="70"/>
        <v>0</v>
      </c>
      <c r="S1131" s="293">
        <f t="shared" si="71"/>
        <v>0</v>
      </c>
      <c r="U1131" s="385"/>
      <c r="V1131" s="385"/>
      <c r="W1131" s="385"/>
      <c r="X1131" s="385"/>
    </row>
    <row r="1132" spans="4:24" s="277" customFormat="1" x14ac:dyDescent="0.3">
      <c r="D1132" s="356" t="s">
        <v>868</v>
      </c>
      <c r="E1132" s="356"/>
      <c r="F1132" s="356"/>
      <c r="G1132" s="356"/>
      <c r="I1132" s="48">
        <v>0</v>
      </c>
      <c r="K1132" s="48">
        <v>0</v>
      </c>
      <c r="M1132" s="279">
        <f t="shared" si="68"/>
        <v>0</v>
      </c>
      <c r="O1132" s="279">
        <f t="shared" si="69"/>
        <v>0</v>
      </c>
      <c r="Q1132" s="295">
        <f t="shared" si="70"/>
        <v>0</v>
      </c>
      <c r="S1132" s="293">
        <f t="shared" si="71"/>
        <v>0</v>
      </c>
      <c r="U1132" s="385"/>
      <c r="V1132" s="385"/>
      <c r="W1132" s="385"/>
      <c r="X1132" s="385"/>
    </row>
    <row r="1133" spans="4:24" s="277" customFormat="1" x14ac:dyDescent="0.3">
      <c r="D1133" s="356" t="s">
        <v>869</v>
      </c>
      <c r="E1133" s="356"/>
      <c r="F1133" s="356"/>
      <c r="G1133" s="356"/>
      <c r="I1133" s="48">
        <v>0</v>
      </c>
      <c r="K1133" s="48">
        <v>0</v>
      </c>
      <c r="M1133" s="279">
        <f t="shared" si="68"/>
        <v>0</v>
      </c>
      <c r="O1133" s="279">
        <f t="shared" si="69"/>
        <v>0</v>
      </c>
      <c r="Q1133" s="295">
        <f t="shared" si="70"/>
        <v>0</v>
      </c>
      <c r="S1133" s="293">
        <f t="shared" si="71"/>
        <v>0</v>
      </c>
      <c r="U1133" s="385"/>
      <c r="V1133" s="385"/>
      <c r="W1133" s="385"/>
      <c r="X1133" s="385"/>
    </row>
    <row r="1134" spans="4:24" s="277" customFormat="1" x14ac:dyDescent="0.3">
      <c r="D1134" s="356" t="s">
        <v>870</v>
      </c>
      <c r="E1134" s="356"/>
      <c r="F1134" s="356"/>
      <c r="G1134" s="356"/>
      <c r="I1134" s="48">
        <v>0</v>
      </c>
      <c r="K1134" s="48">
        <v>0</v>
      </c>
      <c r="M1134" s="279">
        <f t="shared" si="68"/>
        <v>0</v>
      </c>
      <c r="O1134" s="279">
        <f t="shared" si="69"/>
        <v>0</v>
      </c>
      <c r="Q1134" s="295">
        <f t="shared" si="70"/>
        <v>0</v>
      </c>
      <c r="S1134" s="293">
        <f t="shared" si="71"/>
        <v>0</v>
      </c>
      <c r="U1134" s="385"/>
      <c r="V1134" s="385"/>
      <c r="W1134" s="385"/>
      <c r="X1134" s="385"/>
    </row>
    <row r="1135" spans="4:24" s="277" customFormat="1" x14ac:dyDescent="0.3">
      <c r="D1135" s="356" t="s">
        <v>871</v>
      </c>
      <c r="E1135" s="356"/>
      <c r="F1135" s="356"/>
      <c r="G1135" s="356"/>
      <c r="I1135" s="48">
        <v>0</v>
      </c>
      <c r="K1135" s="48">
        <v>0</v>
      </c>
      <c r="M1135" s="279">
        <f t="shared" si="68"/>
        <v>0</v>
      </c>
      <c r="O1135" s="279">
        <f t="shared" si="69"/>
        <v>0</v>
      </c>
      <c r="Q1135" s="295">
        <f t="shared" si="70"/>
        <v>0</v>
      </c>
      <c r="S1135" s="293">
        <f t="shared" si="71"/>
        <v>0</v>
      </c>
      <c r="U1135" s="385"/>
      <c r="V1135" s="385"/>
      <c r="W1135" s="385"/>
      <c r="X1135" s="385"/>
    </row>
    <row r="1136" spans="4:24" s="277" customFormat="1" x14ac:dyDescent="0.3">
      <c r="D1136" s="356" t="s">
        <v>981</v>
      </c>
      <c r="E1136" s="356"/>
      <c r="F1136" s="356"/>
      <c r="G1136" s="356"/>
      <c r="I1136" s="48">
        <v>0</v>
      </c>
      <c r="K1136" s="48">
        <v>0</v>
      </c>
      <c r="M1136" s="279">
        <f t="shared" si="68"/>
        <v>0</v>
      </c>
      <c r="O1136" s="279">
        <f t="shared" si="69"/>
        <v>0</v>
      </c>
      <c r="Q1136" s="295">
        <f t="shared" si="70"/>
        <v>0</v>
      </c>
      <c r="S1136" s="293">
        <f t="shared" si="71"/>
        <v>0</v>
      </c>
      <c r="U1136" s="385"/>
      <c r="V1136" s="385"/>
      <c r="W1136" s="385"/>
      <c r="X1136" s="385"/>
    </row>
    <row r="1137" spans="3:24" s="277" customFormat="1" x14ac:dyDescent="0.3">
      <c r="D1137" s="356" t="s">
        <v>982</v>
      </c>
      <c r="E1137" s="356"/>
      <c r="F1137" s="356"/>
      <c r="G1137" s="356"/>
      <c r="I1137" s="48">
        <v>0</v>
      </c>
      <c r="K1137" s="48">
        <v>0</v>
      </c>
      <c r="M1137" s="279">
        <f t="shared" si="68"/>
        <v>0</v>
      </c>
      <c r="O1137" s="279">
        <f t="shared" si="69"/>
        <v>0</v>
      </c>
      <c r="Q1137" s="295">
        <f t="shared" si="70"/>
        <v>0</v>
      </c>
      <c r="S1137" s="293">
        <f t="shared" si="71"/>
        <v>0</v>
      </c>
      <c r="U1137" s="385"/>
      <c r="V1137" s="385"/>
      <c r="W1137" s="385"/>
      <c r="X1137" s="385"/>
    </row>
    <row r="1138" spans="3:24" s="277" customFormat="1" x14ac:dyDescent="0.3">
      <c r="D1138" s="356" t="s">
        <v>983</v>
      </c>
      <c r="E1138" s="356"/>
      <c r="F1138" s="356"/>
      <c r="G1138" s="356"/>
      <c r="I1138" s="48">
        <v>0</v>
      </c>
      <c r="K1138" s="48">
        <v>0</v>
      </c>
      <c r="M1138" s="279">
        <f t="shared" si="68"/>
        <v>0</v>
      </c>
      <c r="O1138" s="279">
        <f t="shared" si="69"/>
        <v>0</v>
      </c>
      <c r="Q1138" s="295">
        <f t="shared" si="70"/>
        <v>0</v>
      </c>
      <c r="S1138" s="293">
        <f t="shared" si="71"/>
        <v>0</v>
      </c>
      <c r="U1138" s="385"/>
      <c r="V1138" s="385"/>
      <c r="W1138" s="385"/>
      <c r="X1138" s="385"/>
    </row>
    <row r="1139" spans="3:24" s="277" customFormat="1" x14ac:dyDescent="0.3">
      <c r="D1139" s="356" t="s">
        <v>984</v>
      </c>
      <c r="E1139" s="356"/>
      <c r="F1139" s="356"/>
      <c r="G1139" s="356"/>
      <c r="I1139" s="48">
        <v>0</v>
      </c>
      <c r="K1139" s="48">
        <v>0</v>
      </c>
      <c r="M1139" s="279">
        <f t="shared" si="68"/>
        <v>0</v>
      </c>
      <c r="O1139" s="279">
        <f t="shared" si="69"/>
        <v>0</v>
      </c>
      <c r="Q1139" s="295">
        <f t="shared" si="70"/>
        <v>0</v>
      </c>
      <c r="S1139" s="293">
        <f t="shared" si="71"/>
        <v>0</v>
      </c>
      <c r="U1139" s="385"/>
      <c r="V1139" s="385"/>
      <c r="W1139" s="385"/>
      <c r="X1139" s="385"/>
    </row>
    <row r="1140" spans="3:24" s="277" customFormat="1" x14ac:dyDescent="0.3">
      <c r="D1140" s="356" t="s">
        <v>985</v>
      </c>
      <c r="E1140" s="356"/>
      <c r="F1140" s="356"/>
      <c r="G1140" s="356"/>
      <c r="I1140" s="48">
        <v>0</v>
      </c>
      <c r="K1140" s="48">
        <v>0</v>
      </c>
      <c r="M1140" s="279">
        <f t="shared" si="68"/>
        <v>0</v>
      </c>
      <c r="O1140" s="279">
        <f t="shared" si="69"/>
        <v>0</v>
      </c>
      <c r="Q1140" s="295">
        <f t="shared" si="70"/>
        <v>0</v>
      </c>
      <c r="S1140" s="293">
        <f t="shared" si="71"/>
        <v>0</v>
      </c>
      <c r="U1140" s="385"/>
      <c r="V1140" s="385"/>
      <c r="W1140" s="385"/>
      <c r="X1140" s="385"/>
    </row>
    <row r="1141" spans="3:24" ht="14.4" collapsed="1" x14ac:dyDescent="0.3">
      <c r="D1141" s="420" t="s">
        <v>85</v>
      </c>
      <c r="E1141" s="421"/>
      <c r="F1141" s="421"/>
      <c r="G1141" s="421"/>
      <c r="I1141" s="43"/>
      <c r="K1141" s="43"/>
      <c r="M1141" s="43"/>
      <c r="O1141" s="43"/>
      <c r="Q1141" s="296">
        <f>SUM(Q1116:Q1140)</f>
        <v>0</v>
      </c>
      <c r="S1141" s="294">
        <f>SUM(S1116:S1140)</f>
        <v>0</v>
      </c>
      <c r="U1141" s="43"/>
      <c r="V1141" s="43"/>
      <c r="W1141" s="43"/>
      <c r="X1141" s="43"/>
    </row>
    <row r="1143" spans="3:24" ht="15.6" x14ac:dyDescent="0.3">
      <c r="C1143" s="92" t="s">
        <v>130</v>
      </c>
      <c r="M1143" s="40" t="str">
        <f>IF(DD_ACT_10_Meet1_Curr=1,$D$1206,$D$1207)</f>
        <v>GOZ</v>
      </c>
      <c r="O1143" s="40" t="str">
        <f>IF(DD_ACT_10_Meet1_Curr=1,$D$1206,$D$1207)</f>
        <v>GOZ</v>
      </c>
      <c r="Q1143" s="40" t="str">
        <f>IF(DD_ACT_10_Meet1_Curr=1,$D$1206,$D$1207)</f>
        <v>GOZ</v>
      </c>
      <c r="S1143" s="40" t="str">
        <f>IF(DD_ACT_10_Meet1_Curr=1,$D$1206,$D$1207)</f>
        <v>GOZ</v>
      </c>
    </row>
    <row r="1144" spans="3:24" ht="27.6" x14ac:dyDescent="0.3">
      <c r="D1144" s="90" t="s">
        <v>86</v>
      </c>
      <c r="I1144" s="91" t="s">
        <v>186</v>
      </c>
      <c r="M1144" s="42" t="s">
        <v>107</v>
      </c>
      <c r="O1144" s="42" t="s">
        <v>108</v>
      </c>
      <c r="Q1144" s="42" t="s">
        <v>105</v>
      </c>
      <c r="S1144" s="42" t="s">
        <v>106</v>
      </c>
      <c r="U1144" s="350" t="s">
        <v>185</v>
      </c>
      <c r="V1144" s="351"/>
      <c r="W1144" s="351"/>
      <c r="X1144" s="351"/>
    </row>
    <row r="1145" spans="3:24" x14ac:dyDescent="0.3">
      <c r="D1145" s="356" t="s">
        <v>70</v>
      </c>
      <c r="E1145" s="356"/>
      <c r="F1145" s="356"/>
      <c r="G1145" s="356"/>
      <c r="I1145" s="48">
        <v>0</v>
      </c>
      <c r="M1145" s="40">
        <f t="shared" ref="M1145:M1169" si="72">IFERROR(IF(DD_ACT_10_Meet1_Curr=1,INDEX($M$1324:$M$1358,MATCH(D1145,LU_ACT_10_Equipment,0)),INDEX($Q$1324:$Q$1358,MATCH(D1145,LU_ACT_10_Equipment,0))),0)</f>
        <v>0</v>
      </c>
      <c r="O1145" s="40">
        <f t="shared" ref="O1145:O1169" si="73">IFERROR(IF(DD_ACT_10_Meet1_Curr=1,INDEX($O$1324:$O$1358,MATCH(D1145,LU_ACT_10_Equipment,0)),INDEX($S$1324:$S$1358,MATCH(D1145,LU_ACT_10_Equipment,0))),0)</f>
        <v>0</v>
      </c>
      <c r="Q1145" s="279">
        <f t="shared" ref="Q1145:Q1169" si="74">I1145*M1145</f>
        <v>0</v>
      </c>
      <c r="S1145" s="279">
        <f t="shared" ref="S1145:S1169" si="75">I1145*O1145</f>
        <v>0</v>
      </c>
      <c r="U1145" s="356"/>
      <c r="V1145" s="356"/>
      <c r="W1145" s="356"/>
      <c r="X1145" s="356"/>
    </row>
    <row r="1146" spans="3:24" x14ac:dyDescent="0.3">
      <c r="D1146" s="356" t="s">
        <v>122</v>
      </c>
      <c r="E1146" s="356"/>
      <c r="F1146" s="356"/>
      <c r="G1146" s="356"/>
      <c r="I1146" s="48">
        <v>0</v>
      </c>
      <c r="M1146" s="40">
        <f t="shared" si="72"/>
        <v>0</v>
      </c>
      <c r="O1146" s="40">
        <f t="shared" si="73"/>
        <v>0</v>
      </c>
      <c r="Q1146" s="279">
        <f t="shared" si="74"/>
        <v>0</v>
      </c>
      <c r="S1146" s="279">
        <f t="shared" si="75"/>
        <v>0</v>
      </c>
      <c r="U1146" s="356"/>
      <c r="V1146" s="356"/>
      <c r="W1146" s="356"/>
      <c r="X1146" s="356"/>
    </row>
    <row r="1147" spans="3:24" s="277" customFormat="1" x14ac:dyDescent="0.3">
      <c r="D1147" s="356" t="s">
        <v>872</v>
      </c>
      <c r="E1147" s="356"/>
      <c r="F1147" s="356"/>
      <c r="G1147" s="356"/>
      <c r="I1147" s="48">
        <v>0</v>
      </c>
      <c r="M1147" s="279">
        <f t="shared" si="72"/>
        <v>0</v>
      </c>
      <c r="O1147" s="279">
        <f t="shared" si="73"/>
        <v>0</v>
      </c>
      <c r="Q1147" s="279">
        <f t="shared" si="74"/>
        <v>0</v>
      </c>
      <c r="S1147" s="279">
        <f t="shared" si="75"/>
        <v>0</v>
      </c>
      <c r="U1147" s="385"/>
      <c r="V1147" s="385"/>
      <c r="W1147" s="385"/>
      <c r="X1147" s="385"/>
    </row>
    <row r="1148" spans="3:24" s="277" customFormat="1" x14ac:dyDescent="0.3">
      <c r="D1148" s="356" t="s">
        <v>873</v>
      </c>
      <c r="E1148" s="356"/>
      <c r="F1148" s="356"/>
      <c r="G1148" s="356"/>
      <c r="I1148" s="48">
        <v>0</v>
      </c>
      <c r="M1148" s="279">
        <f t="shared" si="72"/>
        <v>0</v>
      </c>
      <c r="O1148" s="279">
        <f t="shared" si="73"/>
        <v>0</v>
      </c>
      <c r="Q1148" s="279">
        <f t="shared" si="74"/>
        <v>0</v>
      </c>
      <c r="S1148" s="279">
        <f t="shared" si="75"/>
        <v>0</v>
      </c>
      <c r="U1148" s="385"/>
      <c r="V1148" s="385"/>
      <c r="W1148" s="385"/>
      <c r="X1148" s="385"/>
    </row>
    <row r="1149" spans="3:24" s="277" customFormat="1" x14ac:dyDescent="0.3">
      <c r="D1149" s="356" t="s">
        <v>874</v>
      </c>
      <c r="E1149" s="356"/>
      <c r="F1149" s="356"/>
      <c r="G1149" s="356"/>
      <c r="I1149" s="48">
        <v>0</v>
      </c>
      <c r="M1149" s="279">
        <f t="shared" si="72"/>
        <v>0</v>
      </c>
      <c r="O1149" s="279">
        <f t="shared" si="73"/>
        <v>0</v>
      </c>
      <c r="Q1149" s="279">
        <f t="shared" si="74"/>
        <v>0</v>
      </c>
      <c r="S1149" s="279">
        <f t="shared" si="75"/>
        <v>0</v>
      </c>
      <c r="U1149" s="385"/>
      <c r="V1149" s="385"/>
      <c r="W1149" s="385"/>
      <c r="X1149" s="385"/>
    </row>
    <row r="1150" spans="3:24" s="277" customFormat="1" x14ac:dyDescent="0.3">
      <c r="D1150" s="356" t="s">
        <v>875</v>
      </c>
      <c r="E1150" s="356"/>
      <c r="F1150" s="356"/>
      <c r="G1150" s="356"/>
      <c r="I1150" s="48">
        <v>0</v>
      </c>
      <c r="M1150" s="279">
        <f t="shared" si="72"/>
        <v>0</v>
      </c>
      <c r="O1150" s="279">
        <f t="shared" si="73"/>
        <v>0</v>
      </c>
      <c r="Q1150" s="279">
        <f t="shared" si="74"/>
        <v>0</v>
      </c>
      <c r="S1150" s="279">
        <f t="shared" si="75"/>
        <v>0</v>
      </c>
      <c r="U1150" s="385"/>
      <c r="V1150" s="385"/>
      <c r="W1150" s="385"/>
      <c r="X1150" s="385"/>
    </row>
    <row r="1151" spans="3:24" s="277" customFormat="1" x14ac:dyDescent="0.3">
      <c r="D1151" s="356" t="s">
        <v>778</v>
      </c>
      <c r="E1151" s="356"/>
      <c r="F1151" s="356"/>
      <c r="G1151" s="356"/>
      <c r="I1151" s="48">
        <v>0</v>
      </c>
      <c r="M1151" s="279">
        <f t="shared" si="72"/>
        <v>0</v>
      </c>
      <c r="O1151" s="279">
        <f t="shared" si="73"/>
        <v>0</v>
      </c>
      <c r="Q1151" s="279">
        <f t="shared" si="74"/>
        <v>0</v>
      </c>
      <c r="S1151" s="279">
        <f t="shared" si="75"/>
        <v>0</v>
      </c>
      <c r="U1151" s="385"/>
      <c r="V1151" s="385"/>
      <c r="W1151" s="385"/>
      <c r="X1151" s="385"/>
    </row>
    <row r="1152" spans="3:24" s="277" customFormat="1" x14ac:dyDescent="0.3">
      <c r="D1152" s="356" t="s">
        <v>779</v>
      </c>
      <c r="E1152" s="356"/>
      <c r="F1152" s="356"/>
      <c r="G1152" s="356"/>
      <c r="I1152" s="48">
        <v>0</v>
      </c>
      <c r="M1152" s="279">
        <f t="shared" si="72"/>
        <v>0</v>
      </c>
      <c r="O1152" s="279">
        <f t="shared" si="73"/>
        <v>0</v>
      </c>
      <c r="Q1152" s="279">
        <f t="shared" si="74"/>
        <v>0</v>
      </c>
      <c r="S1152" s="279">
        <f t="shared" si="75"/>
        <v>0</v>
      </c>
      <c r="U1152" s="385"/>
      <c r="V1152" s="385"/>
      <c r="W1152" s="385"/>
      <c r="X1152" s="385"/>
    </row>
    <row r="1153" spans="4:24" s="277" customFormat="1" x14ac:dyDescent="0.3">
      <c r="D1153" s="356" t="s">
        <v>780</v>
      </c>
      <c r="E1153" s="356"/>
      <c r="F1153" s="356"/>
      <c r="G1153" s="356"/>
      <c r="I1153" s="48">
        <v>0</v>
      </c>
      <c r="M1153" s="279">
        <f t="shared" si="72"/>
        <v>0</v>
      </c>
      <c r="O1153" s="279">
        <f t="shared" si="73"/>
        <v>0</v>
      </c>
      <c r="Q1153" s="279">
        <f t="shared" si="74"/>
        <v>0</v>
      </c>
      <c r="S1153" s="279">
        <f t="shared" si="75"/>
        <v>0</v>
      </c>
      <c r="U1153" s="385"/>
      <c r="V1153" s="385"/>
      <c r="W1153" s="385"/>
      <c r="X1153" s="385"/>
    </row>
    <row r="1154" spans="4:24" s="277" customFormat="1" x14ac:dyDescent="0.3">
      <c r="D1154" s="356" t="s">
        <v>781</v>
      </c>
      <c r="E1154" s="356"/>
      <c r="F1154" s="356"/>
      <c r="G1154" s="356"/>
      <c r="I1154" s="48">
        <v>0</v>
      </c>
      <c r="M1154" s="279">
        <f t="shared" si="72"/>
        <v>0</v>
      </c>
      <c r="O1154" s="279">
        <f t="shared" si="73"/>
        <v>0</v>
      </c>
      <c r="Q1154" s="279">
        <f t="shared" si="74"/>
        <v>0</v>
      </c>
      <c r="S1154" s="279">
        <f t="shared" si="75"/>
        <v>0</v>
      </c>
      <c r="U1154" s="385"/>
      <c r="V1154" s="385"/>
      <c r="W1154" s="385"/>
      <c r="X1154" s="385"/>
    </row>
    <row r="1155" spans="4:24" s="277" customFormat="1" x14ac:dyDescent="0.3">
      <c r="D1155" s="356" t="s">
        <v>782</v>
      </c>
      <c r="E1155" s="356"/>
      <c r="F1155" s="356"/>
      <c r="G1155" s="356"/>
      <c r="I1155" s="48">
        <v>0</v>
      </c>
      <c r="M1155" s="279">
        <f t="shared" si="72"/>
        <v>0</v>
      </c>
      <c r="O1155" s="279">
        <f t="shared" si="73"/>
        <v>0</v>
      </c>
      <c r="Q1155" s="279">
        <f t="shared" si="74"/>
        <v>0</v>
      </c>
      <c r="S1155" s="279">
        <f t="shared" si="75"/>
        <v>0</v>
      </c>
      <c r="U1155" s="385"/>
      <c r="V1155" s="385"/>
      <c r="W1155" s="385"/>
      <c r="X1155" s="385"/>
    </row>
    <row r="1156" spans="4:24" s="277" customFormat="1" x14ac:dyDescent="0.3">
      <c r="D1156" s="356" t="s">
        <v>783</v>
      </c>
      <c r="E1156" s="356"/>
      <c r="F1156" s="356"/>
      <c r="G1156" s="356"/>
      <c r="I1156" s="48">
        <v>0</v>
      </c>
      <c r="M1156" s="279">
        <f t="shared" si="72"/>
        <v>0</v>
      </c>
      <c r="O1156" s="279">
        <f t="shared" si="73"/>
        <v>0</v>
      </c>
      <c r="Q1156" s="279">
        <f t="shared" si="74"/>
        <v>0</v>
      </c>
      <c r="S1156" s="279">
        <f t="shared" si="75"/>
        <v>0</v>
      </c>
      <c r="U1156" s="385"/>
      <c r="V1156" s="385"/>
      <c r="W1156" s="385"/>
      <c r="X1156" s="385"/>
    </row>
    <row r="1157" spans="4:24" s="277" customFormat="1" x14ac:dyDescent="0.3">
      <c r="D1157" s="356" t="s">
        <v>784</v>
      </c>
      <c r="E1157" s="356"/>
      <c r="F1157" s="356"/>
      <c r="G1157" s="356"/>
      <c r="I1157" s="48">
        <v>0</v>
      </c>
      <c r="M1157" s="279">
        <f t="shared" si="72"/>
        <v>0</v>
      </c>
      <c r="O1157" s="279">
        <f t="shared" si="73"/>
        <v>0</v>
      </c>
      <c r="Q1157" s="279">
        <f t="shared" si="74"/>
        <v>0</v>
      </c>
      <c r="S1157" s="279">
        <f t="shared" si="75"/>
        <v>0</v>
      </c>
      <c r="U1157" s="385"/>
      <c r="V1157" s="385"/>
      <c r="W1157" s="385"/>
      <c r="X1157" s="385"/>
    </row>
    <row r="1158" spans="4:24" s="277" customFormat="1" x14ac:dyDescent="0.3">
      <c r="D1158" s="356" t="s">
        <v>785</v>
      </c>
      <c r="E1158" s="356"/>
      <c r="F1158" s="356"/>
      <c r="G1158" s="356"/>
      <c r="I1158" s="48">
        <v>0</v>
      </c>
      <c r="M1158" s="279">
        <f t="shared" si="72"/>
        <v>0</v>
      </c>
      <c r="O1158" s="279">
        <f t="shared" si="73"/>
        <v>0</v>
      </c>
      <c r="Q1158" s="279">
        <f t="shared" si="74"/>
        <v>0</v>
      </c>
      <c r="S1158" s="279">
        <f t="shared" si="75"/>
        <v>0</v>
      </c>
      <c r="U1158" s="385"/>
      <c r="V1158" s="385"/>
      <c r="W1158" s="385"/>
      <c r="X1158" s="385"/>
    </row>
    <row r="1159" spans="4:24" s="277" customFormat="1" x14ac:dyDescent="0.3">
      <c r="D1159" s="356" t="s">
        <v>786</v>
      </c>
      <c r="E1159" s="356"/>
      <c r="F1159" s="356"/>
      <c r="G1159" s="356"/>
      <c r="I1159" s="48">
        <v>0</v>
      </c>
      <c r="M1159" s="279">
        <f t="shared" si="72"/>
        <v>0</v>
      </c>
      <c r="O1159" s="279">
        <f t="shared" si="73"/>
        <v>0</v>
      </c>
      <c r="Q1159" s="279">
        <f t="shared" si="74"/>
        <v>0</v>
      </c>
      <c r="S1159" s="279">
        <f t="shared" si="75"/>
        <v>0</v>
      </c>
      <c r="U1159" s="385"/>
      <c r="V1159" s="385"/>
      <c r="W1159" s="385"/>
      <c r="X1159" s="385"/>
    </row>
    <row r="1160" spans="4:24" s="277" customFormat="1" x14ac:dyDescent="0.3">
      <c r="D1160" s="356" t="s">
        <v>787</v>
      </c>
      <c r="E1160" s="356"/>
      <c r="F1160" s="356"/>
      <c r="G1160" s="356"/>
      <c r="I1160" s="48">
        <v>0</v>
      </c>
      <c r="M1160" s="279">
        <f t="shared" si="72"/>
        <v>0</v>
      </c>
      <c r="O1160" s="279">
        <f t="shared" si="73"/>
        <v>0</v>
      </c>
      <c r="Q1160" s="279">
        <f t="shared" si="74"/>
        <v>0</v>
      </c>
      <c r="S1160" s="279">
        <f t="shared" si="75"/>
        <v>0</v>
      </c>
      <c r="U1160" s="385"/>
      <c r="V1160" s="385"/>
      <c r="W1160" s="385"/>
      <c r="X1160" s="385"/>
    </row>
    <row r="1161" spans="4:24" s="277" customFormat="1" x14ac:dyDescent="0.3">
      <c r="D1161" s="356" t="s">
        <v>788</v>
      </c>
      <c r="E1161" s="356"/>
      <c r="F1161" s="356"/>
      <c r="G1161" s="356"/>
      <c r="I1161" s="48">
        <v>0</v>
      </c>
      <c r="M1161" s="279">
        <f t="shared" si="72"/>
        <v>0</v>
      </c>
      <c r="O1161" s="279">
        <f t="shared" si="73"/>
        <v>0</v>
      </c>
      <c r="Q1161" s="279">
        <f t="shared" si="74"/>
        <v>0</v>
      </c>
      <c r="S1161" s="279">
        <f t="shared" si="75"/>
        <v>0</v>
      </c>
      <c r="U1161" s="385"/>
      <c r="V1161" s="385"/>
      <c r="W1161" s="385"/>
      <c r="X1161" s="385"/>
    </row>
    <row r="1162" spans="4:24" s="277" customFormat="1" x14ac:dyDescent="0.3">
      <c r="D1162" s="356" t="s">
        <v>789</v>
      </c>
      <c r="E1162" s="356"/>
      <c r="F1162" s="356"/>
      <c r="G1162" s="356"/>
      <c r="I1162" s="48">
        <v>0</v>
      </c>
      <c r="M1162" s="279">
        <f t="shared" si="72"/>
        <v>0</v>
      </c>
      <c r="O1162" s="279">
        <f t="shared" si="73"/>
        <v>0</v>
      </c>
      <c r="Q1162" s="279">
        <f t="shared" si="74"/>
        <v>0</v>
      </c>
      <c r="S1162" s="279">
        <f t="shared" si="75"/>
        <v>0</v>
      </c>
      <c r="U1162" s="385"/>
      <c r="V1162" s="385"/>
      <c r="W1162" s="385"/>
      <c r="X1162" s="385"/>
    </row>
    <row r="1163" spans="4:24" s="277" customFormat="1" x14ac:dyDescent="0.3">
      <c r="D1163" s="356" t="s">
        <v>790</v>
      </c>
      <c r="E1163" s="356"/>
      <c r="F1163" s="356"/>
      <c r="G1163" s="356"/>
      <c r="I1163" s="48">
        <v>0</v>
      </c>
      <c r="M1163" s="279">
        <f t="shared" si="72"/>
        <v>0</v>
      </c>
      <c r="O1163" s="279">
        <f t="shared" si="73"/>
        <v>0</v>
      </c>
      <c r="Q1163" s="279">
        <f t="shared" si="74"/>
        <v>0</v>
      </c>
      <c r="S1163" s="279">
        <f t="shared" si="75"/>
        <v>0</v>
      </c>
      <c r="U1163" s="385"/>
      <c r="V1163" s="385"/>
      <c r="W1163" s="385"/>
      <c r="X1163" s="385"/>
    </row>
    <row r="1164" spans="4:24" s="277" customFormat="1" x14ac:dyDescent="0.3">
      <c r="D1164" s="356" t="s">
        <v>791</v>
      </c>
      <c r="E1164" s="356"/>
      <c r="F1164" s="356"/>
      <c r="G1164" s="356"/>
      <c r="I1164" s="48">
        <v>0</v>
      </c>
      <c r="M1164" s="279">
        <f t="shared" si="72"/>
        <v>0</v>
      </c>
      <c r="O1164" s="279">
        <f t="shared" si="73"/>
        <v>0</v>
      </c>
      <c r="Q1164" s="279">
        <f t="shared" si="74"/>
        <v>0</v>
      </c>
      <c r="S1164" s="279">
        <f t="shared" si="75"/>
        <v>0</v>
      </c>
      <c r="U1164" s="385"/>
      <c r="V1164" s="385"/>
      <c r="W1164" s="385"/>
      <c r="X1164" s="385"/>
    </row>
    <row r="1165" spans="4:24" s="277" customFormat="1" x14ac:dyDescent="0.3">
      <c r="D1165" s="356" t="s">
        <v>792</v>
      </c>
      <c r="E1165" s="356"/>
      <c r="F1165" s="356"/>
      <c r="G1165" s="356"/>
      <c r="I1165" s="48">
        <v>0</v>
      </c>
      <c r="M1165" s="279">
        <f t="shared" si="72"/>
        <v>0</v>
      </c>
      <c r="O1165" s="279">
        <f t="shared" si="73"/>
        <v>0</v>
      </c>
      <c r="Q1165" s="279">
        <f t="shared" si="74"/>
        <v>0</v>
      </c>
      <c r="S1165" s="279">
        <f t="shared" si="75"/>
        <v>0</v>
      </c>
      <c r="U1165" s="385"/>
      <c r="V1165" s="385"/>
      <c r="W1165" s="385"/>
      <c r="X1165" s="385"/>
    </row>
    <row r="1166" spans="4:24" s="277" customFormat="1" x14ac:dyDescent="0.3">
      <c r="D1166" s="356" t="s">
        <v>793</v>
      </c>
      <c r="E1166" s="356"/>
      <c r="F1166" s="356"/>
      <c r="G1166" s="356"/>
      <c r="I1166" s="48">
        <v>0</v>
      </c>
      <c r="M1166" s="279">
        <f t="shared" si="72"/>
        <v>0</v>
      </c>
      <c r="O1166" s="279">
        <f t="shared" si="73"/>
        <v>0</v>
      </c>
      <c r="Q1166" s="279">
        <f t="shared" si="74"/>
        <v>0</v>
      </c>
      <c r="S1166" s="279">
        <f t="shared" si="75"/>
        <v>0</v>
      </c>
      <c r="U1166" s="385"/>
      <c r="V1166" s="385"/>
      <c r="W1166" s="385"/>
      <c r="X1166" s="385"/>
    </row>
    <row r="1167" spans="4:24" s="277" customFormat="1" x14ac:dyDescent="0.3">
      <c r="D1167" s="356" t="s">
        <v>794</v>
      </c>
      <c r="E1167" s="356"/>
      <c r="F1167" s="356"/>
      <c r="G1167" s="356"/>
      <c r="I1167" s="48">
        <v>0</v>
      </c>
      <c r="M1167" s="279">
        <f t="shared" si="72"/>
        <v>0</v>
      </c>
      <c r="O1167" s="279">
        <f t="shared" si="73"/>
        <v>0</v>
      </c>
      <c r="Q1167" s="279">
        <f t="shared" si="74"/>
        <v>0</v>
      </c>
      <c r="S1167" s="279">
        <f t="shared" si="75"/>
        <v>0</v>
      </c>
      <c r="U1167" s="385"/>
      <c r="V1167" s="385"/>
      <c r="W1167" s="385"/>
      <c r="X1167" s="385"/>
    </row>
    <row r="1168" spans="4:24" s="277" customFormat="1" x14ac:dyDescent="0.3">
      <c r="D1168" s="356" t="s">
        <v>795</v>
      </c>
      <c r="E1168" s="356"/>
      <c r="F1168" s="356"/>
      <c r="G1168" s="356"/>
      <c r="I1168" s="48">
        <v>0</v>
      </c>
      <c r="M1168" s="279">
        <f t="shared" si="72"/>
        <v>0</v>
      </c>
      <c r="O1168" s="279">
        <f t="shared" si="73"/>
        <v>0</v>
      </c>
      <c r="Q1168" s="279">
        <f t="shared" si="74"/>
        <v>0</v>
      </c>
      <c r="S1168" s="279">
        <f t="shared" si="75"/>
        <v>0</v>
      </c>
      <c r="U1168" s="385"/>
      <c r="V1168" s="385"/>
      <c r="W1168" s="385"/>
      <c r="X1168" s="385"/>
    </row>
    <row r="1169" spans="3:24" s="277" customFormat="1" x14ac:dyDescent="0.3">
      <c r="D1169" s="356" t="s">
        <v>796</v>
      </c>
      <c r="E1169" s="356"/>
      <c r="F1169" s="356"/>
      <c r="G1169" s="356"/>
      <c r="I1169" s="48">
        <v>0</v>
      </c>
      <c r="M1169" s="279">
        <f t="shared" si="72"/>
        <v>0</v>
      </c>
      <c r="O1169" s="279">
        <f t="shared" si="73"/>
        <v>0</v>
      </c>
      <c r="Q1169" s="279">
        <f t="shared" si="74"/>
        <v>0</v>
      </c>
      <c r="S1169" s="279">
        <f t="shared" si="75"/>
        <v>0</v>
      </c>
      <c r="U1169" s="385"/>
      <c r="V1169" s="385"/>
      <c r="W1169" s="385"/>
      <c r="X1169" s="385"/>
    </row>
    <row r="1170" spans="3:24" ht="14.4" collapsed="1" x14ac:dyDescent="0.3">
      <c r="D1170" s="420" t="s">
        <v>88</v>
      </c>
      <c r="E1170" s="421"/>
      <c r="F1170" s="421"/>
      <c r="G1170" s="421"/>
      <c r="I1170" s="40"/>
      <c r="M1170" s="40"/>
      <c r="O1170" s="40"/>
      <c r="Q1170" s="294">
        <f>SUM(Q1145:Q1169)</f>
        <v>0</v>
      </c>
      <c r="S1170" s="294">
        <f>SUM(S1145:S1169)</f>
        <v>0</v>
      </c>
    </row>
    <row r="1172" spans="3:24" ht="15.6" x14ac:dyDescent="0.3">
      <c r="C1172" s="92" t="s">
        <v>89</v>
      </c>
      <c r="M1172" s="40" t="str">
        <f>IF(DD_ACT_10_Meet1_Curr=1,$D$1206,$D$1207)</f>
        <v>GOZ</v>
      </c>
      <c r="O1172" s="40" t="str">
        <f>IF(DD_ACT_10_Meet1_Curr=1,$D$1206,$D$1207)</f>
        <v>GOZ</v>
      </c>
      <c r="Q1172" s="40" t="str">
        <f>IF(DD_ACT_10_Meet1_Curr=1,$D$1206,$D$1207)</f>
        <v>GOZ</v>
      </c>
      <c r="S1172" s="40" t="str">
        <f>IF(DD_ACT_10_Meet1_Curr=1,$D$1206,$D$1207)</f>
        <v>GOZ</v>
      </c>
    </row>
    <row r="1173" spans="3:24" ht="27.6" x14ac:dyDescent="0.3">
      <c r="D1173" s="90" t="s">
        <v>86</v>
      </c>
      <c r="I1173" s="91" t="s">
        <v>186</v>
      </c>
      <c r="K1173" s="91" t="s">
        <v>187</v>
      </c>
      <c r="M1173" s="42" t="s">
        <v>107</v>
      </c>
      <c r="O1173" s="42" t="s">
        <v>108</v>
      </c>
      <c r="Q1173" s="42" t="s">
        <v>105</v>
      </c>
      <c r="S1173" s="42" t="s">
        <v>106</v>
      </c>
      <c r="U1173" s="350" t="s">
        <v>185</v>
      </c>
      <c r="V1173" s="426"/>
      <c r="W1173" s="426"/>
      <c r="X1173" s="426"/>
    </row>
    <row r="1174" spans="3:24" x14ac:dyDescent="0.3">
      <c r="D1174" s="356" t="s">
        <v>71</v>
      </c>
      <c r="E1174" s="356"/>
      <c r="F1174" s="356"/>
      <c r="G1174" s="356"/>
      <c r="I1174" s="48">
        <v>0</v>
      </c>
      <c r="K1174" s="48">
        <v>0</v>
      </c>
      <c r="M1174" s="40">
        <f t="shared" ref="M1174:M1198" si="76">IFERROR(IF(DD_ACT_10_Meet1_Curr=1,INDEX($M$1362:$M$1396,MATCH(D1174,LU_ACT_10_ODCS,0)),INDEX($Q$1362:$Q$1396,MATCH(D1174,LU_ACT_10_ODCS,0))),0)</f>
        <v>0</v>
      </c>
      <c r="O1174" s="40">
        <f t="shared" ref="O1174:O1198" si="77">IFERROR(IF(DD_ACT_10_Meet1_Curr=1,INDEX($O$1362:$O$1396,MATCH(D1174,LU_ACT_10_ODCS,0)),INDEX($S$1362:$S$1396,MATCH(D1174,LU_ACT_10_ODCS,0))),0)</f>
        <v>0</v>
      </c>
      <c r="Q1174" s="279">
        <f t="shared" ref="Q1174:Q1198" si="78">I1174*K1174*M1174</f>
        <v>0</v>
      </c>
      <c r="S1174" s="279">
        <f t="shared" ref="S1174:S1198" si="79">I1174*K1174*O1174</f>
        <v>0</v>
      </c>
      <c r="U1174" s="356"/>
      <c r="V1174" s="356"/>
      <c r="W1174" s="356"/>
      <c r="X1174" s="356"/>
    </row>
    <row r="1175" spans="3:24" x14ac:dyDescent="0.3">
      <c r="D1175" s="356" t="s">
        <v>72</v>
      </c>
      <c r="E1175" s="356"/>
      <c r="F1175" s="356"/>
      <c r="G1175" s="356"/>
      <c r="I1175" s="48">
        <v>0</v>
      </c>
      <c r="K1175" s="48">
        <v>0</v>
      </c>
      <c r="M1175" s="40">
        <f t="shared" si="76"/>
        <v>0</v>
      </c>
      <c r="O1175" s="40">
        <f t="shared" si="77"/>
        <v>0</v>
      </c>
      <c r="Q1175" s="279">
        <f t="shared" si="78"/>
        <v>0</v>
      </c>
      <c r="S1175" s="279">
        <f t="shared" si="79"/>
        <v>0</v>
      </c>
      <c r="U1175" s="356"/>
      <c r="V1175" s="356"/>
      <c r="W1175" s="356"/>
      <c r="X1175" s="356"/>
    </row>
    <row r="1176" spans="3:24" x14ac:dyDescent="0.3">
      <c r="D1176" s="356" t="s">
        <v>73</v>
      </c>
      <c r="E1176" s="356"/>
      <c r="F1176" s="356"/>
      <c r="G1176" s="356"/>
      <c r="I1176" s="48">
        <v>0</v>
      </c>
      <c r="K1176" s="48">
        <v>0</v>
      </c>
      <c r="M1176" s="40">
        <f t="shared" si="76"/>
        <v>0</v>
      </c>
      <c r="O1176" s="40">
        <f t="shared" si="77"/>
        <v>0</v>
      </c>
      <c r="Q1176" s="279">
        <f t="shared" si="78"/>
        <v>0</v>
      </c>
      <c r="S1176" s="279">
        <f t="shared" si="79"/>
        <v>0</v>
      </c>
      <c r="U1176" s="356"/>
      <c r="V1176" s="356"/>
      <c r="W1176" s="356"/>
      <c r="X1176" s="356"/>
    </row>
    <row r="1177" spans="3:24" x14ac:dyDescent="0.3">
      <c r="D1177" s="356" t="s">
        <v>74</v>
      </c>
      <c r="E1177" s="356"/>
      <c r="F1177" s="356"/>
      <c r="G1177" s="356"/>
      <c r="I1177" s="48">
        <v>0</v>
      </c>
      <c r="K1177" s="48">
        <v>0</v>
      </c>
      <c r="M1177" s="40">
        <f t="shared" si="76"/>
        <v>0</v>
      </c>
      <c r="O1177" s="40">
        <f t="shared" si="77"/>
        <v>0</v>
      </c>
      <c r="Q1177" s="279">
        <f t="shared" si="78"/>
        <v>0</v>
      </c>
      <c r="S1177" s="279">
        <f t="shared" si="79"/>
        <v>0</v>
      </c>
      <c r="U1177" s="356"/>
      <c r="V1177" s="356"/>
      <c r="W1177" s="356"/>
      <c r="X1177" s="356"/>
    </row>
    <row r="1178" spans="3:24" x14ac:dyDescent="0.3">
      <c r="D1178" s="356" t="s">
        <v>75</v>
      </c>
      <c r="E1178" s="356"/>
      <c r="F1178" s="356"/>
      <c r="G1178" s="356"/>
      <c r="I1178" s="48">
        <v>0</v>
      </c>
      <c r="K1178" s="48">
        <v>0</v>
      </c>
      <c r="M1178" s="40">
        <f t="shared" si="76"/>
        <v>0</v>
      </c>
      <c r="O1178" s="40">
        <f t="shared" si="77"/>
        <v>0</v>
      </c>
      <c r="Q1178" s="279">
        <f t="shared" si="78"/>
        <v>0</v>
      </c>
      <c r="S1178" s="279">
        <f t="shared" si="79"/>
        <v>0</v>
      </c>
      <c r="U1178" s="356"/>
      <c r="V1178" s="356"/>
      <c r="W1178" s="356"/>
      <c r="X1178" s="356"/>
    </row>
    <row r="1179" spans="3:24" s="277" customFormat="1" x14ac:dyDescent="0.3">
      <c r="D1179" s="356" t="s">
        <v>876</v>
      </c>
      <c r="E1179" s="356"/>
      <c r="F1179" s="356"/>
      <c r="G1179" s="356"/>
      <c r="I1179" s="48">
        <v>0</v>
      </c>
      <c r="K1179" s="48">
        <v>0</v>
      </c>
      <c r="M1179" s="279">
        <f t="shared" si="76"/>
        <v>0</v>
      </c>
      <c r="O1179" s="279">
        <f t="shared" si="77"/>
        <v>0</v>
      </c>
      <c r="Q1179" s="279">
        <f t="shared" si="78"/>
        <v>0</v>
      </c>
      <c r="S1179" s="279">
        <f t="shared" si="79"/>
        <v>0</v>
      </c>
      <c r="U1179" s="385"/>
      <c r="V1179" s="385"/>
      <c r="W1179" s="385"/>
      <c r="X1179" s="385"/>
    </row>
    <row r="1180" spans="3:24" s="277" customFormat="1" x14ac:dyDescent="0.3">
      <c r="D1180" s="356" t="s">
        <v>877</v>
      </c>
      <c r="E1180" s="356"/>
      <c r="F1180" s="356"/>
      <c r="G1180" s="356"/>
      <c r="I1180" s="48">
        <v>0</v>
      </c>
      <c r="K1180" s="48">
        <v>0</v>
      </c>
      <c r="M1180" s="279">
        <f t="shared" si="76"/>
        <v>0</v>
      </c>
      <c r="O1180" s="279">
        <f t="shared" si="77"/>
        <v>0</v>
      </c>
      <c r="Q1180" s="279">
        <f t="shared" si="78"/>
        <v>0</v>
      </c>
      <c r="S1180" s="279">
        <f t="shared" si="79"/>
        <v>0</v>
      </c>
      <c r="U1180" s="385"/>
      <c r="V1180" s="385"/>
      <c r="W1180" s="385"/>
      <c r="X1180" s="385"/>
    </row>
    <row r="1181" spans="3:24" s="277" customFormat="1" x14ac:dyDescent="0.3">
      <c r="D1181" s="356" t="s">
        <v>878</v>
      </c>
      <c r="E1181" s="356"/>
      <c r="F1181" s="356"/>
      <c r="G1181" s="356"/>
      <c r="I1181" s="48">
        <v>0</v>
      </c>
      <c r="K1181" s="48">
        <v>0</v>
      </c>
      <c r="M1181" s="279">
        <f t="shared" si="76"/>
        <v>0</v>
      </c>
      <c r="O1181" s="279">
        <f t="shared" si="77"/>
        <v>0</v>
      </c>
      <c r="Q1181" s="279">
        <f t="shared" si="78"/>
        <v>0</v>
      </c>
      <c r="S1181" s="279">
        <f t="shared" si="79"/>
        <v>0</v>
      </c>
      <c r="U1181" s="385"/>
      <c r="V1181" s="385"/>
      <c r="W1181" s="385"/>
      <c r="X1181" s="385"/>
    </row>
    <row r="1182" spans="3:24" s="277" customFormat="1" x14ac:dyDescent="0.3">
      <c r="D1182" s="356" t="s">
        <v>879</v>
      </c>
      <c r="E1182" s="356"/>
      <c r="F1182" s="356"/>
      <c r="G1182" s="356"/>
      <c r="I1182" s="48">
        <v>0</v>
      </c>
      <c r="K1182" s="48">
        <v>0</v>
      </c>
      <c r="M1182" s="279">
        <f t="shared" si="76"/>
        <v>0</v>
      </c>
      <c r="O1182" s="279">
        <f t="shared" si="77"/>
        <v>0</v>
      </c>
      <c r="Q1182" s="279">
        <f t="shared" si="78"/>
        <v>0</v>
      </c>
      <c r="S1182" s="279">
        <f t="shared" si="79"/>
        <v>0</v>
      </c>
      <c r="U1182" s="385"/>
      <c r="V1182" s="385"/>
      <c r="W1182" s="385"/>
      <c r="X1182" s="385"/>
    </row>
    <row r="1183" spans="3:24" s="277" customFormat="1" x14ac:dyDescent="0.3">
      <c r="D1183" s="356" t="s">
        <v>880</v>
      </c>
      <c r="E1183" s="356"/>
      <c r="F1183" s="356"/>
      <c r="G1183" s="356"/>
      <c r="I1183" s="48">
        <v>0</v>
      </c>
      <c r="K1183" s="48">
        <v>0</v>
      </c>
      <c r="M1183" s="279">
        <f t="shared" si="76"/>
        <v>0</v>
      </c>
      <c r="O1183" s="279">
        <f t="shared" si="77"/>
        <v>0</v>
      </c>
      <c r="Q1183" s="279">
        <f t="shared" si="78"/>
        <v>0</v>
      </c>
      <c r="S1183" s="279">
        <f t="shared" si="79"/>
        <v>0</v>
      </c>
      <c r="U1183" s="385"/>
      <c r="V1183" s="385"/>
      <c r="W1183" s="385"/>
      <c r="X1183" s="385"/>
    </row>
    <row r="1184" spans="3:24" s="277" customFormat="1" x14ac:dyDescent="0.3">
      <c r="D1184" s="356" t="s">
        <v>881</v>
      </c>
      <c r="E1184" s="356"/>
      <c r="F1184" s="356"/>
      <c r="G1184" s="356"/>
      <c r="I1184" s="48">
        <v>0</v>
      </c>
      <c r="K1184" s="48">
        <v>0</v>
      </c>
      <c r="M1184" s="279">
        <f t="shared" si="76"/>
        <v>0</v>
      </c>
      <c r="O1184" s="279">
        <f t="shared" si="77"/>
        <v>0</v>
      </c>
      <c r="Q1184" s="279">
        <f t="shared" si="78"/>
        <v>0</v>
      </c>
      <c r="S1184" s="279">
        <f t="shared" si="79"/>
        <v>0</v>
      </c>
      <c r="U1184" s="385"/>
      <c r="V1184" s="385"/>
      <c r="W1184" s="385"/>
      <c r="X1184" s="385"/>
    </row>
    <row r="1185" spans="4:24" s="277" customFormat="1" x14ac:dyDescent="0.3">
      <c r="D1185" s="356" t="s">
        <v>882</v>
      </c>
      <c r="E1185" s="356"/>
      <c r="F1185" s="356"/>
      <c r="G1185" s="356"/>
      <c r="I1185" s="48">
        <v>0</v>
      </c>
      <c r="K1185" s="48">
        <v>0</v>
      </c>
      <c r="M1185" s="279">
        <f t="shared" si="76"/>
        <v>0</v>
      </c>
      <c r="O1185" s="279">
        <f t="shared" si="77"/>
        <v>0</v>
      </c>
      <c r="Q1185" s="279">
        <f t="shared" si="78"/>
        <v>0</v>
      </c>
      <c r="S1185" s="279">
        <f t="shared" si="79"/>
        <v>0</v>
      </c>
      <c r="U1185" s="385"/>
      <c r="V1185" s="385"/>
      <c r="W1185" s="385"/>
      <c r="X1185" s="385"/>
    </row>
    <row r="1186" spans="4:24" s="277" customFormat="1" x14ac:dyDescent="0.3">
      <c r="D1186" s="356" t="s">
        <v>883</v>
      </c>
      <c r="E1186" s="356"/>
      <c r="F1186" s="356"/>
      <c r="G1186" s="356"/>
      <c r="I1186" s="48">
        <v>0</v>
      </c>
      <c r="K1186" s="48">
        <v>0</v>
      </c>
      <c r="M1186" s="279">
        <f t="shared" si="76"/>
        <v>0</v>
      </c>
      <c r="O1186" s="279">
        <f t="shared" si="77"/>
        <v>0</v>
      </c>
      <c r="Q1186" s="279">
        <f t="shared" si="78"/>
        <v>0</v>
      </c>
      <c r="S1186" s="279">
        <f t="shared" si="79"/>
        <v>0</v>
      </c>
      <c r="U1186" s="385"/>
      <c r="V1186" s="385"/>
      <c r="W1186" s="385"/>
      <c r="X1186" s="385"/>
    </row>
    <row r="1187" spans="4:24" s="277" customFormat="1" x14ac:dyDescent="0.3">
      <c r="D1187" s="356" t="s">
        <v>884</v>
      </c>
      <c r="E1187" s="356"/>
      <c r="F1187" s="356"/>
      <c r="G1187" s="356"/>
      <c r="I1187" s="48">
        <v>0</v>
      </c>
      <c r="K1187" s="48">
        <v>0</v>
      </c>
      <c r="M1187" s="279">
        <f t="shared" si="76"/>
        <v>0</v>
      </c>
      <c r="O1187" s="279">
        <f t="shared" si="77"/>
        <v>0</v>
      </c>
      <c r="Q1187" s="279">
        <f t="shared" si="78"/>
        <v>0</v>
      </c>
      <c r="S1187" s="279">
        <f t="shared" si="79"/>
        <v>0</v>
      </c>
      <c r="U1187" s="385"/>
      <c r="V1187" s="385"/>
      <c r="W1187" s="385"/>
      <c r="X1187" s="385"/>
    </row>
    <row r="1188" spans="4:24" s="277" customFormat="1" x14ac:dyDescent="0.3">
      <c r="D1188" s="356" t="s">
        <v>885</v>
      </c>
      <c r="E1188" s="356"/>
      <c r="F1188" s="356"/>
      <c r="G1188" s="356"/>
      <c r="I1188" s="48">
        <v>0</v>
      </c>
      <c r="K1188" s="48">
        <v>0</v>
      </c>
      <c r="M1188" s="279">
        <f t="shared" si="76"/>
        <v>0</v>
      </c>
      <c r="O1188" s="279">
        <f t="shared" si="77"/>
        <v>0</v>
      </c>
      <c r="Q1188" s="279">
        <f t="shared" si="78"/>
        <v>0</v>
      </c>
      <c r="S1188" s="279">
        <f t="shared" si="79"/>
        <v>0</v>
      </c>
      <c r="U1188" s="385"/>
      <c r="V1188" s="385"/>
      <c r="W1188" s="385"/>
      <c r="X1188" s="385"/>
    </row>
    <row r="1189" spans="4:24" s="277" customFormat="1" x14ac:dyDescent="0.3">
      <c r="D1189" s="356" t="s">
        <v>886</v>
      </c>
      <c r="E1189" s="356"/>
      <c r="F1189" s="356"/>
      <c r="G1189" s="356"/>
      <c r="I1189" s="48">
        <v>0</v>
      </c>
      <c r="K1189" s="48">
        <v>0</v>
      </c>
      <c r="M1189" s="279">
        <f t="shared" si="76"/>
        <v>0</v>
      </c>
      <c r="O1189" s="279">
        <f t="shared" si="77"/>
        <v>0</v>
      </c>
      <c r="Q1189" s="279">
        <f t="shared" si="78"/>
        <v>0</v>
      </c>
      <c r="S1189" s="279">
        <f t="shared" si="79"/>
        <v>0</v>
      </c>
      <c r="U1189" s="385"/>
      <c r="V1189" s="385"/>
      <c r="W1189" s="385"/>
      <c r="X1189" s="385"/>
    </row>
    <row r="1190" spans="4:24" s="277" customFormat="1" x14ac:dyDescent="0.3">
      <c r="D1190" s="356" t="s">
        <v>887</v>
      </c>
      <c r="E1190" s="356"/>
      <c r="F1190" s="356"/>
      <c r="G1190" s="356"/>
      <c r="I1190" s="48">
        <v>0</v>
      </c>
      <c r="K1190" s="48">
        <v>0</v>
      </c>
      <c r="M1190" s="279">
        <f t="shared" si="76"/>
        <v>0</v>
      </c>
      <c r="O1190" s="279">
        <f t="shared" si="77"/>
        <v>0</v>
      </c>
      <c r="Q1190" s="279">
        <f t="shared" si="78"/>
        <v>0</v>
      </c>
      <c r="S1190" s="279">
        <f t="shared" si="79"/>
        <v>0</v>
      </c>
      <c r="U1190" s="385"/>
      <c r="V1190" s="385"/>
      <c r="W1190" s="385"/>
      <c r="X1190" s="385"/>
    </row>
    <row r="1191" spans="4:24" s="277" customFormat="1" x14ac:dyDescent="0.3">
      <c r="D1191" s="356" t="s">
        <v>888</v>
      </c>
      <c r="E1191" s="356"/>
      <c r="F1191" s="356"/>
      <c r="G1191" s="356"/>
      <c r="I1191" s="48">
        <v>0</v>
      </c>
      <c r="K1191" s="48">
        <v>0</v>
      </c>
      <c r="M1191" s="279">
        <f t="shared" si="76"/>
        <v>0</v>
      </c>
      <c r="O1191" s="279">
        <f t="shared" si="77"/>
        <v>0</v>
      </c>
      <c r="Q1191" s="279">
        <f t="shared" si="78"/>
        <v>0</v>
      </c>
      <c r="S1191" s="279">
        <f t="shared" si="79"/>
        <v>0</v>
      </c>
      <c r="U1191" s="385"/>
      <c r="V1191" s="385"/>
      <c r="W1191" s="385"/>
      <c r="X1191" s="385"/>
    </row>
    <row r="1192" spans="4:24" s="277" customFormat="1" x14ac:dyDescent="0.3">
      <c r="D1192" s="356" t="s">
        <v>889</v>
      </c>
      <c r="E1192" s="356"/>
      <c r="F1192" s="356"/>
      <c r="G1192" s="356"/>
      <c r="I1192" s="48">
        <v>0</v>
      </c>
      <c r="K1192" s="48">
        <v>0</v>
      </c>
      <c r="M1192" s="279">
        <f t="shared" si="76"/>
        <v>0</v>
      </c>
      <c r="O1192" s="279">
        <f t="shared" si="77"/>
        <v>0</v>
      </c>
      <c r="Q1192" s="279">
        <f t="shared" si="78"/>
        <v>0</v>
      </c>
      <c r="S1192" s="279">
        <f t="shared" si="79"/>
        <v>0</v>
      </c>
      <c r="U1192" s="385"/>
      <c r="V1192" s="385"/>
      <c r="W1192" s="385"/>
      <c r="X1192" s="385"/>
    </row>
    <row r="1193" spans="4:24" s="277" customFormat="1" x14ac:dyDescent="0.3">
      <c r="D1193" s="356" t="s">
        <v>890</v>
      </c>
      <c r="E1193" s="356"/>
      <c r="F1193" s="356"/>
      <c r="G1193" s="356"/>
      <c r="I1193" s="48">
        <v>0</v>
      </c>
      <c r="K1193" s="48">
        <v>0</v>
      </c>
      <c r="M1193" s="279">
        <f t="shared" si="76"/>
        <v>0</v>
      </c>
      <c r="O1193" s="279">
        <f t="shared" si="77"/>
        <v>0</v>
      </c>
      <c r="Q1193" s="279">
        <f t="shared" si="78"/>
        <v>0</v>
      </c>
      <c r="S1193" s="279">
        <f t="shared" si="79"/>
        <v>0</v>
      </c>
      <c r="U1193" s="385"/>
      <c r="V1193" s="385"/>
      <c r="W1193" s="385"/>
      <c r="X1193" s="385"/>
    </row>
    <row r="1194" spans="4:24" s="277" customFormat="1" x14ac:dyDescent="0.3">
      <c r="D1194" s="356" t="s">
        <v>986</v>
      </c>
      <c r="E1194" s="356"/>
      <c r="F1194" s="356"/>
      <c r="G1194" s="356"/>
      <c r="I1194" s="48">
        <v>0</v>
      </c>
      <c r="K1194" s="48">
        <v>0</v>
      </c>
      <c r="M1194" s="279">
        <f t="shared" si="76"/>
        <v>0</v>
      </c>
      <c r="O1194" s="279">
        <f t="shared" si="77"/>
        <v>0</v>
      </c>
      <c r="Q1194" s="279">
        <f t="shared" si="78"/>
        <v>0</v>
      </c>
      <c r="S1194" s="279">
        <f t="shared" si="79"/>
        <v>0</v>
      </c>
      <c r="U1194" s="385"/>
      <c r="V1194" s="385"/>
      <c r="W1194" s="385"/>
      <c r="X1194" s="385"/>
    </row>
    <row r="1195" spans="4:24" s="277" customFormat="1" x14ac:dyDescent="0.3">
      <c r="D1195" s="356" t="s">
        <v>987</v>
      </c>
      <c r="E1195" s="356"/>
      <c r="F1195" s="356"/>
      <c r="G1195" s="356"/>
      <c r="I1195" s="48">
        <v>0</v>
      </c>
      <c r="K1195" s="48">
        <v>0</v>
      </c>
      <c r="M1195" s="279">
        <f t="shared" si="76"/>
        <v>0</v>
      </c>
      <c r="O1195" s="279">
        <f t="shared" si="77"/>
        <v>0</v>
      </c>
      <c r="Q1195" s="279">
        <f t="shared" si="78"/>
        <v>0</v>
      </c>
      <c r="S1195" s="279">
        <f t="shared" si="79"/>
        <v>0</v>
      </c>
      <c r="U1195" s="385"/>
      <c r="V1195" s="385"/>
      <c r="W1195" s="385"/>
      <c r="X1195" s="385"/>
    </row>
    <row r="1196" spans="4:24" s="277" customFormat="1" x14ac:dyDescent="0.3">
      <c r="D1196" s="356" t="s">
        <v>988</v>
      </c>
      <c r="E1196" s="356"/>
      <c r="F1196" s="356"/>
      <c r="G1196" s="356"/>
      <c r="I1196" s="48">
        <v>0</v>
      </c>
      <c r="K1196" s="48">
        <v>0</v>
      </c>
      <c r="M1196" s="279">
        <f t="shared" si="76"/>
        <v>0</v>
      </c>
      <c r="O1196" s="279">
        <f t="shared" si="77"/>
        <v>0</v>
      </c>
      <c r="Q1196" s="279">
        <f t="shared" si="78"/>
        <v>0</v>
      </c>
      <c r="S1196" s="279">
        <f t="shared" si="79"/>
        <v>0</v>
      </c>
      <c r="U1196" s="385"/>
      <c r="V1196" s="385"/>
      <c r="W1196" s="385"/>
      <c r="X1196" s="385"/>
    </row>
    <row r="1197" spans="4:24" s="277" customFormat="1" x14ac:dyDescent="0.3">
      <c r="D1197" s="356" t="s">
        <v>989</v>
      </c>
      <c r="E1197" s="356"/>
      <c r="F1197" s="356"/>
      <c r="G1197" s="356"/>
      <c r="I1197" s="48">
        <v>0</v>
      </c>
      <c r="K1197" s="48">
        <v>0</v>
      </c>
      <c r="M1197" s="279">
        <f t="shared" si="76"/>
        <v>0</v>
      </c>
      <c r="O1197" s="279">
        <f t="shared" si="77"/>
        <v>0</v>
      </c>
      <c r="Q1197" s="279">
        <f t="shared" si="78"/>
        <v>0</v>
      </c>
      <c r="S1197" s="279">
        <f t="shared" si="79"/>
        <v>0</v>
      </c>
      <c r="U1197" s="385"/>
      <c r="V1197" s="385"/>
      <c r="W1197" s="385"/>
      <c r="X1197" s="385"/>
    </row>
    <row r="1198" spans="4:24" s="277" customFormat="1" x14ac:dyDescent="0.3">
      <c r="D1198" s="356" t="s">
        <v>990</v>
      </c>
      <c r="E1198" s="356"/>
      <c r="F1198" s="356"/>
      <c r="G1198" s="356"/>
      <c r="I1198" s="48">
        <v>0</v>
      </c>
      <c r="K1198" s="48">
        <v>0</v>
      </c>
      <c r="M1198" s="279">
        <f t="shared" si="76"/>
        <v>0</v>
      </c>
      <c r="O1198" s="279">
        <f t="shared" si="77"/>
        <v>0</v>
      </c>
      <c r="Q1198" s="279">
        <f t="shared" si="78"/>
        <v>0</v>
      </c>
      <c r="S1198" s="279">
        <f t="shared" si="79"/>
        <v>0</v>
      </c>
      <c r="U1198" s="385"/>
      <c r="V1198" s="385"/>
      <c r="W1198" s="385"/>
      <c r="X1198" s="385"/>
    </row>
    <row r="1199" spans="4:24" ht="14.4" collapsed="1" x14ac:dyDescent="0.3">
      <c r="D1199" s="420" t="s">
        <v>90</v>
      </c>
      <c r="E1199" s="421"/>
      <c r="F1199" s="421"/>
      <c r="G1199" s="421"/>
      <c r="I1199" s="40"/>
      <c r="K1199" s="40">
        <f>SUM(K1174:K1198)</f>
        <v>0</v>
      </c>
      <c r="M1199" s="40"/>
      <c r="O1199" s="40"/>
      <c r="Q1199" s="294">
        <f>SUM(Q1174:Q1198)</f>
        <v>0</v>
      </c>
      <c r="S1199" s="294">
        <f>SUM(S1174:S1198)</f>
        <v>0</v>
      </c>
    </row>
    <row r="1201" spans="2:23" ht="27.6" x14ac:dyDescent="0.3">
      <c r="Q1201" s="44" t="str">
        <f>"FINANCIAL COST ("&amp;INDEX(LU_ACT_10_Meet_Curr,DD_ACT_10_Meet1_Curr)&amp;")"</f>
        <v>FINANCIAL COST (GOZ)</v>
      </c>
      <c r="S1201" s="44" t="str">
        <f>"ECONOMIC COST ("&amp;INDEX(LU_ACT_10_Meet_Curr,DD_ACT_10_Meet1_Curr)&amp;")"</f>
        <v>ECONOMIC COST (GOZ)</v>
      </c>
      <c r="U1201" s="44" t="str">
        <f>"FINANCIAL COST ("&amp;IF(DD_ACT_10_Meet1_Curr=2,$D$1206,$D$1207)&amp;")"</f>
        <v>FINANCIAL COST (USD)</v>
      </c>
      <c r="W1201" s="44" t="str">
        <f>"ECONOMIC COST ("&amp;IF(DD_ACT_10_Meet1_Curr=2,$D$1206,$D$1207)&amp;")"</f>
        <v>ECONOMIC COST (USD)</v>
      </c>
    </row>
    <row r="1202" spans="2:23" ht="15" thickBot="1" x14ac:dyDescent="0.35">
      <c r="B1202" s="228" t="str">
        <f>"Total Estimated Costs -"&amp;B1051</f>
        <v>Total Estimated Costs -Social Mobilisation Activity #4 [not in use]</v>
      </c>
      <c r="Q1202" s="46">
        <f>SUM(Q1081,Q1110,Q1141,Q1170,Q1199)</f>
        <v>0</v>
      </c>
      <c r="S1202" s="46">
        <f>SUM(S1081,S1110,S1141,S1170,S1199)</f>
        <v>0</v>
      </c>
      <c r="U1202" s="47">
        <f>IFERROR(IF(DD_ACT_10_Meet1_Curr=2,$Q1202/$I$1207,$Q1202*$I$1207), 0)</f>
        <v>0</v>
      </c>
      <c r="W1202" s="47">
        <f>IFERROR(IF(DD_ACT_10_Meet1_Curr=2,$S1202/$I$1207,$S1202*$I$1207), 0)</f>
        <v>0</v>
      </c>
    </row>
    <row r="1203" spans="2:23" ht="14.4" thickTop="1" x14ac:dyDescent="0.3"/>
    <row r="1204" spans="2:23" x14ac:dyDescent="0.3">
      <c r="C1204" s="91" t="s">
        <v>584</v>
      </c>
    </row>
    <row r="1205" spans="2:23" hidden="1" outlineLevel="1" x14ac:dyDescent="0.3"/>
    <row r="1206" spans="2:23" ht="12.9" hidden="1" customHeight="1" outlineLevel="1" x14ac:dyDescent="0.3">
      <c r="D1206" s="422" t="str">
        <f>CURR_TA!D13</f>
        <v>USD</v>
      </c>
      <c r="E1206" s="423"/>
      <c r="F1206" s="423"/>
      <c r="G1206" s="423"/>
      <c r="I1206" s="279">
        <f>CURR_TA!J13</f>
        <v>1</v>
      </c>
      <c r="J1206" s="279">
        <f>CURR_TA!K13</f>
        <v>0</v>
      </c>
      <c r="K1206" s="279">
        <f>CURR_TA!L13</f>
        <v>0</v>
      </c>
      <c r="L1206" s="279">
        <f>CURR_TA!M13</f>
        <v>0</v>
      </c>
    </row>
    <row r="1207" spans="2:23" ht="12.9" hidden="1" customHeight="1" outlineLevel="1" x14ac:dyDescent="0.3">
      <c r="D1207" s="422" t="str">
        <f>CURR_TA!D14</f>
        <v>GOZ</v>
      </c>
      <c r="E1207" s="423"/>
      <c r="F1207" s="423"/>
      <c r="G1207" s="423"/>
      <c r="I1207" s="279">
        <f>CURR_TA!J14</f>
        <v>0</v>
      </c>
      <c r="J1207" s="279">
        <f>CURR_TA!K14</f>
        <v>0</v>
      </c>
      <c r="K1207" s="279">
        <f>CURR_TA!L14</f>
        <v>0</v>
      </c>
      <c r="L1207" s="279">
        <f>CURR_TA!M14</f>
        <v>0</v>
      </c>
    </row>
    <row r="1208" spans="2:23" collapsed="1" x14ac:dyDescent="0.3"/>
    <row r="1210" spans="2:23" x14ac:dyDescent="0.3">
      <c r="C1210" s="91" t="s">
        <v>590</v>
      </c>
    </row>
    <row r="1211" spans="2:23" hidden="1" outlineLevel="1" x14ac:dyDescent="0.3">
      <c r="M1211" s="40" t="str">
        <f>$D$1206</f>
        <v>USD</v>
      </c>
      <c r="O1211" s="40" t="str">
        <f>$D$1206</f>
        <v>USD</v>
      </c>
      <c r="Q1211" s="40" t="str">
        <f>$D$1207</f>
        <v>GOZ</v>
      </c>
      <c r="S1211" s="40" t="str">
        <f>$D$1207</f>
        <v>GOZ</v>
      </c>
    </row>
    <row r="1212" spans="2:23" hidden="1" outlineLevel="1" x14ac:dyDescent="0.3">
      <c r="C1212" s="89" t="str">
        <f>RES_BA!D14</f>
        <v>Personnel Cadre - Other 1</v>
      </c>
      <c r="M1212" s="40">
        <f>RES_BA!R14</f>
        <v>0</v>
      </c>
      <c r="O1212" s="40">
        <f>RES_BA!S14</f>
        <v>0</v>
      </c>
      <c r="Q1212" s="40">
        <f>RES_BA!T14</f>
        <v>0</v>
      </c>
      <c r="S1212" s="40">
        <f>RES_BA!U14</f>
        <v>0</v>
      </c>
    </row>
    <row r="1213" spans="2:23" hidden="1" outlineLevel="1" x14ac:dyDescent="0.3">
      <c r="C1213" s="89" t="str">
        <f>RES_BA!D15</f>
        <v>Personnel Cadre - Other 2</v>
      </c>
      <c r="M1213" s="40">
        <f>RES_BA!R15</f>
        <v>0</v>
      </c>
      <c r="O1213" s="40">
        <f>RES_BA!S15</f>
        <v>0</v>
      </c>
      <c r="Q1213" s="40">
        <f>RES_BA!T15</f>
        <v>0</v>
      </c>
      <c r="S1213" s="40">
        <f>RES_BA!U15</f>
        <v>0</v>
      </c>
    </row>
    <row r="1214" spans="2:23" hidden="1" outlineLevel="1" x14ac:dyDescent="0.3">
      <c r="C1214" s="89" t="str">
        <f>RES_BA!D16</f>
        <v>Personnel Cadre - Other 3</v>
      </c>
      <c r="M1214" s="40">
        <f>RES_BA!R16</f>
        <v>0</v>
      </c>
      <c r="O1214" s="40">
        <f>RES_BA!S16</f>
        <v>0</v>
      </c>
      <c r="Q1214" s="40">
        <f>RES_BA!T16</f>
        <v>0</v>
      </c>
      <c r="S1214" s="40">
        <f>RES_BA!U16</f>
        <v>0</v>
      </c>
    </row>
    <row r="1215" spans="2:23" hidden="1" outlineLevel="1" x14ac:dyDescent="0.3">
      <c r="C1215" s="89" t="str">
        <f>RES_BA!D17</f>
        <v>Personnel Cadre - Other 4</v>
      </c>
      <c r="M1215" s="40">
        <f>RES_BA!R17</f>
        <v>0</v>
      </c>
      <c r="O1215" s="40">
        <f>RES_BA!S17</f>
        <v>0</v>
      </c>
      <c r="Q1215" s="40">
        <f>RES_BA!T17</f>
        <v>0</v>
      </c>
      <c r="S1215" s="40">
        <f>RES_BA!U17</f>
        <v>0</v>
      </c>
    </row>
    <row r="1216" spans="2:23" hidden="1" outlineLevel="1" x14ac:dyDescent="0.3">
      <c r="C1216" s="89" t="str">
        <f>RES_BA!D18</f>
        <v>Personnel Cadre - Other 5</v>
      </c>
      <c r="M1216" s="40">
        <f>RES_BA!R18</f>
        <v>0</v>
      </c>
      <c r="O1216" s="40">
        <f>RES_BA!S18</f>
        <v>0</v>
      </c>
      <c r="Q1216" s="40">
        <f>RES_BA!T18</f>
        <v>0</v>
      </c>
      <c r="S1216" s="40">
        <f>RES_BA!U18</f>
        <v>0</v>
      </c>
    </row>
    <row r="1217" spans="3:19" hidden="1" outlineLevel="1" x14ac:dyDescent="0.3">
      <c r="C1217" s="89" t="str">
        <f>RES_BA!D19</f>
        <v>Personnel Cadre - Other 6</v>
      </c>
      <c r="M1217" s="40">
        <f>RES_BA!R19</f>
        <v>0</v>
      </c>
      <c r="O1217" s="40">
        <f>RES_BA!S19</f>
        <v>0</v>
      </c>
      <c r="Q1217" s="40">
        <f>RES_BA!T19</f>
        <v>0</v>
      </c>
      <c r="S1217" s="40">
        <f>RES_BA!U19</f>
        <v>0</v>
      </c>
    </row>
    <row r="1218" spans="3:19" hidden="1" outlineLevel="1" x14ac:dyDescent="0.3">
      <c r="C1218" s="89" t="str">
        <f>RES_BA!D20</f>
        <v>Personnel Cadre - Other 7</v>
      </c>
      <c r="M1218" s="40">
        <f>RES_BA!R20</f>
        <v>0</v>
      </c>
      <c r="O1218" s="40">
        <f>RES_BA!S20</f>
        <v>0</v>
      </c>
      <c r="Q1218" s="40">
        <f>RES_BA!T20</f>
        <v>0</v>
      </c>
      <c r="S1218" s="40">
        <f>RES_BA!U20</f>
        <v>0</v>
      </c>
    </row>
    <row r="1219" spans="3:19" hidden="1" outlineLevel="1" x14ac:dyDescent="0.3">
      <c r="C1219" s="89" t="str">
        <f>RES_BA!D21</f>
        <v>Personnel Cadre - Other 8</v>
      </c>
      <c r="M1219" s="40">
        <f>RES_BA!R21</f>
        <v>0</v>
      </c>
      <c r="O1219" s="40">
        <f>RES_BA!S21</f>
        <v>0</v>
      </c>
      <c r="Q1219" s="40">
        <f>RES_BA!T21</f>
        <v>0</v>
      </c>
      <c r="S1219" s="40">
        <f>RES_BA!U21</f>
        <v>0</v>
      </c>
    </row>
    <row r="1220" spans="3:19" hidden="1" outlineLevel="1" x14ac:dyDescent="0.3">
      <c r="C1220" s="89" t="str">
        <f>RES_BA!D22</f>
        <v>Personnel Cadre - Other 9</v>
      </c>
      <c r="M1220" s="40">
        <f>RES_BA!R22</f>
        <v>0</v>
      </c>
      <c r="O1220" s="40">
        <f>RES_BA!S22</f>
        <v>0</v>
      </c>
      <c r="Q1220" s="40">
        <f>RES_BA!T22</f>
        <v>0</v>
      </c>
      <c r="S1220" s="40">
        <f>RES_BA!U22</f>
        <v>0</v>
      </c>
    </row>
    <row r="1221" spans="3:19" hidden="1" outlineLevel="1" x14ac:dyDescent="0.3">
      <c r="C1221" s="89" t="str">
        <f>RES_BA!D23</f>
        <v>Personnel Cadre - Other 10</v>
      </c>
      <c r="M1221" s="40">
        <f>RES_BA!R23</f>
        <v>0</v>
      </c>
      <c r="O1221" s="40">
        <f>RES_BA!S23</f>
        <v>0</v>
      </c>
      <c r="Q1221" s="40">
        <f>RES_BA!T23</f>
        <v>0</v>
      </c>
      <c r="S1221" s="40">
        <f>RES_BA!U23</f>
        <v>0</v>
      </c>
    </row>
    <row r="1222" spans="3:19" hidden="1" outlineLevel="1" x14ac:dyDescent="0.3">
      <c r="C1222" s="89" t="str">
        <f>RES_BA!D24</f>
        <v>Personnel Cadre - Other 11</v>
      </c>
      <c r="M1222" s="40">
        <f>RES_BA!R24</f>
        <v>0</v>
      </c>
      <c r="O1222" s="40">
        <f>RES_BA!S24</f>
        <v>0</v>
      </c>
      <c r="Q1222" s="40">
        <f>RES_BA!T24</f>
        <v>0</v>
      </c>
      <c r="S1222" s="40">
        <f>RES_BA!U24</f>
        <v>0</v>
      </c>
    </row>
    <row r="1223" spans="3:19" hidden="1" outlineLevel="1" x14ac:dyDescent="0.3">
      <c r="C1223" s="89" t="str">
        <f>RES_BA!D25</f>
        <v>Personnel Cadre - Other 12</v>
      </c>
      <c r="M1223" s="40">
        <f>RES_BA!R25</f>
        <v>0</v>
      </c>
      <c r="O1223" s="40">
        <f>RES_BA!S25</f>
        <v>0</v>
      </c>
      <c r="Q1223" s="40">
        <f>RES_BA!T25</f>
        <v>0</v>
      </c>
      <c r="S1223" s="40">
        <f>RES_BA!U25</f>
        <v>0</v>
      </c>
    </row>
    <row r="1224" spans="3:19" hidden="1" outlineLevel="1" x14ac:dyDescent="0.3">
      <c r="C1224" s="89" t="str">
        <f>RES_BA!D26</f>
        <v>Personnel Cadre - Other 13</v>
      </c>
      <c r="M1224" s="40">
        <f>RES_BA!R26</f>
        <v>0</v>
      </c>
      <c r="O1224" s="40">
        <f>RES_BA!S26</f>
        <v>0</v>
      </c>
      <c r="Q1224" s="40">
        <f>RES_BA!T26</f>
        <v>0</v>
      </c>
      <c r="S1224" s="40">
        <f>RES_BA!U26</f>
        <v>0</v>
      </c>
    </row>
    <row r="1225" spans="3:19" hidden="1" outlineLevel="1" x14ac:dyDescent="0.3">
      <c r="C1225" s="89" t="str">
        <f>RES_BA!D27</f>
        <v>Personnel Cadre - Other 14</v>
      </c>
      <c r="M1225" s="40">
        <f>RES_BA!R27</f>
        <v>0</v>
      </c>
      <c r="O1225" s="40">
        <f>RES_BA!S27</f>
        <v>0</v>
      </c>
      <c r="Q1225" s="40">
        <f>RES_BA!T27</f>
        <v>0</v>
      </c>
      <c r="S1225" s="40">
        <f>RES_BA!U27</f>
        <v>0</v>
      </c>
    </row>
    <row r="1226" spans="3:19" hidden="1" outlineLevel="1" x14ac:dyDescent="0.3">
      <c r="C1226" s="89" t="str">
        <f>RES_BA!D28</f>
        <v>Personnel Cadre - Other 15</v>
      </c>
      <c r="M1226" s="40">
        <f>RES_BA!R28</f>
        <v>0</v>
      </c>
      <c r="O1226" s="40">
        <f>RES_BA!S28</f>
        <v>0</v>
      </c>
      <c r="Q1226" s="40">
        <f>RES_BA!T28</f>
        <v>0</v>
      </c>
      <c r="S1226" s="40">
        <f>RES_BA!U28</f>
        <v>0</v>
      </c>
    </row>
    <row r="1227" spans="3:19" s="277" customFormat="1" hidden="1" outlineLevel="1" collapsed="1" x14ac:dyDescent="0.3">
      <c r="C1227" s="283" t="str">
        <f>RES_BA!D29</f>
        <v>Personnel Cadre - Other 16</v>
      </c>
      <c r="M1227" s="279">
        <f>RES_BA!R29</f>
        <v>0</v>
      </c>
      <c r="O1227" s="279">
        <f>RES_BA!S29</f>
        <v>0</v>
      </c>
      <c r="Q1227" s="279">
        <f>RES_BA!T29</f>
        <v>0</v>
      </c>
      <c r="S1227" s="279">
        <f>RES_BA!U29</f>
        <v>0</v>
      </c>
    </row>
    <row r="1228" spans="3:19" s="277" customFormat="1" hidden="1" outlineLevel="1" collapsed="1" x14ac:dyDescent="0.3">
      <c r="C1228" s="283" t="str">
        <f>RES_BA!D30</f>
        <v>Personnel Cadre - Other 17</v>
      </c>
      <c r="M1228" s="279">
        <f>RES_BA!R30</f>
        <v>0</v>
      </c>
      <c r="O1228" s="279">
        <f>RES_BA!S30</f>
        <v>0</v>
      </c>
      <c r="Q1228" s="279">
        <f>RES_BA!T30</f>
        <v>0</v>
      </c>
      <c r="S1228" s="279">
        <f>RES_BA!U30</f>
        <v>0</v>
      </c>
    </row>
    <row r="1229" spans="3:19" s="277" customFormat="1" hidden="1" outlineLevel="1" collapsed="1" x14ac:dyDescent="0.3">
      <c r="C1229" s="283" t="str">
        <f>RES_BA!D31</f>
        <v>Personnel Cadre - Other 18</v>
      </c>
      <c r="M1229" s="279">
        <f>RES_BA!R31</f>
        <v>0</v>
      </c>
      <c r="O1229" s="279">
        <f>RES_BA!S31</f>
        <v>0</v>
      </c>
      <c r="Q1229" s="279">
        <f>RES_BA!T31</f>
        <v>0</v>
      </c>
      <c r="S1229" s="279">
        <f>RES_BA!U31</f>
        <v>0</v>
      </c>
    </row>
    <row r="1230" spans="3:19" s="277" customFormat="1" hidden="1" outlineLevel="1" x14ac:dyDescent="0.3">
      <c r="C1230" s="283" t="str">
        <f>RES_BA!D32</f>
        <v>Personnel Cadre - Other 19</v>
      </c>
      <c r="M1230" s="279">
        <f>RES_BA!R32</f>
        <v>0</v>
      </c>
      <c r="O1230" s="279">
        <f>RES_BA!S32</f>
        <v>0</v>
      </c>
      <c r="Q1230" s="279">
        <f>RES_BA!T32</f>
        <v>0</v>
      </c>
      <c r="S1230" s="279">
        <f>RES_BA!U32</f>
        <v>0</v>
      </c>
    </row>
    <row r="1231" spans="3:19" s="277" customFormat="1" hidden="1" outlineLevel="1" x14ac:dyDescent="0.3">
      <c r="C1231" s="283" t="str">
        <f>RES_BA!D33</f>
        <v>Personnel Cadre - Other 20</v>
      </c>
      <c r="M1231" s="279">
        <f>RES_BA!R33</f>
        <v>0</v>
      </c>
      <c r="O1231" s="279">
        <f>RES_BA!S33</f>
        <v>0</v>
      </c>
      <c r="Q1231" s="279">
        <f>RES_BA!T33</f>
        <v>0</v>
      </c>
      <c r="S1231" s="279">
        <f>RES_BA!U33</f>
        <v>0</v>
      </c>
    </row>
    <row r="1232" spans="3:19" s="277" customFormat="1" hidden="1" outlineLevel="1" collapsed="1" x14ac:dyDescent="0.3">
      <c r="C1232" s="283" t="str">
        <f>RES_BA!D34</f>
        <v>Personnel Cadre - Other 21</v>
      </c>
      <c r="M1232" s="279">
        <f>RES_BA!R34</f>
        <v>0</v>
      </c>
      <c r="O1232" s="279">
        <f>RES_BA!S34</f>
        <v>0</v>
      </c>
      <c r="Q1232" s="279">
        <f>RES_BA!T34</f>
        <v>0</v>
      </c>
      <c r="S1232" s="279">
        <f>RES_BA!U34</f>
        <v>0</v>
      </c>
    </row>
    <row r="1233" spans="3:19" s="277" customFormat="1" hidden="1" outlineLevel="1" x14ac:dyDescent="0.3">
      <c r="C1233" s="283" t="str">
        <f>RES_BA!D35</f>
        <v>Personnel Cadre - Other 22</v>
      </c>
      <c r="M1233" s="279">
        <f>RES_BA!R35</f>
        <v>0</v>
      </c>
      <c r="O1233" s="279">
        <f>RES_BA!S35</f>
        <v>0</v>
      </c>
      <c r="Q1233" s="279">
        <f>RES_BA!T35</f>
        <v>0</v>
      </c>
      <c r="S1233" s="279">
        <f>RES_BA!U35</f>
        <v>0</v>
      </c>
    </row>
    <row r="1234" spans="3:19" s="277" customFormat="1" hidden="1" outlineLevel="1" x14ac:dyDescent="0.3">
      <c r="C1234" s="283" t="str">
        <f>RES_BA!D36</f>
        <v>Personnel Cadre - Other 23</v>
      </c>
      <c r="M1234" s="279">
        <f>RES_BA!R36</f>
        <v>0</v>
      </c>
      <c r="O1234" s="279">
        <f>RES_BA!S36</f>
        <v>0</v>
      </c>
      <c r="Q1234" s="279">
        <f>RES_BA!T36</f>
        <v>0</v>
      </c>
      <c r="S1234" s="279">
        <f>RES_BA!U36</f>
        <v>0</v>
      </c>
    </row>
    <row r="1235" spans="3:19" s="277" customFormat="1" hidden="1" outlineLevel="1" x14ac:dyDescent="0.3">
      <c r="C1235" s="283" t="str">
        <f>RES_BA!D37</f>
        <v>Personnel Cadre - Other 24</v>
      </c>
      <c r="M1235" s="279">
        <f>RES_BA!R37</f>
        <v>0</v>
      </c>
      <c r="O1235" s="279">
        <f>RES_BA!S37</f>
        <v>0</v>
      </c>
      <c r="Q1235" s="279">
        <f>RES_BA!T37</f>
        <v>0</v>
      </c>
      <c r="S1235" s="279">
        <f>RES_BA!U37</f>
        <v>0</v>
      </c>
    </row>
    <row r="1236" spans="3:19" s="277" customFormat="1" hidden="1" outlineLevel="1" x14ac:dyDescent="0.3">
      <c r="C1236" s="283" t="str">
        <f>RES_BA!D38</f>
        <v>Personnel Cadre - Other 25</v>
      </c>
      <c r="M1236" s="279">
        <f>RES_BA!R38</f>
        <v>0</v>
      </c>
      <c r="O1236" s="279">
        <f>RES_BA!S38</f>
        <v>0</v>
      </c>
      <c r="Q1236" s="279">
        <f>RES_BA!T38</f>
        <v>0</v>
      </c>
      <c r="S1236" s="279">
        <f>RES_BA!U38</f>
        <v>0</v>
      </c>
    </row>
    <row r="1237" spans="3:19" s="277" customFormat="1" hidden="1" outlineLevel="1" x14ac:dyDescent="0.3">
      <c r="C1237" s="283" t="str">
        <f>RES_BA!D39</f>
        <v>Personnel Cadre - Other 26</v>
      </c>
      <c r="M1237" s="279">
        <f>RES_BA!R39</f>
        <v>0</v>
      </c>
      <c r="O1237" s="279">
        <f>RES_BA!S39</f>
        <v>0</v>
      </c>
      <c r="Q1237" s="279">
        <f>RES_BA!T39</f>
        <v>0</v>
      </c>
      <c r="S1237" s="279">
        <f>RES_BA!U39</f>
        <v>0</v>
      </c>
    </row>
    <row r="1238" spans="3:19" s="277" customFormat="1" hidden="1" outlineLevel="1" x14ac:dyDescent="0.3">
      <c r="C1238" s="283" t="str">
        <f>RES_BA!D40</f>
        <v>Personnel Cadre - Other 27</v>
      </c>
      <c r="M1238" s="279">
        <f>RES_BA!R40</f>
        <v>0</v>
      </c>
      <c r="O1238" s="279">
        <f>RES_BA!S40</f>
        <v>0</v>
      </c>
      <c r="Q1238" s="279">
        <f>RES_BA!T40</f>
        <v>0</v>
      </c>
      <c r="S1238" s="279">
        <f>RES_BA!U40</f>
        <v>0</v>
      </c>
    </row>
    <row r="1239" spans="3:19" s="277" customFormat="1" hidden="1" outlineLevel="1" x14ac:dyDescent="0.3">
      <c r="C1239" s="283" t="str">
        <f>RES_BA!D41</f>
        <v>Personnel Cadre - Other 28</v>
      </c>
      <c r="M1239" s="279">
        <f>RES_BA!R41</f>
        <v>0</v>
      </c>
      <c r="O1239" s="279">
        <f>RES_BA!S41</f>
        <v>0</v>
      </c>
      <c r="Q1239" s="279">
        <f>RES_BA!T41</f>
        <v>0</v>
      </c>
      <c r="S1239" s="279">
        <f>RES_BA!U41</f>
        <v>0</v>
      </c>
    </row>
    <row r="1240" spans="3:19" s="277" customFormat="1" hidden="1" outlineLevel="1" x14ac:dyDescent="0.3">
      <c r="C1240" s="283" t="str">
        <f>RES_BA!D42</f>
        <v>Personnel Cadre - Other 29</v>
      </c>
      <c r="M1240" s="279">
        <f>RES_BA!R42</f>
        <v>0</v>
      </c>
      <c r="O1240" s="279">
        <f>RES_BA!S42</f>
        <v>0</v>
      </c>
      <c r="Q1240" s="279">
        <f>RES_BA!T42</f>
        <v>0</v>
      </c>
      <c r="S1240" s="279">
        <f>RES_BA!U42</f>
        <v>0</v>
      </c>
    </row>
    <row r="1241" spans="3:19" s="277" customFormat="1" hidden="1" outlineLevel="1" x14ac:dyDescent="0.3">
      <c r="C1241" s="283" t="str">
        <f>RES_BA!D43</f>
        <v>Personnel Cadre - Other 30</v>
      </c>
      <c r="M1241" s="279">
        <f>RES_BA!R43</f>
        <v>0</v>
      </c>
      <c r="O1241" s="279">
        <f>RES_BA!S43</f>
        <v>0</v>
      </c>
      <c r="Q1241" s="279">
        <f>RES_BA!T43</f>
        <v>0</v>
      </c>
      <c r="S1241" s="279">
        <f>RES_BA!U43</f>
        <v>0</v>
      </c>
    </row>
    <row r="1242" spans="3:19" s="277" customFormat="1" hidden="1" outlineLevel="1" x14ac:dyDescent="0.3">
      <c r="C1242" s="283" t="str">
        <f>RES_BA!D44</f>
        <v>Personnel Cadre - Other 31</v>
      </c>
      <c r="M1242" s="279">
        <f>RES_BA!R44</f>
        <v>0</v>
      </c>
      <c r="O1242" s="279">
        <f>RES_BA!S44</f>
        <v>0</v>
      </c>
      <c r="Q1242" s="279">
        <f>RES_BA!T44</f>
        <v>0</v>
      </c>
      <c r="S1242" s="279">
        <f>RES_BA!U44</f>
        <v>0</v>
      </c>
    </row>
    <row r="1243" spans="3:19" s="277" customFormat="1" hidden="1" outlineLevel="1" x14ac:dyDescent="0.3">
      <c r="C1243" s="283" t="str">
        <f>RES_BA!D45</f>
        <v>Personnel Cadre - Other 32</v>
      </c>
      <c r="M1243" s="279">
        <f>RES_BA!R45</f>
        <v>0</v>
      </c>
      <c r="O1243" s="279">
        <f>RES_BA!S45</f>
        <v>0</v>
      </c>
      <c r="Q1243" s="279">
        <f>RES_BA!T45</f>
        <v>0</v>
      </c>
      <c r="S1243" s="279">
        <f>RES_BA!U45</f>
        <v>0</v>
      </c>
    </row>
    <row r="1244" spans="3:19" s="277" customFormat="1" hidden="1" outlineLevel="1" x14ac:dyDescent="0.3">
      <c r="C1244" s="283" t="str">
        <f>RES_BA!D46</f>
        <v>Personnel Cadre - Other 33</v>
      </c>
      <c r="M1244" s="279">
        <f>RES_BA!R46</f>
        <v>0</v>
      </c>
      <c r="O1244" s="279">
        <f>RES_BA!S46</f>
        <v>0</v>
      </c>
      <c r="Q1244" s="279">
        <f>RES_BA!T46</f>
        <v>0</v>
      </c>
      <c r="S1244" s="279">
        <f>RES_BA!U46</f>
        <v>0</v>
      </c>
    </row>
    <row r="1245" spans="3:19" s="277" customFormat="1" hidden="1" outlineLevel="1" x14ac:dyDescent="0.3">
      <c r="C1245" s="283" t="str">
        <f>RES_BA!D47</f>
        <v>Personnel Cadre - Other 34</v>
      </c>
      <c r="M1245" s="279">
        <f>RES_BA!R47</f>
        <v>0</v>
      </c>
      <c r="O1245" s="279">
        <f>RES_BA!S47</f>
        <v>0</v>
      </c>
      <c r="Q1245" s="279">
        <f>RES_BA!T47</f>
        <v>0</v>
      </c>
      <c r="S1245" s="279">
        <f>RES_BA!U47</f>
        <v>0</v>
      </c>
    </row>
    <row r="1246" spans="3:19" s="277" customFormat="1" hidden="1" outlineLevel="1" x14ac:dyDescent="0.3">
      <c r="C1246" s="283" t="str">
        <f>RES_BA!D48</f>
        <v>Personnel Cadre - Other 35</v>
      </c>
      <c r="M1246" s="279">
        <f>RES_BA!R48</f>
        <v>0</v>
      </c>
      <c r="O1246" s="279">
        <f>RES_BA!S48</f>
        <v>0</v>
      </c>
      <c r="Q1246" s="279">
        <f>RES_BA!T48</f>
        <v>0</v>
      </c>
      <c r="S1246" s="279">
        <f>RES_BA!U48</f>
        <v>0</v>
      </c>
    </row>
    <row r="1247" spans="3:19" hidden="1" outlineLevel="1" x14ac:dyDescent="0.3"/>
    <row r="1248" spans="3:19" hidden="1" outlineLevel="1" x14ac:dyDescent="0.3">
      <c r="M1248" s="40" t="str">
        <f>$D$1206</f>
        <v>USD</v>
      </c>
      <c r="O1248" s="40" t="str">
        <f>$D$1206</f>
        <v>USD</v>
      </c>
      <c r="Q1248" s="40" t="str">
        <f>$D$1207</f>
        <v>GOZ</v>
      </c>
      <c r="S1248" s="40" t="str">
        <f>$D$1207</f>
        <v>GOZ</v>
      </c>
    </row>
    <row r="1249" spans="3:19" hidden="1" outlineLevel="1" x14ac:dyDescent="0.3">
      <c r="C1249" s="89" t="str">
        <f>RES_BA!D53</f>
        <v>Allowances Category 1</v>
      </c>
      <c r="M1249" s="40">
        <f>RES_BA!R53</f>
        <v>0</v>
      </c>
      <c r="O1249" s="40">
        <f>RES_BA!S53</f>
        <v>0</v>
      </c>
      <c r="Q1249" s="40">
        <f>RES_BA!T53</f>
        <v>0</v>
      </c>
      <c r="S1249" s="40">
        <f>RES_BA!U53</f>
        <v>0</v>
      </c>
    </row>
    <row r="1250" spans="3:19" hidden="1" outlineLevel="1" x14ac:dyDescent="0.3">
      <c r="C1250" s="89" t="str">
        <f>RES_BA!D54</f>
        <v>Allowances Category 2</v>
      </c>
      <c r="M1250" s="40">
        <f>RES_BA!R54</f>
        <v>0</v>
      </c>
      <c r="O1250" s="40">
        <f>RES_BA!S54</f>
        <v>0</v>
      </c>
      <c r="Q1250" s="40">
        <f>RES_BA!T54</f>
        <v>0</v>
      </c>
      <c r="S1250" s="40">
        <f>RES_BA!U54</f>
        <v>0</v>
      </c>
    </row>
    <row r="1251" spans="3:19" hidden="1" outlineLevel="1" x14ac:dyDescent="0.3">
      <c r="C1251" s="89" t="str">
        <f>RES_BA!D55</f>
        <v>Allowances Category 3</v>
      </c>
      <c r="M1251" s="40">
        <f>RES_BA!R55</f>
        <v>0</v>
      </c>
      <c r="O1251" s="40">
        <f>RES_BA!S55</f>
        <v>0</v>
      </c>
      <c r="Q1251" s="40">
        <f>RES_BA!T55</f>
        <v>0</v>
      </c>
      <c r="S1251" s="40">
        <f>RES_BA!U55</f>
        <v>0</v>
      </c>
    </row>
    <row r="1252" spans="3:19" hidden="1" outlineLevel="1" x14ac:dyDescent="0.3">
      <c r="C1252" s="89" t="str">
        <f>RES_BA!D56</f>
        <v>Allowances Category 4</v>
      </c>
      <c r="M1252" s="40">
        <f>RES_BA!R56</f>
        <v>0</v>
      </c>
      <c r="O1252" s="40">
        <f>RES_BA!S56</f>
        <v>0</v>
      </c>
      <c r="Q1252" s="40">
        <f>RES_BA!T56</f>
        <v>0</v>
      </c>
      <c r="S1252" s="40">
        <f>RES_BA!U56</f>
        <v>0</v>
      </c>
    </row>
    <row r="1253" spans="3:19" hidden="1" outlineLevel="1" x14ac:dyDescent="0.3">
      <c r="C1253" s="89" t="str">
        <f>RES_BA!D57</f>
        <v>Allowances Category 5</v>
      </c>
      <c r="M1253" s="40">
        <f>RES_BA!R57</f>
        <v>0</v>
      </c>
      <c r="O1253" s="40">
        <f>RES_BA!S57</f>
        <v>0</v>
      </c>
      <c r="Q1253" s="40">
        <f>RES_BA!T57</f>
        <v>0</v>
      </c>
      <c r="S1253" s="40">
        <f>RES_BA!U57</f>
        <v>0</v>
      </c>
    </row>
    <row r="1254" spans="3:19" s="277" customFormat="1" hidden="1" outlineLevel="1" collapsed="1" x14ac:dyDescent="0.3">
      <c r="C1254" s="283" t="str">
        <f>RES_BA!D58</f>
        <v>Allowances Category 6</v>
      </c>
      <c r="M1254" s="279">
        <f>RES_BA!R58</f>
        <v>0</v>
      </c>
      <c r="O1254" s="279">
        <f>RES_BA!S58</f>
        <v>0</v>
      </c>
      <c r="Q1254" s="279">
        <f>RES_BA!T58</f>
        <v>0</v>
      </c>
      <c r="S1254" s="279">
        <f>RES_BA!U58</f>
        <v>0</v>
      </c>
    </row>
    <row r="1255" spans="3:19" s="277" customFormat="1" hidden="1" outlineLevel="1" x14ac:dyDescent="0.3">
      <c r="C1255" s="283" t="str">
        <f>RES_BA!D59</f>
        <v>Allowances Category 7</v>
      </c>
      <c r="M1255" s="279">
        <f>RES_BA!R59</f>
        <v>0</v>
      </c>
      <c r="O1255" s="279">
        <f>RES_BA!S59</f>
        <v>0</v>
      </c>
      <c r="Q1255" s="279">
        <f>RES_BA!T59</f>
        <v>0</v>
      </c>
      <c r="S1255" s="279">
        <f>RES_BA!U59</f>
        <v>0</v>
      </c>
    </row>
    <row r="1256" spans="3:19" s="277" customFormat="1" hidden="1" outlineLevel="1" x14ac:dyDescent="0.3">
      <c r="C1256" s="283" t="str">
        <f>RES_BA!D60</f>
        <v>Allowances Category 8</v>
      </c>
      <c r="M1256" s="279">
        <f>RES_BA!R60</f>
        <v>0</v>
      </c>
      <c r="O1256" s="279">
        <f>RES_BA!S60</f>
        <v>0</v>
      </c>
      <c r="Q1256" s="279">
        <f>RES_BA!T60</f>
        <v>0</v>
      </c>
      <c r="S1256" s="279">
        <f>RES_BA!U60</f>
        <v>0</v>
      </c>
    </row>
    <row r="1257" spans="3:19" s="277" customFormat="1" hidden="1" outlineLevel="1" x14ac:dyDescent="0.3">
      <c r="C1257" s="283" t="str">
        <f>RES_BA!D61</f>
        <v>Allowances Category 9</v>
      </c>
      <c r="M1257" s="279">
        <f>RES_BA!R61</f>
        <v>0</v>
      </c>
      <c r="O1257" s="279">
        <f>RES_BA!S61</f>
        <v>0</v>
      </c>
      <c r="Q1257" s="279">
        <f>RES_BA!T61</f>
        <v>0</v>
      </c>
      <c r="S1257" s="279">
        <f>RES_BA!U61</f>
        <v>0</v>
      </c>
    </row>
    <row r="1258" spans="3:19" s="277" customFormat="1" hidden="1" outlineLevel="1" x14ac:dyDescent="0.3">
      <c r="C1258" s="283" t="str">
        <f>RES_BA!D62</f>
        <v>Allowances Category 10</v>
      </c>
      <c r="M1258" s="279">
        <f>RES_BA!R62</f>
        <v>0</v>
      </c>
      <c r="O1258" s="279">
        <f>RES_BA!S62</f>
        <v>0</v>
      </c>
      <c r="Q1258" s="279">
        <f>RES_BA!T62</f>
        <v>0</v>
      </c>
      <c r="S1258" s="279">
        <f>RES_BA!U62</f>
        <v>0</v>
      </c>
    </row>
    <row r="1259" spans="3:19" s="277" customFormat="1" hidden="1" outlineLevel="1" x14ac:dyDescent="0.3">
      <c r="C1259" s="283" t="str">
        <f>RES_BA!D63</f>
        <v>Allowances Category 11</v>
      </c>
      <c r="M1259" s="279">
        <f>RES_BA!R63</f>
        <v>0</v>
      </c>
      <c r="O1259" s="279">
        <f>RES_BA!S63</f>
        <v>0</v>
      </c>
      <c r="Q1259" s="279">
        <f>RES_BA!T63</f>
        <v>0</v>
      </c>
      <c r="S1259" s="279">
        <f>RES_BA!U63</f>
        <v>0</v>
      </c>
    </row>
    <row r="1260" spans="3:19" s="277" customFormat="1" hidden="1" outlineLevel="1" x14ac:dyDescent="0.3">
      <c r="C1260" s="283" t="str">
        <f>RES_BA!D64</f>
        <v>Allowances Category 12</v>
      </c>
      <c r="M1260" s="279">
        <f>RES_BA!R64</f>
        <v>0</v>
      </c>
      <c r="O1260" s="279">
        <f>RES_BA!S64</f>
        <v>0</v>
      </c>
      <c r="Q1260" s="279">
        <f>RES_BA!T64</f>
        <v>0</v>
      </c>
      <c r="S1260" s="279">
        <f>RES_BA!U64</f>
        <v>0</v>
      </c>
    </row>
    <row r="1261" spans="3:19" s="277" customFormat="1" hidden="1" outlineLevel="1" x14ac:dyDescent="0.3">
      <c r="C1261" s="283" t="str">
        <f>RES_BA!D65</f>
        <v>Allowances Category 13</v>
      </c>
      <c r="M1261" s="279">
        <f>RES_BA!R65</f>
        <v>0</v>
      </c>
      <c r="O1261" s="279">
        <f>RES_BA!S65</f>
        <v>0</v>
      </c>
      <c r="Q1261" s="279">
        <f>RES_BA!T65</f>
        <v>0</v>
      </c>
      <c r="S1261" s="279">
        <f>RES_BA!U65</f>
        <v>0</v>
      </c>
    </row>
    <row r="1262" spans="3:19" s="277" customFormat="1" hidden="1" outlineLevel="1" x14ac:dyDescent="0.3">
      <c r="C1262" s="283" t="str">
        <f>RES_BA!D66</f>
        <v>Allowances Category 14</v>
      </c>
      <c r="M1262" s="279">
        <f>RES_BA!R66</f>
        <v>0</v>
      </c>
      <c r="O1262" s="279">
        <f>RES_BA!S66</f>
        <v>0</v>
      </c>
      <c r="Q1262" s="279">
        <f>RES_BA!T66</f>
        <v>0</v>
      </c>
      <c r="S1262" s="279">
        <f>RES_BA!U66</f>
        <v>0</v>
      </c>
    </row>
    <row r="1263" spans="3:19" s="277" customFormat="1" hidden="1" outlineLevel="1" x14ac:dyDescent="0.3">
      <c r="C1263" s="283" t="str">
        <f>RES_BA!D67</f>
        <v>Allowances Category 15</v>
      </c>
      <c r="M1263" s="279">
        <f>RES_BA!R67</f>
        <v>0</v>
      </c>
      <c r="O1263" s="279">
        <f>RES_BA!S67</f>
        <v>0</v>
      </c>
      <c r="Q1263" s="279">
        <f>RES_BA!T67</f>
        <v>0</v>
      </c>
      <c r="S1263" s="279">
        <f>RES_BA!U67</f>
        <v>0</v>
      </c>
    </row>
    <row r="1264" spans="3:19" s="277" customFormat="1" hidden="1" outlineLevel="1" x14ac:dyDescent="0.3">
      <c r="C1264" s="283" t="str">
        <f>RES_BA!D68</f>
        <v>Allowances Category 16</v>
      </c>
      <c r="M1264" s="279">
        <f>RES_BA!R68</f>
        <v>0</v>
      </c>
      <c r="O1264" s="279">
        <f>RES_BA!S68</f>
        <v>0</v>
      </c>
      <c r="Q1264" s="279">
        <f>RES_BA!T68</f>
        <v>0</v>
      </c>
      <c r="S1264" s="279">
        <f>RES_BA!U68</f>
        <v>0</v>
      </c>
    </row>
    <row r="1265" spans="3:19" hidden="1" outlineLevel="1" x14ac:dyDescent="0.3">
      <c r="C1265" s="89" t="str">
        <f>RES_BA!D69</f>
        <v>Allowances Category 17</v>
      </c>
      <c r="M1265" s="40">
        <f>RES_BA!R69</f>
        <v>0</v>
      </c>
      <c r="O1265" s="40">
        <f>RES_BA!S69</f>
        <v>0</v>
      </c>
      <c r="Q1265" s="40">
        <f>RES_BA!T69</f>
        <v>0</v>
      </c>
      <c r="S1265" s="40">
        <f>RES_BA!U69</f>
        <v>0</v>
      </c>
    </row>
    <row r="1266" spans="3:19" hidden="1" outlineLevel="1" x14ac:dyDescent="0.3">
      <c r="C1266" s="89" t="str">
        <f>RES_BA!D70</f>
        <v>Allowances Category 18</v>
      </c>
      <c r="M1266" s="40">
        <f>RES_BA!R70</f>
        <v>0</v>
      </c>
      <c r="O1266" s="40">
        <f>RES_BA!S70</f>
        <v>0</v>
      </c>
      <c r="Q1266" s="40">
        <f>RES_BA!T70</f>
        <v>0</v>
      </c>
      <c r="S1266" s="40">
        <f>RES_BA!U70</f>
        <v>0</v>
      </c>
    </row>
    <row r="1267" spans="3:19" hidden="1" outlineLevel="1" x14ac:dyDescent="0.3">
      <c r="C1267" s="89" t="str">
        <f>RES_BA!D71</f>
        <v>Allowances Category 19</v>
      </c>
      <c r="M1267" s="40">
        <f>RES_BA!R71</f>
        <v>0</v>
      </c>
      <c r="O1267" s="40">
        <f>RES_BA!S71</f>
        <v>0</v>
      </c>
      <c r="Q1267" s="40">
        <f>RES_BA!T71</f>
        <v>0</v>
      </c>
      <c r="S1267" s="40">
        <f>RES_BA!U71</f>
        <v>0</v>
      </c>
    </row>
    <row r="1268" spans="3:19" hidden="1" outlineLevel="1" x14ac:dyDescent="0.3">
      <c r="C1268" s="89" t="str">
        <f>RES_BA!D72</f>
        <v>Allowances Category 20</v>
      </c>
      <c r="M1268" s="40">
        <f>RES_BA!R72</f>
        <v>0</v>
      </c>
      <c r="O1268" s="40">
        <f>RES_BA!S72</f>
        <v>0</v>
      </c>
      <c r="Q1268" s="40">
        <f>RES_BA!T72</f>
        <v>0</v>
      </c>
      <c r="S1268" s="40">
        <f>RES_BA!U72</f>
        <v>0</v>
      </c>
    </row>
    <row r="1269" spans="3:19" hidden="1" outlineLevel="1" x14ac:dyDescent="0.3">
      <c r="C1269" s="89" t="str">
        <f>RES_BA!D73</f>
        <v>Allowances Category 21</v>
      </c>
      <c r="M1269" s="40">
        <f>RES_BA!R73</f>
        <v>0</v>
      </c>
      <c r="O1269" s="40">
        <f>RES_BA!S73</f>
        <v>0</v>
      </c>
      <c r="Q1269" s="40">
        <f>RES_BA!T73</f>
        <v>0</v>
      </c>
      <c r="S1269" s="40">
        <f>RES_BA!U73</f>
        <v>0</v>
      </c>
    </row>
    <row r="1270" spans="3:19" hidden="1" outlineLevel="1" x14ac:dyDescent="0.3">
      <c r="C1270" s="89" t="str">
        <f>RES_BA!D74</f>
        <v>Allowances Category 22</v>
      </c>
      <c r="M1270" s="40">
        <f>RES_BA!R74</f>
        <v>0</v>
      </c>
      <c r="O1270" s="40">
        <f>RES_BA!S74</f>
        <v>0</v>
      </c>
      <c r="Q1270" s="40">
        <f>RES_BA!T74</f>
        <v>0</v>
      </c>
      <c r="S1270" s="40">
        <f>RES_BA!U74</f>
        <v>0</v>
      </c>
    </row>
    <row r="1271" spans="3:19" hidden="1" outlineLevel="1" x14ac:dyDescent="0.3">
      <c r="C1271" s="89" t="str">
        <f>RES_BA!D75</f>
        <v>Allowances Category 23</v>
      </c>
      <c r="M1271" s="40">
        <f>RES_BA!R75</f>
        <v>0</v>
      </c>
      <c r="O1271" s="40">
        <f>RES_BA!S75</f>
        <v>0</v>
      </c>
      <c r="Q1271" s="40">
        <f>RES_BA!T75</f>
        <v>0</v>
      </c>
      <c r="S1271" s="40">
        <f>RES_BA!U75</f>
        <v>0</v>
      </c>
    </row>
    <row r="1272" spans="3:19" s="277" customFormat="1" hidden="1" outlineLevel="1" collapsed="1" x14ac:dyDescent="0.3">
      <c r="C1272" s="283" t="str">
        <f>RES_BA!D76</f>
        <v>Allowances Category 24</v>
      </c>
      <c r="M1272" s="279">
        <f>RES_BA!R76</f>
        <v>0</v>
      </c>
      <c r="O1272" s="279">
        <f>RES_BA!S76</f>
        <v>0</v>
      </c>
      <c r="Q1272" s="279">
        <f>RES_BA!T76</f>
        <v>0</v>
      </c>
      <c r="S1272" s="279">
        <f>RES_BA!U76</f>
        <v>0</v>
      </c>
    </row>
    <row r="1273" spans="3:19" s="277" customFormat="1" hidden="1" outlineLevel="1" x14ac:dyDescent="0.3">
      <c r="C1273" s="283" t="str">
        <f>RES_BA!D77</f>
        <v>Allowances Category 25</v>
      </c>
      <c r="M1273" s="279">
        <f>RES_BA!R77</f>
        <v>0</v>
      </c>
      <c r="O1273" s="279">
        <f>RES_BA!S77</f>
        <v>0</v>
      </c>
      <c r="Q1273" s="279">
        <f>RES_BA!T77</f>
        <v>0</v>
      </c>
      <c r="S1273" s="279">
        <f>RES_BA!U77</f>
        <v>0</v>
      </c>
    </row>
    <row r="1274" spans="3:19" s="277" customFormat="1" hidden="1" outlineLevel="1" x14ac:dyDescent="0.3">
      <c r="C1274" s="283" t="str">
        <f>RES_BA!D78</f>
        <v>Allowances Category 26</v>
      </c>
      <c r="M1274" s="279">
        <f>RES_BA!R78</f>
        <v>0</v>
      </c>
      <c r="O1274" s="279">
        <f>RES_BA!S78</f>
        <v>0</v>
      </c>
      <c r="Q1274" s="279">
        <f>RES_BA!T78</f>
        <v>0</v>
      </c>
      <c r="S1274" s="279">
        <f>RES_BA!U78</f>
        <v>0</v>
      </c>
    </row>
    <row r="1275" spans="3:19" s="277" customFormat="1" hidden="1" outlineLevel="1" x14ac:dyDescent="0.3">
      <c r="C1275" s="283" t="str">
        <f>RES_BA!D79</f>
        <v>Allowances Category 27</v>
      </c>
      <c r="M1275" s="279">
        <f>RES_BA!R79</f>
        <v>0</v>
      </c>
      <c r="O1275" s="279">
        <f>RES_BA!S79</f>
        <v>0</v>
      </c>
      <c r="Q1275" s="279">
        <f>RES_BA!T79</f>
        <v>0</v>
      </c>
      <c r="S1275" s="279">
        <f>RES_BA!U79</f>
        <v>0</v>
      </c>
    </row>
    <row r="1276" spans="3:19" s="277" customFormat="1" hidden="1" outlineLevel="1" x14ac:dyDescent="0.3">
      <c r="C1276" s="283" t="str">
        <f>RES_BA!D80</f>
        <v>Allowances Category 28</v>
      </c>
      <c r="M1276" s="279">
        <f>RES_BA!R80</f>
        <v>0</v>
      </c>
      <c r="O1276" s="279">
        <f>RES_BA!S80</f>
        <v>0</v>
      </c>
      <c r="Q1276" s="279">
        <f>RES_BA!T80</f>
        <v>0</v>
      </c>
      <c r="S1276" s="279">
        <f>RES_BA!U80</f>
        <v>0</v>
      </c>
    </row>
    <row r="1277" spans="3:19" s="277" customFormat="1" hidden="1" outlineLevel="1" x14ac:dyDescent="0.3">
      <c r="C1277" s="283" t="str">
        <f>RES_BA!D81</f>
        <v>Allowances Category 29</v>
      </c>
      <c r="M1277" s="279">
        <f>RES_BA!R81</f>
        <v>0</v>
      </c>
      <c r="O1277" s="279">
        <f>RES_BA!S81</f>
        <v>0</v>
      </c>
      <c r="Q1277" s="279">
        <f>RES_BA!T81</f>
        <v>0</v>
      </c>
      <c r="S1277" s="279">
        <f>RES_BA!U81</f>
        <v>0</v>
      </c>
    </row>
    <row r="1278" spans="3:19" s="277" customFormat="1" hidden="1" outlineLevel="1" x14ac:dyDescent="0.3">
      <c r="C1278" s="283" t="str">
        <f>RES_BA!D82</f>
        <v>Allowances Category 30</v>
      </c>
      <c r="M1278" s="279">
        <f>RES_BA!R82</f>
        <v>0</v>
      </c>
      <c r="O1278" s="279">
        <f>RES_BA!S82</f>
        <v>0</v>
      </c>
      <c r="Q1278" s="279">
        <f>RES_BA!T82</f>
        <v>0</v>
      </c>
      <c r="S1278" s="279">
        <f>RES_BA!U82</f>
        <v>0</v>
      </c>
    </row>
    <row r="1279" spans="3:19" hidden="1" outlineLevel="1" x14ac:dyDescent="0.3">
      <c r="C1279" s="89" t="str">
        <f>RES_BA!D83</f>
        <v>Allowances Category 31</v>
      </c>
      <c r="M1279" s="40">
        <f>RES_BA!R83</f>
        <v>0</v>
      </c>
      <c r="O1279" s="40">
        <f>RES_BA!S83</f>
        <v>0</v>
      </c>
      <c r="Q1279" s="40">
        <f>RES_BA!T83</f>
        <v>0</v>
      </c>
      <c r="S1279" s="40">
        <f>RES_BA!U83</f>
        <v>0</v>
      </c>
    </row>
    <row r="1280" spans="3:19" hidden="1" outlineLevel="1" x14ac:dyDescent="0.3">
      <c r="C1280" s="89" t="str">
        <f>RES_BA!D84</f>
        <v>Allowances Category 32</v>
      </c>
      <c r="M1280" s="40">
        <f>RES_BA!R84</f>
        <v>0</v>
      </c>
      <c r="O1280" s="40">
        <f>RES_BA!S84</f>
        <v>0</v>
      </c>
      <c r="Q1280" s="40">
        <f>RES_BA!T84</f>
        <v>0</v>
      </c>
      <c r="S1280" s="40">
        <f>RES_BA!U84</f>
        <v>0</v>
      </c>
    </row>
    <row r="1281" spans="3:19" hidden="1" outlineLevel="1" x14ac:dyDescent="0.3">
      <c r="C1281" s="89" t="str">
        <f>RES_BA!D85</f>
        <v>Allowances Category 33</v>
      </c>
      <c r="M1281" s="40">
        <f>RES_BA!R85</f>
        <v>0</v>
      </c>
      <c r="O1281" s="40">
        <f>RES_BA!S85</f>
        <v>0</v>
      </c>
      <c r="Q1281" s="40">
        <f>RES_BA!T85</f>
        <v>0</v>
      </c>
      <c r="S1281" s="40">
        <f>RES_BA!U85</f>
        <v>0</v>
      </c>
    </row>
    <row r="1282" spans="3:19" hidden="1" outlineLevel="1" x14ac:dyDescent="0.3">
      <c r="C1282" s="89" t="str">
        <f>RES_BA!D86</f>
        <v>Allowances Category 34</v>
      </c>
      <c r="M1282" s="40">
        <f>RES_BA!R86</f>
        <v>0</v>
      </c>
      <c r="O1282" s="40">
        <f>RES_BA!S86</f>
        <v>0</v>
      </c>
      <c r="Q1282" s="40">
        <f>RES_BA!T86</f>
        <v>0</v>
      </c>
      <c r="S1282" s="40">
        <f>RES_BA!U86</f>
        <v>0</v>
      </c>
    </row>
    <row r="1283" spans="3:19" hidden="1" outlineLevel="1" x14ac:dyDescent="0.3">
      <c r="C1283" s="89" t="str">
        <f>RES_BA!D87</f>
        <v>Allowances Category 35</v>
      </c>
      <c r="M1283" s="40">
        <f>RES_BA!R87</f>
        <v>0</v>
      </c>
      <c r="O1283" s="40">
        <f>RES_BA!S87</f>
        <v>0</v>
      </c>
      <c r="Q1283" s="40">
        <f>RES_BA!T87</f>
        <v>0</v>
      </c>
      <c r="S1283" s="40">
        <f>RES_BA!U87</f>
        <v>0</v>
      </c>
    </row>
    <row r="1284" spans="3:19" hidden="1" outlineLevel="1" x14ac:dyDescent="0.3">
      <c r="S1284" s="91" t="s">
        <v>595</v>
      </c>
    </row>
    <row r="1285" spans="3:19" hidden="1" outlineLevel="1" x14ac:dyDescent="0.3"/>
    <row r="1286" spans="3:19" hidden="1" outlineLevel="1" x14ac:dyDescent="0.3">
      <c r="M1286" s="40" t="str">
        <f>$D$1206</f>
        <v>USD</v>
      </c>
      <c r="O1286" s="40" t="str">
        <f>$D$1206</f>
        <v>USD</v>
      </c>
      <c r="Q1286" s="40" t="str">
        <f>$D$1207</f>
        <v>GOZ</v>
      </c>
      <c r="S1286" s="40" t="str">
        <f>$D$1207</f>
        <v>GOZ</v>
      </c>
    </row>
    <row r="1287" spans="3:19" hidden="1" outlineLevel="1" x14ac:dyDescent="0.3">
      <c r="C1287" s="89" t="str">
        <f>RES_BA!D91</f>
        <v>Supplies Category 1</v>
      </c>
      <c r="M1287" s="40">
        <f>RES_BA!R91</f>
        <v>0</v>
      </c>
      <c r="O1287" s="40">
        <f>RES_BA!S91</f>
        <v>0</v>
      </c>
      <c r="Q1287" s="40">
        <f>RES_BA!T91</f>
        <v>0</v>
      </c>
      <c r="S1287" s="40">
        <f>RES_BA!U91</f>
        <v>0</v>
      </c>
    </row>
    <row r="1288" spans="3:19" hidden="1" outlineLevel="1" x14ac:dyDescent="0.3">
      <c r="C1288" s="89" t="str">
        <f>RES_BA!D92</f>
        <v>Supplies Category 2</v>
      </c>
      <c r="M1288" s="40">
        <f>RES_BA!R92</f>
        <v>0</v>
      </c>
      <c r="O1288" s="40">
        <f>RES_BA!S92</f>
        <v>0</v>
      </c>
      <c r="Q1288" s="40">
        <f>RES_BA!T92</f>
        <v>0</v>
      </c>
      <c r="S1288" s="40">
        <f>RES_BA!U92</f>
        <v>0</v>
      </c>
    </row>
    <row r="1289" spans="3:19" hidden="1" outlineLevel="1" x14ac:dyDescent="0.3">
      <c r="C1289" s="89" t="str">
        <f>RES_BA!D93</f>
        <v>Supplies Category 3</v>
      </c>
      <c r="M1289" s="40">
        <f>RES_BA!R93</f>
        <v>0</v>
      </c>
      <c r="O1289" s="40">
        <f>RES_BA!S93</f>
        <v>0</v>
      </c>
      <c r="Q1289" s="40">
        <f>RES_BA!T93</f>
        <v>0</v>
      </c>
      <c r="S1289" s="40">
        <f>RES_BA!U93</f>
        <v>0</v>
      </c>
    </row>
    <row r="1290" spans="3:19" hidden="1" outlineLevel="1" x14ac:dyDescent="0.3">
      <c r="C1290" s="89" t="str">
        <f>RES_BA!D94</f>
        <v>Supplies Category 4</v>
      </c>
      <c r="M1290" s="40">
        <f>RES_BA!R94</f>
        <v>0</v>
      </c>
      <c r="O1290" s="40">
        <f>RES_BA!S94</f>
        <v>0</v>
      </c>
      <c r="Q1290" s="40">
        <f>RES_BA!T94</f>
        <v>0</v>
      </c>
      <c r="S1290" s="40">
        <f>RES_BA!U94</f>
        <v>0</v>
      </c>
    </row>
    <row r="1291" spans="3:19" hidden="1" outlineLevel="1" x14ac:dyDescent="0.3">
      <c r="C1291" s="89" t="str">
        <f>RES_BA!D95</f>
        <v>Supplies Category 5</v>
      </c>
      <c r="M1291" s="40">
        <f>RES_BA!R95</f>
        <v>0</v>
      </c>
      <c r="O1291" s="40">
        <f>RES_BA!S95</f>
        <v>0</v>
      </c>
      <c r="Q1291" s="40">
        <f>RES_BA!T95</f>
        <v>0</v>
      </c>
      <c r="S1291" s="40">
        <f>RES_BA!U95</f>
        <v>0</v>
      </c>
    </row>
    <row r="1292" spans="3:19" hidden="1" outlineLevel="1" x14ac:dyDescent="0.3">
      <c r="C1292" s="89" t="str">
        <f>RES_BA!D96</f>
        <v>Supplies Category 6</v>
      </c>
      <c r="M1292" s="40">
        <f>RES_BA!R96</f>
        <v>0</v>
      </c>
      <c r="O1292" s="40">
        <f>RES_BA!S96</f>
        <v>0</v>
      </c>
      <c r="Q1292" s="40">
        <f>RES_BA!T96</f>
        <v>0</v>
      </c>
      <c r="S1292" s="40">
        <f>RES_BA!U96</f>
        <v>0</v>
      </c>
    </row>
    <row r="1293" spans="3:19" hidden="1" outlineLevel="1" x14ac:dyDescent="0.3">
      <c r="C1293" s="89" t="str">
        <f>RES_BA!D97</f>
        <v>Supplies Category 7</v>
      </c>
      <c r="M1293" s="40">
        <f>RES_BA!R97</f>
        <v>0</v>
      </c>
      <c r="O1293" s="40">
        <f>RES_BA!S97</f>
        <v>0</v>
      </c>
      <c r="Q1293" s="40">
        <f>RES_BA!T97</f>
        <v>0</v>
      </c>
      <c r="S1293" s="40">
        <f>RES_BA!U97</f>
        <v>0</v>
      </c>
    </row>
    <row r="1294" spans="3:19" hidden="1" outlineLevel="1" x14ac:dyDescent="0.3">
      <c r="C1294" s="89" t="str">
        <f>RES_BA!D98</f>
        <v>Supplies Category 8</v>
      </c>
      <c r="M1294" s="40">
        <f>RES_BA!R98</f>
        <v>0</v>
      </c>
      <c r="O1294" s="40">
        <f>RES_BA!S98</f>
        <v>0</v>
      </c>
      <c r="Q1294" s="40">
        <f>RES_BA!T98</f>
        <v>0</v>
      </c>
      <c r="S1294" s="40">
        <f>RES_BA!U98</f>
        <v>0</v>
      </c>
    </row>
    <row r="1295" spans="3:19" hidden="1" outlineLevel="1" x14ac:dyDescent="0.3">
      <c r="C1295" s="89" t="str">
        <f>RES_BA!D99</f>
        <v>Supplies Category 9</v>
      </c>
      <c r="M1295" s="40">
        <f>RES_BA!R99</f>
        <v>0</v>
      </c>
      <c r="O1295" s="40">
        <f>RES_BA!S99</f>
        <v>0</v>
      </c>
      <c r="Q1295" s="40">
        <f>RES_BA!T99</f>
        <v>0</v>
      </c>
      <c r="S1295" s="40">
        <f>RES_BA!U99</f>
        <v>0</v>
      </c>
    </row>
    <row r="1296" spans="3:19" hidden="1" outlineLevel="1" x14ac:dyDescent="0.3">
      <c r="C1296" s="89" t="str">
        <f>RES_BA!D100</f>
        <v>Supplies Category 10</v>
      </c>
      <c r="M1296" s="40">
        <f>RES_BA!R100</f>
        <v>0</v>
      </c>
      <c r="O1296" s="40">
        <f>RES_BA!S100</f>
        <v>0</v>
      </c>
      <c r="Q1296" s="40">
        <f>RES_BA!T100</f>
        <v>0</v>
      </c>
      <c r="S1296" s="40">
        <f>RES_BA!U100</f>
        <v>0</v>
      </c>
    </row>
    <row r="1297" spans="3:19" hidden="1" outlineLevel="1" x14ac:dyDescent="0.3">
      <c r="C1297" s="89" t="str">
        <f>RES_BA!D101</f>
        <v>Supplies Category 11</v>
      </c>
      <c r="M1297" s="40">
        <f>RES_BA!R101</f>
        <v>0</v>
      </c>
      <c r="O1297" s="40">
        <f>RES_BA!S101</f>
        <v>0</v>
      </c>
      <c r="Q1297" s="40">
        <f>RES_BA!T101</f>
        <v>0</v>
      </c>
      <c r="S1297" s="40">
        <f>RES_BA!U101</f>
        <v>0</v>
      </c>
    </row>
    <row r="1298" spans="3:19" hidden="1" outlineLevel="1" x14ac:dyDescent="0.3">
      <c r="C1298" s="89" t="str">
        <f>RES_BA!D102</f>
        <v>Supplies Category 12</v>
      </c>
      <c r="M1298" s="40">
        <f>RES_BA!R102</f>
        <v>0</v>
      </c>
      <c r="O1298" s="40">
        <f>RES_BA!S102</f>
        <v>0</v>
      </c>
      <c r="Q1298" s="40">
        <f>RES_BA!T102</f>
        <v>0</v>
      </c>
      <c r="S1298" s="40">
        <f>RES_BA!U102</f>
        <v>0</v>
      </c>
    </row>
    <row r="1299" spans="3:19" hidden="1" outlineLevel="1" x14ac:dyDescent="0.3">
      <c r="C1299" s="89" t="str">
        <f>RES_BA!D103</f>
        <v>Supplies Category 13</v>
      </c>
      <c r="M1299" s="40">
        <f>RES_BA!R103</f>
        <v>0</v>
      </c>
      <c r="O1299" s="40">
        <f>RES_BA!S103</f>
        <v>0</v>
      </c>
      <c r="Q1299" s="40">
        <f>RES_BA!T103</f>
        <v>0</v>
      </c>
      <c r="S1299" s="40">
        <f>RES_BA!U103</f>
        <v>0</v>
      </c>
    </row>
    <row r="1300" spans="3:19" hidden="1" outlineLevel="1" x14ac:dyDescent="0.3">
      <c r="C1300" s="89" t="str">
        <f>RES_BA!D104</f>
        <v>Supplies Category 14</v>
      </c>
      <c r="M1300" s="40">
        <f>RES_BA!R104</f>
        <v>0</v>
      </c>
      <c r="O1300" s="40">
        <f>RES_BA!S104</f>
        <v>0</v>
      </c>
      <c r="Q1300" s="40">
        <f>RES_BA!T104</f>
        <v>0</v>
      </c>
      <c r="S1300" s="40">
        <f>RES_BA!U104</f>
        <v>0</v>
      </c>
    </row>
    <row r="1301" spans="3:19" hidden="1" outlineLevel="1" x14ac:dyDescent="0.3">
      <c r="C1301" s="89" t="str">
        <f>RES_BA!D105</f>
        <v>Supplies Category 15</v>
      </c>
      <c r="M1301" s="40">
        <f>RES_BA!R105</f>
        <v>0</v>
      </c>
      <c r="O1301" s="40">
        <f>RES_BA!S105</f>
        <v>0</v>
      </c>
      <c r="Q1301" s="40">
        <f>RES_BA!T105</f>
        <v>0</v>
      </c>
      <c r="S1301" s="40">
        <f>RES_BA!U105</f>
        <v>0</v>
      </c>
    </row>
    <row r="1302" spans="3:19" hidden="1" outlineLevel="1" x14ac:dyDescent="0.3">
      <c r="C1302" s="89" t="str">
        <f>RES_BA!D106</f>
        <v>Supplies Category 16</v>
      </c>
      <c r="M1302" s="40">
        <f>RES_BA!R106</f>
        <v>0</v>
      </c>
      <c r="O1302" s="40">
        <f>RES_BA!S106</f>
        <v>0</v>
      </c>
      <c r="Q1302" s="40">
        <f>RES_BA!T106</f>
        <v>0</v>
      </c>
      <c r="S1302" s="40">
        <f>RES_BA!U106</f>
        <v>0</v>
      </c>
    </row>
    <row r="1303" spans="3:19" s="277" customFormat="1" hidden="1" outlineLevel="1" collapsed="1" x14ac:dyDescent="0.3">
      <c r="C1303" s="283" t="str">
        <f>RES_BA!D107</f>
        <v>Supplies Category 17</v>
      </c>
      <c r="M1303" s="279">
        <f>RES_BA!R107</f>
        <v>0</v>
      </c>
      <c r="O1303" s="279">
        <f>RES_BA!S107</f>
        <v>0</v>
      </c>
      <c r="Q1303" s="279">
        <f>RES_BA!T107</f>
        <v>0</v>
      </c>
      <c r="S1303" s="279">
        <f>RES_BA!U107</f>
        <v>0</v>
      </c>
    </row>
    <row r="1304" spans="3:19" s="277" customFormat="1" hidden="1" outlineLevel="1" x14ac:dyDescent="0.3">
      <c r="C1304" s="283" t="str">
        <f>RES_BA!D108</f>
        <v>Supplies Category 18</v>
      </c>
      <c r="M1304" s="279">
        <f>RES_BA!R108</f>
        <v>0</v>
      </c>
      <c r="O1304" s="279">
        <f>RES_BA!S108</f>
        <v>0</v>
      </c>
      <c r="Q1304" s="279">
        <f>RES_BA!T108</f>
        <v>0</v>
      </c>
      <c r="S1304" s="279">
        <f>RES_BA!U108</f>
        <v>0</v>
      </c>
    </row>
    <row r="1305" spans="3:19" s="277" customFormat="1" hidden="1" outlineLevel="1" x14ac:dyDescent="0.3">
      <c r="C1305" s="283" t="str">
        <f>RES_BA!D109</f>
        <v>Supplies Category 19</v>
      </c>
      <c r="M1305" s="279">
        <f>RES_BA!R109</f>
        <v>0</v>
      </c>
      <c r="O1305" s="279">
        <f>RES_BA!S109</f>
        <v>0</v>
      </c>
      <c r="Q1305" s="279">
        <f>RES_BA!T109</f>
        <v>0</v>
      </c>
      <c r="S1305" s="279">
        <f>RES_BA!U109</f>
        <v>0</v>
      </c>
    </row>
    <row r="1306" spans="3:19" s="277" customFormat="1" hidden="1" outlineLevel="1" x14ac:dyDescent="0.3">
      <c r="C1306" s="283" t="str">
        <f>RES_BA!D110</f>
        <v>Supplies Category 20</v>
      </c>
      <c r="M1306" s="279">
        <f>RES_BA!R110</f>
        <v>0</v>
      </c>
      <c r="O1306" s="279">
        <f>RES_BA!S110</f>
        <v>0</v>
      </c>
      <c r="Q1306" s="279">
        <f>RES_BA!T110</f>
        <v>0</v>
      </c>
      <c r="S1306" s="279">
        <f>RES_BA!U110</f>
        <v>0</v>
      </c>
    </row>
    <row r="1307" spans="3:19" s="277" customFormat="1" hidden="1" outlineLevel="1" x14ac:dyDescent="0.3">
      <c r="C1307" s="283" t="str">
        <f>RES_BA!D111</f>
        <v>Supplies Category 21</v>
      </c>
      <c r="M1307" s="279">
        <f>RES_BA!R111</f>
        <v>0</v>
      </c>
      <c r="O1307" s="279">
        <f>RES_BA!S111</f>
        <v>0</v>
      </c>
      <c r="Q1307" s="279">
        <f>RES_BA!T111</f>
        <v>0</v>
      </c>
      <c r="S1307" s="279">
        <f>RES_BA!U111</f>
        <v>0</v>
      </c>
    </row>
    <row r="1308" spans="3:19" s="277" customFormat="1" hidden="1" outlineLevel="1" x14ac:dyDescent="0.3">
      <c r="C1308" s="283" t="str">
        <f>RES_BA!D112</f>
        <v>Supplies Category 22</v>
      </c>
      <c r="M1308" s="279">
        <f>RES_BA!R112</f>
        <v>0</v>
      </c>
      <c r="O1308" s="279">
        <f>RES_BA!S112</f>
        <v>0</v>
      </c>
      <c r="Q1308" s="279">
        <f>RES_BA!T112</f>
        <v>0</v>
      </c>
      <c r="S1308" s="279">
        <f>RES_BA!U112</f>
        <v>0</v>
      </c>
    </row>
    <row r="1309" spans="3:19" s="277" customFormat="1" hidden="1" outlineLevel="1" x14ac:dyDescent="0.3">
      <c r="C1309" s="283" t="str">
        <f>RES_BA!D113</f>
        <v>Supplies Category 23</v>
      </c>
      <c r="M1309" s="279">
        <f>RES_BA!R113</f>
        <v>0</v>
      </c>
      <c r="O1309" s="279">
        <f>RES_BA!S113</f>
        <v>0</v>
      </c>
      <c r="Q1309" s="279">
        <f>RES_BA!T113</f>
        <v>0</v>
      </c>
      <c r="S1309" s="279">
        <f>RES_BA!U113</f>
        <v>0</v>
      </c>
    </row>
    <row r="1310" spans="3:19" s="277" customFormat="1" hidden="1" outlineLevel="1" x14ac:dyDescent="0.3">
      <c r="C1310" s="283" t="str">
        <f>RES_BA!D114</f>
        <v>Supplies Category 24</v>
      </c>
      <c r="M1310" s="279">
        <f>RES_BA!R114</f>
        <v>0</v>
      </c>
      <c r="O1310" s="279">
        <f>RES_BA!S114</f>
        <v>0</v>
      </c>
      <c r="Q1310" s="279">
        <f>RES_BA!T114</f>
        <v>0</v>
      </c>
      <c r="S1310" s="279">
        <f>RES_BA!U114</f>
        <v>0</v>
      </c>
    </row>
    <row r="1311" spans="3:19" s="277" customFormat="1" hidden="1" outlineLevel="1" x14ac:dyDescent="0.3">
      <c r="C1311" s="283" t="str">
        <f>RES_BA!D115</f>
        <v>Supplies Category 25</v>
      </c>
      <c r="M1311" s="279">
        <f>RES_BA!R115</f>
        <v>0</v>
      </c>
      <c r="O1311" s="279">
        <f>RES_BA!S115</f>
        <v>0</v>
      </c>
      <c r="Q1311" s="279">
        <f>RES_BA!T115</f>
        <v>0</v>
      </c>
      <c r="S1311" s="279">
        <f>RES_BA!U115</f>
        <v>0</v>
      </c>
    </row>
    <row r="1312" spans="3:19" s="277" customFormat="1" hidden="1" outlineLevel="1" x14ac:dyDescent="0.3">
      <c r="C1312" s="283" t="str">
        <f>RES_BA!D116</f>
        <v>Supplies Category 26</v>
      </c>
      <c r="M1312" s="279">
        <f>RES_BA!R116</f>
        <v>0</v>
      </c>
      <c r="O1312" s="279">
        <f>RES_BA!S116</f>
        <v>0</v>
      </c>
      <c r="Q1312" s="279">
        <f>RES_BA!T116</f>
        <v>0</v>
      </c>
      <c r="S1312" s="279">
        <f>RES_BA!U116</f>
        <v>0</v>
      </c>
    </row>
    <row r="1313" spans="3:19" s="277" customFormat="1" hidden="1" outlineLevel="1" x14ac:dyDescent="0.3">
      <c r="C1313" s="283" t="str">
        <f>RES_BA!D117</f>
        <v>Supplies Category 27</v>
      </c>
      <c r="M1313" s="279">
        <f>RES_BA!R117</f>
        <v>0</v>
      </c>
      <c r="O1313" s="279">
        <f>RES_BA!S117</f>
        <v>0</v>
      </c>
      <c r="Q1313" s="279">
        <f>RES_BA!T117</f>
        <v>0</v>
      </c>
      <c r="S1313" s="279">
        <f>RES_BA!U117</f>
        <v>0</v>
      </c>
    </row>
    <row r="1314" spans="3:19" s="277" customFormat="1" hidden="1" outlineLevel="1" x14ac:dyDescent="0.3">
      <c r="C1314" s="283" t="str">
        <f>RES_BA!D118</f>
        <v>Supplies Category 28</v>
      </c>
      <c r="M1314" s="279">
        <f>RES_BA!R118</f>
        <v>0</v>
      </c>
      <c r="O1314" s="279">
        <f>RES_BA!S118</f>
        <v>0</v>
      </c>
      <c r="Q1314" s="279">
        <f>RES_BA!T118</f>
        <v>0</v>
      </c>
      <c r="S1314" s="279">
        <f>RES_BA!U118</f>
        <v>0</v>
      </c>
    </row>
    <row r="1315" spans="3:19" s="277" customFormat="1" hidden="1" outlineLevel="1" x14ac:dyDescent="0.3">
      <c r="C1315" s="283" t="str">
        <f>RES_BA!D119</f>
        <v>Supplies Category 29</v>
      </c>
      <c r="M1315" s="279">
        <f>RES_BA!R119</f>
        <v>0</v>
      </c>
      <c r="O1315" s="279">
        <f>RES_BA!S119</f>
        <v>0</v>
      </c>
      <c r="Q1315" s="279">
        <f>RES_BA!T119</f>
        <v>0</v>
      </c>
      <c r="S1315" s="279">
        <f>RES_BA!U119</f>
        <v>0</v>
      </c>
    </row>
    <row r="1316" spans="3:19" s="277" customFormat="1" hidden="1" outlineLevel="1" collapsed="1" x14ac:dyDescent="0.3">
      <c r="C1316" s="283" t="str">
        <f>RES_BA!D120</f>
        <v>Supplies Category 30</v>
      </c>
      <c r="M1316" s="279">
        <f>RES_BA!R120</f>
        <v>0</v>
      </c>
      <c r="O1316" s="279">
        <f>RES_BA!S120</f>
        <v>0</v>
      </c>
      <c r="Q1316" s="279">
        <f>RES_BA!T120</f>
        <v>0</v>
      </c>
      <c r="S1316" s="279">
        <f>RES_BA!U120</f>
        <v>0</v>
      </c>
    </row>
    <row r="1317" spans="3:19" s="277" customFormat="1" hidden="1" outlineLevel="1" x14ac:dyDescent="0.3">
      <c r="C1317" s="283" t="str">
        <f>RES_BA!D121</f>
        <v>Supplies Category 31</v>
      </c>
      <c r="M1317" s="279">
        <f>RES_BA!R121</f>
        <v>0</v>
      </c>
      <c r="O1317" s="279">
        <f>RES_BA!S121</f>
        <v>0</v>
      </c>
      <c r="Q1317" s="279">
        <f>RES_BA!T121</f>
        <v>0</v>
      </c>
      <c r="S1317" s="279">
        <f>RES_BA!U121</f>
        <v>0</v>
      </c>
    </row>
    <row r="1318" spans="3:19" s="277" customFormat="1" hidden="1" outlineLevel="1" x14ac:dyDescent="0.3">
      <c r="C1318" s="283" t="str">
        <f>RES_BA!D122</f>
        <v>Supplies Category 32</v>
      </c>
      <c r="M1318" s="279">
        <f>RES_BA!R122</f>
        <v>0</v>
      </c>
      <c r="O1318" s="279">
        <f>RES_BA!S122</f>
        <v>0</v>
      </c>
      <c r="Q1318" s="279">
        <f>RES_BA!T122</f>
        <v>0</v>
      </c>
      <c r="S1318" s="279">
        <f>RES_BA!U122</f>
        <v>0</v>
      </c>
    </row>
    <row r="1319" spans="3:19" s="277" customFormat="1" hidden="1" outlineLevel="1" x14ac:dyDescent="0.3">
      <c r="C1319" s="283" t="str">
        <f>RES_BA!D123</f>
        <v>Supplies Category 33</v>
      </c>
      <c r="M1319" s="279">
        <f>RES_BA!R123</f>
        <v>0</v>
      </c>
      <c r="O1319" s="279">
        <f>RES_BA!S123</f>
        <v>0</v>
      </c>
      <c r="Q1319" s="279">
        <f>RES_BA!T123</f>
        <v>0</v>
      </c>
      <c r="S1319" s="279">
        <f>RES_BA!U123</f>
        <v>0</v>
      </c>
    </row>
    <row r="1320" spans="3:19" s="277" customFormat="1" hidden="1" outlineLevel="1" x14ac:dyDescent="0.3">
      <c r="C1320" s="283" t="str">
        <f>RES_BA!D124</f>
        <v>Supplies Category 34</v>
      </c>
      <c r="M1320" s="279">
        <f>RES_BA!R124</f>
        <v>0</v>
      </c>
      <c r="O1320" s="279">
        <f>RES_BA!S124</f>
        <v>0</v>
      </c>
      <c r="Q1320" s="279">
        <f>RES_BA!T124</f>
        <v>0</v>
      </c>
      <c r="S1320" s="279">
        <f>RES_BA!U124</f>
        <v>0</v>
      </c>
    </row>
    <row r="1321" spans="3:19" s="277" customFormat="1" hidden="1" outlineLevel="1" x14ac:dyDescent="0.3">
      <c r="C1321" s="283" t="str">
        <f>RES_BA!D125</f>
        <v>Supplies Category 35</v>
      </c>
      <c r="M1321" s="279">
        <f>RES_BA!R125</f>
        <v>0</v>
      </c>
      <c r="O1321" s="279">
        <f>RES_BA!S125</f>
        <v>0</v>
      </c>
      <c r="Q1321" s="279">
        <f>RES_BA!T125</f>
        <v>0</v>
      </c>
      <c r="S1321" s="279">
        <f>RES_BA!U125</f>
        <v>0</v>
      </c>
    </row>
    <row r="1322" spans="3:19" hidden="1" outlineLevel="1" x14ac:dyDescent="0.3"/>
    <row r="1323" spans="3:19" hidden="1" outlineLevel="1" x14ac:dyDescent="0.3">
      <c r="M1323" s="40" t="str">
        <f>$D$1206</f>
        <v>USD</v>
      </c>
      <c r="O1323" s="40" t="str">
        <f>$D$1206</f>
        <v>USD</v>
      </c>
      <c r="Q1323" s="40" t="str">
        <f>$D$1207</f>
        <v>GOZ</v>
      </c>
      <c r="S1323" s="40" t="str">
        <f>$D$1207</f>
        <v>GOZ</v>
      </c>
    </row>
    <row r="1324" spans="3:19" hidden="1" outlineLevel="1" x14ac:dyDescent="0.3">
      <c r="C1324" s="89" t="str">
        <f>RES_BA!D130</f>
        <v>Equipment Category 1</v>
      </c>
      <c r="M1324" s="40">
        <f>RES_BA!R130</f>
        <v>0</v>
      </c>
      <c r="O1324" s="40">
        <f>RES_BA!S130</f>
        <v>0</v>
      </c>
      <c r="Q1324" s="40">
        <f>RES_BA!T130</f>
        <v>0</v>
      </c>
      <c r="S1324" s="40">
        <f>RES_BA!U130</f>
        <v>0</v>
      </c>
    </row>
    <row r="1325" spans="3:19" hidden="1" outlineLevel="1" x14ac:dyDescent="0.3">
      <c r="C1325" s="89" t="str">
        <f>RES_BA!D131</f>
        <v>Equipment Category 2</v>
      </c>
      <c r="M1325" s="40">
        <f>RES_BA!R131</f>
        <v>0</v>
      </c>
      <c r="O1325" s="40">
        <f>RES_BA!S131</f>
        <v>0</v>
      </c>
      <c r="Q1325" s="40">
        <f>RES_BA!T131</f>
        <v>0</v>
      </c>
      <c r="S1325" s="40">
        <f>RES_BA!U131</f>
        <v>0</v>
      </c>
    </row>
    <row r="1326" spans="3:19" hidden="1" outlineLevel="1" x14ac:dyDescent="0.3">
      <c r="C1326" s="89" t="str">
        <f>RES_BA!D132</f>
        <v>Equipment Category 3</v>
      </c>
      <c r="M1326" s="40">
        <f>RES_BA!R132</f>
        <v>0</v>
      </c>
      <c r="O1326" s="40">
        <f>RES_BA!S132</f>
        <v>0</v>
      </c>
      <c r="Q1326" s="40">
        <f>RES_BA!T132</f>
        <v>0</v>
      </c>
      <c r="S1326" s="40">
        <f>RES_BA!U132</f>
        <v>0</v>
      </c>
    </row>
    <row r="1327" spans="3:19" hidden="1" outlineLevel="1" x14ac:dyDescent="0.3">
      <c r="C1327" s="89" t="str">
        <f>RES_BA!D133</f>
        <v>Equipment Category 4</v>
      </c>
      <c r="M1327" s="40">
        <f>RES_BA!R133</f>
        <v>0</v>
      </c>
      <c r="O1327" s="40">
        <f>RES_BA!S133</f>
        <v>0</v>
      </c>
      <c r="Q1327" s="40">
        <f>RES_BA!T133</f>
        <v>0</v>
      </c>
      <c r="S1327" s="40">
        <f>RES_BA!U133</f>
        <v>0</v>
      </c>
    </row>
    <row r="1328" spans="3:19" hidden="1" outlineLevel="1" x14ac:dyDescent="0.3">
      <c r="C1328" s="89" t="str">
        <f>RES_BA!D134</f>
        <v>Equipment Category 5</v>
      </c>
      <c r="M1328" s="40">
        <f>RES_BA!R134</f>
        <v>0</v>
      </c>
      <c r="O1328" s="40">
        <f>RES_BA!S134</f>
        <v>0</v>
      </c>
      <c r="Q1328" s="40">
        <f>RES_BA!T134</f>
        <v>0</v>
      </c>
      <c r="S1328" s="40">
        <f>RES_BA!U134</f>
        <v>0</v>
      </c>
    </row>
    <row r="1329" spans="3:19" hidden="1" outlineLevel="1" x14ac:dyDescent="0.3">
      <c r="C1329" s="89" t="str">
        <f>RES_BA!D135</f>
        <v>Equipment Category 6</v>
      </c>
      <c r="M1329" s="40">
        <f>RES_BA!R135</f>
        <v>0</v>
      </c>
      <c r="O1329" s="40">
        <f>RES_BA!S135</f>
        <v>0</v>
      </c>
      <c r="Q1329" s="40">
        <f>RES_BA!T135</f>
        <v>0</v>
      </c>
      <c r="S1329" s="40">
        <f>RES_BA!U135</f>
        <v>0</v>
      </c>
    </row>
    <row r="1330" spans="3:19" s="277" customFormat="1" hidden="1" outlineLevel="1" collapsed="1" x14ac:dyDescent="0.3">
      <c r="C1330" s="283" t="str">
        <f>RES_BA!D136</f>
        <v>Equipment Category 7</v>
      </c>
      <c r="M1330" s="279">
        <f>RES_BA!R136</f>
        <v>0</v>
      </c>
      <c r="O1330" s="279">
        <f>RES_BA!S136</f>
        <v>0</v>
      </c>
      <c r="Q1330" s="279">
        <f>RES_BA!T136</f>
        <v>0</v>
      </c>
      <c r="S1330" s="279">
        <f>RES_BA!U136</f>
        <v>0</v>
      </c>
    </row>
    <row r="1331" spans="3:19" s="277" customFormat="1" hidden="1" outlineLevel="1" x14ac:dyDescent="0.3">
      <c r="C1331" s="283" t="str">
        <f>RES_BA!D137</f>
        <v>Equipment Category 8</v>
      </c>
      <c r="M1331" s="279">
        <f>RES_BA!R137</f>
        <v>0</v>
      </c>
      <c r="O1331" s="279">
        <f>RES_BA!S137</f>
        <v>0</v>
      </c>
      <c r="Q1331" s="279">
        <f>RES_BA!T137</f>
        <v>0</v>
      </c>
      <c r="S1331" s="279">
        <f>RES_BA!U137</f>
        <v>0</v>
      </c>
    </row>
    <row r="1332" spans="3:19" s="277" customFormat="1" hidden="1" outlineLevel="1" x14ac:dyDescent="0.3">
      <c r="C1332" s="283" t="str">
        <f>RES_BA!D138</f>
        <v>Equipment Category 9</v>
      </c>
      <c r="M1332" s="279">
        <f>RES_BA!R138</f>
        <v>0</v>
      </c>
      <c r="O1332" s="279">
        <f>RES_BA!S138</f>
        <v>0</v>
      </c>
      <c r="Q1332" s="279">
        <f>RES_BA!T138</f>
        <v>0</v>
      </c>
      <c r="S1332" s="279">
        <f>RES_BA!U138</f>
        <v>0</v>
      </c>
    </row>
    <row r="1333" spans="3:19" s="277" customFormat="1" hidden="1" outlineLevel="1" x14ac:dyDescent="0.3">
      <c r="C1333" s="283" t="str">
        <f>RES_BA!D139</f>
        <v>Equipment Category 10</v>
      </c>
      <c r="M1333" s="279">
        <f>RES_BA!R139</f>
        <v>0</v>
      </c>
      <c r="O1333" s="279">
        <f>RES_BA!S139</f>
        <v>0</v>
      </c>
      <c r="Q1333" s="279">
        <f>RES_BA!T139</f>
        <v>0</v>
      </c>
      <c r="S1333" s="279">
        <f>RES_BA!U139</f>
        <v>0</v>
      </c>
    </row>
    <row r="1334" spans="3:19" s="277" customFormat="1" hidden="1" outlineLevel="1" x14ac:dyDescent="0.3">
      <c r="C1334" s="283" t="str">
        <f>RES_BA!D140</f>
        <v>Equipment Category 11</v>
      </c>
      <c r="M1334" s="279">
        <f>RES_BA!R140</f>
        <v>0</v>
      </c>
      <c r="O1334" s="279">
        <f>RES_BA!S140</f>
        <v>0</v>
      </c>
      <c r="Q1334" s="279">
        <f>RES_BA!T140</f>
        <v>0</v>
      </c>
      <c r="S1334" s="279">
        <f>RES_BA!U140</f>
        <v>0</v>
      </c>
    </row>
    <row r="1335" spans="3:19" s="277" customFormat="1" hidden="1" outlineLevel="1" x14ac:dyDescent="0.3">
      <c r="C1335" s="283" t="str">
        <f>RES_BA!D141</f>
        <v>Equipment Category 12</v>
      </c>
      <c r="M1335" s="279">
        <f>RES_BA!R141</f>
        <v>0</v>
      </c>
      <c r="O1335" s="279">
        <f>RES_BA!S141</f>
        <v>0</v>
      </c>
      <c r="Q1335" s="279">
        <f>RES_BA!T141</f>
        <v>0</v>
      </c>
      <c r="S1335" s="279">
        <f>RES_BA!U141</f>
        <v>0</v>
      </c>
    </row>
    <row r="1336" spans="3:19" s="277" customFormat="1" hidden="1" outlineLevel="1" collapsed="1" x14ac:dyDescent="0.3">
      <c r="C1336" s="283" t="str">
        <f>RES_BA!D142</f>
        <v>Equipment Category 13</v>
      </c>
      <c r="M1336" s="279">
        <f>RES_BA!R142</f>
        <v>0</v>
      </c>
      <c r="O1336" s="279">
        <f>RES_BA!S142</f>
        <v>0</v>
      </c>
      <c r="Q1336" s="279">
        <f>RES_BA!T142</f>
        <v>0</v>
      </c>
      <c r="S1336" s="279">
        <f>RES_BA!U142</f>
        <v>0</v>
      </c>
    </row>
    <row r="1337" spans="3:19" s="277" customFormat="1" hidden="1" outlineLevel="1" x14ac:dyDescent="0.3">
      <c r="C1337" s="283" t="str">
        <f>RES_BA!D143</f>
        <v>Equipment Category 14</v>
      </c>
      <c r="M1337" s="279">
        <f>RES_BA!R143</f>
        <v>0</v>
      </c>
      <c r="O1337" s="279">
        <f>RES_BA!S143</f>
        <v>0</v>
      </c>
      <c r="Q1337" s="279">
        <f>RES_BA!T143</f>
        <v>0</v>
      </c>
      <c r="S1337" s="279">
        <f>RES_BA!U143</f>
        <v>0</v>
      </c>
    </row>
    <row r="1338" spans="3:19" s="277" customFormat="1" hidden="1" outlineLevel="1" x14ac:dyDescent="0.3">
      <c r="C1338" s="283" t="str">
        <f>RES_BA!D144</f>
        <v>Equipment Category 15</v>
      </c>
      <c r="M1338" s="279">
        <f>RES_BA!R144</f>
        <v>0</v>
      </c>
      <c r="O1338" s="279">
        <f>RES_BA!S144</f>
        <v>0</v>
      </c>
      <c r="Q1338" s="279">
        <f>RES_BA!T144</f>
        <v>0</v>
      </c>
      <c r="S1338" s="279">
        <f>RES_BA!U144</f>
        <v>0</v>
      </c>
    </row>
    <row r="1339" spans="3:19" s="277" customFormat="1" hidden="1" outlineLevel="1" x14ac:dyDescent="0.3">
      <c r="C1339" s="283" t="str">
        <f>RES_BA!D145</f>
        <v>Equipment Category 16</v>
      </c>
      <c r="M1339" s="279">
        <f>RES_BA!R145</f>
        <v>0</v>
      </c>
      <c r="O1339" s="279">
        <f>RES_BA!S145</f>
        <v>0</v>
      </c>
      <c r="Q1339" s="279">
        <f>RES_BA!T145</f>
        <v>0</v>
      </c>
      <c r="S1339" s="279">
        <f>RES_BA!U145</f>
        <v>0</v>
      </c>
    </row>
    <row r="1340" spans="3:19" s="277" customFormat="1" hidden="1" outlineLevel="1" x14ac:dyDescent="0.3">
      <c r="C1340" s="283" t="str">
        <f>RES_BA!D146</f>
        <v>Equipment Category 17</v>
      </c>
      <c r="M1340" s="279">
        <f>RES_BA!R146</f>
        <v>0</v>
      </c>
      <c r="O1340" s="279">
        <f>RES_BA!S146</f>
        <v>0</v>
      </c>
      <c r="Q1340" s="279">
        <f>RES_BA!T146</f>
        <v>0</v>
      </c>
      <c r="S1340" s="279">
        <f>RES_BA!U146</f>
        <v>0</v>
      </c>
    </row>
    <row r="1341" spans="3:19" s="277" customFormat="1" hidden="1" outlineLevel="1" x14ac:dyDescent="0.3">
      <c r="C1341" s="283" t="str">
        <f>RES_BA!D147</f>
        <v>Equipment Category 18</v>
      </c>
      <c r="M1341" s="279">
        <f>RES_BA!R147</f>
        <v>0</v>
      </c>
      <c r="O1341" s="279">
        <f>RES_BA!S147</f>
        <v>0</v>
      </c>
      <c r="Q1341" s="279">
        <f>RES_BA!T147</f>
        <v>0</v>
      </c>
      <c r="S1341" s="279">
        <f>RES_BA!U147</f>
        <v>0</v>
      </c>
    </row>
    <row r="1342" spans="3:19" s="277" customFormat="1" hidden="1" outlineLevel="1" x14ac:dyDescent="0.3">
      <c r="C1342" s="283" t="str">
        <f>RES_BA!D148</f>
        <v>Equipment Category 19</v>
      </c>
      <c r="M1342" s="279">
        <f>RES_BA!R148</f>
        <v>0</v>
      </c>
      <c r="O1342" s="279">
        <f>RES_BA!S148</f>
        <v>0</v>
      </c>
      <c r="Q1342" s="279">
        <f>RES_BA!T148</f>
        <v>0</v>
      </c>
      <c r="S1342" s="279">
        <f>RES_BA!U148</f>
        <v>0</v>
      </c>
    </row>
    <row r="1343" spans="3:19" s="277" customFormat="1" hidden="1" outlineLevel="1" x14ac:dyDescent="0.3">
      <c r="C1343" s="283" t="str">
        <f>RES_BA!D149</f>
        <v>Equipment Category 20</v>
      </c>
      <c r="M1343" s="279">
        <f>RES_BA!R149</f>
        <v>0</v>
      </c>
      <c r="O1343" s="279">
        <f>RES_BA!S149</f>
        <v>0</v>
      </c>
      <c r="Q1343" s="279">
        <f>RES_BA!T149</f>
        <v>0</v>
      </c>
      <c r="S1343" s="279">
        <f>RES_BA!U149</f>
        <v>0</v>
      </c>
    </row>
    <row r="1344" spans="3:19" s="277" customFormat="1" hidden="1" outlineLevel="1" x14ac:dyDescent="0.3">
      <c r="C1344" s="283" t="str">
        <f>RES_BA!D150</f>
        <v>Equipment Category 21</v>
      </c>
      <c r="M1344" s="279">
        <f>RES_BA!R150</f>
        <v>0</v>
      </c>
      <c r="O1344" s="279">
        <f>RES_BA!S150</f>
        <v>0</v>
      </c>
      <c r="Q1344" s="279">
        <f>RES_BA!T150</f>
        <v>0</v>
      </c>
      <c r="S1344" s="279">
        <f>RES_BA!U150</f>
        <v>0</v>
      </c>
    </row>
    <row r="1345" spans="3:19" s="277" customFormat="1" hidden="1" outlineLevel="1" x14ac:dyDescent="0.3">
      <c r="C1345" s="283" t="str">
        <f>RES_BA!D151</f>
        <v>Equipment Category 22</v>
      </c>
      <c r="M1345" s="279">
        <f>RES_BA!R151</f>
        <v>0</v>
      </c>
      <c r="O1345" s="279">
        <f>RES_BA!S151</f>
        <v>0</v>
      </c>
      <c r="Q1345" s="279">
        <f>RES_BA!T151</f>
        <v>0</v>
      </c>
      <c r="S1345" s="279">
        <f>RES_BA!U151</f>
        <v>0</v>
      </c>
    </row>
    <row r="1346" spans="3:19" s="277" customFormat="1" hidden="1" outlineLevel="1" x14ac:dyDescent="0.3">
      <c r="C1346" s="283" t="str">
        <f>RES_BA!D152</f>
        <v>Equipment Category 23</v>
      </c>
      <c r="M1346" s="279">
        <f>RES_BA!R152</f>
        <v>0</v>
      </c>
      <c r="O1346" s="279">
        <f>RES_BA!S152</f>
        <v>0</v>
      </c>
      <c r="Q1346" s="279">
        <f>RES_BA!T152</f>
        <v>0</v>
      </c>
      <c r="S1346" s="279">
        <f>RES_BA!U152</f>
        <v>0</v>
      </c>
    </row>
    <row r="1347" spans="3:19" s="277" customFormat="1" hidden="1" outlineLevel="1" collapsed="1" x14ac:dyDescent="0.3">
      <c r="C1347" s="283" t="str">
        <f>RES_BA!D153</f>
        <v>Equipment Category 24</v>
      </c>
      <c r="M1347" s="279">
        <f>RES_BA!R153</f>
        <v>0</v>
      </c>
      <c r="O1347" s="279">
        <f>RES_BA!S153</f>
        <v>0</v>
      </c>
      <c r="Q1347" s="279">
        <f>RES_BA!T153</f>
        <v>0</v>
      </c>
      <c r="S1347" s="279">
        <f>RES_BA!U153</f>
        <v>0</v>
      </c>
    </row>
    <row r="1348" spans="3:19" s="277" customFormat="1" hidden="1" outlineLevel="1" x14ac:dyDescent="0.3">
      <c r="C1348" s="283" t="str">
        <f>RES_BA!D154</f>
        <v>Equipment Category 25</v>
      </c>
      <c r="M1348" s="279">
        <f>RES_BA!R154</f>
        <v>0</v>
      </c>
      <c r="O1348" s="279">
        <f>RES_BA!S154</f>
        <v>0</v>
      </c>
      <c r="Q1348" s="279">
        <f>RES_BA!T154</f>
        <v>0</v>
      </c>
      <c r="S1348" s="279">
        <f>RES_BA!U154</f>
        <v>0</v>
      </c>
    </row>
    <row r="1349" spans="3:19" s="277" customFormat="1" hidden="1" outlineLevel="1" x14ac:dyDescent="0.3">
      <c r="C1349" s="283" t="str">
        <f>RES_BA!D155</f>
        <v>Equipment Category 26</v>
      </c>
      <c r="M1349" s="279">
        <f>RES_BA!R155</f>
        <v>0</v>
      </c>
      <c r="O1349" s="279">
        <f>RES_BA!S155</f>
        <v>0</v>
      </c>
      <c r="Q1349" s="279">
        <f>RES_BA!T155</f>
        <v>0</v>
      </c>
      <c r="S1349" s="279">
        <f>RES_BA!U155</f>
        <v>0</v>
      </c>
    </row>
    <row r="1350" spans="3:19" s="277" customFormat="1" hidden="1" outlineLevel="1" x14ac:dyDescent="0.3">
      <c r="C1350" s="283" t="str">
        <f>RES_BA!D156</f>
        <v>Equipment Category 27</v>
      </c>
      <c r="M1350" s="279">
        <f>RES_BA!R156</f>
        <v>0</v>
      </c>
      <c r="O1350" s="279">
        <f>RES_BA!S156</f>
        <v>0</v>
      </c>
      <c r="Q1350" s="279">
        <f>RES_BA!T156</f>
        <v>0</v>
      </c>
      <c r="S1350" s="279">
        <f>RES_BA!U156</f>
        <v>0</v>
      </c>
    </row>
    <row r="1351" spans="3:19" s="277" customFormat="1" hidden="1" outlineLevel="1" x14ac:dyDescent="0.3">
      <c r="C1351" s="283" t="str">
        <f>RES_BA!D157</f>
        <v>Equipment Category 28</v>
      </c>
      <c r="M1351" s="279">
        <f>RES_BA!R157</f>
        <v>0</v>
      </c>
      <c r="O1351" s="279">
        <f>RES_BA!S157</f>
        <v>0</v>
      </c>
      <c r="Q1351" s="279">
        <f>RES_BA!T157</f>
        <v>0</v>
      </c>
      <c r="S1351" s="279">
        <f>RES_BA!U157</f>
        <v>0</v>
      </c>
    </row>
    <row r="1352" spans="3:19" s="277" customFormat="1" hidden="1" outlineLevel="1" x14ac:dyDescent="0.3">
      <c r="C1352" s="283" t="str">
        <f>RES_BA!D158</f>
        <v>Equipment Category 29</v>
      </c>
      <c r="M1352" s="279">
        <f>RES_BA!R158</f>
        <v>0</v>
      </c>
      <c r="O1352" s="279">
        <f>RES_BA!S158</f>
        <v>0</v>
      </c>
      <c r="Q1352" s="279">
        <f>RES_BA!T158</f>
        <v>0</v>
      </c>
      <c r="S1352" s="279">
        <f>RES_BA!U158</f>
        <v>0</v>
      </c>
    </row>
    <row r="1353" spans="3:19" s="277" customFormat="1" hidden="1" outlineLevel="1" x14ac:dyDescent="0.3">
      <c r="C1353" s="283" t="str">
        <f>RES_BA!D159</f>
        <v>Equipment Category 30</v>
      </c>
      <c r="M1353" s="279">
        <f>RES_BA!R159</f>
        <v>0</v>
      </c>
      <c r="O1353" s="279">
        <f>RES_BA!S159</f>
        <v>0</v>
      </c>
      <c r="Q1353" s="279">
        <f>RES_BA!T159</f>
        <v>0</v>
      </c>
      <c r="S1353" s="279">
        <f>RES_BA!U159</f>
        <v>0</v>
      </c>
    </row>
    <row r="1354" spans="3:19" s="277" customFormat="1" hidden="1" outlineLevel="1" x14ac:dyDescent="0.3">
      <c r="C1354" s="283" t="str">
        <f>RES_BA!D160</f>
        <v>Equipment Category 31</v>
      </c>
      <c r="M1354" s="279">
        <f>RES_BA!R160</f>
        <v>0</v>
      </c>
      <c r="O1354" s="279">
        <f>RES_BA!S160</f>
        <v>0</v>
      </c>
      <c r="Q1354" s="279">
        <f>RES_BA!T160</f>
        <v>0</v>
      </c>
      <c r="S1354" s="279">
        <f>RES_BA!U160</f>
        <v>0</v>
      </c>
    </row>
    <row r="1355" spans="3:19" s="277" customFormat="1" hidden="1" outlineLevel="1" x14ac:dyDescent="0.3">
      <c r="C1355" s="283" t="str">
        <f>RES_BA!D161</f>
        <v>Equipment Category 32</v>
      </c>
      <c r="M1355" s="279">
        <f>RES_BA!R161</f>
        <v>0</v>
      </c>
      <c r="O1355" s="279">
        <f>RES_BA!S161</f>
        <v>0</v>
      </c>
      <c r="Q1355" s="279">
        <f>RES_BA!T161</f>
        <v>0</v>
      </c>
      <c r="S1355" s="279">
        <f>RES_BA!U161</f>
        <v>0</v>
      </c>
    </row>
    <row r="1356" spans="3:19" s="277" customFormat="1" hidden="1" outlineLevel="1" x14ac:dyDescent="0.3">
      <c r="C1356" s="283" t="str">
        <f>RES_BA!D162</f>
        <v>Equipment Category 33</v>
      </c>
      <c r="M1356" s="279">
        <f>RES_BA!R162</f>
        <v>0</v>
      </c>
      <c r="O1356" s="279">
        <f>RES_BA!S162</f>
        <v>0</v>
      </c>
      <c r="Q1356" s="279">
        <f>RES_BA!T162</f>
        <v>0</v>
      </c>
      <c r="S1356" s="279">
        <f>RES_BA!U162</f>
        <v>0</v>
      </c>
    </row>
    <row r="1357" spans="3:19" s="277" customFormat="1" hidden="1" outlineLevel="1" collapsed="1" x14ac:dyDescent="0.3">
      <c r="C1357" s="283" t="str">
        <f>RES_BA!D163</f>
        <v>Equipment Category 34</v>
      </c>
      <c r="M1357" s="279">
        <f>RES_BA!R163</f>
        <v>0</v>
      </c>
      <c r="O1357" s="279">
        <f>RES_BA!S163</f>
        <v>0</v>
      </c>
      <c r="Q1357" s="279">
        <f>RES_BA!T163</f>
        <v>0</v>
      </c>
      <c r="S1357" s="279">
        <f>RES_BA!U163</f>
        <v>0</v>
      </c>
    </row>
    <row r="1358" spans="3:19" s="277" customFormat="1" hidden="1" outlineLevel="1" x14ac:dyDescent="0.3">
      <c r="C1358" s="283" t="str">
        <f>RES_BA!D164</f>
        <v>Equipment Category 35</v>
      </c>
      <c r="M1358" s="279">
        <f>RES_BA!R164</f>
        <v>0</v>
      </c>
      <c r="O1358" s="279">
        <f>RES_BA!S164</f>
        <v>0</v>
      </c>
      <c r="Q1358" s="279">
        <f>RES_BA!T164</f>
        <v>0</v>
      </c>
      <c r="S1358" s="279">
        <f>RES_BA!U164</f>
        <v>0</v>
      </c>
    </row>
    <row r="1359" spans="3:19" hidden="1" outlineLevel="1" x14ac:dyDescent="0.3"/>
    <row r="1360" spans="3:19" hidden="1" outlineLevel="1" x14ac:dyDescent="0.3"/>
    <row r="1361" spans="3:19" hidden="1" outlineLevel="1" x14ac:dyDescent="0.3">
      <c r="M1361" s="40" t="str">
        <f>$D$1206</f>
        <v>USD</v>
      </c>
      <c r="O1361" s="40" t="str">
        <f>$D$1206</f>
        <v>USD</v>
      </c>
      <c r="Q1361" s="40" t="str">
        <f>$D$1207</f>
        <v>GOZ</v>
      </c>
      <c r="S1361" s="40" t="str">
        <f>$D$1207</f>
        <v>GOZ</v>
      </c>
    </row>
    <row r="1362" spans="3:19" hidden="1" outlineLevel="1" x14ac:dyDescent="0.3">
      <c r="C1362" s="89" t="str">
        <f>RES_BA!D169</f>
        <v>Other Direct Costs Category 1</v>
      </c>
      <c r="M1362" s="40">
        <f>RES_BA!R169</f>
        <v>0</v>
      </c>
      <c r="O1362" s="40">
        <f>RES_BA!S169</f>
        <v>0</v>
      </c>
      <c r="Q1362" s="40">
        <f>RES_BA!T169</f>
        <v>0</v>
      </c>
      <c r="S1362" s="40">
        <f>RES_BA!U169</f>
        <v>0</v>
      </c>
    </row>
    <row r="1363" spans="3:19" hidden="1" outlineLevel="1" x14ac:dyDescent="0.3">
      <c r="C1363" s="89" t="str">
        <f>RES_BA!D170</f>
        <v>Other Direct Costs Category 2</v>
      </c>
      <c r="M1363" s="40">
        <f>RES_BA!R170</f>
        <v>0</v>
      </c>
      <c r="O1363" s="40">
        <f>RES_BA!S170</f>
        <v>0</v>
      </c>
      <c r="Q1363" s="40">
        <f>RES_BA!T170</f>
        <v>0</v>
      </c>
      <c r="S1363" s="40">
        <f>RES_BA!U170</f>
        <v>0</v>
      </c>
    </row>
    <row r="1364" spans="3:19" hidden="1" outlineLevel="1" x14ac:dyDescent="0.3">
      <c r="C1364" s="89" t="str">
        <f>RES_BA!D171</f>
        <v>Other Direct Costs Category 3</v>
      </c>
      <c r="M1364" s="40">
        <f>RES_BA!R171</f>
        <v>0</v>
      </c>
      <c r="O1364" s="40">
        <f>RES_BA!S171</f>
        <v>0</v>
      </c>
      <c r="Q1364" s="40">
        <f>RES_BA!T171</f>
        <v>0</v>
      </c>
      <c r="S1364" s="40">
        <f>RES_BA!U171</f>
        <v>0</v>
      </c>
    </row>
    <row r="1365" spans="3:19" hidden="1" outlineLevel="1" collapsed="1" x14ac:dyDescent="0.3">
      <c r="C1365" s="289" t="str">
        <f>RES_BA!D172</f>
        <v>Other Direct Costs Category 4</v>
      </c>
      <c r="M1365" s="290">
        <f>RES_BA!R172</f>
        <v>0</v>
      </c>
      <c r="O1365" s="290">
        <f>RES_BA!S172</f>
        <v>0</v>
      </c>
      <c r="Q1365" s="290">
        <f>RES_BA!T172</f>
        <v>0</v>
      </c>
      <c r="S1365" s="290">
        <f>RES_BA!U172</f>
        <v>0</v>
      </c>
    </row>
    <row r="1366" spans="3:19" hidden="1" outlineLevel="1" x14ac:dyDescent="0.3">
      <c r="C1366" s="289" t="str">
        <f>RES_BA!D173</f>
        <v>Other Direct Costs Category 5</v>
      </c>
      <c r="M1366" s="290">
        <f>RES_BA!R173</f>
        <v>0</v>
      </c>
      <c r="O1366" s="290">
        <f>RES_BA!S173</f>
        <v>0</v>
      </c>
      <c r="Q1366" s="290">
        <f>RES_BA!T173</f>
        <v>0</v>
      </c>
      <c r="S1366" s="290">
        <f>RES_BA!U173</f>
        <v>0</v>
      </c>
    </row>
    <row r="1367" spans="3:19" hidden="1" outlineLevel="1" x14ac:dyDescent="0.3">
      <c r="C1367" s="289" t="str">
        <f>RES_BA!D174</f>
        <v>Other Direct Costs Category 6</v>
      </c>
      <c r="M1367" s="290">
        <f>RES_BA!R174</f>
        <v>0</v>
      </c>
      <c r="O1367" s="290">
        <f>RES_BA!S174</f>
        <v>0</v>
      </c>
      <c r="Q1367" s="290">
        <f>RES_BA!T174</f>
        <v>0</v>
      </c>
      <c r="S1367" s="290">
        <f>RES_BA!U174</f>
        <v>0</v>
      </c>
    </row>
    <row r="1368" spans="3:19" hidden="1" outlineLevel="1" x14ac:dyDescent="0.3">
      <c r="C1368" s="289" t="str">
        <f>RES_BA!D175</f>
        <v>Other Direct Costs Category 7</v>
      </c>
      <c r="M1368" s="290">
        <f>RES_BA!R175</f>
        <v>0</v>
      </c>
      <c r="O1368" s="290">
        <f>RES_BA!S175</f>
        <v>0</v>
      </c>
      <c r="Q1368" s="290">
        <f>RES_BA!T175</f>
        <v>0</v>
      </c>
      <c r="S1368" s="290">
        <f>RES_BA!U175</f>
        <v>0</v>
      </c>
    </row>
    <row r="1369" spans="3:19" hidden="1" outlineLevel="1" x14ac:dyDescent="0.3">
      <c r="C1369" s="289" t="str">
        <f>RES_BA!D176</f>
        <v>Other Direct Costs Category 8</v>
      </c>
      <c r="M1369" s="290">
        <f>RES_BA!R176</f>
        <v>0</v>
      </c>
      <c r="O1369" s="290">
        <f>RES_BA!S176</f>
        <v>0</v>
      </c>
      <c r="Q1369" s="290">
        <f>RES_BA!T176</f>
        <v>0</v>
      </c>
      <c r="S1369" s="290">
        <f>RES_BA!U176</f>
        <v>0</v>
      </c>
    </row>
    <row r="1370" spans="3:19" hidden="1" outlineLevel="1" x14ac:dyDescent="0.3">
      <c r="C1370" s="289" t="str">
        <f>RES_BA!D177</f>
        <v>Other Direct Costs Category 9</v>
      </c>
      <c r="M1370" s="290">
        <f>RES_BA!R177</f>
        <v>0</v>
      </c>
      <c r="O1370" s="290">
        <f>RES_BA!S177</f>
        <v>0</v>
      </c>
      <c r="Q1370" s="290">
        <f>RES_BA!T177</f>
        <v>0</v>
      </c>
      <c r="S1370" s="290">
        <f>RES_BA!U177</f>
        <v>0</v>
      </c>
    </row>
    <row r="1371" spans="3:19" hidden="1" outlineLevel="1" x14ac:dyDescent="0.3">
      <c r="C1371" s="289" t="str">
        <f>RES_BA!D178</f>
        <v>Other Direct Costs Category 10</v>
      </c>
      <c r="M1371" s="290">
        <f>RES_BA!R178</f>
        <v>0</v>
      </c>
      <c r="O1371" s="290">
        <f>RES_BA!S178</f>
        <v>0</v>
      </c>
      <c r="Q1371" s="290">
        <f>RES_BA!T178</f>
        <v>0</v>
      </c>
      <c r="S1371" s="290">
        <f>RES_BA!U178</f>
        <v>0</v>
      </c>
    </row>
    <row r="1372" spans="3:19" hidden="1" outlineLevel="1" x14ac:dyDescent="0.3">
      <c r="C1372" s="289" t="str">
        <f>RES_BA!D179</f>
        <v>Other Direct Costs Category 11</v>
      </c>
      <c r="M1372" s="290">
        <f>RES_BA!R179</f>
        <v>0</v>
      </c>
      <c r="O1372" s="290">
        <f>RES_BA!S179</f>
        <v>0</v>
      </c>
      <c r="Q1372" s="290">
        <f>RES_BA!T179</f>
        <v>0</v>
      </c>
      <c r="S1372" s="290">
        <f>RES_BA!U179</f>
        <v>0</v>
      </c>
    </row>
    <row r="1373" spans="3:19" s="277" customFormat="1" hidden="1" outlineLevel="1" collapsed="1" x14ac:dyDescent="0.3">
      <c r="C1373" s="283" t="str">
        <f>RES_BA!D180</f>
        <v>Other Direct Costs Category 12</v>
      </c>
      <c r="M1373" s="279">
        <f>RES_BA!R180</f>
        <v>0</v>
      </c>
      <c r="O1373" s="279">
        <f>RES_BA!S180</f>
        <v>0</v>
      </c>
      <c r="Q1373" s="279">
        <f>RES_BA!T180</f>
        <v>0</v>
      </c>
      <c r="S1373" s="279">
        <f>RES_BA!U180</f>
        <v>0</v>
      </c>
    </row>
    <row r="1374" spans="3:19" s="277" customFormat="1" hidden="1" outlineLevel="1" x14ac:dyDescent="0.3">
      <c r="C1374" s="283" t="str">
        <f>RES_BA!D181</f>
        <v>Other Direct Costs Category 13</v>
      </c>
      <c r="M1374" s="279">
        <f>RES_BA!R181</f>
        <v>0</v>
      </c>
      <c r="O1374" s="279">
        <f>RES_BA!S181</f>
        <v>0</v>
      </c>
      <c r="Q1374" s="279">
        <f>RES_BA!T181</f>
        <v>0</v>
      </c>
      <c r="S1374" s="279">
        <f>RES_BA!U181</f>
        <v>0</v>
      </c>
    </row>
    <row r="1375" spans="3:19" s="277" customFormat="1" hidden="1" outlineLevel="1" x14ac:dyDescent="0.3">
      <c r="C1375" s="283" t="str">
        <f>RES_BA!D182</f>
        <v>Other Direct Costs Category 14</v>
      </c>
      <c r="M1375" s="279">
        <f>RES_BA!R182</f>
        <v>0</v>
      </c>
      <c r="O1375" s="279">
        <f>RES_BA!S182</f>
        <v>0</v>
      </c>
      <c r="Q1375" s="279">
        <f>RES_BA!T182</f>
        <v>0</v>
      </c>
      <c r="S1375" s="279">
        <f>RES_BA!U182</f>
        <v>0</v>
      </c>
    </row>
    <row r="1376" spans="3:19" s="277" customFormat="1" hidden="1" outlineLevel="1" x14ac:dyDescent="0.3">
      <c r="C1376" s="283" t="str">
        <f>RES_BA!D183</f>
        <v>Other Direct Costs Category 15</v>
      </c>
      <c r="M1376" s="279">
        <f>RES_BA!R183</f>
        <v>0</v>
      </c>
      <c r="O1376" s="279">
        <f>RES_BA!S183</f>
        <v>0</v>
      </c>
      <c r="Q1376" s="279">
        <f>RES_BA!T183</f>
        <v>0</v>
      </c>
      <c r="S1376" s="279">
        <f>RES_BA!U183</f>
        <v>0</v>
      </c>
    </row>
    <row r="1377" spans="3:19" s="277" customFormat="1" hidden="1" outlineLevel="1" x14ac:dyDescent="0.3">
      <c r="C1377" s="283" t="str">
        <f>RES_BA!D184</f>
        <v>Other Direct Costs Category 16</v>
      </c>
      <c r="M1377" s="279">
        <f>RES_BA!R184</f>
        <v>0</v>
      </c>
      <c r="O1377" s="279">
        <f>RES_BA!S184</f>
        <v>0</v>
      </c>
      <c r="Q1377" s="279">
        <f>RES_BA!T184</f>
        <v>0</v>
      </c>
      <c r="S1377" s="279">
        <f>RES_BA!U184</f>
        <v>0</v>
      </c>
    </row>
    <row r="1378" spans="3:19" s="277" customFormat="1" hidden="1" outlineLevel="1" x14ac:dyDescent="0.3">
      <c r="C1378" s="283" t="str">
        <f>RES_BA!D185</f>
        <v>Other Direct Costs Category 17</v>
      </c>
      <c r="M1378" s="279">
        <f>RES_BA!R185</f>
        <v>0</v>
      </c>
      <c r="O1378" s="279">
        <f>RES_BA!S185</f>
        <v>0</v>
      </c>
      <c r="Q1378" s="279">
        <f>RES_BA!T185</f>
        <v>0</v>
      </c>
      <c r="S1378" s="279">
        <f>RES_BA!U185</f>
        <v>0</v>
      </c>
    </row>
    <row r="1379" spans="3:19" s="277" customFormat="1" hidden="1" outlineLevel="1" x14ac:dyDescent="0.3">
      <c r="C1379" s="283" t="str">
        <f>RES_BA!D186</f>
        <v>Other Direct Costs Category 18</v>
      </c>
      <c r="M1379" s="279">
        <f>RES_BA!R186</f>
        <v>0</v>
      </c>
      <c r="O1379" s="279">
        <f>RES_BA!S186</f>
        <v>0</v>
      </c>
      <c r="Q1379" s="279">
        <f>RES_BA!T186</f>
        <v>0</v>
      </c>
      <c r="S1379" s="279">
        <f>RES_BA!U186</f>
        <v>0</v>
      </c>
    </row>
    <row r="1380" spans="3:19" s="277" customFormat="1" hidden="1" outlineLevel="1" x14ac:dyDescent="0.3">
      <c r="C1380" s="283" t="str">
        <f>RES_BA!D187</f>
        <v>Other Direct Costs Category 19</v>
      </c>
      <c r="M1380" s="279">
        <f>RES_BA!R187</f>
        <v>0</v>
      </c>
      <c r="O1380" s="279">
        <f>RES_BA!S187</f>
        <v>0</v>
      </c>
      <c r="Q1380" s="279">
        <f>RES_BA!T187</f>
        <v>0</v>
      </c>
      <c r="S1380" s="279">
        <f>RES_BA!U187</f>
        <v>0</v>
      </c>
    </row>
    <row r="1381" spans="3:19" s="277" customFormat="1" hidden="1" outlineLevel="1" x14ac:dyDescent="0.3">
      <c r="C1381" s="283" t="str">
        <f>RES_BA!D188</f>
        <v>Other Direct Costs Category 20</v>
      </c>
      <c r="M1381" s="279">
        <f>RES_BA!R188</f>
        <v>0</v>
      </c>
      <c r="O1381" s="279">
        <f>RES_BA!S188</f>
        <v>0</v>
      </c>
      <c r="Q1381" s="279">
        <f>RES_BA!T188</f>
        <v>0</v>
      </c>
      <c r="S1381" s="279">
        <f>RES_BA!U188</f>
        <v>0</v>
      </c>
    </row>
    <row r="1382" spans="3:19" s="277" customFormat="1" hidden="1" outlineLevel="1" x14ac:dyDescent="0.3">
      <c r="C1382" s="283" t="str">
        <f>RES_BA!D189</f>
        <v>Other Direct Costs Category 21</v>
      </c>
      <c r="M1382" s="279">
        <f>RES_BA!R189</f>
        <v>0</v>
      </c>
      <c r="O1382" s="279">
        <f>RES_BA!S189</f>
        <v>0</v>
      </c>
      <c r="Q1382" s="279">
        <f>RES_BA!T189</f>
        <v>0</v>
      </c>
      <c r="S1382" s="279">
        <f>RES_BA!U189</f>
        <v>0</v>
      </c>
    </row>
    <row r="1383" spans="3:19" hidden="1" outlineLevel="1" x14ac:dyDescent="0.3">
      <c r="C1383" s="289" t="str">
        <f>RES_BA!D190</f>
        <v>Other Direct Costs Category 22</v>
      </c>
      <c r="M1383" s="290">
        <f>RES_BA!R190</f>
        <v>0</v>
      </c>
      <c r="O1383" s="290">
        <f>RES_BA!S190</f>
        <v>0</v>
      </c>
      <c r="Q1383" s="290">
        <f>RES_BA!T190</f>
        <v>0</v>
      </c>
      <c r="S1383" s="290">
        <f>RES_BA!U190</f>
        <v>0</v>
      </c>
    </row>
    <row r="1384" spans="3:19" hidden="1" outlineLevel="1" x14ac:dyDescent="0.3">
      <c r="C1384" s="289" t="str">
        <f>RES_BA!D191</f>
        <v>Other Direct Costs Category 23</v>
      </c>
      <c r="M1384" s="290">
        <f>RES_BA!R191</f>
        <v>0</v>
      </c>
      <c r="O1384" s="290">
        <f>RES_BA!S191</f>
        <v>0</v>
      </c>
      <c r="Q1384" s="290">
        <f>RES_BA!T191</f>
        <v>0</v>
      </c>
      <c r="S1384" s="290">
        <f>RES_BA!U191</f>
        <v>0</v>
      </c>
    </row>
    <row r="1385" spans="3:19" hidden="1" outlineLevel="1" collapsed="1" x14ac:dyDescent="0.3">
      <c r="C1385" s="289" t="str">
        <f>RES_BA!D192</f>
        <v>Other Direct Costs Category 24</v>
      </c>
      <c r="M1385" s="290">
        <f>RES_BA!R192</f>
        <v>0</v>
      </c>
      <c r="O1385" s="290">
        <f>RES_BA!S192</f>
        <v>0</v>
      </c>
      <c r="Q1385" s="290">
        <f>RES_BA!T192</f>
        <v>0</v>
      </c>
      <c r="S1385" s="290">
        <f>RES_BA!U192</f>
        <v>0</v>
      </c>
    </row>
    <row r="1386" spans="3:19" hidden="1" outlineLevel="1" x14ac:dyDescent="0.3">
      <c r="C1386" s="289" t="str">
        <f>RES_BA!D193</f>
        <v>Other Direct Costs Category 25</v>
      </c>
      <c r="M1386" s="290">
        <f>RES_BA!R193</f>
        <v>0</v>
      </c>
      <c r="O1386" s="290">
        <f>RES_BA!S193</f>
        <v>0</v>
      </c>
      <c r="Q1386" s="290">
        <f>RES_BA!T193</f>
        <v>0</v>
      </c>
      <c r="S1386" s="290">
        <f>RES_BA!U193</f>
        <v>0</v>
      </c>
    </row>
    <row r="1387" spans="3:19" hidden="1" outlineLevel="1" x14ac:dyDescent="0.3">
      <c r="C1387" s="289" t="str">
        <f>RES_BA!D194</f>
        <v>Other Direct Costs Category 26</v>
      </c>
      <c r="M1387" s="290">
        <f>RES_BA!R194</f>
        <v>0</v>
      </c>
      <c r="O1387" s="290">
        <f>RES_BA!S194</f>
        <v>0</v>
      </c>
      <c r="Q1387" s="290">
        <f>RES_BA!T194</f>
        <v>0</v>
      </c>
      <c r="S1387" s="290">
        <f>RES_BA!U194</f>
        <v>0</v>
      </c>
    </row>
    <row r="1388" spans="3:19" hidden="1" outlineLevel="1" x14ac:dyDescent="0.3">
      <c r="C1388" s="289" t="str">
        <f>RES_BA!D195</f>
        <v>Other Direct Costs Category 27</v>
      </c>
      <c r="M1388" s="290">
        <f>RES_BA!R195</f>
        <v>0</v>
      </c>
      <c r="O1388" s="290">
        <f>RES_BA!S195</f>
        <v>0</v>
      </c>
      <c r="Q1388" s="290">
        <f>RES_BA!T195</f>
        <v>0</v>
      </c>
      <c r="S1388" s="290">
        <f>RES_BA!U195</f>
        <v>0</v>
      </c>
    </row>
    <row r="1389" spans="3:19" hidden="1" outlineLevel="1" x14ac:dyDescent="0.3">
      <c r="C1389" s="289" t="str">
        <f>RES_BA!D196</f>
        <v>Other Direct Costs Category 28</v>
      </c>
      <c r="M1389" s="290">
        <f>RES_BA!R196</f>
        <v>0</v>
      </c>
      <c r="O1389" s="290">
        <f>RES_BA!S196</f>
        <v>0</v>
      </c>
      <c r="Q1389" s="290">
        <f>RES_BA!T196</f>
        <v>0</v>
      </c>
      <c r="S1389" s="290">
        <f>RES_BA!U196</f>
        <v>0</v>
      </c>
    </row>
    <row r="1390" spans="3:19" hidden="1" outlineLevel="1" x14ac:dyDescent="0.3">
      <c r="C1390" s="289" t="str">
        <f>RES_BA!D197</f>
        <v>Other Direct Costs Category 29</v>
      </c>
      <c r="M1390" s="290">
        <f>RES_BA!R197</f>
        <v>0</v>
      </c>
      <c r="O1390" s="290">
        <f>RES_BA!S197</f>
        <v>0</v>
      </c>
      <c r="Q1390" s="290">
        <f>RES_BA!T197</f>
        <v>0</v>
      </c>
      <c r="S1390" s="290">
        <f>RES_BA!U197</f>
        <v>0</v>
      </c>
    </row>
    <row r="1391" spans="3:19" hidden="1" outlineLevel="1" x14ac:dyDescent="0.3">
      <c r="C1391" s="289" t="str">
        <f>RES_BA!D198</f>
        <v>Other Direct Costs Category 30</v>
      </c>
      <c r="M1391" s="290">
        <f>RES_BA!R198</f>
        <v>0</v>
      </c>
      <c r="O1391" s="290">
        <f>RES_BA!S198</f>
        <v>0</v>
      </c>
      <c r="Q1391" s="290">
        <f>RES_BA!T198</f>
        <v>0</v>
      </c>
      <c r="S1391" s="290">
        <f>RES_BA!U198</f>
        <v>0</v>
      </c>
    </row>
    <row r="1392" spans="3:19" hidden="1" outlineLevel="1" x14ac:dyDescent="0.3">
      <c r="C1392" s="289" t="str">
        <f>RES_BA!D199</f>
        <v>Other Direct Costs Category 31</v>
      </c>
      <c r="M1392" s="290">
        <f>RES_BA!R199</f>
        <v>0</v>
      </c>
      <c r="O1392" s="290">
        <f>RES_BA!S199</f>
        <v>0</v>
      </c>
      <c r="Q1392" s="290">
        <f>RES_BA!T199</f>
        <v>0</v>
      </c>
      <c r="S1392" s="290">
        <f>RES_BA!U199</f>
        <v>0</v>
      </c>
    </row>
    <row r="1393" spans="3:19" hidden="1" outlineLevel="1" x14ac:dyDescent="0.3">
      <c r="C1393" s="289" t="str">
        <f>RES_BA!D200</f>
        <v>Other Direct Costs Category 32</v>
      </c>
      <c r="M1393" s="290">
        <f>RES_BA!R200</f>
        <v>0</v>
      </c>
      <c r="O1393" s="290">
        <f>RES_BA!S200</f>
        <v>0</v>
      </c>
      <c r="Q1393" s="290">
        <f>RES_BA!T200</f>
        <v>0</v>
      </c>
      <c r="S1393" s="290">
        <f>RES_BA!U200</f>
        <v>0</v>
      </c>
    </row>
    <row r="1394" spans="3:19" hidden="1" outlineLevel="1" x14ac:dyDescent="0.3">
      <c r="C1394" s="289" t="str">
        <f>RES_BA!D201</f>
        <v>Other Direct Costs Category 33</v>
      </c>
      <c r="M1394" s="290">
        <f>RES_BA!R201</f>
        <v>0</v>
      </c>
      <c r="O1394" s="290">
        <f>RES_BA!S201</f>
        <v>0</v>
      </c>
      <c r="Q1394" s="290">
        <f>RES_BA!T201</f>
        <v>0</v>
      </c>
      <c r="S1394" s="290">
        <f>RES_BA!U201</f>
        <v>0</v>
      </c>
    </row>
    <row r="1395" spans="3:19" hidden="1" outlineLevel="1" x14ac:dyDescent="0.3">
      <c r="C1395" s="289" t="str">
        <f>RES_BA!D202</f>
        <v>Other Direct Costs Category 34</v>
      </c>
      <c r="M1395" s="290">
        <f>RES_BA!R202</f>
        <v>0</v>
      </c>
      <c r="O1395" s="290">
        <f>RES_BA!S202</f>
        <v>0</v>
      </c>
      <c r="Q1395" s="290">
        <f>RES_BA!T202</f>
        <v>0</v>
      </c>
      <c r="S1395" s="290">
        <f>RES_BA!U202</f>
        <v>0</v>
      </c>
    </row>
    <row r="1396" spans="3:19" hidden="1" outlineLevel="1" x14ac:dyDescent="0.3">
      <c r="C1396" s="289" t="str">
        <f>RES_BA!D203</f>
        <v>Other Direct Costs Category 35</v>
      </c>
      <c r="M1396" s="290">
        <f>RES_BA!R203</f>
        <v>0</v>
      </c>
      <c r="O1396" s="290">
        <f>RES_BA!S203</f>
        <v>0</v>
      </c>
      <c r="Q1396" s="290">
        <f>RES_BA!T203</f>
        <v>0</v>
      </c>
      <c r="S1396" s="290">
        <f>RES_BA!U203</f>
        <v>0</v>
      </c>
    </row>
    <row r="1397" spans="3:19" collapsed="1" x14ac:dyDescent="0.3"/>
  </sheetData>
  <sheetProtection algorithmName="SHA-512" hashValue="JzwD2j/NJPNdzO+XrJkZomp6A2X2pOrf4LtmAqQAl0LByvIc0y+P627A5xLnbF6XVY4bRR7HjL/eIoFVC+oqkw==" saltValue="dQaQDPL+Mp1sMQ7NrScIDA==" spinCount="100000" sheet="1" objects="1" scenarios="1" formatColumns="0" formatRows="0"/>
  <mergeCells count="1053">
    <mergeCell ref="D1195:G1195"/>
    <mergeCell ref="D1196:G1196"/>
    <mergeCell ref="D1197:G1197"/>
    <mergeCell ref="D1198:G1198"/>
    <mergeCell ref="U1179:X1179"/>
    <mergeCell ref="U1180:X1180"/>
    <mergeCell ref="U1181:X1181"/>
    <mergeCell ref="U1182:X1182"/>
    <mergeCell ref="U1183:X1183"/>
    <mergeCell ref="U1184:X1184"/>
    <mergeCell ref="U1185:X1185"/>
    <mergeCell ref="U1186:X1186"/>
    <mergeCell ref="U1187:X1187"/>
    <mergeCell ref="U1188:X1188"/>
    <mergeCell ref="U1189:X1189"/>
    <mergeCell ref="U1190:X1190"/>
    <mergeCell ref="U1191:X1191"/>
    <mergeCell ref="U1192:X1192"/>
    <mergeCell ref="U1193:X1193"/>
    <mergeCell ref="U1194:X1194"/>
    <mergeCell ref="U1195:X1195"/>
    <mergeCell ref="U1196:X1196"/>
    <mergeCell ref="U1197:X1197"/>
    <mergeCell ref="U1198:X1198"/>
    <mergeCell ref="D1186:G1186"/>
    <mergeCell ref="D1187:G1187"/>
    <mergeCell ref="D1188:G1188"/>
    <mergeCell ref="D1189:G1189"/>
    <mergeCell ref="D1190:G1190"/>
    <mergeCell ref="D1191:G1191"/>
    <mergeCell ref="D1159:G1159"/>
    <mergeCell ref="D1160:G1160"/>
    <mergeCell ref="D1161:G1161"/>
    <mergeCell ref="D1162:G1162"/>
    <mergeCell ref="D1163:G1163"/>
    <mergeCell ref="D1164:G1164"/>
    <mergeCell ref="D1147:G1147"/>
    <mergeCell ref="D1148:G1148"/>
    <mergeCell ref="D1149:G1149"/>
    <mergeCell ref="U1118:X1118"/>
    <mergeCell ref="U1119:X1119"/>
    <mergeCell ref="U1120:X1120"/>
    <mergeCell ref="U1121:X1121"/>
    <mergeCell ref="U1122:X1122"/>
    <mergeCell ref="U1123:X1123"/>
    <mergeCell ref="U1124:X1124"/>
    <mergeCell ref="U1125:X1125"/>
    <mergeCell ref="U1126:X1126"/>
    <mergeCell ref="U1127:X1127"/>
    <mergeCell ref="U1128:X1128"/>
    <mergeCell ref="U1129:X1129"/>
    <mergeCell ref="U1130:X1130"/>
    <mergeCell ref="U1131:X1131"/>
    <mergeCell ref="U1132:X1132"/>
    <mergeCell ref="U1133:X1133"/>
    <mergeCell ref="U1134:X1134"/>
    <mergeCell ref="U1135:X1135"/>
    <mergeCell ref="U1136:X1136"/>
    <mergeCell ref="D1135:G1135"/>
    <mergeCell ref="D1136:G1136"/>
    <mergeCell ref="D1137:G1137"/>
    <mergeCell ref="D1138:G1138"/>
    <mergeCell ref="D1133:G1133"/>
    <mergeCell ref="D1134:G1134"/>
    <mergeCell ref="D1165:G1165"/>
    <mergeCell ref="D1166:G1166"/>
    <mergeCell ref="U1165:X1165"/>
    <mergeCell ref="D1156:G1156"/>
    <mergeCell ref="D1157:G1157"/>
    <mergeCell ref="D1158:G1158"/>
    <mergeCell ref="D1167:G1167"/>
    <mergeCell ref="D1168:G1168"/>
    <mergeCell ref="D1169:G1169"/>
    <mergeCell ref="U1147:X1147"/>
    <mergeCell ref="D1194:G1194"/>
    <mergeCell ref="U1139:X1139"/>
    <mergeCell ref="U1140:X1140"/>
    <mergeCell ref="D1179:G1179"/>
    <mergeCell ref="D1180:G1180"/>
    <mergeCell ref="D1181:G1181"/>
    <mergeCell ref="D1182:G1182"/>
    <mergeCell ref="D1183:G1183"/>
    <mergeCell ref="D1184:G1184"/>
    <mergeCell ref="D1185:G1185"/>
    <mergeCell ref="D1139:G1139"/>
    <mergeCell ref="D1140:G1140"/>
    <mergeCell ref="D1192:G1192"/>
    <mergeCell ref="D1193:G1193"/>
    <mergeCell ref="U1161:X1161"/>
    <mergeCell ref="U1162:X1162"/>
    <mergeCell ref="U1163:X1163"/>
    <mergeCell ref="U1164:X1164"/>
    <mergeCell ref="U1148:X1148"/>
    <mergeCell ref="U1149:X1149"/>
    <mergeCell ref="D1108:G1108"/>
    <mergeCell ref="D1109:G1109"/>
    <mergeCell ref="D1118:G1118"/>
    <mergeCell ref="D1119:G1119"/>
    <mergeCell ref="D1120:G1120"/>
    <mergeCell ref="D1121:G1121"/>
    <mergeCell ref="D1122:G1122"/>
    <mergeCell ref="D1123:G1123"/>
    <mergeCell ref="D1124:G1124"/>
    <mergeCell ref="D1125:G1125"/>
    <mergeCell ref="D1126:G1126"/>
    <mergeCell ref="D1127:G1127"/>
    <mergeCell ref="D1128:G1128"/>
    <mergeCell ref="D1129:G1129"/>
    <mergeCell ref="D1130:G1130"/>
    <mergeCell ref="D1131:G1131"/>
    <mergeCell ref="D1132:G1132"/>
    <mergeCell ref="U1107:X1107"/>
    <mergeCell ref="U1108:X1108"/>
    <mergeCell ref="U1109:X1109"/>
    <mergeCell ref="U1152:X1152"/>
    <mergeCell ref="U1153:X1153"/>
    <mergeCell ref="U1154:X1154"/>
    <mergeCell ref="U1155:X1155"/>
    <mergeCell ref="U1156:X1156"/>
    <mergeCell ref="U1157:X1157"/>
    <mergeCell ref="U1158:X1158"/>
    <mergeCell ref="U1137:X1137"/>
    <mergeCell ref="U1138:X1138"/>
    <mergeCell ref="U1166:X1166"/>
    <mergeCell ref="U1167:X1167"/>
    <mergeCell ref="U1168:X1168"/>
    <mergeCell ref="U1169:X1169"/>
    <mergeCell ref="U1159:X1159"/>
    <mergeCell ref="U1160:X1160"/>
    <mergeCell ref="U1150:X1150"/>
    <mergeCell ref="U1151:X1151"/>
    <mergeCell ref="D1107:G1107"/>
    <mergeCell ref="D1150:G1150"/>
    <mergeCell ref="D1151:G1151"/>
    <mergeCell ref="D1152:G1152"/>
    <mergeCell ref="D1153:G1153"/>
    <mergeCell ref="D1154:G1154"/>
    <mergeCell ref="D1155:G1155"/>
    <mergeCell ref="U1080:X1080"/>
    <mergeCell ref="D1093:G1093"/>
    <mergeCell ref="D1094:G1094"/>
    <mergeCell ref="D1095:G1095"/>
    <mergeCell ref="D1096:G1096"/>
    <mergeCell ref="D1097:G1097"/>
    <mergeCell ref="D1098:G1098"/>
    <mergeCell ref="D1099:G1099"/>
    <mergeCell ref="D1100:G1100"/>
    <mergeCell ref="U1116:X1116"/>
    <mergeCell ref="D1117:G1117"/>
    <mergeCell ref="U1117:X1117"/>
    <mergeCell ref="D1101:G1101"/>
    <mergeCell ref="D1102:G1102"/>
    <mergeCell ref="U1093:X1093"/>
    <mergeCell ref="U1094:X1094"/>
    <mergeCell ref="U1095:X1095"/>
    <mergeCell ref="U1096:X1096"/>
    <mergeCell ref="U1097:X1097"/>
    <mergeCell ref="U1098:X1098"/>
    <mergeCell ref="U1099:X1099"/>
    <mergeCell ref="U1100:X1100"/>
    <mergeCell ref="U1101:X1101"/>
    <mergeCell ref="U1102:X1102"/>
    <mergeCell ref="U1103:X1103"/>
    <mergeCell ref="D1080:G1080"/>
    <mergeCell ref="U1091:X1091"/>
    <mergeCell ref="D1092:G1092"/>
    <mergeCell ref="U1092:X1092"/>
    <mergeCell ref="U1086:X1086"/>
    <mergeCell ref="D1087:G1087"/>
    <mergeCell ref="U1087:X1087"/>
    <mergeCell ref="D1088:G1088"/>
    <mergeCell ref="U1088:X1088"/>
    <mergeCell ref="D1089:G1089"/>
    <mergeCell ref="U1089:X1089"/>
    <mergeCell ref="D1090:G1090"/>
    <mergeCell ref="U1090:X1090"/>
    <mergeCell ref="D1103:G1103"/>
    <mergeCell ref="D1104:G1104"/>
    <mergeCell ref="D1105:G1105"/>
    <mergeCell ref="D1106:G1106"/>
    <mergeCell ref="U1104:X1104"/>
    <mergeCell ref="U1105:X1105"/>
    <mergeCell ref="U1106:X1106"/>
    <mergeCell ref="U1076:X1076"/>
    <mergeCell ref="U1077:X1077"/>
    <mergeCell ref="U1078:X1078"/>
    <mergeCell ref="U1079:X1079"/>
    <mergeCell ref="D1064:G1064"/>
    <mergeCell ref="D1065:G1065"/>
    <mergeCell ref="D1066:G1066"/>
    <mergeCell ref="D1067:G1067"/>
    <mergeCell ref="D1068:G1068"/>
    <mergeCell ref="D1069:G1069"/>
    <mergeCell ref="D1070:G1070"/>
    <mergeCell ref="D1071:G1071"/>
    <mergeCell ref="D1072:G1072"/>
    <mergeCell ref="D1073:G1073"/>
    <mergeCell ref="D1074:G1074"/>
    <mergeCell ref="D1075:G1075"/>
    <mergeCell ref="D1076:G1076"/>
    <mergeCell ref="D1077:G1077"/>
    <mergeCell ref="D1078:G1078"/>
    <mergeCell ref="D1079:G1079"/>
    <mergeCell ref="U842:X842"/>
    <mergeCell ref="U843:X843"/>
    <mergeCell ref="U844:X844"/>
    <mergeCell ref="U845:X845"/>
    <mergeCell ref="U846:X846"/>
    <mergeCell ref="U847:X847"/>
    <mergeCell ref="U848:X848"/>
    <mergeCell ref="U849:X849"/>
    <mergeCell ref="U850:X850"/>
    <mergeCell ref="D846:G846"/>
    <mergeCell ref="D847:G847"/>
    <mergeCell ref="U1064:X1064"/>
    <mergeCell ref="U1065:X1065"/>
    <mergeCell ref="U1066:X1066"/>
    <mergeCell ref="U1067:X1067"/>
    <mergeCell ref="U1068:X1068"/>
    <mergeCell ref="U1069:X1069"/>
    <mergeCell ref="I1052:M1052"/>
    <mergeCell ref="U788:X788"/>
    <mergeCell ref="U789:X789"/>
    <mergeCell ref="U790:X790"/>
    <mergeCell ref="U791:X791"/>
    <mergeCell ref="D831:G831"/>
    <mergeCell ref="D832:G832"/>
    <mergeCell ref="D833:G833"/>
    <mergeCell ref="D834:G834"/>
    <mergeCell ref="D835:G835"/>
    <mergeCell ref="U779:X779"/>
    <mergeCell ref="U780:X780"/>
    <mergeCell ref="U781:X781"/>
    <mergeCell ref="U782:X782"/>
    <mergeCell ref="U783:X783"/>
    <mergeCell ref="U784:X784"/>
    <mergeCell ref="U785:X785"/>
    <mergeCell ref="U786:X786"/>
    <mergeCell ref="U787:X787"/>
    <mergeCell ref="U815:X815"/>
    <mergeCell ref="U816:X816"/>
    <mergeCell ref="U817:X817"/>
    <mergeCell ref="U818:X818"/>
    <mergeCell ref="U819:X819"/>
    <mergeCell ref="U820:X820"/>
    <mergeCell ref="D786:G786"/>
    <mergeCell ref="D814:G814"/>
    <mergeCell ref="D815:G815"/>
    <mergeCell ref="D816:G816"/>
    <mergeCell ref="D817:G817"/>
    <mergeCell ref="D818:G818"/>
    <mergeCell ref="D819:G819"/>
    <mergeCell ref="D820:G820"/>
    <mergeCell ref="D769:G769"/>
    <mergeCell ref="D770:G770"/>
    <mergeCell ref="D771:G771"/>
    <mergeCell ref="D772:G772"/>
    <mergeCell ref="D773:G773"/>
    <mergeCell ref="D774:G774"/>
    <mergeCell ref="D775:G775"/>
    <mergeCell ref="D776:G776"/>
    <mergeCell ref="D777:G777"/>
    <mergeCell ref="D778:G778"/>
    <mergeCell ref="D779:G779"/>
    <mergeCell ref="D780:G780"/>
    <mergeCell ref="D781:G781"/>
    <mergeCell ref="D782:G782"/>
    <mergeCell ref="D783:G783"/>
    <mergeCell ref="D784:G784"/>
    <mergeCell ref="D785:G785"/>
    <mergeCell ref="U798:X798"/>
    <mergeCell ref="U799:X799"/>
    <mergeCell ref="U800:X800"/>
    <mergeCell ref="U801:X801"/>
    <mergeCell ref="U802:X802"/>
    <mergeCell ref="U803:X803"/>
    <mergeCell ref="U804:X804"/>
    <mergeCell ref="U805:X805"/>
    <mergeCell ref="U806:X806"/>
    <mergeCell ref="U807:X807"/>
    <mergeCell ref="U808:X808"/>
    <mergeCell ref="U809:X809"/>
    <mergeCell ref="U810:X810"/>
    <mergeCell ref="U811:X811"/>
    <mergeCell ref="U812:X812"/>
    <mergeCell ref="U813:X813"/>
    <mergeCell ref="U814:X814"/>
    <mergeCell ref="D805:G805"/>
    <mergeCell ref="D806:G806"/>
    <mergeCell ref="D807:G807"/>
    <mergeCell ref="D808:G808"/>
    <mergeCell ref="D809:G809"/>
    <mergeCell ref="D810:G810"/>
    <mergeCell ref="D811:G811"/>
    <mergeCell ref="D812:G812"/>
    <mergeCell ref="D813:G813"/>
    <mergeCell ref="U759:X759"/>
    <mergeCell ref="U760:X760"/>
    <mergeCell ref="D798:G798"/>
    <mergeCell ref="D799:G799"/>
    <mergeCell ref="D800:G800"/>
    <mergeCell ref="D801:G801"/>
    <mergeCell ref="D802:G802"/>
    <mergeCell ref="D803:G803"/>
    <mergeCell ref="D804:G804"/>
    <mergeCell ref="D787:G787"/>
    <mergeCell ref="D788:G788"/>
    <mergeCell ref="D789:G789"/>
    <mergeCell ref="D790:G790"/>
    <mergeCell ref="D791:G791"/>
    <mergeCell ref="U769:X769"/>
    <mergeCell ref="U770:X770"/>
    <mergeCell ref="U771:X771"/>
    <mergeCell ref="U772:X772"/>
    <mergeCell ref="U773:X773"/>
    <mergeCell ref="U774:X774"/>
    <mergeCell ref="U775:X775"/>
    <mergeCell ref="U776:X776"/>
    <mergeCell ref="U777:X777"/>
    <mergeCell ref="U726:X726"/>
    <mergeCell ref="I703:M703"/>
    <mergeCell ref="D707:G707"/>
    <mergeCell ref="D727:G727"/>
    <mergeCell ref="D728:G728"/>
    <mergeCell ref="D502:G502"/>
    <mergeCell ref="D509:G509"/>
    <mergeCell ref="D510:G510"/>
    <mergeCell ref="D499:G499"/>
    <mergeCell ref="D500:G500"/>
    <mergeCell ref="U729:X729"/>
    <mergeCell ref="U730:X730"/>
    <mergeCell ref="U731:X731"/>
    <mergeCell ref="D744:G744"/>
    <mergeCell ref="D745:G745"/>
    <mergeCell ref="D746:G746"/>
    <mergeCell ref="D747:G747"/>
    <mergeCell ref="U744:X744"/>
    <mergeCell ref="U745:X745"/>
    <mergeCell ref="U746:X746"/>
    <mergeCell ref="U747:X747"/>
    <mergeCell ref="D729:G729"/>
    <mergeCell ref="D730:G730"/>
    <mergeCell ref="D731:G731"/>
    <mergeCell ref="D732:G732"/>
    <mergeCell ref="U736:X736"/>
    <mergeCell ref="D715:G715"/>
    <mergeCell ref="D716:G716"/>
    <mergeCell ref="D717:G717"/>
    <mergeCell ref="D718:G718"/>
    <mergeCell ref="D719:G719"/>
    <mergeCell ref="U717:X717"/>
    <mergeCell ref="U718:X718"/>
    <mergeCell ref="U719:X719"/>
    <mergeCell ref="U706:X706"/>
    <mergeCell ref="U707:X707"/>
    <mergeCell ref="D720:G720"/>
    <mergeCell ref="D721:G721"/>
    <mergeCell ref="D722:G722"/>
    <mergeCell ref="D723:G723"/>
    <mergeCell ref="D724:G724"/>
    <mergeCell ref="D725:G725"/>
    <mergeCell ref="D726:G726"/>
    <mergeCell ref="U467:X467"/>
    <mergeCell ref="U468:X468"/>
    <mergeCell ref="U469:X469"/>
    <mergeCell ref="U470:X470"/>
    <mergeCell ref="U471:X471"/>
    <mergeCell ref="U472:X472"/>
    <mergeCell ref="D479:G479"/>
    <mergeCell ref="D480:G480"/>
    <mergeCell ref="D481:G481"/>
    <mergeCell ref="D488:G488"/>
    <mergeCell ref="D489:G489"/>
    <mergeCell ref="D490:G490"/>
    <mergeCell ref="D491:G491"/>
    <mergeCell ref="D492:G492"/>
    <mergeCell ref="D493:G493"/>
    <mergeCell ref="D494:G494"/>
    <mergeCell ref="D495:G495"/>
    <mergeCell ref="D496:G496"/>
    <mergeCell ref="D497:G497"/>
    <mergeCell ref="D498:G498"/>
    <mergeCell ref="U498:X498"/>
    <mergeCell ref="U499:X499"/>
    <mergeCell ref="U500:X500"/>
    <mergeCell ref="U501:X501"/>
    <mergeCell ref="U432:X432"/>
    <mergeCell ref="U433:X433"/>
    <mergeCell ref="U434:X434"/>
    <mergeCell ref="U435:X435"/>
    <mergeCell ref="U436:X436"/>
    <mergeCell ref="U437:X437"/>
    <mergeCell ref="U438:X438"/>
    <mergeCell ref="U439:X439"/>
    <mergeCell ref="U440:X440"/>
    <mergeCell ref="U466:X466"/>
    <mergeCell ref="U479:X479"/>
    <mergeCell ref="U480:X480"/>
    <mergeCell ref="U481:X481"/>
    <mergeCell ref="U497:X497"/>
    <mergeCell ref="U427:X427"/>
    <mergeCell ref="U428:X428"/>
    <mergeCell ref="U429:X429"/>
    <mergeCell ref="U430:X430"/>
    <mergeCell ref="U431:X431"/>
    <mergeCell ref="D434:G434"/>
    <mergeCell ref="D435:G435"/>
    <mergeCell ref="D436:G436"/>
    <mergeCell ref="D437:G437"/>
    <mergeCell ref="U462:X462"/>
    <mergeCell ref="U463:X463"/>
    <mergeCell ref="D464:G464"/>
    <mergeCell ref="D465:G465"/>
    <mergeCell ref="U441:X441"/>
    <mergeCell ref="U442:X442"/>
    <mergeCell ref="U443:X443"/>
    <mergeCell ref="U464:X464"/>
    <mergeCell ref="U465:X465"/>
    <mergeCell ref="U455:X455"/>
    <mergeCell ref="U456:X456"/>
    <mergeCell ref="U457:X457"/>
    <mergeCell ref="U458:X458"/>
    <mergeCell ref="U459:X459"/>
    <mergeCell ref="U460:X460"/>
    <mergeCell ref="U461:X461"/>
    <mergeCell ref="D466:G466"/>
    <mergeCell ref="D467:G467"/>
    <mergeCell ref="D468:G468"/>
    <mergeCell ref="D469:G469"/>
    <mergeCell ref="D470:G470"/>
    <mergeCell ref="D471:G471"/>
    <mergeCell ref="D472:G472"/>
    <mergeCell ref="D455:G455"/>
    <mergeCell ref="D456:G456"/>
    <mergeCell ref="D457:G457"/>
    <mergeCell ref="D458:G458"/>
    <mergeCell ref="D459:G459"/>
    <mergeCell ref="D460:G460"/>
    <mergeCell ref="D461:G461"/>
    <mergeCell ref="D462:G462"/>
    <mergeCell ref="D463:G463"/>
    <mergeCell ref="D438:G438"/>
    <mergeCell ref="D439:G439"/>
    <mergeCell ref="D440:G440"/>
    <mergeCell ref="D441:G441"/>
    <mergeCell ref="D442:G442"/>
    <mergeCell ref="D443:G443"/>
    <mergeCell ref="U409:X409"/>
    <mergeCell ref="U410:X410"/>
    <mergeCell ref="U411:X411"/>
    <mergeCell ref="U412:X412"/>
    <mergeCell ref="D450:G450"/>
    <mergeCell ref="D451:G451"/>
    <mergeCell ref="D452:G452"/>
    <mergeCell ref="D453:G453"/>
    <mergeCell ref="D454:G454"/>
    <mergeCell ref="U450:X450"/>
    <mergeCell ref="U451:X451"/>
    <mergeCell ref="U452:X452"/>
    <mergeCell ref="U453:X453"/>
    <mergeCell ref="U454:X454"/>
    <mergeCell ref="D421:G421"/>
    <mergeCell ref="D422:G422"/>
    <mergeCell ref="D423:G423"/>
    <mergeCell ref="D424:G424"/>
    <mergeCell ref="D425:G425"/>
    <mergeCell ref="D426:G426"/>
    <mergeCell ref="D427:G427"/>
    <mergeCell ref="D428:G428"/>
    <mergeCell ref="D429:G429"/>
    <mergeCell ref="D430:G430"/>
    <mergeCell ref="D449:G449"/>
    <mergeCell ref="U449:X449"/>
    <mergeCell ref="D432:G432"/>
    <mergeCell ref="D433:G433"/>
    <mergeCell ref="U423:X423"/>
    <mergeCell ref="U424:X424"/>
    <mergeCell ref="U425:X425"/>
    <mergeCell ref="U426:X426"/>
    <mergeCell ref="U153:X153"/>
    <mergeCell ref="D367:G367"/>
    <mergeCell ref="D368:G368"/>
    <mergeCell ref="D369:G369"/>
    <mergeCell ref="D370:G370"/>
    <mergeCell ref="D371:G371"/>
    <mergeCell ref="D372:G372"/>
    <mergeCell ref="D373:G373"/>
    <mergeCell ref="D374:G374"/>
    <mergeCell ref="U367:X367"/>
    <mergeCell ref="U368:X368"/>
    <mergeCell ref="U369:X369"/>
    <mergeCell ref="U370:X370"/>
    <mergeCell ref="U371:X371"/>
    <mergeCell ref="U372:X372"/>
    <mergeCell ref="U373:X373"/>
    <mergeCell ref="U374:X374"/>
    <mergeCell ref="D153:G153"/>
    <mergeCell ref="D366:G366"/>
    <mergeCell ref="U366:X366"/>
    <mergeCell ref="U363:X363"/>
    <mergeCell ref="D364:G364"/>
    <mergeCell ref="U364:X364"/>
    <mergeCell ref="D365:G365"/>
    <mergeCell ref="U365:X365"/>
    <mergeCell ref="U140:X140"/>
    <mergeCell ref="U141:X141"/>
    <mergeCell ref="U142:X142"/>
    <mergeCell ref="U143:X143"/>
    <mergeCell ref="U144:X144"/>
    <mergeCell ref="U145:X145"/>
    <mergeCell ref="U146:X146"/>
    <mergeCell ref="U147:X147"/>
    <mergeCell ref="U148:X148"/>
    <mergeCell ref="U149:X149"/>
    <mergeCell ref="U150:X150"/>
    <mergeCell ref="U151:X151"/>
    <mergeCell ref="U152:X152"/>
    <mergeCell ref="D140:G140"/>
    <mergeCell ref="D141:G141"/>
    <mergeCell ref="D142:G142"/>
    <mergeCell ref="D143:G143"/>
    <mergeCell ref="D144:G144"/>
    <mergeCell ref="D145:G145"/>
    <mergeCell ref="D146:G146"/>
    <mergeCell ref="D147:G147"/>
    <mergeCell ref="D148:G148"/>
    <mergeCell ref="D149:G149"/>
    <mergeCell ref="D150:G150"/>
    <mergeCell ref="D151:G151"/>
    <mergeCell ref="D152:G152"/>
    <mergeCell ref="U93:X93"/>
    <mergeCell ref="U94:X94"/>
    <mergeCell ref="U95:X95"/>
    <mergeCell ref="D134:G134"/>
    <mergeCell ref="D135:G135"/>
    <mergeCell ref="D136:G136"/>
    <mergeCell ref="D137:G137"/>
    <mergeCell ref="D138:G138"/>
    <mergeCell ref="D139:G139"/>
    <mergeCell ref="U84:X84"/>
    <mergeCell ref="U85:X85"/>
    <mergeCell ref="U86:X86"/>
    <mergeCell ref="U87:X87"/>
    <mergeCell ref="U88:X88"/>
    <mergeCell ref="U89:X89"/>
    <mergeCell ref="U90:X90"/>
    <mergeCell ref="U91:X91"/>
    <mergeCell ref="U92:X92"/>
    <mergeCell ref="U124:X124"/>
    <mergeCell ref="U134:X134"/>
    <mergeCell ref="U135:X135"/>
    <mergeCell ref="U136:X136"/>
    <mergeCell ref="U137:X137"/>
    <mergeCell ref="U138:X138"/>
    <mergeCell ref="U139:X139"/>
    <mergeCell ref="D121:G121"/>
    <mergeCell ref="D122:G122"/>
    <mergeCell ref="D123:G123"/>
    <mergeCell ref="D104:G104"/>
    <mergeCell ref="D105:G105"/>
    <mergeCell ref="D106:G106"/>
    <mergeCell ref="D107:G107"/>
    <mergeCell ref="U75:X75"/>
    <mergeCell ref="U76:X76"/>
    <mergeCell ref="U77:X77"/>
    <mergeCell ref="U78:X78"/>
    <mergeCell ref="U79:X79"/>
    <mergeCell ref="U80:X80"/>
    <mergeCell ref="U81:X81"/>
    <mergeCell ref="U82:X82"/>
    <mergeCell ref="U83:X83"/>
    <mergeCell ref="D124:G124"/>
    <mergeCell ref="U102:X102"/>
    <mergeCell ref="U103:X103"/>
    <mergeCell ref="U104:X104"/>
    <mergeCell ref="U105:X105"/>
    <mergeCell ref="U106:X106"/>
    <mergeCell ref="U107:X107"/>
    <mergeCell ref="U108:X108"/>
    <mergeCell ref="U109:X109"/>
    <mergeCell ref="U110:X110"/>
    <mergeCell ref="U111:X111"/>
    <mergeCell ref="U112:X112"/>
    <mergeCell ref="U113:X113"/>
    <mergeCell ref="U114:X114"/>
    <mergeCell ref="U115:X115"/>
    <mergeCell ref="U116:X116"/>
    <mergeCell ref="U117:X117"/>
    <mergeCell ref="U118:X118"/>
    <mergeCell ref="U119:X119"/>
    <mergeCell ref="U120:X120"/>
    <mergeCell ref="U121:X121"/>
    <mergeCell ref="U122:X122"/>
    <mergeCell ref="U123:X123"/>
    <mergeCell ref="D32:G32"/>
    <mergeCell ref="D33:G33"/>
    <mergeCell ref="D34:G34"/>
    <mergeCell ref="D35:G35"/>
    <mergeCell ref="D36:G36"/>
    <mergeCell ref="U57:X57"/>
    <mergeCell ref="U58:X58"/>
    <mergeCell ref="U59:X59"/>
    <mergeCell ref="U60:X60"/>
    <mergeCell ref="U61:X61"/>
    <mergeCell ref="U62:X62"/>
    <mergeCell ref="U63:X63"/>
    <mergeCell ref="U64:X64"/>
    <mergeCell ref="U65:X65"/>
    <mergeCell ref="U35:X35"/>
    <mergeCell ref="U36:X36"/>
    <mergeCell ref="D49:G49"/>
    <mergeCell ref="D50:G50"/>
    <mergeCell ref="D51:G51"/>
    <mergeCell ref="D52:G52"/>
    <mergeCell ref="D53:G53"/>
    <mergeCell ref="D54:G54"/>
    <mergeCell ref="D55:G55"/>
    <mergeCell ref="D42:G42"/>
    <mergeCell ref="U42:X42"/>
    <mergeCell ref="D43:G43"/>
    <mergeCell ref="U43:X43"/>
    <mergeCell ref="D56:G56"/>
    <mergeCell ref="D57:G57"/>
    <mergeCell ref="D109:G109"/>
    <mergeCell ref="D110:G110"/>
    <mergeCell ref="D111:G111"/>
    <mergeCell ref="D112:G112"/>
    <mergeCell ref="D113:G113"/>
    <mergeCell ref="D114:G114"/>
    <mergeCell ref="D115:G115"/>
    <mergeCell ref="D116:G116"/>
    <mergeCell ref="D117:G117"/>
    <mergeCell ref="D118:G118"/>
    <mergeCell ref="D119:G119"/>
    <mergeCell ref="D120:G120"/>
    <mergeCell ref="D75:G75"/>
    <mergeCell ref="D76:G76"/>
    <mergeCell ref="D77:G77"/>
    <mergeCell ref="D78:G78"/>
    <mergeCell ref="D79:G79"/>
    <mergeCell ref="D80:G80"/>
    <mergeCell ref="D102:G102"/>
    <mergeCell ref="D103:G103"/>
    <mergeCell ref="D81:G81"/>
    <mergeCell ref="D82:G82"/>
    <mergeCell ref="D83:G83"/>
    <mergeCell ref="D84:G84"/>
    <mergeCell ref="D85:G85"/>
    <mergeCell ref="D86:G86"/>
    <mergeCell ref="D87:G87"/>
    <mergeCell ref="D88:G88"/>
    <mergeCell ref="D89:G89"/>
    <mergeCell ref="D90:G90"/>
    <mergeCell ref="D91:G91"/>
    <mergeCell ref="D93:G93"/>
    <mergeCell ref="D94:G94"/>
    <mergeCell ref="D95:G95"/>
    <mergeCell ref="B3:F3"/>
    <mergeCell ref="D162:G162"/>
    <mergeCell ref="D132:G132"/>
    <mergeCell ref="D71:G71"/>
    <mergeCell ref="D41:G41"/>
    <mergeCell ref="U132:X132"/>
    <mergeCell ref="D133:G133"/>
    <mergeCell ref="U133:X133"/>
    <mergeCell ref="D154:G154"/>
    <mergeCell ref="D161:G161"/>
    <mergeCell ref="D129:G129"/>
    <mergeCell ref="U129:X129"/>
    <mergeCell ref="D130:G130"/>
    <mergeCell ref="U130:X130"/>
    <mergeCell ref="D131:G131"/>
    <mergeCell ref="D96:G96"/>
    <mergeCell ref="U99:X99"/>
    <mergeCell ref="D47:G47"/>
    <mergeCell ref="U47:X47"/>
    <mergeCell ref="D48:G48"/>
    <mergeCell ref="U48:X48"/>
    <mergeCell ref="D66:G66"/>
    <mergeCell ref="U131:X131"/>
    <mergeCell ref="D100:G100"/>
    <mergeCell ref="U100:X100"/>
    <mergeCell ref="D101:G101"/>
    <mergeCell ref="U101:X101"/>
    <mergeCell ref="D125:G125"/>
    <mergeCell ref="D108:G108"/>
    <mergeCell ref="U128:X128"/>
    <mergeCell ref="U70:X70"/>
    <mergeCell ref="D44:G44"/>
    <mergeCell ref="U44:X44"/>
    <mergeCell ref="U45:X45"/>
    <mergeCell ref="D46:G46"/>
    <mergeCell ref="U46:X46"/>
    <mergeCell ref="U71:X71"/>
    <mergeCell ref="D72:G72"/>
    <mergeCell ref="U72:X72"/>
    <mergeCell ref="D74:G74"/>
    <mergeCell ref="U74:X74"/>
    <mergeCell ref="D73:G73"/>
    <mergeCell ref="U73:X73"/>
    <mergeCell ref="D61:G61"/>
    <mergeCell ref="D62:G62"/>
    <mergeCell ref="D63:G63"/>
    <mergeCell ref="D64:G64"/>
    <mergeCell ref="U56:X56"/>
    <mergeCell ref="D58:G58"/>
    <mergeCell ref="D59:G59"/>
    <mergeCell ref="D60:G60"/>
    <mergeCell ref="D65:G65"/>
    <mergeCell ref="D45:G45"/>
    <mergeCell ref="U49:X49"/>
    <mergeCell ref="U50:X50"/>
    <mergeCell ref="U51:X51"/>
    <mergeCell ref="U52:X52"/>
    <mergeCell ref="U53:X53"/>
    <mergeCell ref="U54:X54"/>
    <mergeCell ref="U55:X55"/>
    <mergeCell ref="D92:G92"/>
    <mergeCell ref="D18:G18"/>
    <mergeCell ref="U18:X18"/>
    <mergeCell ref="D19:G19"/>
    <mergeCell ref="U19:X19"/>
    <mergeCell ref="D37:G37"/>
    <mergeCell ref="U20:X20"/>
    <mergeCell ref="U21:X21"/>
    <mergeCell ref="U22:X22"/>
    <mergeCell ref="U23:X23"/>
    <mergeCell ref="U24:X24"/>
    <mergeCell ref="U25:X25"/>
    <mergeCell ref="U26:X26"/>
    <mergeCell ref="U27:X27"/>
    <mergeCell ref="U28:X28"/>
    <mergeCell ref="U29:X29"/>
    <mergeCell ref="U30:X30"/>
    <mergeCell ref="U31:X31"/>
    <mergeCell ref="U32:X32"/>
    <mergeCell ref="U33:X33"/>
    <mergeCell ref="U34:X34"/>
    <mergeCell ref="D20:G20"/>
    <mergeCell ref="D21:G21"/>
    <mergeCell ref="D22:G22"/>
    <mergeCell ref="D23:G23"/>
    <mergeCell ref="D24:G24"/>
    <mergeCell ref="D25:G25"/>
    <mergeCell ref="D26:G26"/>
    <mergeCell ref="D27:G27"/>
    <mergeCell ref="D28:G28"/>
    <mergeCell ref="D29:G29"/>
    <mergeCell ref="D30:G30"/>
    <mergeCell ref="D31:G31"/>
    <mergeCell ref="D482:G482"/>
    <mergeCell ref="D483:G483"/>
    <mergeCell ref="D484:G484"/>
    <mergeCell ref="D485:G485"/>
    <mergeCell ref="D486:G486"/>
    <mergeCell ref="D487:G487"/>
    <mergeCell ref="U482:X482"/>
    <mergeCell ref="U483:X483"/>
    <mergeCell ref="U484:X484"/>
    <mergeCell ref="U485:X485"/>
    <mergeCell ref="U486:X486"/>
    <mergeCell ref="U487:X487"/>
    <mergeCell ref="D501:G501"/>
    <mergeCell ref="U488:X488"/>
    <mergeCell ref="U489:X489"/>
    <mergeCell ref="U490:X490"/>
    <mergeCell ref="U491:X491"/>
    <mergeCell ref="U492:X492"/>
    <mergeCell ref="U493:X493"/>
    <mergeCell ref="U494:X494"/>
    <mergeCell ref="U495:X495"/>
    <mergeCell ref="U496:X496"/>
    <mergeCell ref="D473:G473"/>
    <mergeCell ref="U476:X476"/>
    <mergeCell ref="D477:G477"/>
    <mergeCell ref="U477:X477"/>
    <mergeCell ref="D478:G478"/>
    <mergeCell ref="U478:X478"/>
    <mergeCell ref="D419:G419"/>
    <mergeCell ref="U419:X419"/>
    <mergeCell ref="D420:G420"/>
    <mergeCell ref="I8:M8"/>
    <mergeCell ref="U11:X11"/>
    <mergeCell ref="D12:G12"/>
    <mergeCell ref="U12:X12"/>
    <mergeCell ref="D13:G13"/>
    <mergeCell ref="U13:X13"/>
    <mergeCell ref="D14:G14"/>
    <mergeCell ref="U14:X14"/>
    <mergeCell ref="U40:X40"/>
    <mergeCell ref="D15:G15"/>
    <mergeCell ref="U15:X15"/>
    <mergeCell ref="D16:G16"/>
    <mergeCell ref="U16:X16"/>
    <mergeCell ref="D17:G17"/>
    <mergeCell ref="U17:X17"/>
    <mergeCell ref="U41:X41"/>
    <mergeCell ref="U418:X418"/>
    <mergeCell ref="D396:G396"/>
    <mergeCell ref="D397:G397"/>
    <mergeCell ref="U402:X402"/>
    <mergeCell ref="U403:X403"/>
    <mergeCell ref="U404:X404"/>
    <mergeCell ref="U405:X405"/>
    <mergeCell ref="D384:G384"/>
    <mergeCell ref="U375:X375"/>
    <mergeCell ref="U376:X376"/>
    <mergeCell ref="U377:X377"/>
    <mergeCell ref="U378:X378"/>
    <mergeCell ref="U379:X379"/>
    <mergeCell ref="U380:X380"/>
    <mergeCell ref="U381:X381"/>
    <mergeCell ref="U382:X382"/>
    <mergeCell ref="U420:X420"/>
    <mergeCell ref="D444:G444"/>
    <mergeCell ref="U447:X447"/>
    <mergeCell ref="D448:G448"/>
    <mergeCell ref="U448:X448"/>
    <mergeCell ref="D431:G431"/>
    <mergeCell ref="U421:X421"/>
    <mergeCell ref="U422:X422"/>
    <mergeCell ref="D392:G392"/>
    <mergeCell ref="U392:X392"/>
    <mergeCell ref="D393:G393"/>
    <mergeCell ref="U393:X393"/>
    <mergeCell ref="D394:G394"/>
    <mergeCell ref="U394:X394"/>
    <mergeCell ref="D395:G395"/>
    <mergeCell ref="U395:X395"/>
    <mergeCell ref="D413:G413"/>
    <mergeCell ref="D402:G402"/>
    <mergeCell ref="D403:G403"/>
    <mergeCell ref="D404:G404"/>
    <mergeCell ref="D405:G405"/>
    <mergeCell ref="D406:G406"/>
    <mergeCell ref="D407:G407"/>
    <mergeCell ref="D408:G408"/>
    <mergeCell ref="D409:G409"/>
    <mergeCell ref="D410:G410"/>
    <mergeCell ref="D411:G411"/>
    <mergeCell ref="D412:G412"/>
    <mergeCell ref="U396:X396"/>
    <mergeCell ref="U397:X397"/>
    <mergeCell ref="U398:X398"/>
    <mergeCell ref="U399:X399"/>
    <mergeCell ref="U383:X383"/>
    <mergeCell ref="D381:G381"/>
    <mergeCell ref="D382:G382"/>
    <mergeCell ref="D383:G383"/>
    <mergeCell ref="D398:G398"/>
    <mergeCell ref="D399:G399"/>
    <mergeCell ref="D400:G400"/>
    <mergeCell ref="D401:G401"/>
    <mergeCell ref="U400:X400"/>
    <mergeCell ref="U401:X401"/>
    <mergeCell ref="D377:G377"/>
    <mergeCell ref="D378:G378"/>
    <mergeCell ref="D379:G379"/>
    <mergeCell ref="D380:G380"/>
    <mergeCell ref="U406:X406"/>
    <mergeCell ref="U407:X407"/>
    <mergeCell ref="U408:X408"/>
    <mergeCell ref="D375:G375"/>
    <mergeCell ref="D376:G376"/>
    <mergeCell ref="D851:G851"/>
    <mergeCell ref="D858:G858"/>
    <mergeCell ref="D859:G859"/>
    <mergeCell ref="D827:G827"/>
    <mergeCell ref="U827:X827"/>
    <mergeCell ref="D828:G828"/>
    <mergeCell ref="U828:X828"/>
    <mergeCell ref="D829:G829"/>
    <mergeCell ref="D836:G836"/>
    <mergeCell ref="D837:G837"/>
    <mergeCell ref="D838:G838"/>
    <mergeCell ref="D839:G839"/>
    <mergeCell ref="D840:G840"/>
    <mergeCell ref="D841:G841"/>
    <mergeCell ref="D842:G842"/>
    <mergeCell ref="D843:G843"/>
    <mergeCell ref="D844:G844"/>
    <mergeCell ref="D845:G845"/>
    <mergeCell ref="D848:G848"/>
    <mergeCell ref="D849:G849"/>
    <mergeCell ref="D850:G850"/>
    <mergeCell ref="U831:X831"/>
    <mergeCell ref="U832:X832"/>
    <mergeCell ref="U833:X833"/>
    <mergeCell ref="U834:X834"/>
    <mergeCell ref="U835:X835"/>
    <mergeCell ref="U836:X836"/>
    <mergeCell ref="U837:X837"/>
    <mergeCell ref="U838:X838"/>
    <mergeCell ref="U839:X839"/>
    <mergeCell ref="U840:X840"/>
    <mergeCell ref="U841:X841"/>
    <mergeCell ref="U778:X778"/>
    <mergeCell ref="U750:X750"/>
    <mergeCell ref="U751:X751"/>
    <mergeCell ref="I355:M355"/>
    <mergeCell ref="U358:X358"/>
    <mergeCell ref="D359:G359"/>
    <mergeCell ref="U359:X359"/>
    <mergeCell ref="D360:G360"/>
    <mergeCell ref="U360:X360"/>
    <mergeCell ref="D361:G361"/>
    <mergeCell ref="U361:X361"/>
    <mergeCell ref="D362:G362"/>
    <mergeCell ref="U362:X362"/>
    <mergeCell ref="D826:G826"/>
    <mergeCell ref="U826:X826"/>
    <mergeCell ref="D830:G830"/>
    <mergeCell ref="U830:X830"/>
    <mergeCell ref="U387:X387"/>
    <mergeCell ref="D388:G388"/>
    <mergeCell ref="U388:X388"/>
    <mergeCell ref="D389:G389"/>
    <mergeCell ref="U389:X389"/>
    <mergeCell ref="D390:G390"/>
    <mergeCell ref="U390:X390"/>
    <mergeCell ref="D391:G391"/>
    <mergeCell ref="U391:X391"/>
    <mergeCell ref="D363:G363"/>
    <mergeCell ref="U743:X743"/>
    <mergeCell ref="D761:G761"/>
    <mergeCell ref="U766:X766"/>
    <mergeCell ref="D767:G767"/>
    <mergeCell ref="U767:X767"/>
    <mergeCell ref="D740:G740"/>
    <mergeCell ref="U740:X740"/>
    <mergeCell ref="D741:G741"/>
    <mergeCell ref="U741:X741"/>
    <mergeCell ref="D742:G742"/>
    <mergeCell ref="U742:X742"/>
    <mergeCell ref="D743:G743"/>
    <mergeCell ref="D753:G753"/>
    <mergeCell ref="D754:G754"/>
    <mergeCell ref="D755:G755"/>
    <mergeCell ref="D756:G756"/>
    <mergeCell ref="D757:G757"/>
    <mergeCell ref="D758:G758"/>
    <mergeCell ref="D759:G759"/>
    <mergeCell ref="D760:G760"/>
    <mergeCell ref="U752:X752"/>
    <mergeCell ref="U753:X753"/>
    <mergeCell ref="U754:X754"/>
    <mergeCell ref="U755:X755"/>
    <mergeCell ref="U756:X756"/>
    <mergeCell ref="U757:X757"/>
    <mergeCell ref="U758:X758"/>
    <mergeCell ref="D750:G750"/>
    <mergeCell ref="D751:G751"/>
    <mergeCell ref="D752:G752"/>
    <mergeCell ref="D748:G748"/>
    <mergeCell ref="D749:G749"/>
    <mergeCell ref="U748:X748"/>
    <mergeCell ref="U749:X749"/>
    <mergeCell ref="D1207:G1207"/>
    <mergeCell ref="D1177:G1177"/>
    <mergeCell ref="U1177:X1177"/>
    <mergeCell ref="D1178:G1178"/>
    <mergeCell ref="U1178:X1178"/>
    <mergeCell ref="D1199:G1199"/>
    <mergeCell ref="D768:G768"/>
    <mergeCell ref="U768:X768"/>
    <mergeCell ref="D792:G792"/>
    <mergeCell ref="U795:X795"/>
    <mergeCell ref="D796:G796"/>
    <mergeCell ref="U796:X796"/>
    <mergeCell ref="U829:X829"/>
    <mergeCell ref="D797:G797"/>
    <mergeCell ref="U797:X797"/>
    <mergeCell ref="D821:G821"/>
    <mergeCell ref="U825:X825"/>
    <mergeCell ref="D1141:G1141"/>
    <mergeCell ref="U1144:X1144"/>
    <mergeCell ref="D1145:G1145"/>
    <mergeCell ref="U1145:X1145"/>
    <mergeCell ref="D1146:G1146"/>
    <mergeCell ref="U1146:X1146"/>
    <mergeCell ref="D1170:G1170"/>
    <mergeCell ref="D1206:G1206"/>
    <mergeCell ref="D1174:G1174"/>
    <mergeCell ref="U1174:X1174"/>
    <mergeCell ref="D1175:G1175"/>
    <mergeCell ref="U1175:X1175"/>
    <mergeCell ref="D1176:G1176"/>
    <mergeCell ref="U1176:X1176"/>
    <mergeCell ref="D1091:G1091"/>
    <mergeCell ref="D737:G737"/>
    <mergeCell ref="U737:X737"/>
    <mergeCell ref="D738:G738"/>
    <mergeCell ref="U738:X738"/>
    <mergeCell ref="D739:G739"/>
    <mergeCell ref="U739:X739"/>
    <mergeCell ref="D708:G708"/>
    <mergeCell ref="U708:X708"/>
    <mergeCell ref="D709:G709"/>
    <mergeCell ref="U709:X709"/>
    <mergeCell ref="D710:G710"/>
    <mergeCell ref="U710:X710"/>
    <mergeCell ref="D711:G711"/>
    <mergeCell ref="U711:X711"/>
    <mergeCell ref="D712:G712"/>
    <mergeCell ref="U712:X712"/>
    <mergeCell ref="D713:G713"/>
    <mergeCell ref="U713:X713"/>
    <mergeCell ref="D714:G714"/>
    <mergeCell ref="U714:X714"/>
    <mergeCell ref="U735:X735"/>
    <mergeCell ref="D736:G736"/>
    <mergeCell ref="U720:X720"/>
    <mergeCell ref="U721:X721"/>
    <mergeCell ref="U722:X722"/>
    <mergeCell ref="U723:X723"/>
    <mergeCell ref="U724:X724"/>
    <mergeCell ref="U725:X725"/>
    <mergeCell ref="U727:X727"/>
    <mergeCell ref="U728:X728"/>
    <mergeCell ref="U715:X715"/>
    <mergeCell ref="U716:X716"/>
    <mergeCell ref="U1173:X1173"/>
    <mergeCell ref="U1055:X1055"/>
    <mergeCell ref="D1056:G1056"/>
    <mergeCell ref="U1056:X1056"/>
    <mergeCell ref="D1057:G1057"/>
    <mergeCell ref="U1057:X1057"/>
    <mergeCell ref="D1058:G1058"/>
    <mergeCell ref="U1058:X1058"/>
    <mergeCell ref="D1059:G1059"/>
    <mergeCell ref="U1059:X1059"/>
    <mergeCell ref="D1060:G1060"/>
    <mergeCell ref="U1060:X1060"/>
    <mergeCell ref="D1061:G1061"/>
    <mergeCell ref="U1061:X1061"/>
    <mergeCell ref="D1062:G1062"/>
    <mergeCell ref="U1062:X1062"/>
    <mergeCell ref="D1063:G1063"/>
    <mergeCell ref="U1063:X1063"/>
    <mergeCell ref="D1081:G1081"/>
    <mergeCell ref="U1084:X1084"/>
    <mergeCell ref="D1085:G1085"/>
    <mergeCell ref="U1085:X1085"/>
    <mergeCell ref="D1086:G1086"/>
    <mergeCell ref="D1110:G1110"/>
    <mergeCell ref="U1115:X1115"/>
    <mergeCell ref="D1116:G1116"/>
    <mergeCell ref="U1070:X1070"/>
    <mergeCell ref="U1071:X1071"/>
    <mergeCell ref="U1072:X1072"/>
    <mergeCell ref="U1073:X1073"/>
    <mergeCell ref="U1074:X1074"/>
    <mergeCell ref="U1075:X1075"/>
  </mergeCells>
  <dataValidations count="24">
    <dataValidation type="list" allowBlank="1" showInputMessage="1" showErrorMessage="1" sqref="D129:G133 D134:G153" xr:uid="{00000000-0002-0000-1200-000000000000}">
      <formula1>LU_ACT_7_ODCS</formula1>
    </dataValidation>
    <dataValidation type="list" allowBlank="1" showInputMessage="1" showErrorMessage="1" sqref="D100:G101 D102:G124" xr:uid="{00000000-0002-0000-1200-000001000000}">
      <formula1>LU_ACT_7_Equipment</formula1>
    </dataValidation>
    <dataValidation type="list" allowBlank="1" showInputMessage="1" showErrorMessage="1" sqref="D71:G74 D75:G95" xr:uid="{00000000-0002-0000-1200-000002000000}">
      <formula1>LU_ACT_7_Supplies</formula1>
    </dataValidation>
    <dataValidation type="list" allowBlank="1" showInputMessage="1" showErrorMessage="1" sqref="D41:G48 D49:G65" xr:uid="{00000000-0002-0000-1200-000003000000}">
      <formula1>LU_ACT_7_Allowances</formula1>
    </dataValidation>
    <dataValidation type="list" allowBlank="1" showInputMessage="1" showErrorMessage="1" sqref="D12:G19 D20:G36" xr:uid="{00000000-0002-0000-1200-000004000000}">
      <formula1>LU_ACT_7_Pers_Res</formula1>
    </dataValidation>
    <dataValidation type="list" allowBlank="1" showInputMessage="1" showErrorMessage="1" sqref="D477:G481 D482:G501" xr:uid="{00000000-0002-0000-1200-000006000000}">
      <formula1>LU_ACT_8_ODCS</formula1>
    </dataValidation>
    <dataValidation type="list" allowBlank="1" showInputMessage="1" showErrorMessage="1" sqref="D448:G449 D450:G472" xr:uid="{00000000-0002-0000-1200-000007000000}">
      <formula1>LU_ACT_8_Equipment</formula1>
    </dataValidation>
    <dataValidation type="list" allowBlank="1" showInputMessage="1" showErrorMessage="1" sqref="D419:G420 D421:G443" xr:uid="{00000000-0002-0000-1200-000008000000}">
      <formula1>LU_ACT_8_Supplies</formula1>
    </dataValidation>
    <dataValidation type="list" allowBlank="1" showInputMessage="1" showErrorMessage="1" sqref="D388:G395 D396:G412" xr:uid="{00000000-0002-0000-1200-000009000000}">
      <formula1>LU_ACT_8_Allowances</formula1>
    </dataValidation>
    <dataValidation type="list" allowBlank="1" showInputMessage="1" showErrorMessage="1" sqref="D359:G366 D367:G383" xr:uid="{00000000-0002-0000-1200-00000A000000}">
      <formula1>LU_ACT_8_Pers_Res</formula1>
    </dataValidation>
    <dataValidation type="list" allowBlank="1" showInputMessage="1" showErrorMessage="1" sqref="D826:G830 D831:G850" xr:uid="{00000000-0002-0000-1200-00000C000000}">
      <formula1>LU_ACT_9_ODCS</formula1>
    </dataValidation>
    <dataValidation type="list" allowBlank="1" showInputMessage="1" showErrorMessage="1" sqref="D796:G797 D798:G820" xr:uid="{00000000-0002-0000-1200-00000D000000}">
      <formula1>LU_ACT_9_Equipment</formula1>
    </dataValidation>
    <dataValidation type="list" allowBlank="1" showInputMessage="1" showErrorMessage="1" sqref="D767:G768 D769:G791" xr:uid="{00000000-0002-0000-1200-00000E000000}">
      <formula1>LU_ACT_9_Supplies</formula1>
    </dataValidation>
    <dataValidation type="list" allowBlank="1" showInputMessage="1" showErrorMessage="1" sqref="D736:G743 D744:G760" xr:uid="{00000000-0002-0000-1200-00000F000000}">
      <formula1>LU_ACT_9_Allowances</formula1>
    </dataValidation>
    <dataValidation type="list" allowBlank="1" showInputMessage="1" showErrorMessage="1" sqref="D707:G714 D715:G731" xr:uid="{00000000-0002-0000-1200-000010000000}">
      <formula1>LU_ACT_9_Pers_Res</formula1>
    </dataValidation>
    <dataValidation type="list" allowBlank="1" showInputMessage="1" showErrorMessage="1" sqref="D1174:G1178 D1179:G1198" xr:uid="{00000000-0002-0000-1200-000012000000}">
      <formula1>LU_ACT_10_ODCS</formula1>
    </dataValidation>
    <dataValidation type="list" allowBlank="1" showInputMessage="1" showErrorMessage="1" sqref="D1145:G1146 D1147:G1169" xr:uid="{00000000-0002-0000-1200-000013000000}">
      <formula1>LU_ACT_10_Equipment</formula1>
    </dataValidation>
    <dataValidation type="list" allowBlank="1" showInputMessage="1" showErrorMessage="1" sqref="D1116:G1117 D1118:G1140" xr:uid="{00000000-0002-0000-1200-000014000000}">
      <formula1>LU_ACT_10_Supplies</formula1>
    </dataValidation>
    <dataValidation type="list" allowBlank="1" showInputMessage="1" showErrorMessage="1" sqref="D1085:G1092 D1093:G1109" xr:uid="{00000000-0002-0000-1200-000015000000}">
      <formula1>LU_ACT_10_Allowances</formula1>
    </dataValidation>
    <dataValidation type="list" allowBlank="1" showInputMessage="1" showErrorMessage="1" sqref="D1056:G1063 D1064:G1080" xr:uid="{00000000-0002-0000-1200-000016000000}">
      <formula1>LU_ACT_10_Pers_Res</formula1>
    </dataValidation>
    <dataValidation type="whole" showDropDown="1" showErrorMessage="1" errorTitle="Drop Down Box Cell Link" error="The value in a drop down box cell link must be a whole number within the control's lookup range rows." sqref="I9" xr:uid="{A31A2578-BE58-4B8B-BE6A-ABBDC97D507E}">
      <formula1>1</formula1>
      <formula2>ROWS(LU_ACT_7_Meet_Curr)</formula2>
    </dataValidation>
    <dataValidation type="whole" showDropDown="1" showErrorMessage="1" errorTitle="Drop Down Box Cell Link" error="The value in a drop down box cell link must be a whole number within the control's lookup range rows." sqref="I356" xr:uid="{D0AB5EF9-ED80-4906-8C92-15C9C1BB3A0B}">
      <formula1>1</formula1>
      <formula2>ROWS(LU_ACT_8_Meet_Curr)</formula2>
    </dataValidation>
    <dataValidation type="whole" showDropDown="1" showErrorMessage="1" errorTitle="Drop Down Box Cell Link" error="The value in a drop down box cell link must be a whole number within the control's lookup range rows." sqref="I704" xr:uid="{A15AEF96-7B62-46F7-87C1-5A54BC9FE048}">
      <formula1>1</formula1>
      <formula2>ROWS(LU_ACT_9_Meet_Curr)</formula2>
    </dataValidation>
    <dataValidation type="whole" showDropDown="1" showErrorMessage="1" errorTitle="Drop Down Box Cell Link" error="The value in a drop down box cell link must be a whole number within the control's lookup range rows." sqref="I1053" xr:uid="{216522E7-7D2C-4497-8D8A-1447044CFA6E}">
      <formula1>1</formula1>
      <formula2>ROWS(LU_ACT_10_Meet_Curr)</formula2>
    </dataValidation>
  </dataValidations>
  <hyperlinks>
    <hyperlink ref="A4" location="$B$5" tooltip="Go to Top of Sheet" display="$B$5" xr:uid="{00000000-0004-0000-1200-000000000000}"/>
    <hyperlink ref="C4" location="HL_Sheet_Main_34" tooltip="Go to Next Sheet" display="HL_Sheet_Main_34" xr:uid="{00000000-0004-0000-1200-000001000000}"/>
    <hyperlink ref="B4" location="HL_Sheet_Main_16" tooltip="Go to Previous Sheet" display="HL_Sheet_Main_16" xr:uid="{00000000-0004-0000-1200-000002000000}"/>
    <hyperlink ref="B3" location="HL_Home" tooltip="Go to Table of Contents" display="HL_Home" xr:uid="{00000000-0004-0000-1200-000003000000}"/>
    <hyperlink ref="D4" location="HL_Err_Chk" tooltip="Go to Error Checks" display="HL_Err_Chk" xr:uid="{00000000-0004-0000-1200-000004000000}"/>
    <hyperlink ref="F4" location="HL_Alt_Chk" tooltip="Go to Alert Checks" display="HL_Alt_Chk" xr:uid="{00000000-0004-0000-12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pmDropDownACT_7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74754" r:id="rId5" name="bpmDropDownACT_81">
              <controlPr defaultSize="0" autoFill="0" autoPict="0">
                <anchor moveWithCells="1">
                  <from>
                    <xdr:col>8</xdr:col>
                    <xdr:colOff>0</xdr:colOff>
                    <xdr:row>355</xdr:row>
                    <xdr:rowOff>0</xdr:rowOff>
                  </from>
                  <to>
                    <xdr:col>9</xdr:col>
                    <xdr:colOff>0</xdr:colOff>
                    <xdr:row>356</xdr:row>
                    <xdr:rowOff>0</xdr:rowOff>
                  </to>
                </anchor>
              </controlPr>
            </control>
          </mc:Choice>
        </mc:AlternateContent>
        <mc:AlternateContent xmlns:mc="http://schemas.openxmlformats.org/markup-compatibility/2006">
          <mc:Choice Requires="x14">
            <control shapeId="74755" r:id="rId6" name="bpmDropDownACT_91">
              <controlPr defaultSize="0" autoFill="0" autoPict="0">
                <anchor moveWithCells="1">
                  <from>
                    <xdr:col>8</xdr:col>
                    <xdr:colOff>0</xdr:colOff>
                    <xdr:row>703</xdr:row>
                    <xdr:rowOff>0</xdr:rowOff>
                  </from>
                  <to>
                    <xdr:col>9</xdr:col>
                    <xdr:colOff>0</xdr:colOff>
                    <xdr:row>704</xdr:row>
                    <xdr:rowOff>0</xdr:rowOff>
                  </to>
                </anchor>
              </controlPr>
            </control>
          </mc:Choice>
        </mc:AlternateContent>
        <mc:AlternateContent xmlns:mc="http://schemas.openxmlformats.org/markup-compatibility/2006">
          <mc:Choice Requires="x14">
            <control shapeId="74756" r:id="rId7" name="bpmDropDownACT_101">
              <controlPr defaultSize="0" autoFill="0" autoPict="0">
                <anchor moveWithCells="1">
                  <from>
                    <xdr:col>8</xdr:col>
                    <xdr:colOff>0</xdr:colOff>
                    <xdr:row>1052</xdr:row>
                    <xdr:rowOff>0</xdr:rowOff>
                  </from>
                  <to>
                    <xdr:col>9</xdr:col>
                    <xdr:colOff>0</xdr:colOff>
                    <xdr:row>1053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howOutlineSymbols="0"/>
    <pageSetUpPr autoPageBreaks="0"/>
  </sheetPr>
  <dimension ref="A1:P69"/>
  <sheetViews>
    <sheetView showGridLines="0" showOutlineSymbols="0" zoomScaleNormal="100" workbookViewId="0">
      <pane xSplit="1" ySplit="6" topLeftCell="B7" activePane="bottomRight" state="frozen"/>
      <selection pane="topRight" activeCell="B1" sqref="B1"/>
      <selection pane="bottomLeft" activeCell="A7" sqref="A7"/>
      <selection pane="bottomRight" activeCell="H60" sqref="H60:P60"/>
    </sheetView>
  </sheetViews>
  <sheetFormatPr defaultColWidth="11.6640625" defaultRowHeight="13.8" outlineLevelRow="2" x14ac:dyDescent="0.3"/>
  <cols>
    <col min="1" max="2" width="3.6640625" customWidth="1"/>
    <col min="3" max="5" width="0" hidden="1" customWidth="1"/>
    <col min="6" max="6" width="2.44140625" customWidth="1"/>
    <col min="7" max="7" width="0" hidden="1" customWidth="1"/>
    <col min="8" max="8" width="1.5546875" customWidth="1"/>
  </cols>
  <sheetData>
    <row r="1" spans="1:16" ht="23.4" x14ac:dyDescent="0.3">
      <c r="B1" s="2" t="s">
        <v>3</v>
      </c>
    </row>
    <row r="2" spans="1:16" ht="18" x14ac:dyDescent="0.3">
      <c r="B2" s="6" t="str">
        <f>Model_Name</f>
        <v>Oral Cholera Vaccine Activity-Based Costing</v>
      </c>
    </row>
    <row r="3" spans="1:16" x14ac:dyDescent="0.3">
      <c r="B3" s="340" t="s">
        <v>4</v>
      </c>
      <c r="C3" s="340"/>
      <c r="D3" s="340"/>
      <c r="E3" s="340"/>
      <c r="F3" s="340"/>
      <c r="G3" s="340"/>
      <c r="H3" s="340"/>
      <c r="I3" s="340"/>
    </row>
    <row r="6" spans="1:16" s="36" customFormat="1" ht="18" x14ac:dyDescent="0.3">
      <c r="A6" s="34" t="s">
        <v>5</v>
      </c>
      <c r="B6" s="35" t="s">
        <v>0</v>
      </c>
    </row>
    <row r="8" spans="1:16" ht="19.2" customHeight="1" x14ac:dyDescent="0.3">
      <c r="B8" s="335">
        <v>1</v>
      </c>
      <c r="C8" s="335"/>
      <c r="D8" s="336" t="str">
        <f>Step1_SC!C9</f>
        <v>Step 1: Tool Set Up (Step1_SC)</v>
      </c>
      <c r="E8" s="336"/>
      <c r="F8" s="336"/>
      <c r="G8" s="336"/>
      <c r="H8" s="336"/>
      <c r="I8" s="336"/>
      <c r="J8" s="336"/>
      <c r="K8" s="336"/>
      <c r="L8" s="336"/>
      <c r="M8" s="336"/>
      <c r="N8" s="336"/>
      <c r="O8" s="336"/>
      <c r="P8" s="336"/>
    </row>
    <row r="9" spans="1:16" outlineLevel="1" x14ac:dyDescent="0.3">
      <c r="F9" s="338" t="s">
        <v>66</v>
      </c>
      <c r="G9" s="338"/>
      <c r="H9" s="339" t="str">
        <f>TS_BA!B1</f>
        <v>Time Series - Broad Assumptions (TS_BA)</v>
      </c>
      <c r="I9" s="339"/>
      <c r="J9" s="339"/>
      <c r="K9" s="339"/>
      <c r="L9" s="339"/>
      <c r="M9" s="339"/>
      <c r="N9" s="339"/>
      <c r="O9" s="339"/>
      <c r="P9" s="339"/>
    </row>
    <row r="10" spans="1:16" outlineLevel="1" x14ac:dyDescent="0.3">
      <c r="F10" s="338" t="s">
        <v>96</v>
      </c>
      <c r="G10" s="338"/>
      <c r="H10" s="339" t="str">
        <f>Lbl_BA!B1</f>
        <v>LABELS</v>
      </c>
      <c r="I10" s="339"/>
      <c r="J10" s="339"/>
      <c r="K10" s="339"/>
      <c r="L10" s="339"/>
      <c r="M10" s="339"/>
      <c r="N10" s="339"/>
      <c r="O10" s="339"/>
      <c r="P10" s="339"/>
    </row>
    <row r="11" spans="1:16" ht="12.75" hidden="1" customHeight="1" outlineLevel="2" x14ac:dyDescent="0.3">
      <c r="H11" s="37" t="s">
        <v>69</v>
      </c>
      <c r="I11" s="337" t="str">
        <f>TOC_Hdg_19</f>
        <v>Country Name Label</v>
      </c>
      <c r="J11" s="337"/>
      <c r="K11" s="337"/>
      <c r="L11" s="337"/>
      <c r="M11" s="337"/>
      <c r="N11" s="337"/>
      <c r="O11" s="337"/>
      <c r="P11" s="337"/>
    </row>
    <row r="12" spans="1:16" ht="12.75" hidden="1" customHeight="1" outlineLevel="2" x14ac:dyDescent="0.3">
      <c r="H12" s="37" t="s">
        <v>69</v>
      </c>
      <c r="I12" s="337" t="str">
        <f>TOC_Hdg_20</f>
        <v>Sub-National Level Name Labels</v>
      </c>
      <c r="J12" s="337"/>
      <c r="K12" s="337"/>
      <c r="L12" s="337"/>
      <c r="M12" s="337"/>
      <c r="N12" s="337"/>
      <c r="O12" s="337"/>
      <c r="P12" s="337"/>
    </row>
    <row r="13" spans="1:16" ht="12.75" hidden="1" customHeight="1" outlineLevel="2" x14ac:dyDescent="0.3">
      <c r="H13" s="37" t="s">
        <v>69</v>
      </c>
      <c r="I13" s="337" t="str">
        <f>TOC_Hdg_21</f>
        <v>Facility Type Name Labels</v>
      </c>
      <c r="J13" s="337"/>
      <c r="K13" s="337"/>
      <c r="L13" s="337"/>
      <c r="M13" s="337"/>
      <c r="N13" s="337"/>
      <c r="O13" s="337"/>
      <c r="P13" s="337"/>
    </row>
    <row r="14" spans="1:16" ht="12.75" hidden="1" customHeight="1" outlineLevel="2" x14ac:dyDescent="0.3">
      <c r="H14" s="37" t="s">
        <v>69</v>
      </c>
      <c r="I14" s="337" t="str">
        <f>TOC_Hdg_22</f>
        <v>Target Population Name</v>
      </c>
      <c r="J14" s="337"/>
      <c r="K14" s="337"/>
      <c r="L14" s="337"/>
      <c r="M14" s="337"/>
      <c r="N14" s="337"/>
      <c r="O14" s="337"/>
      <c r="P14" s="337"/>
    </row>
    <row r="15" spans="1:16" outlineLevel="1" collapsed="1" x14ac:dyDescent="0.3">
      <c r="F15" s="338" t="s">
        <v>97</v>
      </c>
      <c r="G15" s="338"/>
      <c r="H15" s="339" t="str">
        <f>Count_BA!B1</f>
        <v>Counts - Broad Assumptions (Count_BA)</v>
      </c>
      <c r="I15" s="339"/>
      <c r="J15" s="339"/>
      <c r="K15" s="339"/>
      <c r="L15" s="339"/>
      <c r="M15" s="339"/>
      <c r="N15" s="339"/>
      <c r="O15" s="339"/>
      <c r="P15" s="339"/>
    </row>
    <row r="16" spans="1:16" outlineLevel="1" x14ac:dyDescent="0.3">
      <c r="F16" s="338" t="s">
        <v>117</v>
      </c>
      <c r="G16" s="338"/>
      <c r="H16" s="339" t="str">
        <f>CURR_TA!B1</f>
        <v>RESOURCES - Currency Assumptions</v>
      </c>
      <c r="I16" s="339"/>
      <c r="J16" s="339"/>
      <c r="K16" s="339"/>
      <c r="L16" s="339"/>
      <c r="M16" s="339"/>
      <c r="N16" s="339"/>
      <c r="O16" s="339"/>
      <c r="P16" s="339"/>
    </row>
    <row r="17" spans="2:16" outlineLevel="1" x14ac:dyDescent="0.3">
      <c r="F17" s="338" t="s">
        <v>118</v>
      </c>
      <c r="G17" s="338"/>
      <c r="H17" s="339" t="str">
        <f>RES_BA!B1</f>
        <v>RESOURCES - Assumptions</v>
      </c>
      <c r="I17" s="339"/>
      <c r="J17" s="339"/>
      <c r="K17" s="339"/>
      <c r="L17" s="339"/>
      <c r="M17" s="339"/>
      <c r="N17" s="339"/>
      <c r="O17" s="339"/>
      <c r="P17" s="339"/>
    </row>
    <row r="18" spans="2:16" ht="19.2" customHeight="1" x14ac:dyDescent="0.3">
      <c r="B18" s="335">
        <v>2</v>
      </c>
      <c r="C18" s="335"/>
      <c r="D18" s="336" t="str">
        <f>Step2_SC!C9</f>
        <v>Step 2: Single Activity Costing</v>
      </c>
      <c r="E18" s="336"/>
      <c r="F18" s="336"/>
      <c r="G18" s="336"/>
      <c r="H18" s="336"/>
      <c r="I18" s="336"/>
      <c r="J18" s="336"/>
      <c r="K18" s="336"/>
      <c r="L18" s="336"/>
      <c r="M18" s="336"/>
      <c r="N18" s="336"/>
      <c r="O18" s="336"/>
      <c r="P18" s="336"/>
    </row>
    <row r="19" spans="2:16" outlineLevel="1" x14ac:dyDescent="0.3">
      <c r="F19" s="338" t="s">
        <v>66</v>
      </c>
      <c r="G19" s="338"/>
      <c r="H19" s="339" t="str">
        <f>VACC_BA!B1</f>
        <v>Vaccine - Assumptions</v>
      </c>
      <c r="I19" s="339"/>
      <c r="J19" s="339"/>
      <c r="K19" s="339"/>
      <c r="L19" s="339"/>
      <c r="M19" s="339"/>
      <c r="N19" s="339"/>
      <c r="O19" s="339"/>
      <c r="P19" s="339"/>
    </row>
    <row r="20" spans="2:16" outlineLevel="1" x14ac:dyDescent="0.3">
      <c r="F20" s="338" t="s">
        <v>96</v>
      </c>
      <c r="G20" s="338"/>
      <c r="H20" s="339" t="str">
        <f>MICRO_BA!B1</f>
        <v>Microplanning Activity Costing</v>
      </c>
      <c r="I20" s="339"/>
      <c r="J20" s="339"/>
      <c r="K20" s="339"/>
      <c r="L20" s="339"/>
      <c r="M20" s="339"/>
      <c r="N20" s="339"/>
      <c r="O20" s="339"/>
      <c r="P20" s="339"/>
    </row>
    <row r="21" spans="2:16" ht="12.75" hidden="1" customHeight="1" outlineLevel="2" x14ac:dyDescent="0.3">
      <c r="H21" s="37" t="s">
        <v>69</v>
      </c>
      <c r="I21" s="337" t="str">
        <f>TOC_Hdg_5</f>
        <v>Microplanning Activity #1 [not in use]</v>
      </c>
      <c r="J21" s="337"/>
      <c r="K21" s="337"/>
      <c r="L21" s="337"/>
      <c r="M21" s="337"/>
      <c r="N21" s="337"/>
      <c r="O21" s="337"/>
      <c r="P21" s="337"/>
    </row>
    <row r="22" spans="2:16" ht="12.75" hidden="1" customHeight="1" outlineLevel="2" x14ac:dyDescent="0.3">
      <c r="H22" s="37" t="s">
        <v>69</v>
      </c>
      <c r="I22" s="337" t="str">
        <f>TOC_Hdg_9</f>
        <v>Microplanning Activity #2 [not in use]</v>
      </c>
      <c r="J22" s="337"/>
      <c r="K22" s="337"/>
      <c r="L22" s="337"/>
      <c r="M22" s="337"/>
      <c r="N22" s="337"/>
      <c r="O22" s="337"/>
      <c r="P22" s="337"/>
    </row>
    <row r="23" spans="2:16" outlineLevel="1" collapsed="1" x14ac:dyDescent="0.3">
      <c r="F23" s="338" t="s">
        <v>97</v>
      </c>
      <c r="G23" s="338"/>
      <c r="H23" s="339" t="str">
        <f>IEC_BA!B1</f>
        <v>Communication Materials</v>
      </c>
      <c r="I23" s="339"/>
      <c r="J23" s="339"/>
      <c r="K23" s="339"/>
      <c r="L23" s="339"/>
      <c r="M23" s="339"/>
      <c r="N23" s="339"/>
      <c r="O23" s="339"/>
      <c r="P23" s="339"/>
    </row>
    <row r="24" spans="2:16" ht="12.75" hidden="1" customHeight="1" outlineLevel="2" x14ac:dyDescent="0.3">
      <c r="H24" s="37" t="s">
        <v>69</v>
      </c>
      <c r="I24" s="337" t="str">
        <f>TOC_Hdg_31</f>
        <v>Communication Materials Activity #1 [not in use]</v>
      </c>
      <c r="J24" s="337"/>
      <c r="K24" s="337"/>
      <c r="L24" s="337"/>
      <c r="M24" s="337"/>
      <c r="N24" s="337"/>
      <c r="O24" s="337"/>
      <c r="P24" s="337"/>
    </row>
    <row r="25" spans="2:16" ht="12.75" hidden="1" customHeight="1" outlineLevel="2" x14ac:dyDescent="0.3">
      <c r="H25" s="37" t="s">
        <v>69</v>
      </c>
      <c r="I25" s="337" t="str">
        <f>TOC_Hdg_101</f>
        <v>Communication Materials Activity #2 [not in use]</v>
      </c>
      <c r="J25" s="337"/>
      <c r="K25" s="337"/>
      <c r="L25" s="337"/>
      <c r="M25" s="337"/>
      <c r="N25" s="337"/>
      <c r="O25" s="337"/>
      <c r="P25" s="337"/>
    </row>
    <row r="26" spans="2:16" ht="12.75" hidden="1" customHeight="1" outlineLevel="2" x14ac:dyDescent="0.3">
      <c r="H26" s="37" t="s">
        <v>69</v>
      </c>
      <c r="I26" s="337" t="str">
        <f>TOC_Hdg_105</f>
        <v>Communication Materials Activity #3 [not in use]</v>
      </c>
      <c r="J26" s="337"/>
      <c r="K26" s="337"/>
      <c r="L26" s="337"/>
      <c r="M26" s="337"/>
      <c r="N26" s="337"/>
      <c r="O26" s="337"/>
      <c r="P26" s="337"/>
    </row>
    <row r="27" spans="2:16" outlineLevel="1" collapsed="1" x14ac:dyDescent="0.3">
      <c r="F27" s="338" t="s">
        <v>117</v>
      </c>
      <c r="G27" s="338"/>
      <c r="H27" s="339" t="str">
        <f>TRAIN_BA!B1</f>
        <v>Training Activity Costings</v>
      </c>
      <c r="I27" s="339"/>
      <c r="J27" s="339"/>
      <c r="K27" s="339"/>
      <c r="L27" s="339"/>
      <c r="M27" s="339"/>
      <c r="N27" s="339"/>
      <c r="O27" s="339"/>
      <c r="P27" s="339"/>
    </row>
    <row r="28" spans="2:16" ht="12.75" hidden="1" customHeight="1" outlineLevel="2" x14ac:dyDescent="0.3">
      <c r="H28" s="37" t="s">
        <v>69</v>
      </c>
      <c r="I28" s="337" t="str">
        <f>TOC_Hdg_75</f>
        <v>Training Activity #1 [not in use]</v>
      </c>
      <c r="J28" s="337"/>
      <c r="K28" s="337"/>
      <c r="L28" s="337"/>
      <c r="M28" s="337"/>
      <c r="N28" s="337"/>
      <c r="O28" s="337"/>
      <c r="P28" s="337"/>
    </row>
    <row r="29" spans="2:16" ht="12.75" hidden="1" customHeight="1" outlineLevel="2" x14ac:dyDescent="0.3">
      <c r="H29" s="37" t="s">
        <v>69</v>
      </c>
      <c r="I29" s="337" t="str">
        <f>TOC_Hdg_79</f>
        <v>Training Activity #2 [not in use]</v>
      </c>
      <c r="J29" s="337"/>
      <c r="K29" s="337"/>
      <c r="L29" s="337"/>
      <c r="M29" s="337"/>
      <c r="N29" s="337"/>
      <c r="O29" s="337"/>
      <c r="P29" s="337"/>
    </row>
    <row r="30" spans="2:16" ht="12.75" hidden="1" customHeight="1" outlineLevel="2" x14ac:dyDescent="0.3">
      <c r="H30" s="37" t="s">
        <v>69</v>
      </c>
      <c r="I30" s="337" t="str">
        <f>TOC_Hdg_83</f>
        <v>Training Activity #3 [not in use]</v>
      </c>
      <c r="J30" s="337"/>
      <c r="K30" s="337"/>
      <c r="L30" s="337"/>
      <c r="M30" s="337"/>
      <c r="N30" s="337"/>
      <c r="O30" s="337"/>
      <c r="P30" s="337"/>
    </row>
    <row r="31" spans="2:16" ht="12.75" hidden="1" customHeight="1" outlineLevel="2" x14ac:dyDescent="0.3">
      <c r="H31" s="37" t="s">
        <v>69</v>
      </c>
      <c r="I31" s="337" t="str">
        <f>TOC_Hdg_87</f>
        <v>Training Activity #4 [not in use]</v>
      </c>
      <c r="J31" s="337"/>
      <c r="K31" s="337"/>
      <c r="L31" s="337"/>
      <c r="M31" s="337"/>
      <c r="N31" s="337"/>
      <c r="O31" s="337"/>
      <c r="P31" s="337"/>
    </row>
    <row r="32" spans="2:16" ht="12.75" hidden="1" customHeight="1" outlineLevel="2" x14ac:dyDescent="0.3">
      <c r="H32" s="37" t="s">
        <v>69</v>
      </c>
      <c r="I32" s="337" t="str">
        <f>TOC_Hdg_14</f>
        <v>Training Activity #5 [not in use]</v>
      </c>
      <c r="J32" s="337"/>
      <c r="K32" s="337"/>
      <c r="L32" s="337"/>
      <c r="M32" s="337"/>
      <c r="N32" s="337"/>
      <c r="O32" s="337"/>
      <c r="P32" s="337"/>
    </row>
    <row r="33" spans="6:16" outlineLevel="1" collapsed="1" x14ac:dyDescent="0.3">
      <c r="F33" s="338" t="s">
        <v>118</v>
      </c>
      <c r="G33" s="338"/>
      <c r="H33" s="339" t="str">
        <f>SENS_BA!B1</f>
        <v>Sensitisation Activity Costings</v>
      </c>
      <c r="I33" s="339"/>
      <c r="J33" s="339"/>
      <c r="K33" s="339"/>
      <c r="L33" s="339"/>
      <c r="M33" s="339"/>
      <c r="N33" s="339"/>
      <c r="O33" s="339"/>
      <c r="P33" s="339"/>
    </row>
    <row r="34" spans="6:16" ht="12.75" hidden="1" customHeight="1" outlineLevel="2" x14ac:dyDescent="0.3">
      <c r="H34" s="37" t="s">
        <v>69</v>
      </c>
      <c r="I34" s="337" t="str">
        <f>TOC_Hdg_13</f>
        <v>Sensitisation Activity #1 [not in use]</v>
      </c>
      <c r="J34" s="337"/>
      <c r="K34" s="337"/>
      <c r="L34" s="337"/>
      <c r="M34" s="337"/>
      <c r="N34" s="337"/>
      <c r="O34" s="337"/>
      <c r="P34" s="337"/>
    </row>
    <row r="35" spans="6:16" ht="12.75" hidden="1" customHeight="1" outlineLevel="2" x14ac:dyDescent="0.3">
      <c r="H35" s="37" t="s">
        <v>69</v>
      </c>
      <c r="I35" s="337" t="str">
        <f>TOC_Hdg_23</f>
        <v>Sensitisation Activity #2 [not in use]</v>
      </c>
      <c r="J35" s="337"/>
      <c r="K35" s="337"/>
      <c r="L35" s="337"/>
      <c r="M35" s="337"/>
      <c r="N35" s="337"/>
      <c r="O35" s="337"/>
      <c r="P35" s="337"/>
    </row>
    <row r="36" spans="6:16" ht="12.75" hidden="1" customHeight="1" outlineLevel="2" x14ac:dyDescent="0.3">
      <c r="H36" s="37" t="s">
        <v>69</v>
      </c>
      <c r="I36" s="337" t="str">
        <f>TOC_Hdg_27</f>
        <v>Sensitisation Activity #3 [not in use]</v>
      </c>
      <c r="J36" s="337"/>
      <c r="K36" s="337"/>
      <c r="L36" s="337"/>
      <c r="M36" s="337"/>
      <c r="N36" s="337"/>
      <c r="O36" s="337"/>
      <c r="P36" s="337"/>
    </row>
    <row r="37" spans="6:16" outlineLevel="1" collapsed="1" x14ac:dyDescent="0.3">
      <c r="F37" s="338" t="s">
        <v>124</v>
      </c>
      <c r="G37" s="338"/>
      <c r="H37" s="339" t="str">
        <f>MOB_BA!B1</f>
        <v>Social Mobilisation Activity Costings</v>
      </c>
      <c r="I37" s="339"/>
      <c r="J37" s="339"/>
      <c r="K37" s="339"/>
      <c r="L37" s="339"/>
      <c r="M37" s="339"/>
      <c r="N37" s="339"/>
      <c r="O37" s="339"/>
      <c r="P37" s="339"/>
    </row>
    <row r="38" spans="6:16" ht="12.75" hidden="1" customHeight="1" outlineLevel="2" x14ac:dyDescent="0.3">
      <c r="H38" s="37" t="s">
        <v>69</v>
      </c>
      <c r="I38" s="337" t="str">
        <f>TOC_Hdg_35</f>
        <v>Social Mobilisation Activity #1 [not in use]</v>
      </c>
      <c r="J38" s="337"/>
      <c r="K38" s="337"/>
      <c r="L38" s="337"/>
      <c r="M38" s="337"/>
      <c r="N38" s="337"/>
      <c r="O38" s="337"/>
      <c r="P38" s="337"/>
    </row>
    <row r="39" spans="6:16" ht="12.75" hidden="1" customHeight="1" outlineLevel="2" x14ac:dyDescent="0.3">
      <c r="H39" s="37" t="s">
        <v>69</v>
      </c>
      <c r="I39" s="337" t="str">
        <f>TOC_Hdg_39</f>
        <v>Social Mobilisation Activity #2 [not in use]</v>
      </c>
      <c r="J39" s="337"/>
      <c r="K39" s="337"/>
      <c r="L39" s="337"/>
      <c r="M39" s="337"/>
      <c r="N39" s="337"/>
      <c r="O39" s="337"/>
      <c r="P39" s="337"/>
    </row>
    <row r="40" spans="6:16" ht="12.75" hidden="1" customHeight="1" outlineLevel="2" x14ac:dyDescent="0.3">
      <c r="H40" s="37" t="s">
        <v>69</v>
      </c>
      <c r="I40" s="337" t="str">
        <f>TOC_Hdg_43</f>
        <v>Social Mobilisation Activity #3 [not in use]</v>
      </c>
      <c r="J40" s="337"/>
      <c r="K40" s="337"/>
      <c r="L40" s="337"/>
      <c r="M40" s="337"/>
      <c r="N40" s="337"/>
      <c r="O40" s="337"/>
      <c r="P40" s="337"/>
    </row>
    <row r="41" spans="6:16" ht="12.75" hidden="1" customHeight="1" outlineLevel="2" x14ac:dyDescent="0.3">
      <c r="H41" s="37" t="s">
        <v>69</v>
      </c>
      <c r="I41" s="337" t="str">
        <f>TOC_Hdg_47</f>
        <v>Social Mobilisation Activity #4 [not in use]</v>
      </c>
      <c r="J41" s="337"/>
      <c r="K41" s="337"/>
      <c r="L41" s="337"/>
      <c r="M41" s="337"/>
      <c r="N41" s="337"/>
      <c r="O41" s="337"/>
      <c r="P41" s="337"/>
    </row>
    <row r="42" spans="6:16" outlineLevel="1" collapsed="1" x14ac:dyDescent="0.3">
      <c r="F42" s="338" t="s">
        <v>150</v>
      </c>
      <c r="G42" s="338"/>
      <c r="H42" s="339" t="str">
        <f>SD1_BA!B1</f>
        <v>Vaccination Activity Costings- Round 1</v>
      </c>
      <c r="I42" s="339"/>
      <c r="J42" s="339"/>
      <c r="K42" s="339"/>
      <c r="L42" s="339"/>
      <c r="M42" s="339"/>
      <c r="N42" s="339"/>
      <c r="O42" s="339"/>
      <c r="P42" s="339"/>
    </row>
    <row r="43" spans="6:16" ht="12.75" hidden="1" customHeight="1" outlineLevel="2" x14ac:dyDescent="0.3">
      <c r="H43" s="37" t="s">
        <v>69</v>
      </c>
      <c r="I43" s="337" t="str">
        <f>TOC_Hdg_51</f>
        <v>Round 1 - Vacciination Activity #1 [not in use]</v>
      </c>
      <c r="J43" s="337"/>
      <c r="K43" s="337"/>
      <c r="L43" s="337"/>
      <c r="M43" s="337"/>
      <c r="N43" s="337"/>
      <c r="O43" s="337"/>
      <c r="P43" s="337"/>
    </row>
    <row r="44" spans="6:16" ht="12.75" hidden="1" customHeight="1" outlineLevel="2" x14ac:dyDescent="0.3">
      <c r="H44" s="37" t="s">
        <v>69</v>
      </c>
      <c r="I44" s="337" t="str">
        <f>TOC_Hdg_55</f>
        <v>Round 1 - Vacciination Activity #2 [not in use]</v>
      </c>
      <c r="J44" s="337"/>
      <c r="K44" s="337"/>
      <c r="L44" s="337"/>
      <c r="M44" s="337"/>
      <c r="N44" s="337"/>
      <c r="O44" s="337"/>
      <c r="P44" s="337"/>
    </row>
    <row r="45" spans="6:16" ht="12.75" hidden="1" customHeight="1" outlineLevel="2" x14ac:dyDescent="0.3">
      <c r="H45" s="37" t="s">
        <v>69</v>
      </c>
      <c r="I45" s="337" t="str">
        <f>TOC_Hdg_45</f>
        <v>Round 1 - Vacciination Activity #3 [not in use]</v>
      </c>
      <c r="J45" s="337"/>
      <c r="K45" s="337"/>
      <c r="L45" s="337"/>
      <c r="M45" s="337"/>
      <c r="N45" s="337"/>
      <c r="O45" s="337"/>
      <c r="P45" s="337"/>
    </row>
    <row r="46" spans="6:16" ht="12.75" hidden="1" customHeight="1" outlineLevel="2" x14ac:dyDescent="0.3">
      <c r="H46" s="37" t="s">
        <v>69</v>
      </c>
      <c r="I46" s="337" t="str">
        <f>TOC_Hdg_59</f>
        <v>Round 1 - Vacciination Activity #4 [not in use]</v>
      </c>
      <c r="J46" s="337"/>
      <c r="K46" s="337"/>
      <c r="L46" s="337"/>
      <c r="M46" s="337"/>
      <c r="N46" s="337"/>
      <c r="O46" s="337"/>
      <c r="P46" s="337"/>
    </row>
    <row r="47" spans="6:16" ht="12.75" hidden="1" customHeight="1" outlineLevel="2" x14ac:dyDescent="0.3">
      <c r="H47" s="37" t="s">
        <v>69</v>
      </c>
      <c r="I47" s="337" t="str">
        <f>TOC_Hdg_10</f>
        <v>Round 1 - Vacciination Activity #5 [not in use]</v>
      </c>
      <c r="J47" s="337"/>
      <c r="K47" s="337"/>
      <c r="L47" s="337"/>
      <c r="M47" s="337"/>
      <c r="N47" s="337"/>
      <c r="O47" s="337"/>
      <c r="P47" s="337"/>
    </row>
    <row r="48" spans="6:16" outlineLevel="1" collapsed="1" x14ac:dyDescent="0.3">
      <c r="F48" s="338" t="s">
        <v>158</v>
      </c>
      <c r="G48" s="338"/>
      <c r="H48" s="339" t="str">
        <f>SD2_BA!B1</f>
        <v>Vaccination Activity Costings - Round 2</v>
      </c>
      <c r="I48" s="339"/>
      <c r="J48" s="339"/>
      <c r="K48" s="339"/>
      <c r="L48" s="339"/>
      <c r="M48" s="339"/>
      <c r="N48" s="339"/>
      <c r="O48" s="339"/>
      <c r="P48" s="339"/>
    </row>
    <row r="49" spans="2:16" ht="12.75" hidden="1" customHeight="1" outlineLevel="2" x14ac:dyDescent="0.3">
      <c r="H49" s="37" t="s">
        <v>69</v>
      </c>
      <c r="I49" s="337" t="str">
        <f>TOC_Hdg_63</f>
        <v>Round 2 - Vacciination Activity #1 [not in use]</v>
      </c>
      <c r="J49" s="337"/>
      <c r="K49" s="337"/>
      <c r="L49" s="337"/>
      <c r="M49" s="337"/>
      <c r="N49" s="337"/>
      <c r="O49" s="337"/>
      <c r="P49" s="337"/>
    </row>
    <row r="50" spans="2:16" ht="12.75" hidden="1" customHeight="1" outlineLevel="2" x14ac:dyDescent="0.3">
      <c r="H50" s="37" t="s">
        <v>69</v>
      </c>
      <c r="I50" s="337" t="str">
        <f>TOC_Hdg_67</f>
        <v>Round 2 - Vacciination Activity #2 [not in use]</v>
      </c>
      <c r="J50" s="337"/>
      <c r="K50" s="337"/>
      <c r="L50" s="337"/>
      <c r="M50" s="337"/>
      <c r="N50" s="337"/>
      <c r="O50" s="337"/>
      <c r="P50" s="337"/>
    </row>
    <row r="51" spans="2:16" ht="12.75" hidden="1" customHeight="1" outlineLevel="2" x14ac:dyDescent="0.3">
      <c r="H51" s="37" t="s">
        <v>69</v>
      </c>
      <c r="I51" s="337" t="str">
        <f>TOC_Hdg_71</f>
        <v>Round 2 - Vacciination Activity #3 [not in use]</v>
      </c>
      <c r="J51" s="337"/>
      <c r="K51" s="337"/>
      <c r="L51" s="337"/>
      <c r="M51" s="337"/>
      <c r="N51" s="337"/>
      <c r="O51" s="337"/>
      <c r="P51" s="337"/>
    </row>
    <row r="52" spans="2:16" ht="12.75" hidden="1" customHeight="1" outlineLevel="2" x14ac:dyDescent="0.3">
      <c r="H52" s="37" t="s">
        <v>69</v>
      </c>
      <c r="I52" s="337" t="str">
        <f>TOC_Hdg_25</f>
        <v>Round 2 - Vacciination Activity #4 [not in use]</v>
      </c>
      <c r="J52" s="337"/>
      <c r="K52" s="337"/>
      <c r="L52" s="337"/>
      <c r="M52" s="337"/>
      <c r="N52" s="337"/>
      <c r="O52" s="337"/>
      <c r="P52" s="337"/>
    </row>
    <row r="53" spans="2:16" ht="19.2" customHeight="1" collapsed="1" x14ac:dyDescent="0.3">
      <c r="B53" s="335">
        <v>3</v>
      </c>
      <c r="C53" s="335"/>
      <c r="D53" s="336" t="str">
        <f>Step3_SC!C9</f>
        <v>Step 3: Estimate Numbers of Each Activity</v>
      </c>
      <c r="E53" s="336"/>
      <c r="F53" s="336"/>
      <c r="G53" s="336"/>
      <c r="H53" s="336"/>
      <c r="I53" s="336"/>
      <c r="J53" s="336"/>
      <c r="K53" s="336"/>
      <c r="L53" s="336"/>
      <c r="M53" s="336"/>
      <c r="N53" s="336"/>
      <c r="O53" s="336"/>
      <c r="P53" s="336"/>
    </row>
    <row r="54" spans="2:16" outlineLevel="1" x14ac:dyDescent="0.3">
      <c r="F54" s="338" t="s">
        <v>66</v>
      </c>
      <c r="G54" s="338"/>
      <c r="H54" s="339" t="str">
        <f>VACC_BO!B1</f>
        <v>Vaccine - Outputs</v>
      </c>
      <c r="I54" s="339"/>
      <c r="J54" s="339"/>
      <c r="K54" s="339"/>
      <c r="L54" s="339"/>
      <c r="M54" s="339"/>
      <c r="N54" s="339"/>
      <c r="O54" s="339"/>
      <c r="P54" s="339"/>
    </row>
    <row r="55" spans="2:16" outlineLevel="1" x14ac:dyDescent="0.3">
      <c r="F55" s="338" t="s">
        <v>96</v>
      </c>
      <c r="G55" s="338"/>
      <c r="H55" s="339" t="str">
        <f>MICRO_BO!B1</f>
        <v>Microplanning - Broad Outputs (MICRO_BO)</v>
      </c>
      <c r="I55" s="339"/>
      <c r="J55" s="339"/>
      <c r="K55" s="339"/>
      <c r="L55" s="339"/>
      <c r="M55" s="339"/>
      <c r="N55" s="339"/>
      <c r="O55" s="339"/>
      <c r="P55" s="339"/>
    </row>
    <row r="56" spans="2:16" outlineLevel="1" x14ac:dyDescent="0.3">
      <c r="F56" s="338" t="s">
        <v>97</v>
      </c>
      <c r="G56" s="338"/>
      <c r="H56" s="339" t="str">
        <f>SENS_BO!B1</f>
        <v>SENSITISATION</v>
      </c>
      <c r="I56" s="339"/>
      <c r="J56" s="339"/>
      <c r="K56" s="339"/>
      <c r="L56" s="339"/>
      <c r="M56" s="339"/>
      <c r="N56" s="339"/>
      <c r="O56" s="339"/>
      <c r="P56" s="339"/>
    </row>
    <row r="57" spans="2:16" outlineLevel="1" x14ac:dyDescent="0.3">
      <c r="F57" s="338" t="s">
        <v>117</v>
      </c>
      <c r="G57" s="338"/>
      <c r="H57" s="339" t="str">
        <f>IEC_BO!B1</f>
        <v>Information, Education and Materials - Broad Outputs (IEC_BO)</v>
      </c>
      <c r="I57" s="339"/>
      <c r="J57" s="339"/>
      <c r="K57" s="339"/>
      <c r="L57" s="339"/>
      <c r="M57" s="339"/>
      <c r="N57" s="339"/>
      <c r="O57" s="339"/>
      <c r="P57" s="339"/>
    </row>
    <row r="58" spans="2:16" outlineLevel="1" x14ac:dyDescent="0.3">
      <c r="F58" s="338" t="s">
        <v>118</v>
      </c>
      <c r="G58" s="338"/>
      <c r="H58" s="339" t="str">
        <f>TRAIN_BO!B1</f>
        <v>TRAINING - Broad Outputs (TRAIN_BO)</v>
      </c>
      <c r="I58" s="339"/>
      <c r="J58" s="339"/>
      <c r="K58" s="339"/>
      <c r="L58" s="339"/>
      <c r="M58" s="339"/>
      <c r="N58" s="339"/>
      <c r="O58" s="339"/>
      <c r="P58" s="339"/>
    </row>
    <row r="59" spans="2:16" outlineLevel="1" x14ac:dyDescent="0.3">
      <c r="F59" s="338" t="s">
        <v>124</v>
      </c>
      <c r="G59" s="338"/>
      <c r="H59" s="339" t="str">
        <f>MOB_BO!B1</f>
        <v>Social Mobilisation - Broad Outputs (MOB_BO)</v>
      </c>
      <c r="I59" s="339"/>
      <c r="J59" s="339"/>
      <c r="K59" s="339"/>
      <c r="L59" s="339"/>
      <c r="M59" s="339"/>
      <c r="N59" s="339"/>
      <c r="O59" s="339"/>
      <c r="P59" s="339"/>
    </row>
    <row r="60" spans="2:16" outlineLevel="1" x14ac:dyDescent="0.3">
      <c r="F60" s="338" t="s">
        <v>150</v>
      </c>
      <c r="G60" s="338"/>
      <c r="H60" s="339" t="str">
        <f>ROUND1_BO!B1</f>
        <v>SERVICE DELIVERY - ROUND 1 (ROUND1_BO)</v>
      </c>
      <c r="I60" s="339"/>
      <c r="J60" s="339"/>
      <c r="K60" s="339"/>
      <c r="L60" s="339"/>
      <c r="M60" s="339"/>
      <c r="N60" s="339"/>
      <c r="O60" s="339"/>
      <c r="P60" s="339"/>
    </row>
    <row r="61" spans="2:16" outlineLevel="1" x14ac:dyDescent="0.3">
      <c r="F61" s="338" t="s">
        <v>158</v>
      </c>
      <c r="G61" s="338"/>
      <c r="H61" s="339" t="str">
        <f>ROUND2_BO!B1</f>
        <v>SERVICE DELIVERY - ROUND 2 (ROUND2_BO)</v>
      </c>
      <c r="I61" s="339"/>
      <c r="J61" s="339"/>
      <c r="K61" s="339"/>
      <c r="L61" s="339"/>
      <c r="M61" s="339"/>
      <c r="N61" s="339"/>
      <c r="O61" s="339"/>
      <c r="P61" s="339"/>
    </row>
    <row r="62" spans="2:16" ht="19.2" customHeight="1" x14ac:dyDescent="0.3">
      <c r="B62" s="335">
        <v>4</v>
      </c>
      <c r="C62" s="335"/>
      <c r="D62" s="336" t="str">
        <f>Step4_SC!C9</f>
        <v>Step 4: Results and Analysis</v>
      </c>
      <c r="E62" s="336"/>
      <c r="F62" s="336"/>
      <c r="G62" s="336"/>
      <c r="H62" s="336"/>
      <c r="I62" s="336"/>
      <c r="J62" s="336"/>
      <c r="K62" s="336"/>
      <c r="L62" s="336"/>
      <c r="M62" s="336"/>
      <c r="N62" s="336"/>
      <c r="O62" s="336"/>
      <c r="P62" s="336"/>
    </row>
    <row r="63" spans="2:16" outlineLevel="1" x14ac:dyDescent="0.3">
      <c r="F63" s="338" t="s">
        <v>66</v>
      </c>
      <c r="G63" s="338"/>
      <c r="H63" s="339" t="str">
        <f>Summary_BO!B1</f>
        <v>Summary of Outputs and Costs (Summary_BO)</v>
      </c>
      <c r="I63" s="339"/>
      <c r="J63" s="339"/>
      <c r="K63" s="339"/>
      <c r="L63" s="339"/>
      <c r="M63" s="339"/>
      <c r="N63" s="339"/>
      <c r="O63" s="339"/>
      <c r="P63" s="339"/>
    </row>
    <row r="64" spans="2:16" outlineLevel="1" x14ac:dyDescent="0.3">
      <c r="F64" s="338" t="s">
        <v>96</v>
      </c>
      <c r="G64" s="338"/>
      <c r="H64" s="339" t="str">
        <f>Analysis_P_BO!B1</f>
        <v>Analysis</v>
      </c>
      <c r="I64" s="339"/>
      <c r="J64" s="339"/>
      <c r="K64" s="339"/>
      <c r="L64" s="339"/>
      <c r="M64" s="339"/>
      <c r="N64" s="339"/>
      <c r="O64" s="339"/>
      <c r="P64" s="339"/>
    </row>
    <row r="65" spans="2:16" ht="19.2" customHeight="1" x14ac:dyDescent="0.3">
      <c r="B65" s="335">
        <v>5</v>
      </c>
      <c r="C65" s="335"/>
      <c r="D65" s="336" t="str">
        <f>Appendix_SC!C9</f>
        <v>Appendices</v>
      </c>
      <c r="E65" s="336"/>
      <c r="F65" s="336"/>
      <c r="G65" s="336"/>
      <c r="H65" s="336"/>
      <c r="I65" s="336"/>
      <c r="J65" s="336"/>
      <c r="K65" s="336"/>
      <c r="L65" s="336"/>
      <c r="M65" s="336"/>
      <c r="N65" s="336"/>
      <c r="O65" s="336"/>
      <c r="P65" s="336"/>
    </row>
    <row r="66" spans="2:16" outlineLevel="1" x14ac:dyDescent="0.3">
      <c r="F66" s="338" t="s">
        <v>66</v>
      </c>
      <c r="G66" s="338"/>
      <c r="H66" s="339" t="str">
        <f>Chks_BO!B1</f>
        <v>Checks</v>
      </c>
      <c r="I66" s="339"/>
      <c r="J66" s="339"/>
      <c r="K66" s="339"/>
      <c r="L66" s="339"/>
      <c r="M66" s="339"/>
      <c r="N66" s="339"/>
      <c r="O66" s="339"/>
      <c r="P66" s="339"/>
    </row>
    <row r="67" spans="2:16" ht="12.75" hidden="1" customHeight="1" outlineLevel="2" x14ac:dyDescent="0.3">
      <c r="H67" s="37" t="s">
        <v>69</v>
      </c>
      <c r="I67" s="337" t="str">
        <f>TOC_Hdg_1</f>
        <v>Error Checks</v>
      </c>
      <c r="J67" s="337"/>
      <c r="K67" s="337"/>
      <c r="L67" s="337"/>
      <c r="M67" s="337"/>
      <c r="N67" s="337"/>
      <c r="O67" s="337"/>
      <c r="P67" s="337"/>
    </row>
    <row r="68" spans="2:16" ht="12.75" hidden="1" customHeight="1" outlineLevel="2" x14ac:dyDescent="0.3">
      <c r="H68" s="37" t="s">
        <v>69</v>
      </c>
      <c r="I68" s="337" t="str">
        <f>TOC_Hdg_2</f>
        <v>Alert Checks</v>
      </c>
      <c r="J68" s="337"/>
      <c r="K68" s="337"/>
      <c r="L68" s="337"/>
      <c r="M68" s="337"/>
      <c r="N68" s="337"/>
      <c r="O68" s="337"/>
      <c r="P68" s="337"/>
    </row>
    <row r="69" spans="2:16" collapsed="1" x14ac:dyDescent="0.3"/>
  </sheetData>
  <mergeCells count="91">
    <mergeCell ref="F66:G66"/>
    <mergeCell ref="H66:P66"/>
    <mergeCell ref="F59:G59"/>
    <mergeCell ref="H59:P59"/>
    <mergeCell ref="F60:G60"/>
    <mergeCell ref="H60:P60"/>
    <mergeCell ref="F56:G56"/>
    <mergeCell ref="H56:P56"/>
    <mergeCell ref="F63:G63"/>
    <mergeCell ref="H63:P63"/>
    <mergeCell ref="F61:G61"/>
    <mergeCell ref="H61:P61"/>
    <mergeCell ref="F23:G23"/>
    <mergeCell ref="H23:P23"/>
    <mergeCell ref="B3:I3"/>
    <mergeCell ref="B8:C8"/>
    <mergeCell ref="D8:P8"/>
    <mergeCell ref="F9:G9"/>
    <mergeCell ref="H9:P9"/>
    <mergeCell ref="F10:G10"/>
    <mergeCell ref="H10:P10"/>
    <mergeCell ref="I14:P14"/>
    <mergeCell ref="I11:P11"/>
    <mergeCell ref="I21:P21"/>
    <mergeCell ref="I22:P22"/>
    <mergeCell ref="I12:P12"/>
    <mergeCell ref="I13:P13"/>
    <mergeCell ref="H15:P15"/>
    <mergeCell ref="I44:P44"/>
    <mergeCell ref="I24:P24"/>
    <mergeCell ref="I25:P25"/>
    <mergeCell ref="I26:P26"/>
    <mergeCell ref="I30:P30"/>
    <mergeCell ref="I31:P31"/>
    <mergeCell ref="I29:P29"/>
    <mergeCell ref="H27:P27"/>
    <mergeCell ref="I28:P28"/>
    <mergeCell ref="I32:P32"/>
    <mergeCell ref="H37:P37"/>
    <mergeCell ref="I35:P35"/>
    <mergeCell ref="I36:P36"/>
    <mergeCell ref="F15:G15"/>
    <mergeCell ref="B18:C18"/>
    <mergeCell ref="D18:P18"/>
    <mergeCell ref="F20:G20"/>
    <mergeCell ref="H20:P20"/>
    <mergeCell ref="F19:G19"/>
    <mergeCell ref="H19:P19"/>
    <mergeCell ref="F17:G17"/>
    <mergeCell ref="H17:P17"/>
    <mergeCell ref="F16:G16"/>
    <mergeCell ref="H16:P16"/>
    <mergeCell ref="I45:P45"/>
    <mergeCell ref="I50:P50"/>
    <mergeCell ref="I41:P41"/>
    <mergeCell ref="F27:G27"/>
    <mergeCell ref="I47:P47"/>
    <mergeCell ref="I40:P40"/>
    <mergeCell ref="I39:P39"/>
    <mergeCell ref="I38:P38"/>
    <mergeCell ref="F42:G42"/>
    <mergeCell ref="H42:P42"/>
    <mergeCell ref="I43:P43"/>
    <mergeCell ref="F33:G33"/>
    <mergeCell ref="H33:P33"/>
    <mergeCell ref="I34:P34"/>
    <mergeCell ref="F37:G37"/>
    <mergeCell ref="I46:P46"/>
    <mergeCell ref="F48:G48"/>
    <mergeCell ref="H48:P48"/>
    <mergeCell ref="I49:P49"/>
    <mergeCell ref="B53:C53"/>
    <mergeCell ref="D53:P53"/>
    <mergeCell ref="I51:P51"/>
    <mergeCell ref="I52:P52"/>
    <mergeCell ref="B65:C65"/>
    <mergeCell ref="D65:P65"/>
    <mergeCell ref="I67:P67"/>
    <mergeCell ref="I68:P68"/>
    <mergeCell ref="F54:G54"/>
    <mergeCell ref="H54:P54"/>
    <mergeCell ref="F57:G57"/>
    <mergeCell ref="H57:P57"/>
    <mergeCell ref="F58:G58"/>
    <mergeCell ref="H58:P58"/>
    <mergeCell ref="F55:G55"/>
    <mergeCell ref="H55:P55"/>
    <mergeCell ref="B62:C62"/>
    <mergeCell ref="D62:P62"/>
    <mergeCell ref="F64:G64"/>
    <mergeCell ref="H64:P64"/>
  </mergeCells>
  <hyperlinks>
    <hyperlink ref="A6" location="$B$7" tooltip="Go to Top of Sheet" display="$B$7" xr:uid="{00000000-0004-0000-0100-000000000000}"/>
    <hyperlink ref="B8" location="HL_Sheet_Main_64" tooltip="Go to Step 1: Tool Set Up (Step1_SC)" display="HL_Sheet_Main_64" xr:uid="{00000000-0004-0000-0100-000001000000}"/>
    <hyperlink ref="D8" location="HL_Sheet_Main_64" tooltip="Go to Step 1: Tool Set Up (Step1_SC)" display="HL_Sheet_Main_64" xr:uid="{00000000-0004-0000-0100-000002000000}"/>
    <hyperlink ref="F9" location="HL_Sheet_Main_7" tooltip="Go to Time Series - Broad Assumptions (TS_BA)" display="HL_Sheet_Main_7" xr:uid="{00000000-0004-0000-0100-000003000000}"/>
    <hyperlink ref="H9" location="HL_Sheet_Main_7" tooltip="Go to Time Series - Broad Assumptions (TS_BA)" display="HL_Sheet_Main_7" xr:uid="{00000000-0004-0000-0100-000004000000}"/>
    <hyperlink ref="F10" location="HL_Sheet_Main_20" tooltip="Go to Labels - Broad Assumptions (Lbl_BA)" display="HL_Sheet_Main_20" xr:uid="{00000000-0004-0000-0100-000005000000}"/>
    <hyperlink ref="H10" location="HL_Sheet_Main_20" tooltip="Go to Labels - Broad Assumptions (Lbl_BA)" display="HL_Sheet_Main_20" xr:uid="{00000000-0004-0000-0100-000006000000}"/>
    <hyperlink ref="H11" location="HL_TOC_19" tooltip="Go to Country Name Label" display="HL_TOC_19" xr:uid="{00000000-0004-0000-0100-000007000000}"/>
    <hyperlink ref="I11" location="HL_TOC_19" tooltip="Go to Country Name Label" display="HL_TOC_19" xr:uid="{00000000-0004-0000-0100-000008000000}"/>
    <hyperlink ref="H12" location="HL_TOC_20" tooltip="Go to Sub-National Level Name Labels" display="HL_TOC_20" xr:uid="{00000000-0004-0000-0100-000009000000}"/>
    <hyperlink ref="I12" location="HL_TOC_20" tooltip="Go to Sub-National Level Name Labels" display="HL_TOC_20" xr:uid="{00000000-0004-0000-0100-00000A000000}"/>
    <hyperlink ref="H13" location="HL_TOC_21" tooltip="Go to Facility Type Name Labels" display="HL_TOC_21" xr:uid="{00000000-0004-0000-0100-00000B000000}"/>
    <hyperlink ref="I13" location="HL_TOC_21" tooltip="Go to Facility Type Name Labels" display="HL_TOC_21" xr:uid="{00000000-0004-0000-0100-00000C000000}"/>
    <hyperlink ref="H14" location="HL_TOC_22" tooltip="Go to Target Population Name" display="HL_TOC_22" xr:uid="{00000000-0004-0000-0100-00000D000000}"/>
    <hyperlink ref="I14" location="HL_TOC_22" tooltip="Go to Target Population Name" display="HL_TOC_22" xr:uid="{00000000-0004-0000-0100-00000E000000}"/>
    <hyperlink ref="F15" location="HL_Sheet_Main_43" tooltip="Go to Counts - Broad Assumptions (Count_BA)" display="HL_Sheet_Main_43" xr:uid="{00000000-0004-0000-0100-00000F000000}"/>
    <hyperlink ref="H15" location="HL_Sheet_Main_43" tooltip="Go to Counts - Broad Assumptions (Count_BA)" display="HL_Sheet_Main_43" xr:uid="{00000000-0004-0000-0100-000010000000}"/>
    <hyperlink ref="F16" location="HL_Sheet_Main_18" tooltip="Go to Currencies and Exchange Rates - Timebound Assumptions (CURR_TA)" display="HL_Sheet_Main_18" xr:uid="{00000000-0004-0000-0100-000011000000}"/>
    <hyperlink ref="H16" location="HL_Sheet_Main_18" tooltip="Go to Currencies and Exchange Rates - Timebound Assumptions (CURR_TA)" display="HL_Sheet_Main_18" xr:uid="{00000000-0004-0000-0100-000012000000}"/>
    <hyperlink ref="F17" location="HL_Sheet_Main_9" tooltip="Go to Resource List -  Broad Assumptions (RES_BA)" display="HL_Sheet_Main_9" xr:uid="{00000000-0004-0000-0100-000013000000}"/>
    <hyperlink ref="H17" location="HL_Sheet_Main_9" tooltip="Go to Resource List -  Broad Assumptions (RES_BA)" display="HL_Sheet_Main_9" xr:uid="{00000000-0004-0000-0100-000014000000}"/>
    <hyperlink ref="B18" location="HL_Sheet_Main_3" tooltip="Go to Step 2: Single Activity Costing" display="HL_Sheet_Main_3" xr:uid="{00000000-0004-0000-0100-000015000000}"/>
    <hyperlink ref="D18" location="HL_Sheet_Main_3" tooltip="Go to Step 2: Single Activity Costing" display="HL_Sheet_Main_3" xr:uid="{00000000-0004-0000-0100-000016000000}"/>
    <hyperlink ref="F19" location="HL_Sheet_Main_49" tooltip="Go to Vaccine - Assumptions" display="HL_Sheet_Main_49" xr:uid="{00000000-0004-0000-0100-000017000000}"/>
    <hyperlink ref="H19" location="HL_Sheet_Main_49" tooltip="Go to Vaccine - Assumptions" display="HL_Sheet_Main_49" xr:uid="{00000000-0004-0000-0100-000018000000}"/>
    <hyperlink ref="F20" location="HL_Sheet_Main_10" tooltip="Go to Microplanning Activity Costing" display="HL_Sheet_Main_10" xr:uid="{00000000-0004-0000-0100-000019000000}"/>
    <hyperlink ref="H20" location="HL_Sheet_Main_10" tooltip="Go to Microplanning Activity Costing" display="HL_Sheet_Main_10" xr:uid="{00000000-0004-0000-0100-00001A000000}"/>
    <hyperlink ref="H21" location="HL_TOC_5" tooltip="Go to District Microplanning" display="HL_TOC_5" xr:uid="{00000000-0004-0000-0100-00001B000000}"/>
    <hyperlink ref="I21" location="HL_TOC_5" tooltip="Go to District Microplanning" display="HL_TOC_5" xr:uid="{00000000-0004-0000-0100-00001C000000}"/>
    <hyperlink ref="H22" location="HL_TOC_9" tooltip="Go to National Microplanning and Project Oversight" display="HL_TOC_9" xr:uid="{00000000-0004-0000-0100-00001D000000}"/>
    <hyperlink ref="I22" location="HL_TOC_9" tooltip="Go to National Microplanning and Project Oversight" display="HL_TOC_9" xr:uid="{00000000-0004-0000-0100-00001E000000}"/>
    <hyperlink ref="F23" location="HL_Sheet_Main_41" tooltip="Go to Communication Materials" display="HL_Sheet_Main_41" xr:uid="{00000000-0004-0000-0100-00001F000000}"/>
    <hyperlink ref="H23" location="HL_Sheet_Main_41" tooltip="Go to Communication Materials" display="HL_Sheet_Main_41" xr:uid="{00000000-0004-0000-0100-000020000000}"/>
    <hyperlink ref="H24" location="HL_TOC_31" tooltip="Go to IEC Design" display="HL_TOC_31" xr:uid="{00000000-0004-0000-0100-000021000000}"/>
    <hyperlink ref="I24" location="HL_TOC_31" tooltip="Go to IEC Design" display="HL_TOC_31" xr:uid="{00000000-0004-0000-0100-000022000000}"/>
    <hyperlink ref="H25" location="HL_TOC_101" tooltip="Go to Communication Materials Pretesting" display="HL_TOC_101" xr:uid="{00000000-0004-0000-0100-000023000000}"/>
    <hyperlink ref="I25" location="HL_TOC_101" tooltip="Go to Communication Materials Pretesting" display="HL_TOC_101" xr:uid="{00000000-0004-0000-0100-000024000000}"/>
    <hyperlink ref="H26" location="HL_TOC_105" tooltip="Go to Communication Materials Production" display="HL_TOC_105" xr:uid="{00000000-0004-0000-0100-000025000000}"/>
    <hyperlink ref="I26" location="HL_TOC_105" tooltip="Go to Communication Materials Production" display="HL_TOC_105" xr:uid="{00000000-0004-0000-0100-000026000000}"/>
    <hyperlink ref="F27" location="HL_Sheet_Main_35" tooltip="Go to Training Activity Costings" display="HL_Sheet_Main_35" xr:uid="{00000000-0004-0000-0100-000027000000}"/>
    <hyperlink ref="H27" location="HL_Sheet_Main_35" tooltip="Go to Training Activity Costings" display="HL_Sheet_Main_35" xr:uid="{00000000-0004-0000-0100-000028000000}"/>
    <hyperlink ref="H28" location="HL_TOC_75" tooltip="Go to Training of Trainers" display="HL_TOC_75" xr:uid="{00000000-0004-0000-0100-000029000000}"/>
    <hyperlink ref="I28" location="HL_TOC_75" tooltip="Go to Training of Trainers" display="HL_TOC_75" xr:uid="{00000000-0004-0000-0100-00002A000000}"/>
    <hyperlink ref="H29" location="HL_TOC_79" tooltip="Go to Training of Supervisors, Vacc, and Data Collectors" display="HL_TOC_79" xr:uid="{00000000-0004-0000-0100-00002B000000}"/>
    <hyperlink ref="I29" location="HL_TOC_79" tooltip="Go to Training of Supervisors, Vacc, and Data Collectors" display="HL_TOC_79" xr:uid="{00000000-0004-0000-0100-00002C000000}"/>
    <hyperlink ref="H30" location="HL_TOC_83" tooltip="Go to Training Social Mobilizers and Crowd Controllers" display="HL_TOC_83" xr:uid="{00000000-0004-0000-0100-00002D000000}"/>
    <hyperlink ref="I30" location="HL_TOC_83" tooltip="Go to Training Social Mobilizers and Crowd Controllers" display="HL_TOC_83" xr:uid="{00000000-0004-0000-0100-00002E000000}"/>
    <hyperlink ref="H31" location="HL_TOC_87" tooltip="Go to Training: Reserved for Future Use" display="HL_TOC_87" xr:uid="{00000000-0004-0000-0100-00002F000000}"/>
    <hyperlink ref="I31" location="HL_TOC_87" tooltip="Go to Training: Reserved for Future Use" display="HL_TOC_87" xr:uid="{00000000-0004-0000-0100-000030000000}"/>
    <hyperlink ref="H32" location="HL_TOC_14" tooltip="Go to Training: Reserved for Future Use" display="HL_TOC_14" xr:uid="{00000000-0004-0000-0100-000031000000}"/>
    <hyperlink ref="I32" location="HL_TOC_14" tooltip="Go to Training: Reserved for Future Use" display="HL_TOC_14" xr:uid="{00000000-0004-0000-0100-000032000000}"/>
    <hyperlink ref="F33" location="HL_Sheet_Main_16" tooltip="Go to Sensitisation Activity Costings" display="HL_Sheet_Main_16" xr:uid="{00000000-0004-0000-0100-000033000000}"/>
    <hyperlink ref="H33" location="HL_Sheet_Main_16" tooltip="Go to Sensitisation Activity Costings" display="HL_Sheet_Main_16" xr:uid="{00000000-0004-0000-0100-000034000000}"/>
    <hyperlink ref="H34" location="HL_TOC_13" tooltip="Go to National Sensitisation" display="HL_TOC_13" xr:uid="{00000000-0004-0000-0100-000035000000}"/>
    <hyperlink ref="I34" location="HL_TOC_13" tooltip="Go to National Sensitisation" display="HL_TOC_13" xr:uid="{00000000-0004-0000-0100-000036000000}"/>
    <hyperlink ref="H35" location="HL_TOC_23" tooltip="Go to Local Leaders: Sensitization" display="HL_TOC_23" xr:uid="{00000000-0004-0000-0100-000037000000}"/>
    <hyperlink ref="I35" location="HL_TOC_23" tooltip="Go to Local Leaders: Sensitization" display="HL_TOC_23" xr:uid="{00000000-0004-0000-0100-000038000000}"/>
    <hyperlink ref="H36" location="HL_TOC_27" tooltip="Go to Sensitisation - Reserved for Future Use" display="HL_TOC_27" xr:uid="{00000000-0004-0000-0100-000039000000}"/>
    <hyperlink ref="I36" location="HL_TOC_27" tooltip="Go to Sensitisation - Reserved for Future Use" display="HL_TOC_27" xr:uid="{00000000-0004-0000-0100-00003A000000}"/>
    <hyperlink ref="F37" location="HL_Sheet_Main_33" tooltip="Go to Social Mobilisation Activity Costings" display="HL_Sheet_Main_33" xr:uid="{00000000-0004-0000-0100-00003B000000}"/>
    <hyperlink ref="H37" location="HL_Sheet_Main_33" tooltip="Go to Social Mobilisation Activity Costings" display="HL_Sheet_Main_33" xr:uid="{00000000-0004-0000-0100-00003C000000}"/>
    <hyperlink ref="H38" location="HL_TOC_35" tooltip="Go to Social Mobilisation: Round 1" display="HL_TOC_35" xr:uid="{00000000-0004-0000-0100-00003D000000}"/>
    <hyperlink ref="I38" location="HL_TOC_35" tooltip="Go to Social Mobilisation: Round 1" display="HL_TOC_35" xr:uid="{00000000-0004-0000-0100-00003E000000}"/>
    <hyperlink ref="H39" location="HL_TOC_39" tooltip="Go to Social Mobilisation: Campaign Launch" display="HL_TOC_39" xr:uid="{00000000-0004-0000-0100-00003F000000}"/>
    <hyperlink ref="I39" location="HL_TOC_39" tooltip="Go to Social Mobilisation: Campaign Launch" display="HL_TOC_39" xr:uid="{00000000-0004-0000-0100-000040000000}"/>
    <hyperlink ref="H40" location="HL_TOC_43" tooltip="Go to Social Mobilisation: Round 2" display="HL_TOC_43" xr:uid="{00000000-0004-0000-0100-000041000000}"/>
    <hyperlink ref="I40" location="HL_TOC_43" tooltip="Go to Social Mobilisation: Round 2" display="HL_TOC_43" xr:uid="{00000000-0004-0000-0100-000042000000}"/>
    <hyperlink ref="H41" location="HL_TOC_47" tooltip="Go to Social Mobilisation: Reserved for Future Use" display="HL_TOC_47" xr:uid="{00000000-0004-0000-0100-000043000000}"/>
    <hyperlink ref="I41" location="HL_TOC_47" tooltip="Go to Social Mobilisation: Reserved for Future Use" display="HL_TOC_47" xr:uid="{00000000-0004-0000-0100-000044000000}"/>
    <hyperlink ref="F42" location="HL_Sheet_Main_34" tooltip="Go to Vaccination Activity Costings- Round 1" display="HL_Sheet_Main_34" xr:uid="{00000000-0004-0000-0100-000045000000}"/>
    <hyperlink ref="H42" location="HL_Sheet_Main_34" tooltip="Go to Vaccination Activity Costings- Round 1" display="HL_Sheet_Main_34" xr:uid="{00000000-0004-0000-0100-000046000000}"/>
    <hyperlink ref="H43" location="HL_TOC_51" tooltip="Go to Round 1 - Vacc Team w/ Health Ext Worker" display="HL_TOC_51" xr:uid="{00000000-0004-0000-0100-000047000000}"/>
    <hyperlink ref="I43" location="HL_TOC_51" tooltip="Go to Round 1 - Vacc Team w/ Health Ext Worker" display="HL_TOC_51" xr:uid="{00000000-0004-0000-0100-000048000000}"/>
    <hyperlink ref="H44" location="HL_TOC_55" tooltip="Go to Round 1 - Vacc Team w/ Nurse" display="HL_TOC_55" xr:uid="{00000000-0004-0000-0100-000049000000}"/>
    <hyperlink ref="I44" location="HL_TOC_55" tooltip="Go to Round 1 - Vacc Team w/ Nurse" display="HL_TOC_55" xr:uid="{00000000-0004-0000-0100-00004A000000}"/>
    <hyperlink ref="H45" location="HL_TOC_45" tooltip="Go to Field Supervision - Kebele" display="HL_TOC_45" xr:uid="{00000000-0004-0000-0100-00004B000000}"/>
    <hyperlink ref="I45" location="HL_TOC_45" tooltip="Go to Field Supervision - Kebele" display="HL_TOC_45" xr:uid="{00000000-0004-0000-0100-00004C000000}"/>
    <hyperlink ref="H46" location="HL_TOC_59" tooltip="Go to Field HQ Support - For All Teams" display="HL_TOC_59" xr:uid="{00000000-0004-0000-0100-00004D000000}"/>
    <hyperlink ref="I46" location="HL_TOC_59" tooltip="Go to Field HQ Support - For All Teams" display="HL_TOC_59" xr:uid="{00000000-0004-0000-0100-00004E000000}"/>
    <hyperlink ref="H47" location="HL_TOC_10" tooltip="Go to Service Delivery - Reserved for Future Use" display="HL_TOC_10" xr:uid="{00000000-0004-0000-0100-00004F000000}"/>
    <hyperlink ref="I47" location="HL_TOC_10" tooltip="Go to Service Delivery - Reserved for Future Use" display="HL_TOC_10" xr:uid="{00000000-0004-0000-0100-000050000000}"/>
    <hyperlink ref="F48" location="HL_Sheet_Main_36" tooltip="Go to Vaccination Activity Costings - Round 2" display="HL_Sheet_Main_36" xr:uid="{00000000-0004-0000-0100-000051000000}"/>
    <hyperlink ref="H48" location="HL_Sheet_Main_36" tooltip="Go to Vaccination Activity Costings - Round 2" display="HL_Sheet_Main_36" xr:uid="{00000000-0004-0000-0100-000052000000}"/>
    <hyperlink ref="H49" location="HL_TOC_63" tooltip="Go to Round 2 - Vacc Team w/ Health Ext Worker" display="HL_TOC_63" xr:uid="{00000000-0004-0000-0100-000053000000}"/>
    <hyperlink ref="I49" location="HL_TOC_63" tooltip="Go to Round 2 - Vacc Team w/ Health Ext Worker" display="HL_TOC_63" xr:uid="{00000000-0004-0000-0100-000054000000}"/>
    <hyperlink ref="H50" location="HL_TOC_67" tooltip="Go to Round 2 - Vacc Team w/ Nurse" display="HL_TOC_67" xr:uid="{00000000-0004-0000-0100-000055000000}"/>
    <hyperlink ref="I50" location="HL_TOC_67" tooltip="Go to Round 2 - Vacc Team w/ Nurse" display="HL_TOC_67" xr:uid="{00000000-0004-0000-0100-000056000000}"/>
    <hyperlink ref="H51" location="HL_TOC_71" tooltip="Go to Field Supervision - Kebele" display="HL_TOC_71" xr:uid="{00000000-0004-0000-0100-000057000000}"/>
    <hyperlink ref="I51" location="HL_TOC_71" tooltip="Go to Field Supervision - Kebele" display="HL_TOC_71" xr:uid="{00000000-0004-0000-0100-000058000000}"/>
    <hyperlink ref="H52" location="HL_TOC_25" tooltip="Go to Field HQ Support - For All Teams" display="HL_TOC_25" xr:uid="{00000000-0004-0000-0100-000059000000}"/>
    <hyperlink ref="I52" location="HL_TOC_25" tooltip="Go to Field HQ Support - For All Teams" display="HL_TOC_25" xr:uid="{00000000-0004-0000-0100-00005A000000}"/>
    <hyperlink ref="B53" location="HL_Sheet_Main_4" tooltip="Go to Step 3: Estimate Numbers of Each Activity" display="HL_Sheet_Main_4" xr:uid="{00000000-0004-0000-0100-00005B000000}"/>
    <hyperlink ref="D53" location="HL_Sheet_Main_4" tooltip="Go to Step 3: Estimate Numbers of Each Activity" display="HL_Sheet_Main_4" xr:uid="{00000000-0004-0000-0100-00005C000000}"/>
    <hyperlink ref="F54" location="HL_Sheet_Main_51" tooltip="Go to Vaccine Procurement and Delivery" display="HL_Sheet_Main_51" xr:uid="{00000000-0004-0000-0100-00005D000000}"/>
    <hyperlink ref="H54" location="HL_Sheet_Main_51" tooltip="Go to Vaccine Procurement and Delivery" display="HL_Sheet_Main_51" xr:uid="{00000000-0004-0000-0100-00005E000000}"/>
    <hyperlink ref="F55" location="HL_Sheet_Main_42" tooltip="Go to Microplanning" display="HL_Sheet_Main_42" xr:uid="{00000000-0004-0000-0100-00005F000000}"/>
    <hyperlink ref="H55" location="HL_Sheet_Main_42" tooltip="Go to Microplanning" display="HL_Sheet_Main_42" xr:uid="{00000000-0004-0000-0100-000060000000}"/>
    <hyperlink ref="F56" location="HL_Sheet_Main_58" tooltip="Go to Sensitisation" display="HL_Sheet_Main_58" xr:uid="{00000000-0004-0000-0100-000061000000}"/>
    <hyperlink ref="H56" location="HL_Sheet_Main_58" tooltip="Go to Sensitisation" display="HL_Sheet_Main_58" xr:uid="{00000000-0004-0000-0100-000062000000}"/>
    <hyperlink ref="F57" location="HL_Sheet_Main_59" tooltip="Go to Communication Materials" display="HL_Sheet_Main_59" xr:uid="{00000000-0004-0000-0100-000063000000}"/>
    <hyperlink ref="H57" location="HL_Sheet_Main_59" tooltip="Go to Communication Materials" display="HL_Sheet_Main_59" xr:uid="{00000000-0004-0000-0100-000064000000}"/>
    <hyperlink ref="F58" location="HL_Sheet_Main_60" tooltip="Go to TRAINING" display="HL_Sheet_Main_60" xr:uid="{00000000-0004-0000-0100-000065000000}"/>
    <hyperlink ref="H58" location="HL_Sheet_Main_60" tooltip="Go to TRAINING" display="HL_Sheet_Main_60" xr:uid="{00000000-0004-0000-0100-000066000000}"/>
    <hyperlink ref="F59" location="HL_Sheet_Main_61" tooltip="Go to Social Mobilisation" display="HL_Sheet_Main_61" xr:uid="{00000000-0004-0000-0100-000067000000}"/>
    <hyperlink ref="H59" location="HL_Sheet_Main_61" tooltip="Go to Social Mobilisation" display="HL_Sheet_Main_61" xr:uid="{00000000-0004-0000-0100-000068000000}"/>
    <hyperlink ref="F60" location="HL_Sheet_Main_62" tooltip="Go to SERVICE DELIVERY" display="HL_Sheet_Main_62" xr:uid="{00000000-0004-0000-0100-000069000000}"/>
    <hyperlink ref="H60" location="HL_Sheet_Main_62" tooltip="Go to SERVICE DELIVERY" display="HL_Sheet_Main_62" xr:uid="{00000000-0004-0000-0100-00006A000000}"/>
    <hyperlink ref="F61" location="HL_Sheet_Main_63" tooltip="Go to Round 2 - Vaccination" display="HL_Sheet_Main_63" xr:uid="{00000000-0004-0000-0100-00006B000000}"/>
    <hyperlink ref="H61" location="HL_Sheet_Main_63" tooltip="Go to Round 2 - Vaccination" display="HL_Sheet_Main_63" xr:uid="{00000000-0004-0000-0100-00006C000000}"/>
    <hyperlink ref="B62" location="HL_Sheet_Main_66" tooltip="Go to Step 4: Results and Analysis" display="HL_Sheet_Main_66" xr:uid="{00000000-0004-0000-0100-00006D000000}"/>
    <hyperlink ref="D62" location="HL_Sheet_Main_66" tooltip="Go to Step 4: Results and Analysis" display="HL_Sheet_Main_66" xr:uid="{00000000-0004-0000-0100-00006E000000}"/>
    <hyperlink ref="F63" location="HL_Sheet_Main_12" tooltip="Go to Cost Summary" display="HL_Sheet_Main_12" xr:uid="{00000000-0004-0000-0100-00006F000000}"/>
    <hyperlink ref="H63" location="HL_Sheet_Main_12" tooltip="Go to Cost Summary" display="HL_Sheet_Main_12" xr:uid="{00000000-0004-0000-0100-000070000000}"/>
    <hyperlink ref="F64" location="HL_Sheet_Main_65" tooltip="Go to Analysis" display="HL_Sheet_Main_65" xr:uid="{00000000-0004-0000-0100-000071000000}"/>
    <hyperlink ref="H64" location="HL_Sheet_Main_65" tooltip="Go to Analysis" display="HL_Sheet_Main_65" xr:uid="{00000000-0004-0000-0100-000072000000}"/>
    <hyperlink ref="B65" location="HL_Sheet_Main_67" tooltip="Go to Appendices" display="HL_Sheet_Main_67" xr:uid="{00000000-0004-0000-0100-000073000000}"/>
    <hyperlink ref="D65" location="HL_Sheet_Main_67" tooltip="Go to Appendices" display="HL_Sheet_Main_67" xr:uid="{00000000-0004-0000-0100-000074000000}"/>
    <hyperlink ref="F66" location="HL_Sheet_Main_6" tooltip="Go to Checks" display="HL_Sheet_Main_6" xr:uid="{00000000-0004-0000-0100-000075000000}"/>
    <hyperlink ref="H66" location="HL_Sheet_Main_6" tooltip="Go to Checks" display="HL_Sheet_Main_6" xr:uid="{00000000-0004-0000-0100-000076000000}"/>
    <hyperlink ref="H67" location="HL_TOC_1" tooltip="Go to Error Checks" display="HL_TOC_1" xr:uid="{00000000-0004-0000-0100-000077000000}"/>
    <hyperlink ref="I67" location="HL_TOC_1" tooltip="Go to Error Checks" display="HL_TOC_1" xr:uid="{00000000-0004-0000-0100-000078000000}"/>
    <hyperlink ref="H68" location="HL_TOC_2" tooltip="Go to Alert Checks" display="HL_TOC_2" xr:uid="{00000000-0004-0000-0100-000079000000}"/>
    <hyperlink ref="I68" location="HL_TOC_2" tooltip="Go to Alert Checks" display="HL_TOC_2" xr:uid="{00000000-0004-0000-0100-00007A000000}"/>
    <hyperlink ref="B3" location="'Cover'!A1" tooltip="Go to Cover Sheet" display="'Cover'!A1" xr:uid="{00000000-0004-0000-0100-00007B000000}"/>
  </hyperlinks>
  <pageMargins left="0.39370078740157499" right="0.39370078740157499" top="0.59055118110236204" bottom="0.98425196850393704" header="0" footer="0.31496062992126"/>
  <pageSetup paperSize="9" orientation="landscape" horizontalDpi="4294967292"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sheetPr>
  <dimension ref="A1:X1750"/>
  <sheetViews>
    <sheetView showGridLines="0" zoomScaleNormal="100" workbookViewId="0">
      <pane xSplit="1" ySplit="4" topLeftCell="B1460" activePane="bottomRight" state="frozen"/>
      <selection pane="topRight" activeCell="B1" sqref="B1"/>
      <selection pane="bottomLeft" activeCell="A5" sqref="A5"/>
      <selection pane="bottomRight" activeCell="X1554" sqref="X1554"/>
    </sheetView>
  </sheetViews>
  <sheetFormatPr defaultColWidth="11.6640625" defaultRowHeight="13.8" outlineLevelRow="1" x14ac:dyDescent="0.3"/>
  <cols>
    <col min="1" max="5" width="3.6640625" style="22" customWidth="1"/>
    <col min="6" max="7" width="11.6640625" style="22"/>
    <col min="8" max="8" width="3.88671875" style="22" customWidth="1"/>
    <col min="9" max="9" width="11.6640625" style="22"/>
    <col min="10" max="10" width="1.88671875" style="22" customWidth="1"/>
    <col min="11" max="11" width="11.6640625" style="22"/>
    <col min="12" max="12" width="2.33203125" style="22" customWidth="1"/>
    <col min="13" max="13" width="11.6640625" style="22"/>
    <col min="14" max="14" width="1.5546875" style="22" customWidth="1"/>
    <col min="15" max="15" width="11.6640625" style="22"/>
    <col min="16" max="16" width="2.44140625" style="22" customWidth="1"/>
    <col min="17" max="17" width="11.6640625" style="22"/>
    <col min="18" max="18" width="2" style="22" customWidth="1"/>
    <col min="19" max="19" width="11.6640625" style="22"/>
    <col min="20" max="20" width="1.6640625" style="22" customWidth="1"/>
    <col min="21" max="16384" width="11.6640625" style="22"/>
  </cols>
  <sheetData>
    <row r="1" spans="1:24" ht="23.4" x14ac:dyDescent="0.3">
      <c r="B1" s="24" t="s">
        <v>514</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row>
    <row r="7" spans="1:24" ht="18" x14ac:dyDescent="0.3">
      <c r="B7" s="31" t="str">
        <f>I8</f>
        <v>Round 1 - Vacciination Activity #1 [not in use]</v>
      </c>
    </row>
    <row r="8" spans="1:24" x14ac:dyDescent="0.3">
      <c r="G8" s="41" t="s">
        <v>119</v>
      </c>
      <c r="I8" s="356" t="s">
        <v>1005</v>
      </c>
      <c r="J8" s="356"/>
      <c r="K8" s="356"/>
      <c r="L8" s="356"/>
      <c r="M8" s="356"/>
    </row>
    <row r="9" spans="1:24" ht="10.5" customHeight="1" x14ac:dyDescent="0.3">
      <c r="G9" s="41" t="s">
        <v>76</v>
      </c>
      <c r="I9" s="32">
        <v>2</v>
      </c>
    </row>
    <row r="10" spans="1:24" ht="15.6" x14ac:dyDescent="0.3">
      <c r="C10" s="92" t="s">
        <v>77</v>
      </c>
      <c r="M10" s="139" t="str">
        <f>IF(DD_ACT_11_Meet1_Curr=1,$D$163,$D$164)</f>
        <v>GOZ</v>
      </c>
      <c r="O10" s="139" t="str">
        <f>IF(DD_ACT_11_Meet1_Curr=1,$D$163,$D$164)</f>
        <v>GOZ</v>
      </c>
      <c r="Q10" s="139" t="str">
        <f>IF(DD_ACT_11_Meet1_Curr=1,$D$163,$D$164)</f>
        <v>GOZ</v>
      </c>
      <c r="S10" s="139" t="str">
        <f>IF(DD_ACT_11_Meet1_Curr=1,$D$163,$D$164)</f>
        <v>GOZ</v>
      </c>
    </row>
    <row r="11" spans="1:24" ht="27.6" x14ac:dyDescent="0.3">
      <c r="D11" s="90" t="s">
        <v>77</v>
      </c>
      <c r="I11" s="88" t="s">
        <v>80</v>
      </c>
      <c r="K11" s="91" t="s">
        <v>432</v>
      </c>
      <c r="M11" s="42" t="s">
        <v>107</v>
      </c>
      <c r="O11" s="42" t="s">
        <v>108</v>
      </c>
      <c r="Q11" s="42" t="s">
        <v>105</v>
      </c>
      <c r="S11" s="42" t="s">
        <v>106</v>
      </c>
      <c r="U11" s="350" t="s">
        <v>185</v>
      </c>
      <c r="V11" s="351"/>
      <c r="W11" s="351"/>
      <c r="X11" s="351"/>
    </row>
    <row r="12" spans="1:24" x14ac:dyDescent="0.3">
      <c r="D12" s="356" t="s">
        <v>188</v>
      </c>
      <c r="E12" s="356"/>
      <c r="F12" s="356"/>
      <c r="G12" s="356"/>
      <c r="I12" s="48">
        <v>0</v>
      </c>
      <c r="K12" s="48">
        <v>0</v>
      </c>
      <c r="M12" s="40">
        <f t="shared" ref="M12:M36" si="0">IFERROR(IF(DD_ACT_11_Meet1_Curr=1,INDEX($M$169:$M$203,MATCH(D12,LU_ACT_11_Pers_Res,0)),INDEX($Q$169:$Q$203,MATCH(D12,LU_ACT_11_Pers_Res,0))),0)</f>
        <v>0</v>
      </c>
      <c r="O12" s="40">
        <f t="shared" ref="O12:O36" si="1">IFERROR(IF(DD_ACT_11_Meet1_Curr=1,INDEX($O$169:$O$203,MATCH(D12,LU_ACT_11_Pers_Res,0)),INDEX($S$169:$S$203,MATCH(D12,LU_ACT_11_Pers_Res,0))),0)</f>
        <v>0</v>
      </c>
      <c r="Q12" s="293">
        <f t="shared" ref="Q12:Q36" si="2">I12*K12*M12</f>
        <v>0</v>
      </c>
      <c r="S12" s="293">
        <f t="shared" ref="S12:S36" si="3">I12*K12*O12</f>
        <v>0</v>
      </c>
      <c r="U12" s="356"/>
      <c r="V12" s="356"/>
      <c r="W12" s="356"/>
      <c r="X12" s="356"/>
    </row>
    <row r="13" spans="1:24" x14ac:dyDescent="0.3">
      <c r="D13" s="356" t="s">
        <v>189</v>
      </c>
      <c r="E13" s="356"/>
      <c r="F13" s="356"/>
      <c r="G13" s="356"/>
      <c r="I13" s="48">
        <v>0</v>
      </c>
      <c r="K13" s="48">
        <v>0</v>
      </c>
      <c r="M13" s="40">
        <f t="shared" si="0"/>
        <v>0</v>
      </c>
      <c r="O13" s="40">
        <f t="shared" si="1"/>
        <v>0</v>
      </c>
      <c r="Q13" s="293">
        <f t="shared" si="2"/>
        <v>0</v>
      </c>
      <c r="S13" s="293">
        <f t="shared" si="3"/>
        <v>0</v>
      </c>
      <c r="U13" s="356"/>
      <c r="V13" s="356"/>
      <c r="W13" s="356"/>
      <c r="X13" s="356"/>
    </row>
    <row r="14" spans="1:24" x14ac:dyDescent="0.3">
      <c r="D14" s="356" t="s">
        <v>190</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191</v>
      </c>
      <c r="E15" s="356"/>
      <c r="F15" s="356"/>
      <c r="G15" s="356"/>
      <c r="I15" s="48">
        <v>0</v>
      </c>
      <c r="K15" s="48">
        <v>0</v>
      </c>
      <c r="M15" s="40">
        <f t="shared" si="0"/>
        <v>0</v>
      </c>
      <c r="O15" s="40">
        <f t="shared" si="1"/>
        <v>0</v>
      </c>
      <c r="Q15" s="293">
        <f t="shared" si="2"/>
        <v>0</v>
      </c>
      <c r="S15" s="293">
        <f t="shared" si="3"/>
        <v>0</v>
      </c>
      <c r="U15" s="356"/>
      <c r="V15" s="356"/>
      <c r="W15" s="356"/>
      <c r="X15" s="356"/>
    </row>
    <row r="16" spans="1:24" x14ac:dyDescent="0.3">
      <c r="D16" s="356" t="s">
        <v>192</v>
      </c>
      <c r="E16" s="356"/>
      <c r="F16" s="356"/>
      <c r="G16" s="356"/>
      <c r="I16" s="48">
        <v>0</v>
      </c>
      <c r="K16" s="48">
        <v>0</v>
      </c>
      <c r="M16" s="40">
        <f t="shared" si="0"/>
        <v>0</v>
      </c>
      <c r="O16" s="40">
        <f t="shared" si="1"/>
        <v>0</v>
      </c>
      <c r="Q16" s="293">
        <f t="shared" si="2"/>
        <v>0</v>
      </c>
      <c r="S16" s="293">
        <f t="shared" si="3"/>
        <v>0</v>
      </c>
      <c r="U16" s="356"/>
      <c r="V16" s="356"/>
      <c r="W16" s="356"/>
      <c r="X16" s="356"/>
    </row>
    <row r="17" spans="4:24" x14ac:dyDescent="0.3">
      <c r="D17" s="356" t="s">
        <v>193</v>
      </c>
      <c r="E17" s="356"/>
      <c r="F17" s="356"/>
      <c r="G17" s="356"/>
      <c r="I17" s="48">
        <v>0</v>
      </c>
      <c r="K17" s="48">
        <v>0</v>
      </c>
      <c r="M17" s="40">
        <f t="shared" si="0"/>
        <v>0</v>
      </c>
      <c r="O17" s="40">
        <f t="shared" si="1"/>
        <v>0</v>
      </c>
      <c r="Q17" s="293">
        <f t="shared" si="2"/>
        <v>0</v>
      </c>
      <c r="S17" s="293">
        <f t="shared" si="3"/>
        <v>0</v>
      </c>
      <c r="U17" s="356"/>
      <c r="V17" s="356"/>
      <c r="W17" s="356"/>
      <c r="X17" s="356"/>
    </row>
    <row r="18" spans="4:24" x14ac:dyDescent="0.3">
      <c r="D18" s="356" t="s">
        <v>120</v>
      </c>
      <c r="E18" s="356"/>
      <c r="F18" s="356"/>
      <c r="G18" s="356"/>
      <c r="I18" s="48">
        <v>0</v>
      </c>
      <c r="K18" s="48">
        <v>0</v>
      </c>
      <c r="M18" s="40">
        <f t="shared" si="0"/>
        <v>0</v>
      </c>
      <c r="O18" s="40">
        <f t="shared" si="1"/>
        <v>0</v>
      </c>
      <c r="Q18" s="293">
        <f t="shared" si="2"/>
        <v>0</v>
      </c>
      <c r="S18" s="293">
        <f t="shared" si="3"/>
        <v>0</v>
      </c>
      <c r="U18" s="356"/>
      <c r="V18" s="356"/>
      <c r="W18" s="356"/>
      <c r="X18" s="356"/>
    </row>
    <row r="19" spans="4:24" x14ac:dyDescent="0.3">
      <c r="D19" s="356" t="s">
        <v>121</v>
      </c>
      <c r="E19" s="356"/>
      <c r="F19" s="356"/>
      <c r="G19" s="356"/>
      <c r="I19" s="48">
        <v>0</v>
      </c>
      <c r="K19" s="48">
        <v>0</v>
      </c>
      <c r="M19" s="40">
        <f t="shared" si="0"/>
        <v>0</v>
      </c>
      <c r="O19" s="40">
        <f t="shared" si="1"/>
        <v>0</v>
      </c>
      <c r="Q19" s="293">
        <f t="shared" si="2"/>
        <v>0</v>
      </c>
      <c r="S19" s="293">
        <f t="shared" si="3"/>
        <v>0</v>
      </c>
      <c r="U19" s="356"/>
      <c r="V19" s="356"/>
      <c r="W19" s="356"/>
      <c r="X19" s="356"/>
    </row>
    <row r="20" spans="4:24" s="277" customFormat="1" x14ac:dyDescent="0.3">
      <c r="D20" s="356" t="s">
        <v>830</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831</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832</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833</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834</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835</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836</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837</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846</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847</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848</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849</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971</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973</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974</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975</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976</v>
      </c>
      <c r="E36" s="356"/>
      <c r="F36" s="356"/>
      <c r="G36" s="356"/>
      <c r="I36" s="48">
        <v>0</v>
      </c>
      <c r="K36" s="48">
        <v>0</v>
      </c>
      <c r="M36" s="279">
        <f t="shared" si="0"/>
        <v>0</v>
      </c>
      <c r="O36" s="279">
        <f t="shared" si="1"/>
        <v>0</v>
      </c>
      <c r="Q36" s="293">
        <f t="shared" si="2"/>
        <v>0</v>
      </c>
      <c r="S36" s="293">
        <f t="shared" si="3"/>
        <v>0</v>
      </c>
      <c r="U36" s="385"/>
      <c r="V36" s="385"/>
      <c r="W36" s="385"/>
      <c r="X36" s="385"/>
    </row>
    <row r="37" spans="3:24" ht="14.4" x14ac:dyDescent="0.3">
      <c r="D37" s="420" t="s">
        <v>79</v>
      </c>
      <c r="E37" s="421"/>
      <c r="F37" s="421"/>
      <c r="G37" s="421"/>
      <c r="I37" s="43"/>
      <c r="K37" s="43"/>
      <c r="M37" s="43"/>
      <c r="O37" s="43"/>
      <c r="Q37" s="294">
        <f>SUM(Q12:Q36)</f>
        <v>0</v>
      </c>
      <c r="S37" s="294">
        <f>SUM(S12:S36)</f>
        <v>0</v>
      </c>
    </row>
    <row r="39" spans="3:24" ht="15.6" x14ac:dyDescent="0.3">
      <c r="C39" s="92" t="s">
        <v>164</v>
      </c>
    </row>
    <row r="40" spans="3:24" ht="27.6" x14ac:dyDescent="0.3">
      <c r="D40" s="90" t="s">
        <v>102</v>
      </c>
      <c r="I40" s="91" t="s">
        <v>80</v>
      </c>
      <c r="K40" s="91" t="s">
        <v>432</v>
      </c>
      <c r="M40" s="42" t="s">
        <v>107</v>
      </c>
      <c r="O40" s="42" t="s">
        <v>108</v>
      </c>
      <c r="Q40" s="42" t="s">
        <v>105</v>
      </c>
      <c r="S40" s="42" t="s">
        <v>106</v>
      </c>
      <c r="U40" s="350" t="s">
        <v>185</v>
      </c>
      <c r="V40" s="351"/>
      <c r="W40" s="351"/>
      <c r="X40" s="351"/>
    </row>
    <row r="41" spans="3:24" x14ac:dyDescent="0.3">
      <c r="D41" s="356" t="s">
        <v>109</v>
      </c>
      <c r="E41" s="356"/>
      <c r="F41" s="356"/>
      <c r="G41" s="356"/>
      <c r="I41" s="48">
        <v>0</v>
      </c>
      <c r="K41" s="48">
        <v>0</v>
      </c>
      <c r="M41" s="40">
        <f t="shared" ref="M41:M65" si="4">IFERROR(IF(DD_ACT_11_Meet1_Curr=1,INDEX($M$206:$M$240,MATCH(D41,LU_ACT_11_Allowances,0)),INDEX($Q$206:$Q$240,MATCH(D41,LU_ACT_11_Allowances,0))),0)</f>
        <v>0</v>
      </c>
      <c r="O41" s="40">
        <f t="shared" ref="O41:O65" si="5">IFERROR(IF(DD_ACT_11_Meet1_Curr=1,INDEX($O$206:$O$240,MATCH(D41,LU_ACT_11_Allowances,0)),INDEX($S$206:$S$240,MATCH(D41,LU_ACT_11_Allowances,0))),0)</f>
        <v>0</v>
      </c>
      <c r="Q41" s="293">
        <f t="shared" ref="Q41:Q65" si="6">I41*K41*M41</f>
        <v>0</v>
      </c>
      <c r="S41" s="293">
        <f t="shared" ref="S41:S65" si="7">I41*K41*O41</f>
        <v>0</v>
      </c>
      <c r="U41" s="356"/>
      <c r="V41" s="356"/>
      <c r="W41" s="356"/>
      <c r="X41" s="356"/>
    </row>
    <row r="42" spans="3:24" x14ac:dyDescent="0.3">
      <c r="D42" s="356" t="s">
        <v>110</v>
      </c>
      <c r="E42" s="356"/>
      <c r="F42" s="356"/>
      <c r="G42" s="356"/>
      <c r="I42" s="48">
        <v>0</v>
      </c>
      <c r="K42" s="48">
        <v>0</v>
      </c>
      <c r="M42" s="40">
        <f t="shared" si="4"/>
        <v>0</v>
      </c>
      <c r="O42" s="40">
        <f t="shared" si="5"/>
        <v>0</v>
      </c>
      <c r="Q42" s="293">
        <f t="shared" si="6"/>
        <v>0</v>
      </c>
      <c r="S42" s="293">
        <f t="shared" si="7"/>
        <v>0</v>
      </c>
      <c r="U42" s="356"/>
      <c r="V42" s="356"/>
      <c r="W42" s="356"/>
      <c r="X42" s="356"/>
    </row>
    <row r="43" spans="3:24" x14ac:dyDescent="0.3">
      <c r="D43" s="356" t="s">
        <v>111</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112</v>
      </c>
      <c r="E44" s="356"/>
      <c r="F44" s="356"/>
      <c r="G44" s="356"/>
      <c r="I44" s="48">
        <v>0</v>
      </c>
      <c r="K44" s="48">
        <v>0</v>
      </c>
      <c r="M44" s="40">
        <f t="shared" si="4"/>
        <v>0</v>
      </c>
      <c r="O44" s="40">
        <f t="shared" si="5"/>
        <v>0</v>
      </c>
      <c r="Q44" s="293">
        <f t="shared" si="6"/>
        <v>0</v>
      </c>
      <c r="S44" s="293">
        <f t="shared" si="7"/>
        <v>0</v>
      </c>
      <c r="U44" s="356"/>
      <c r="V44" s="356"/>
      <c r="W44" s="356"/>
      <c r="X44" s="356"/>
    </row>
    <row r="45" spans="3:24" x14ac:dyDescent="0.3">
      <c r="D45" s="356" t="s">
        <v>113</v>
      </c>
      <c r="E45" s="356"/>
      <c r="F45" s="356"/>
      <c r="G45" s="356"/>
      <c r="I45" s="48">
        <v>0</v>
      </c>
      <c r="K45" s="48">
        <v>0</v>
      </c>
      <c r="M45" s="40">
        <f t="shared" si="4"/>
        <v>0</v>
      </c>
      <c r="O45" s="40">
        <f t="shared" si="5"/>
        <v>0</v>
      </c>
      <c r="Q45" s="293">
        <f t="shared" si="6"/>
        <v>0</v>
      </c>
      <c r="S45" s="293">
        <f t="shared" si="7"/>
        <v>0</v>
      </c>
      <c r="U45" s="356"/>
      <c r="V45" s="356"/>
      <c r="W45" s="356"/>
      <c r="X45" s="356"/>
    </row>
    <row r="46" spans="3:24" x14ac:dyDescent="0.3">
      <c r="D46" s="356" t="s">
        <v>114</v>
      </c>
      <c r="E46" s="356"/>
      <c r="F46" s="356"/>
      <c r="G46" s="356"/>
      <c r="I46" s="48">
        <v>0</v>
      </c>
      <c r="K46" s="48">
        <v>0</v>
      </c>
      <c r="M46" s="40">
        <f t="shared" si="4"/>
        <v>0</v>
      </c>
      <c r="O46" s="40">
        <f t="shared" si="5"/>
        <v>0</v>
      </c>
      <c r="Q46" s="293">
        <f t="shared" si="6"/>
        <v>0</v>
      </c>
      <c r="S46" s="293">
        <f t="shared" si="7"/>
        <v>0</v>
      </c>
      <c r="U46" s="356"/>
      <c r="V46" s="356"/>
      <c r="W46" s="356"/>
      <c r="X46" s="356"/>
    </row>
    <row r="47" spans="3:24" x14ac:dyDescent="0.3">
      <c r="D47" s="356" t="s">
        <v>115</v>
      </c>
      <c r="E47" s="356"/>
      <c r="F47" s="356"/>
      <c r="G47" s="356"/>
      <c r="I47" s="48">
        <v>0</v>
      </c>
      <c r="K47" s="48">
        <v>0</v>
      </c>
      <c r="M47" s="40">
        <f t="shared" si="4"/>
        <v>0</v>
      </c>
      <c r="O47" s="40">
        <f t="shared" si="5"/>
        <v>0</v>
      </c>
      <c r="Q47" s="293">
        <f t="shared" si="6"/>
        <v>0</v>
      </c>
      <c r="S47" s="293">
        <f t="shared" si="7"/>
        <v>0</v>
      </c>
      <c r="U47" s="356"/>
      <c r="V47" s="356"/>
      <c r="W47" s="356"/>
      <c r="X47" s="356"/>
    </row>
    <row r="48" spans="3:24" x14ac:dyDescent="0.3">
      <c r="D48" s="356" t="s">
        <v>116</v>
      </c>
      <c r="E48" s="356"/>
      <c r="F48" s="356"/>
      <c r="G48" s="356"/>
      <c r="I48" s="48">
        <v>0</v>
      </c>
      <c r="K48" s="48">
        <v>0</v>
      </c>
      <c r="M48" s="40">
        <f t="shared" si="4"/>
        <v>0</v>
      </c>
      <c r="O48" s="40">
        <f t="shared" si="5"/>
        <v>0</v>
      </c>
      <c r="Q48" s="293">
        <f t="shared" si="6"/>
        <v>0</v>
      </c>
      <c r="S48" s="293">
        <f t="shared" si="7"/>
        <v>0</v>
      </c>
      <c r="U48" s="356"/>
      <c r="V48" s="356"/>
      <c r="W48" s="356"/>
      <c r="X48" s="356"/>
    </row>
    <row r="49" spans="4:24" s="277" customFormat="1" x14ac:dyDescent="0.3">
      <c r="D49" s="356" t="s">
        <v>838</v>
      </c>
      <c r="E49" s="356"/>
      <c r="F49" s="356"/>
      <c r="G49" s="356"/>
      <c r="I49" s="48">
        <v>0</v>
      </c>
      <c r="K49" s="48">
        <v>0</v>
      </c>
      <c r="M49" s="279">
        <f t="shared" si="4"/>
        <v>0</v>
      </c>
      <c r="O49" s="279">
        <f t="shared" si="5"/>
        <v>0</v>
      </c>
      <c r="Q49" s="293">
        <f t="shared" si="6"/>
        <v>0</v>
      </c>
      <c r="S49" s="293">
        <f t="shared" si="7"/>
        <v>0</v>
      </c>
      <c r="U49" s="385"/>
      <c r="V49" s="385"/>
      <c r="W49" s="385"/>
      <c r="X49" s="385"/>
    </row>
    <row r="50" spans="4:24" s="277" customFormat="1" x14ac:dyDescent="0.3">
      <c r="D50" s="356" t="s">
        <v>839</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840</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841</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842</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843</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844</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845</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850</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851</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852</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853</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972</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977</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978</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979</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980</v>
      </c>
      <c r="E65" s="356"/>
      <c r="F65" s="356"/>
      <c r="G65" s="356"/>
      <c r="I65" s="48">
        <v>0</v>
      </c>
      <c r="K65" s="48">
        <v>0</v>
      </c>
      <c r="M65" s="279">
        <f t="shared" si="4"/>
        <v>0</v>
      </c>
      <c r="O65" s="279">
        <f t="shared" si="5"/>
        <v>0</v>
      </c>
      <c r="Q65" s="293">
        <f t="shared" si="6"/>
        <v>0</v>
      </c>
      <c r="S65" s="293">
        <f t="shared" si="7"/>
        <v>0</v>
      </c>
      <c r="U65" s="385"/>
      <c r="V65" s="385"/>
      <c r="W65" s="385"/>
      <c r="X65" s="385"/>
    </row>
    <row r="66" spans="3:24" ht="14.4" x14ac:dyDescent="0.3">
      <c r="D66" s="420" t="s">
        <v>82</v>
      </c>
      <c r="E66" s="421"/>
      <c r="F66" s="421"/>
      <c r="G66" s="421"/>
      <c r="I66" s="43"/>
      <c r="K66" s="43"/>
      <c r="M66" s="43"/>
      <c r="O66" s="43"/>
      <c r="Q66" s="294">
        <f>SUM(Q41:Q65)</f>
        <v>0</v>
      </c>
      <c r="S66" s="294">
        <f>SUM(S41:S65)</f>
        <v>0</v>
      </c>
    </row>
    <row r="70" spans="3:24" ht="15.6" x14ac:dyDescent="0.3">
      <c r="C70" s="92" t="s">
        <v>84</v>
      </c>
    </row>
    <row r="71" spans="3:24" ht="27.6" x14ac:dyDescent="0.3">
      <c r="D71" s="90" t="s">
        <v>102</v>
      </c>
      <c r="I71" s="91" t="s">
        <v>87</v>
      </c>
      <c r="K71" s="91" t="s">
        <v>432</v>
      </c>
      <c r="M71" s="42" t="s">
        <v>107</v>
      </c>
      <c r="O71" s="42" t="s">
        <v>108</v>
      </c>
      <c r="Q71" s="42" t="s">
        <v>105</v>
      </c>
      <c r="S71" s="42" t="s">
        <v>106</v>
      </c>
      <c r="U71" s="350" t="s">
        <v>185</v>
      </c>
      <c r="V71" s="351"/>
      <c r="W71" s="351"/>
      <c r="X71" s="351"/>
    </row>
    <row r="72" spans="3:24" x14ac:dyDescent="0.3">
      <c r="D72" s="356" t="s">
        <v>892</v>
      </c>
      <c r="E72" s="356"/>
      <c r="F72" s="356"/>
      <c r="G72" s="356"/>
      <c r="I72" s="48">
        <v>0</v>
      </c>
      <c r="K72" s="48">
        <v>0</v>
      </c>
      <c r="M72" s="40">
        <f t="shared" ref="M72:M96" si="8">IFERROR(IF(DD_ACT_11_Meet1_Curr=1,INDEX($M$244:$M$278,MATCH(D72,LU_ACT_11_Supplies,0)),INDEX($Q$244:$Q$278,MATCH(D72,LU_ACT_11_Supplies,0))),0)</f>
        <v>0</v>
      </c>
      <c r="O72" s="40">
        <f t="shared" ref="O72:O96" si="9">IFERROR(IF(DD_ACT_11_Meet1_Curr=1,INDEX($O$244:$O$278,MATCH(D72,LU_ACT_11_Supplies,0)),INDEX($S$244:$S$278,MATCH(D72,LU_ACT_11_Supplies,0))),0)</f>
        <v>0</v>
      </c>
      <c r="Q72" s="295">
        <f t="shared" ref="Q72:Q96" si="10">I72*K72*M72</f>
        <v>0</v>
      </c>
      <c r="S72" s="293">
        <f t="shared" ref="S72:S96" si="11">I72*K72*O72</f>
        <v>0</v>
      </c>
      <c r="U72" s="356"/>
      <c r="V72" s="356"/>
      <c r="W72" s="356"/>
      <c r="X72" s="356"/>
    </row>
    <row r="73" spans="3:24" x14ac:dyDescent="0.3">
      <c r="D73" s="356" t="s">
        <v>893</v>
      </c>
      <c r="E73" s="356"/>
      <c r="F73" s="356"/>
      <c r="G73" s="356"/>
      <c r="I73" s="48">
        <v>0</v>
      </c>
      <c r="K73" s="48">
        <v>0</v>
      </c>
      <c r="M73" s="40">
        <f t="shared" si="8"/>
        <v>0</v>
      </c>
      <c r="O73" s="40">
        <f t="shared" si="9"/>
        <v>0</v>
      </c>
      <c r="Q73" s="295">
        <f t="shared" si="10"/>
        <v>0</v>
      </c>
      <c r="S73" s="293">
        <f t="shared" si="11"/>
        <v>0</v>
      </c>
      <c r="U73" s="356"/>
      <c r="V73" s="356"/>
      <c r="W73" s="356"/>
      <c r="X73" s="356"/>
    </row>
    <row r="74" spans="3:24" x14ac:dyDescent="0.3">
      <c r="D74" s="356" t="s">
        <v>854</v>
      </c>
      <c r="E74" s="356"/>
      <c r="F74" s="356"/>
      <c r="G74" s="356"/>
      <c r="I74" s="48">
        <v>0</v>
      </c>
      <c r="K74" s="48">
        <v>0</v>
      </c>
      <c r="M74" s="40">
        <f t="shared" si="8"/>
        <v>0</v>
      </c>
      <c r="O74" s="40">
        <f t="shared" si="9"/>
        <v>0</v>
      </c>
      <c r="Q74" s="295">
        <f t="shared" si="10"/>
        <v>0</v>
      </c>
      <c r="S74" s="293">
        <f t="shared" si="11"/>
        <v>0</v>
      </c>
      <c r="U74" s="356"/>
      <c r="V74" s="356"/>
      <c r="W74" s="356"/>
      <c r="X74" s="356"/>
    </row>
    <row r="75" spans="3:24" x14ac:dyDescent="0.3">
      <c r="D75" s="356" t="s">
        <v>855</v>
      </c>
      <c r="E75" s="356"/>
      <c r="F75" s="356"/>
      <c r="G75" s="356"/>
      <c r="I75" s="48">
        <v>0</v>
      </c>
      <c r="K75" s="48">
        <v>0</v>
      </c>
      <c r="M75" s="40">
        <f t="shared" si="8"/>
        <v>0</v>
      </c>
      <c r="O75" s="40">
        <f t="shared" si="9"/>
        <v>0</v>
      </c>
      <c r="Q75" s="295">
        <f t="shared" si="10"/>
        <v>0</v>
      </c>
      <c r="S75" s="293">
        <f t="shared" si="11"/>
        <v>0</v>
      </c>
      <c r="U75" s="356"/>
      <c r="V75" s="356"/>
      <c r="W75" s="356"/>
      <c r="X75" s="356"/>
    </row>
    <row r="76" spans="3:24" x14ac:dyDescent="0.3">
      <c r="D76" s="356" t="s">
        <v>856</v>
      </c>
      <c r="E76" s="356"/>
      <c r="F76" s="356"/>
      <c r="G76" s="356"/>
      <c r="I76" s="48">
        <v>0</v>
      </c>
      <c r="K76" s="48">
        <v>0</v>
      </c>
      <c r="M76" s="40">
        <f t="shared" si="8"/>
        <v>0</v>
      </c>
      <c r="O76" s="40">
        <f t="shared" si="9"/>
        <v>0</v>
      </c>
      <c r="Q76" s="295">
        <f t="shared" si="10"/>
        <v>0</v>
      </c>
      <c r="S76" s="293">
        <f t="shared" si="11"/>
        <v>0</v>
      </c>
      <c r="U76" s="356"/>
      <c r="V76" s="356"/>
      <c r="W76" s="356"/>
      <c r="X76" s="356"/>
    </row>
    <row r="77" spans="3:24" x14ac:dyDescent="0.3">
      <c r="D77" s="356" t="s">
        <v>857</v>
      </c>
      <c r="E77" s="356"/>
      <c r="F77" s="356"/>
      <c r="G77" s="356"/>
      <c r="I77" s="48">
        <v>0</v>
      </c>
      <c r="K77" s="48">
        <v>0</v>
      </c>
      <c r="M77" s="40">
        <f t="shared" si="8"/>
        <v>0</v>
      </c>
      <c r="O77" s="40">
        <f t="shared" si="9"/>
        <v>0</v>
      </c>
      <c r="Q77" s="295">
        <f t="shared" si="10"/>
        <v>0</v>
      </c>
      <c r="S77" s="293">
        <f t="shared" si="11"/>
        <v>0</v>
      </c>
      <c r="U77" s="356"/>
      <c r="V77" s="356"/>
      <c r="W77" s="356"/>
      <c r="X77" s="356"/>
    </row>
    <row r="78" spans="3:24" s="277" customFormat="1" x14ac:dyDescent="0.3">
      <c r="D78" s="356" t="s">
        <v>858</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859</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860</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861</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862</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863</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864</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865</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866</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867</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868</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869</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870</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871</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981</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982</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983</v>
      </c>
      <c r="E94" s="356"/>
      <c r="F94" s="356"/>
      <c r="G94" s="356"/>
      <c r="I94" s="48">
        <v>0</v>
      </c>
      <c r="K94" s="48">
        <v>0</v>
      </c>
      <c r="M94" s="279">
        <f t="shared" si="8"/>
        <v>0</v>
      </c>
      <c r="O94" s="279">
        <f t="shared" si="9"/>
        <v>0</v>
      </c>
      <c r="Q94" s="295">
        <f t="shared" si="10"/>
        <v>0</v>
      </c>
      <c r="S94" s="293">
        <f t="shared" si="11"/>
        <v>0</v>
      </c>
      <c r="U94" s="385"/>
      <c r="V94" s="385"/>
      <c r="W94" s="385"/>
      <c r="X94" s="385"/>
    </row>
    <row r="95" spans="4:24" s="277" customFormat="1" x14ac:dyDescent="0.3">
      <c r="D95" s="356" t="s">
        <v>984</v>
      </c>
      <c r="E95" s="356"/>
      <c r="F95" s="356"/>
      <c r="G95" s="356"/>
      <c r="I95" s="48">
        <v>0</v>
      </c>
      <c r="K95" s="48">
        <v>0</v>
      </c>
      <c r="M95" s="279">
        <f t="shared" si="8"/>
        <v>0</v>
      </c>
      <c r="O95" s="279">
        <f t="shared" si="9"/>
        <v>0</v>
      </c>
      <c r="Q95" s="295">
        <f t="shared" si="10"/>
        <v>0</v>
      </c>
      <c r="S95" s="293">
        <f t="shared" si="11"/>
        <v>0</v>
      </c>
      <c r="U95" s="385"/>
      <c r="V95" s="385"/>
      <c r="W95" s="385"/>
      <c r="X95" s="385"/>
    </row>
    <row r="96" spans="4:24" s="277" customFormat="1" x14ac:dyDescent="0.3">
      <c r="D96" s="356" t="s">
        <v>985</v>
      </c>
      <c r="E96" s="356"/>
      <c r="F96" s="356"/>
      <c r="G96" s="356"/>
      <c r="I96" s="48">
        <v>0</v>
      </c>
      <c r="K96" s="48">
        <v>0</v>
      </c>
      <c r="M96" s="279">
        <f t="shared" si="8"/>
        <v>0</v>
      </c>
      <c r="O96" s="279">
        <f t="shared" si="9"/>
        <v>0</v>
      </c>
      <c r="Q96" s="295">
        <f t="shared" si="10"/>
        <v>0</v>
      </c>
      <c r="S96" s="293">
        <f t="shared" si="11"/>
        <v>0</v>
      </c>
      <c r="U96" s="385"/>
      <c r="V96" s="385"/>
      <c r="W96" s="385"/>
      <c r="X96" s="385"/>
    </row>
    <row r="97" spans="3:24" ht="14.4" x14ac:dyDescent="0.3">
      <c r="D97" s="420" t="s">
        <v>85</v>
      </c>
      <c r="E97" s="421"/>
      <c r="F97" s="421"/>
      <c r="G97" s="421"/>
      <c r="I97" s="43"/>
      <c r="K97" s="43"/>
      <c r="M97" s="43"/>
      <c r="O97" s="43"/>
      <c r="Q97" s="296">
        <f>SUM(Q72:Q96)</f>
        <v>0</v>
      </c>
      <c r="S97" s="294">
        <f>SUM(S72:S96)</f>
        <v>0</v>
      </c>
      <c r="U97" s="43"/>
      <c r="V97" s="43"/>
      <c r="W97" s="43"/>
      <c r="X97" s="43"/>
    </row>
    <row r="99" spans="3:24" ht="27.6" x14ac:dyDescent="0.3">
      <c r="C99" s="92" t="s">
        <v>130</v>
      </c>
      <c r="Q99" s="44" t="str">
        <f>"FINANCIAL COST ("&amp;INDEX(LU_ACT_11_Meet_Curr,DD_ACT_11_Meet1_Curr)&amp;")"</f>
        <v>FINANCIAL COST (GOZ)</v>
      </c>
      <c r="S99" s="44" t="str">
        <f>"ECONOMIC COST ("&amp;INDEX(LU_ACT_11_Meet_Curr,DD_ACT_11_Meet1_Curr)&amp;")"</f>
        <v>ECONOMIC COST (GOZ)</v>
      </c>
    </row>
    <row r="100" spans="3:24" ht="27.6" x14ac:dyDescent="0.3">
      <c r="D100" s="90" t="s">
        <v>86</v>
      </c>
      <c r="I100" s="91" t="s">
        <v>186</v>
      </c>
      <c r="M100" s="42" t="s">
        <v>107</v>
      </c>
      <c r="O100" s="42" t="s">
        <v>108</v>
      </c>
      <c r="U100" s="350" t="s">
        <v>185</v>
      </c>
      <c r="V100" s="351"/>
      <c r="W100" s="351"/>
      <c r="X100" s="351"/>
    </row>
    <row r="101" spans="3:24" x14ac:dyDescent="0.3">
      <c r="D101" s="356" t="s">
        <v>70</v>
      </c>
      <c r="E101" s="356"/>
      <c r="F101" s="356"/>
      <c r="G101" s="356"/>
      <c r="I101" s="48">
        <v>0</v>
      </c>
      <c r="M101" s="40">
        <f t="shared" ref="M101:M125" si="12">IFERROR(IF(DD_ACT_11_Meet1_Curr=1,INDEX($M$281:$M$315,MATCH(D101,LU_ACT_11_Equipment,0)),INDEX($Q$281:$Q$315,MATCH(D101,LU_ACT_11_Equipment,0))),0)</f>
        <v>0</v>
      </c>
      <c r="O101" s="40">
        <f t="shared" ref="O101:O125" si="13">IFERROR(IF(DD_ACT_11_Meet1_Curr=1,INDEX($O$281:$O$315,MATCH(D101,LU_ACT_11_Equipment,0)),INDEX($S$281:$S$315,MATCH(D101,LU_ACT_11_Equipment,0))),0)</f>
        <v>0</v>
      </c>
      <c r="Q101" s="279">
        <f t="shared" ref="Q101:Q125" si="14">I101*M101</f>
        <v>0</v>
      </c>
      <c r="S101" s="279">
        <f t="shared" ref="S101:S125" si="15">I101*O101</f>
        <v>0</v>
      </c>
      <c r="U101" s="356"/>
      <c r="V101" s="356"/>
      <c r="W101" s="356"/>
      <c r="X101" s="356"/>
    </row>
    <row r="102" spans="3:24" x14ac:dyDescent="0.3">
      <c r="D102" s="356" t="s">
        <v>122</v>
      </c>
      <c r="E102" s="356"/>
      <c r="F102" s="356"/>
      <c r="G102" s="356"/>
      <c r="I102" s="48">
        <v>0</v>
      </c>
      <c r="M102" s="40">
        <f t="shared" si="12"/>
        <v>0</v>
      </c>
      <c r="O102" s="40">
        <f t="shared" si="13"/>
        <v>0</v>
      </c>
      <c r="Q102" s="279">
        <f t="shared" si="14"/>
        <v>0</v>
      </c>
      <c r="S102" s="279">
        <f t="shared" si="15"/>
        <v>0</v>
      </c>
      <c r="U102" s="356"/>
      <c r="V102" s="356"/>
      <c r="W102" s="356"/>
      <c r="X102" s="356"/>
    </row>
    <row r="103" spans="3:24" x14ac:dyDescent="0.3">
      <c r="D103" s="356" t="s">
        <v>872</v>
      </c>
      <c r="E103" s="356"/>
      <c r="F103" s="356"/>
      <c r="G103" s="356"/>
      <c r="I103" s="48">
        <v>0</v>
      </c>
      <c r="M103" s="40">
        <f t="shared" si="12"/>
        <v>0</v>
      </c>
      <c r="O103" s="40">
        <f t="shared" si="13"/>
        <v>0</v>
      </c>
      <c r="Q103" s="279">
        <f t="shared" si="14"/>
        <v>0</v>
      </c>
      <c r="S103" s="279">
        <f t="shared" si="15"/>
        <v>0</v>
      </c>
      <c r="U103" s="356"/>
      <c r="V103" s="356"/>
      <c r="W103" s="356"/>
      <c r="X103" s="356"/>
    </row>
    <row r="104" spans="3:24" x14ac:dyDescent="0.3">
      <c r="D104" s="356" t="s">
        <v>873</v>
      </c>
      <c r="E104" s="356"/>
      <c r="F104" s="356"/>
      <c r="G104" s="356"/>
      <c r="I104" s="48">
        <v>0</v>
      </c>
      <c r="M104" s="40">
        <f t="shared" si="12"/>
        <v>0</v>
      </c>
      <c r="O104" s="40">
        <f t="shared" si="13"/>
        <v>0</v>
      </c>
      <c r="Q104" s="279">
        <f t="shared" si="14"/>
        <v>0</v>
      </c>
      <c r="S104" s="279">
        <f t="shared" si="15"/>
        <v>0</v>
      </c>
      <c r="U104" s="356"/>
      <c r="V104" s="356"/>
      <c r="W104" s="356"/>
      <c r="X104" s="356"/>
    </row>
    <row r="105" spans="3:24" s="277" customFormat="1" x14ac:dyDescent="0.3">
      <c r="D105" s="356" t="s">
        <v>874</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875</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778</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779</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780</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781</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782</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783</v>
      </c>
      <c r="E112" s="356"/>
      <c r="F112" s="356"/>
      <c r="G112" s="356"/>
      <c r="I112" s="48">
        <v>0</v>
      </c>
      <c r="M112" s="279">
        <f t="shared" si="12"/>
        <v>0</v>
      </c>
      <c r="O112" s="279">
        <f t="shared" si="13"/>
        <v>0</v>
      </c>
      <c r="Q112" s="279">
        <f t="shared" si="14"/>
        <v>0</v>
      </c>
      <c r="S112" s="279">
        <f t="shared" si="15"/>
        <v>0</v>
      </c>
      <c r="U112" s="385"/>
      <c r="V112" s="385"/>
      <c r="W112" s="385"/>
      <c r="X112" s="385"/>
    </row>
    <row r="113" spans="3:24" s="277" customFormat="1" x14ac:dyDescent="0.3">
      <c r="D113" s="356" t="s">
        <v>784</v>
      </c>
      <c r="E113" s="356"/>
      <c r="F113" s="356"/>
      <c r="G113" s="356"/>
      <c r="I113" s="48">
        <v>0</v>
      </c>
      <c r="M113" s="279">
        <f t="shared" si="12"/>
        <v>0</v>
      </c>
      <c r="O113" s="279">
        <f t="shared" si="13"/>
        <v>0</v>
      </c>
      <c r="Q113" s="279">
        <f t="shared" si="14"/>
        <v>0</v>
      </c>
      <c r="S113" s="279">
        <f t="shared" si="15"/>
        <v>0</v>
      </c>
      <c r="U113" s="385"/>
      <c r="V113" s="385"/>
      <c r="W113" s="385"/>
      <c r="X113" s="385"/>
    </row>
    <row r="114" spans="3:24" s="277" customFormat="1" x14ac:dyDescent="0.3">
      <c r="D114" s="356" t="s">
        <v>785</v>
      </c>
      <c r="E114" s="356"/>
      <c r="F114" s="356"/>
      <c r="G114" s="356"/>
      <c r="I114" s="48">
        <v>0</v>
      </c>
      <c r="M114" s="279">
        <f t="shared" si="12"/>
        <v>0</v>
      </c>
      <c r="O114" s="279">
        <f t="shared" si="13"/>
        <v>0</v>
      </c>
      <c r="Q114" s="279">
        <f t="shared" si="14"/>
        <v>0</v>
      </c>
      <c r="S114" s="279">
        <f t="shared" si="15"/>
        <v>0</v>
      </c>
      <c r="U114" s="385"/>
      <c r="V114" s="385"/>
      <c r="W114" s="385"/>
      <c r="X114" s="385"/>
    </row>
    <row r="115" spans="3:24" s="277" customFormat="1" x14ac:dyDescent="0.3">
      <c r="D115" s="356" t="s">
        <v>786</v>
      </c>
      <c r="E115" s="356"/>
      <c r="F115" s="356"/>
      <c r="G115" s="356"/>
      <c r="I115" s="48">
        <v>0</v>
      </c>
      <c r="M115" s="279">
        <f t="shared" si="12"/>
        <v>0</v>
      </c>
      <c r="O115" s="279">
        <f t="shared" si="13"/>
        <v>0</v>
      </c>
      <c r="Q115" s="279">
        <f t="shared" si="14"/>
        <v>0</v>
      </c>
      <c r="S115" s="279">
        <f t="shared" si="15"/>
        <v>0</v>
      </c>
      <c r="U115" s="385"/>
      <c r="V115" s="385"/>
      <c r="W115" s="385"/>
      <c r="X115" s="385"/>
    </row>
    <row r="116" spans="3:24" s="277" customFormat="1" x14ac:dyDescent="0.3">
      <c r="D116" s="356" t="s">
        <v>787</v>
      </c>
      <c r="E116" s="356"/>
      <c r="F116" s="356"/>
      <c r="G116" s="356"/>
      <c r="I116" s="48">
        <v>0</v>
      </c>
      <c r="M116" s="279">
        <f t="shared" si="12"/>
        <v>0</v>
      </c>
      <c r="O116" s="279">
        <f t="shared" si="13"/>
        <v>0</v>
      </c>
      <c r="Q116" s="279">
        <f t="shared" si="14"/>
        <v>0</v>
      </c>
      <c r="S116" s="279">
        <f t="shared" si="15"/>
        <v>0</v>
      </c>
      <c r="U116" s="385"/>
      <c r="V116" s="385"/>
      <c r="W116" s="385"/>
      <c r="X116" s="385"/>
    </row>
    <row r="117" spans="3:24" s="277" customFormat="1" x14ac:dyDescent="0.3">
      <c r="D117" s="356" t="s">
        <v>788</v>
      </c>
      <c r="E117" s="356"/>
      <c r="F117" s="356"/>
      <c r="G117" s="356"/>
      <c r="I117" s="48">
        <v>0</v>
      </c>
      <c r="M117" s="279">
        <f t="shared" si="12"/>
        <v>0</v>
      </c>
      <c r="O117" s="279">
        <f t="shared" si="13"/>
        <v>0</v>
      </c>
      <c r="Q117" s="279">
        <f t="shared" si="14"/>
        <v>0</v>
      </c>
      <c r="S117" s="279">
        <f t="shared" si="15"/>
        <v>0</v>
      </c>
      <c r="U117" s="385"/>
      <c r="V117" s="385"/>
      <c r="W117" s="385"/>
      <c r="X117" s="385"/>
    </row>
    <row r="118" spans="3:24" s="277" customFormat="1" x14ac:dyDescent="0.3">
      <c r="D118" s="356" t="s">
        <v>789</v>
      </c>
      <c r="E118" s="356"/>
      <c r="F118" s="356"/>
      <c r="G118" s="356"/>
      <c r="I118" s="48">
        <v>0</v>
      </c>
      <c r="M118" s="279">
        <f t="shared" si="12"/>
        <v>0</v>
      </c>
      <c r="O118" s="279">
        <f t="shared" si="13"/>
        <v>0</v>
      </c>
      <c r="Q118" s="279">
        <f t="shared" si="14"/>
        <v>0</v>
      </c>
      <c r="S118" s="279">
        <f t="shared" si="15"/>
        <v>0</v>
      </c>
      <c r="U118" s="385"/>
      <c r="V118" s="385"/>
      <c r="W118" s="385"/>
      <c r="X118" s="385"/>
    </row>
    <row r="119" spans="3:24" s="277" customFormat="1" x14ac:dyDescent="0.3">
      <c r="D119" s="356" t="s">
        <v>790</v>
      </c>
      <c r="E119" s="356"/>
      <c r="F119" s="356"/>
      <c r="G119" s="356"/>
      <c r="I119" s="48">
        <v>0</v>
      </c>
      <c r="M119" s="279">
        <f t="shared" si="12"/>
        <v>0</v>
      </c>
      <c r="O119" s="279">
        <f t="shared" si="13"/>
        <v>0</v>
      </c>
      <c r="Q119" s="279">
        <f t="shared" si="14"/>
        <v>0</v>
      </c>
      <c r="S119" s="279">
        <f t="shared" si="15"/>
        <v>0</v>
      </c>
      <c r="U119" s="385"/>
      <c r="V119" s="385"/>
      <c r="W119" s="385"/>
      <c r="X119" s="385"/>
    </row>
    <row r="120" spans="3:24" s="277" customFormat="1" x14ac:dyDescent="0.3">
      <c r="D120" s="356" t="s">
        <v>791</v>
      </c>
      <c r="E120" s="356"/>
      <c r="F120" s="356"/>
      <c r="G120" s="356"/>
      <c r="I120" s="48">
        <v>0</v>
      </c>
      <c r="M120" s="279">
        <f t="shared" si="12"/>
        <v>0</v>
      </c>
      <c r="O120" s="279">
        <f t="shared" si="13"/>
        <v>0</v>
      </c>
      <c r="Q120" s="279">
        <f t="shared" si="14"/>
        <v>0</v>
      </c>
      <c r="S120" s="279">
        <f t="shared" si="15"/>
        <v>0</v>
      </c>
      <c r="U120" s="385"/>
      <c r="V120" s="385"/>
      <c r="W120" s="385"/>
      <c r="X120" s="385"/>
    </row>
    <row r="121" spans="3:24" s="277" customFormat="1" x14ac:dyDescent="0.3">
      <c r="D121" s="356" t="s">
        <v>792</v>
      </c>
      <c r="E121" s="356"/>
      <c r="F121" s="356"/>
      <c r="G121" s="356"/>
      <c r="I121" s="48">
        <v>0</v>
      </c>
      <c r="M121" s="279">
        <f t="shared" si="12"/>
        <v>0</v>
      </c>
      <c r="O121" s="279">
        <f t="shared" si="13"/>
        <v>0</v>
      </c>
      <c r="Q121" s="279">
        <f t="shared" si="14"/>
        <v>0</v>
      </c>
      <c r="S121" s="279">
        <f t="shared" si="15"/>
        <v>0</v>
      </c>
      <c r="U121" s="385"/>
      <c r="V121" s="385"/>
      <c r="W121" s="385"/>
      <c r="X121" s="385"/>
    </row>
    <row r="122" spans="3:24" s="277" customFormat="1" x14ac:dyDescent="0.3">
      <c r="D122" s="356" t="s">
        <v>793</v>
      </c>
      <c r="E122" s="356"/>
      <c r="F122" s="356"/>
      <c r="G122" s="356"/>
      <c r="I122" s="48">
        <v>0</v>
      </c>
      <c r="M122" s="279">
        <f t="shared" si="12"/>
        <v>0</v>
      </c>
      <c r="O122" s="279">
        <f t="shared" si="13"/>
        <v>0</v>
      </c>
      <c r="Q122" s="279">
        <f t="shared" si="14"/>
        <v>0</v>
      </c>
      <c r="S122" s="279">
        <f t="shared" si="15"/>
        <v>0</v>
      </c>
      <c r="U122" s="385"/>
      <c r="V122" s="385"/>
      <c r="W122" s="385"/>
      <c r="X122" s="385"/>
    </row>
    <row r="123" spans="3:24" s="277" customFormat="1" x14ac:dyDescent="0.3">
      <c r="D123" s="356" t="s">
        <v>794</v>
      </c>
      <c r="E123" s="356"/>
      <c r="F123" s="356"/>
      <c r="G123" s="356"/>
      <c r="I123" s="48">
        <v>0</v>
      </c>
      <c r="M123" s="279">
        <f t="shared" si="12"/>
        <v>0</v>
      </c>
      <c r="O123" s="279">
        <f t="shared" si="13"/>
        <v>0</v>
      </c>
      <c r="Q123" s="279">
        <f t="shared" si="14"/>
        <v>0</v>
      </c>
      <c r="S123" s="279">
        <f t="shared" si="15"/>
        <v>0</v>
      </c>
      <c r="U123" s="385"/>
      <c r="V123" s="385"/>
      <c r="W123" s="385"/>
      <c r="X123" s="385"/>
    </row>
    <row r="124" spans="3:24" s="277" customFormat="1" x14ac:dyDescent="0.3">
      <c r="D124" s="356" t="s">
        <v>795</v>
      </c>
      <c r="E124" s="356"/>
      <c r="F124" s="356"/>
      <c r="G124" s="356"/>
      <c r="I124" s="48">
        <v>0</v>
      </c>
      <c r="M124" s="279">
        <f t="shared" si="12"/>
        <v>0</v>
      </c>
      <c r="O124" s="279">
        <f t="shared" si="13"/>
        <v>0</v>
      </c>
      <c r="Q124" s="279">
        <f t="shared" si="14"/>
        <v>0</v>
      </c>
      <c r="S124" s="279">
        <f t="shared" si="15"/>
        <v>0</v>
      </c>
      <c r="U124" s="385"/>
      <c r="V124" s="385"/>
      <c r="W124" s="385"/>
      <c r="X124" s="385"/>
    </row>
    <row r="125" spans="3:24" s="277" customFormat="1" x14ac:dyDescent="0.3">
      <c r="D125" s="356" t="s">
        <v>796</v>
      </c>
      <c r="E125" s="356"/>
      <c r="F125" s="356"/>
      <c r="G125" s="356"/>
      <c r="I125" s="48">
        <v>0</v>
      </c>
      <c r="M125" s="279">
        <f t="shared" si="12"/>
        <v>0</v>
      </c>
      <c r="O125" s="279">
        <f t="shared" si="13"/>
        <v>0</v>
      </c>
      <c r="Q125" s="279">
        <f t="shared" si="14"/>
        <v>0</v>
      </c>
      <c r="S125" s="279">
        <f t="shared" si="15"/>
        <v>0</v>
      </c>
      <c r="U125" s="385"/>
      <c r="V125" s="385"/>
      <c r="W125" s="385"/>
      <c r="X125" s="385"/>
    </row>
    <row r="126" spans="3:24" ht="14.4" x14ac:dyDescent="0.3">
      <c r="D126" s="420" t="s">
        <v>88</v>
      </c>
      <c r="E126" s="421"/>
      <c r="F126" s="421"/>
      <c r="G126" s="421"/>
      <c r="I126" s="40"/>
      <c r="M126" s="40"/>
      <c r="O126" s="40"/>
      <c r="Q126" s="294">
        <f>SUM(Q101:Q125)</f>
        <v>0</v>
      </c>
      <c r="S126" s="294">
        <f>SUM(S101:S125)</f>
        <v>0</v>
      </c>
    </row>
    <row r="128" spans="3:24" ht="15.6" x14ac:dyDescent="0.3">
      <c r="C128" s="92" t="s">
        <v>89</v>
      </c>
    </row>
    <row r="129" spans="4:24" ht="27.6" x14ac:dyDescent="0.3">
      <c r="Q129" s="44" t="str">
        <f>"FINANCIAL COST ("&amp;INDEX(LU_ACT_11_Meet_Curr,DD_ACT_11_Meet1_Curr)&amp;")"</f>
        <v>FINANCIAL COST (GOZ)</v>
      </c>
      <c r="S129" s="44" t="str">
        <f>"ECONOMIC COST ("&amp;INDEX(LU_ACT_11_Meet_Curr,DD_ACT_11_Meet1_Curr)&amp;")"</f>
        <v>ECONOMIC COST (GOZ)</v>
      </c>
    </row>
    <row r="130" spans="4:24" ht="27.6" x14ac:dyDescent="0.3">
      <c r="D130" s="90" t="s">
        <v>86</v>
      </c>
      <c r="I130" s="91" t="s">
        <v>186</v>
      </c>
      <c r="K130" s="91" t="s">
        <v>432</v>
      </c>
      <c r="M130" s="42" t="s">
        <v>107</v>
      </c>
      <c r="O130" s="42" t="s">
        <v>108</v>
      </c>
      <c r="U130" s="350" t="s">
        <v>185</v>
      </c>
      <c r="V130" s="351"/>
      <c r="W130" s="351"/>
      <c r="X130" s="351"/>
    </row>
    <row r="131" spans="4:24" x14ac:dyDescent="0.3">
      <c r="D131" s="356" t="s">
        <v>71</v>
      </c>
      <c r="E131" s="356"/>
      <c r="F131" s="356"/>
      <c r="G131" s="356"/>
      <c r="I131" s="48">
        <v>0</v>
      </c>
      <c r="K131" s="48">
        <v>0</v>
      </c>
      <c r="M131" s="40">
        <f t="shared" ref="M131:M155" si="16">IFERROR(IF(DD_ACT_11_Meet1_Curr=1,INDEX($M$319:$M$353,MATCH(D131,LU_ACT_11_ODCS,0)),INDEX($Q$319:$Q$353,MATCH(D131,LU_ACT_11_ODCS,0))),0)</f>
        <v>0</v>
      </c>
      <c r="O131" s="40">
        <f t="shared" ref="O131:O155" si="17">IFERROR(IF(DD_ACT_11_Meet1_Curr=1,INDEX($O$319:$O$353,MATCH(D131,LU_ACT_11_ODCS,0)),INDEX($S$319:$S$353,MATCH(D131,LU_ACT_11_ODCS,0))),0)</f>
        <v>0</v>
      </c>
      <c r="Q131" s="279">
        <f t="shared" ref="Q131:Q155" si="18">I131*K131*M131</f>
        <v>0</v>
      </c>
      <c r="S131" s="279">
        <f t="shared" ref="S131:S155" si="19">I131*K131*O131</f>
        <v>0</v>
      </c>
      <c r="U131" s="356"/>
      <c r="V131" s="356"/>
      <c r="W131" s="356"/>
      <c r="X131" s="356"/>
    </row>
    <row r="132" spans="4:24" x14ac:dyDescent="0.3">
      <c r="D132" s="356" t="s">
        <v>72</v>
      </c>
      <c r="E132" s="356"/>
      <c r="F132" s="356"/>
      <c r="G132" s="356"/>
      <c r="I132" s="48">
        <v>0</v>
      </c>
      <c r="K132" s="48">
        <v>0</v>
      </c>
      <c r="M132" s="40">
        <f t="shared" si="16"/>
        <v>0</v>
      </c>
      <c r="O132" s="40">
        <f t="shared" si="17"/>
        <v>0</v>
      </c>
      <c r="Q132" s="279">
        <f t="shared" si="18"/>
        <v>0</v>
      </c>
      <c r="S132" s="279">
        <f t="shared" si="19"/>
        <v>0</v>
      </c>
      <c r="U132" s="356"/>
      <c r="V132" s="356"/>
      <c r="W132" s="356"/>
      <c r="X132" s="356"/>
    </row>
    <row r="133" spans="4:24" x14ac:dyDescent="0.3">
      <c r="D133" s="356" t="s">
        <v>73</v>
      </c>
      <c r="E133" s="356"/>
      <c r="F133" s="356"/>
      <c r="G133" s="356"/>
      <c r="I133" s="48">
        <v>0</v>
      </c>
      <c r="K133" s="48">
        <v>0</v>
      </c>
      <c r="M133" s="40">
        <f t="shared" si="16"/>
        <v>0</v>
      </c>
      <c r="O133" s="40">
        <f t="shared" si="17"/>
        <v>0</v>
      </c>
      <c r="Q133" s="279">
        <f t="shared" si="18"/>
        <v>0</v>
      </c>
      <c r="S133" s="279">
        <f t="shared" si="19"/>
        <v>0</v>
      </c>
      <c r="U133" s="356"/>
      <c r="V133" s="356"/>
      <c r="W133" s="356"/>
      <c r="X133" s="356"/>
    </row>
    <row r="134" spans="4:24" x14ac:dyDescent="0.3">
      <c r="D134" s="356" t="s">
        <v>74</v>
      </c>
      <c r="E134" s="356"/>
      <c r="F134" s="356"/>
      <c r="G134" s="356"/>
      <c r="I134" s="48">
        <v>0</v>
      </c>
      <c r="K134" s="48">
        <v>0</v>
      </c>
      <c r="M134" s="40">
        <f t="shared" si="16"/>
        <v>0</v>
      </c>
      <c r="O134" s="40">
        <f t="shared" si="17"/>
        <v>0</v>
      </c>
      <c r="Q134" s="279">
        <f t="shared" si="18"/>
        <v>0</v>
      </c>
      <c r="S134" s="279">
        <f t="shared" si="19"/>
        <v>0</v>
      </c>
      <c r="U134" s="356"/>
      <c r="V134" s="356"/>
      <c r="W134" s="356"/>
      <c r="X134" s="356"/>
    </row>
    <row r="135" spans="4:24" x14ac:dyDescent="0.3">
      <c r="D135" s="356" t="s">
        <v>75</v>
      </c>
      <c r="E135" s="356"/>
      <c r="F135" s="356"/>
      <c r="G135" s="356"/>
      <c r="I135" s="48">
        <v>0</v>
      </c>
      <c r="K135" s="48">
        <v>0</v>
      </c>
      <c r="M135" s="40">
        <f t="shared" si="16"/>
        <v>0</v>
      </c>
      <c r="O135" s="40">
        <f t="shared" si="17"/>
        <v>0</v>
      </c>
      <c r="Q135" s="279">
        <f t="shared" si="18"/>
        <v>0</v>
      </c>
      <c r="S135" s="279">
        <f t="shared" si="19"/>
        <v>0</v>
      </c>
      <c r="U135" s="356"/>
      <c r="V135" s="356"/>
      <c r="W135" s="356"/>
      <c r="X135" s="356"/>
    </row>
    <row r="136" spans="4:24" s="277" customFormat="1" x14ac:dyDescent="0.3">
      <c r="D136" s="356" t="s">
        <v>876</v>
      </c>
      <c r="E136" s="356"/>
      <c r="F136" s="356"/>
      <c r="G136" s="356"/>
      <c r="I136" s="48">
        <v>0</v>
      </c>
      <c r="K136" s="48">
        <v>0</v>
      </c>
      <c r="M136" s="279">
        <f t="shared" si="16"/>
        <v>0</v>
      </c>
      <c r="O136" s="279">
        <f t="shared" si="17"/>
        <v>0</v>
      </c>
      <c r="Q136" s="279">
        <f t="shared" si="18"/>
        <v>0</v>
      </c>
      <c r="S136" s="279">
        <f t="shared" si="19"/>
        <v>0</v>
      </c>
      <c r="U136" s="385"/>
      <c r="V136" s="385"/>
      <c r="W136" s="385"/>
      <c r="X136" s="385"/>
    </row>
    <row r="137" spans="4:24" s="277" customFormat="1" x14ac:dyDescent="0.3">
      <c r="D137" s="356" t="s">
        <v>877</v>
      </c>
      <c r="E137" s="356"/>
      <c r="F137" s="356"/>
      <c r="G137" s="356"/>
      <c r="I137" s="48">
        <v>0</v>
      </c>
      <c r="K137" s="48">
        <v>0</v>
      </c>
      <c r="M137" s="279">
        <f t="shared" si="16"/>
        <v>0</v>
      </c>
      <c r="O137" s="279">
        <f t="shared" si="17"/>
        <v>0</v>
      </c>
      <c r="Q137" s="279">
        <f t="shared" si="18"/>
        <v>0</v>
      </c>
      <c r="S137" s="279">
        <f t="shared" si="19"/>
        <v>0</v>
      </c>
      <c r="U137" s="385"/>
      <c r="V137" s="385"/>
      <c r="W137" s="385"/>
      <c r="X137" s="385"/>
    </row>
    <row r="138" spans="4:24" s="277" customFormat="1" x14ac:dyDescent="0.3">
      <c r="D138" s="356" t="s">
        <v>878</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4:24" s="277" customFormat="1" x14ac:dyDescent="0.3">
      <c r="D139" s="356" t="s">
        <v>879</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4:24" s="277" customFormat="1" x14ac:dyDescent="0.3">
      <c r="D140" s="356" t="s">
        <v>880</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4:24" s="277" customFormat="1" x14ac:dyDescent="0.3">
      <c r="D141" s="356" t="s">
        <v>881</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4:24" s="277" customFormat="1" x14ac:dyDescent="0.3">
      <c r="D142" s="356" t="s">
        <v>882</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4:24" s="277" customFormat="1" x14ac:dyDescent="0.3">
      <c r="D143" s="356" t="s">
        <v>883</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4:24" s="277" customFormat="1" x14ac:dyDescent="0.3">
      <c r="D144" s="356" t="s">
        <v>884</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2:24" s="277" customFormat="1" x14ac:dyDescent="0.3">
      <c r="D145" s="356" t="s">
        <v>885</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2:24" s="277" customFormat="1" x14ac:dyDescent="0.3">
      <c r="D146" s="356" t="s">
        <v>886</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2:24" s="277" customFormat="1" x14ac:dyDescent="0.3">
      <c r="D147" s="356" t="s">
        <v>887</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2:24" s="277" customFormat="1" x14ac:dyDescent="0.3">
      <c r="D148" s="356" t="s">
        <v>888</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2:24" s="277" customFormat="1" x14ac:dyDescent="0.3">
      <c r="D149" s="356" t="s">
        <v>889</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2:24" s="277" customFormat="1" x14ac:dyDescent="0.3">
      <c r="D150" s="356" t="s">
        <v>890</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2:24" s="277" customFormat="1" x14ac:dyDescent="0.3">
      <c r="D151" s="356" t="s">
        <v>986</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2:24" s="277" customFormat="1" x14ac:dyDescent="0.3">
      <c r="D152" s="356" t="s">
        <v>987</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2:24" s="277" customFormat="1" x14ac:dyDescent="0.3">
      <c r="D153" s="356" t="s">
        <v>988</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2:24" s="277" customFormat="1" x14ac:dyDescent="0.3">
      <c r="D154" s="356" t="s">
        <v>989</v>
      </c>
      <c r="E154" s="356"/>
      <c r="F154" s="356"/>
      <c r="G154" s="356"/>
      <c r="I154" s="48">
        <v>0</v>
      </c>
      <c r="K154" s="48">
        <v>0</v>
      </c>
      <c r="M154" s="279">
        <f t="shared" si="16"/>
        <v>0</v>
      </c>
      <c r="O154" s="279">
        <f t="shared" si="17"/>
        <v>0</v>
      </c>
      <c r="Q154" s="279">
        <f t="shared" si="18"/>
        <v>0</v>
      </c>
      <c r="S154" s="279">
        <f t="shared" si="19"/>
        <v>0</v>
      </c>
      <c r="U154" s="385"/>
      <c r="V154" s="385"/>
      <c r="W154" s="385"/>
      <c r="X154" s="385"/>
    </row>
    <row r="155" spans="2:24" s="277" customFormat="1" x14ac:dyDescent="0.3">
      <c r="D155" s="356" t="s">
        <v>990</v>
      </c>
      <c r="E155" s="356"/>
      <c r="F155" s="356"/>
      <c r="G155" s="356"/>
      <c r="I155" s="48">
        <v>0</v>
      </c>
      <c r="K155" s="48">
        <v>0</v>
      </c>
      <c r="M155" s="279">
        <f t="shared" si="16"/>
        <v>0</v>
      </c>
      <c r="O155" s="279">
        <f t="shared" si="17"/>
        <v>0</v>
      </c>
      <c r="Q155" s="279">
        <f t="shared" si="18"/>
        <v>0</v>
      </c>
      <c r="S155" s="279">
        <f t="shared" si="19"/>
        <v>0</v>
      </c>
      <c r="U155" s="385"/>
      <c r="V155" s="385"/>
      <c r="W155" s="385"/>
      <c r="X155" s="385"/>
    </row>
    <row r="156" spans="2:24" ht="14.4" x14ac:dyDescent="0.3">
      <c r="D156" s="420" t="s">
        <v>90</v>
      </c>
      <c r="E156" s="421"/>
      <c r="F156" s="421"/>
      <c r="G156" s="421"/>
      <c r="I156" s="40"/>
      <c r="K156" s="40"/>
      <c r="M156" s="40"/>
      <c r="O156" s="40"/>
      <c r="Q156" s="294">
        <f>SUM(Q131:Q155)</f>
        <v>0</v>
      </c>
      <c r="S156" s="294">
        <f>SUM(S131:S155)</f>
        <v>0</v>
      </c>
    </row>
    <row r="158" spans="2:24" ht="27.6" x14ac:dyDescent="0.3">
      <c r="Q158" s="44" t="str">
        <f>"FINANCIAL COST ("&amp;INDEX(LU_ACT_11_Meet_Curr,DD_ACT_11_Meet1_Curr)&amp;")"</f>
        <v>FINANCIAL COST (GOZ)</v>
      </c>
      <c r="S158" s="44" t="str">
        <f>"ECONOMIC COST ("&amp;INDEX(LU_ACT_11_Meet_Curr,DD_ACT_11_Meet1_Curr)&amp;")"</f>
        <v>ECONOMIC COST (GOZ)</v>
      </c>
      <c r="U158" s="44" t="str">
        <f>"FINANCIAL COST ("&amp;IF(DD_ACT_11_Meet1_Curr=2,$D$163,$D$164)&amp;")"</f>
        <v>FINANCIAL COST (USD)</v>
      </c>
      <c r="W158" s="44" t="str">
        <f>"ECONOMIC COST ("&amp;IF(DD_ACT_11_Meet1_Curr=2,$D$163,$D$164)&amp;")"</f>
        <v>ECONOMIC COST (USD)</v>
      </c>
    </row>
    <row r="159" spans="2:24" ht="18.600000000000001" thickBot="1" x14ac:dyDescent="0.35">
      <c r="B159" s="99" t="s">
        <v>91</v>
      </c>
      <c r="Q159" s="46">
        <f>SUM(Q37,Q66,Q97,Q126,Q156)</f>
        <v>0</v>
      </c>
      <c r="S159" s="46">
        <f>SUM(S37,S66,S97,S126,S156)</f>
        <v>0</v>
      </c>
      <c r="U159" s="47">
        <f>IFERROR(IF(DD_ACT_11_Meet1_Curr=2,$Q159/$I$164,$Q159*$I$164), 0)</f>
        <v>0</v>
      </c>
      <c r="W159" s="47">
        <f>IFERROR(IF(DD_ACT_11_Meet1_Curr=2,$S159/$I$164,$S159*$I$164), 0)</f>
        <v>0</v>
      </c>
    </row>
    <row r="160" spans="2:24" ht="14.4" thickTop="1" x14ac:dyDescent="0.3"/>
    <row r="161" spans="3:19" x14ac:dyDescent="0.3">
      <c r="C161" s="91" t="s">
        <v>584</v>
      </c>
    </row>
    <row r="162" spans="3:19" hidden="1" outlineLevel="1" x14ac:dyDescent="0.3"/>
    <row r="163" spans="3:19" ht="12.9" hidden="1" customHeight="1" outlineLevel="1" x14ac:dyDescent="0.3">
      <c r="D163" s="422" t="str">
        <f>CURR_TA!D13</f>
        <v>USD</v>
      </c>
      <c r="E163" s="423"/>
      <c r="F163" s="423"/>
      <c r="G163" s="423"/>
      <c r="I163" s="279">
        <f>CURR_TA!J13</f>
        <v>1</v>
      </c>
      <c r="J163" s="279">
        <f>CURR_TA!K13</f>
        <v>0</v>
      </c>
      <c r="K163" s="279">
        <f>CURR_TA!L13</f>
        <v>0</v>
      </c>
      <c r="L163" s="279">
        <f>CURR_TA!M13</f>
        <v>0</v>
      </c>
    </row>
    <row r="164" spans="3:19" ht="12.9" hidden="1" customHeight="1" outlineLevel="1" x14ac:dyDescent="0.3">
      <c r="D164" s="422" t="str">
        <f>CURR_TA!D14</f>
        <v>GOZ</v>
      </c>
      <c r="E164" s="423"/>
      <c r="F164" s="423"/>
      <c r="G164" s="423"/>
      <c r="I164" s="279">
        <f>CURR_TA!J14</f>
        <v>0</v>
      </c>
      <c r="J164" s="279">
        <f>CURR_TA!K14</f>
        <v>0</v>
      </c>
      <c r="K164" s="279">
        <f>CURR_TA!L14</f>
        <v>0</v>
      </c>
      <c r="L164" s="279">
        <f>CURR_TA!M14</f>
        <v>0</v>
      </c>
    </row>
    <row r="165" spans="3:19" collapsed="1" x14ac:dyDescent="0.3"/>
    <row r="167" spans="3:19" x14ac:dyDescent="0.3">
      <c r="C167" s="91" t="s">
        <v>590</v>
      </c>
    </row>
    <row r="168" spans="3:19" hidden="1" outlineLevel="1" x14ac:dyDescent="0.3">
      <c r="M168" s="40" t="str">
        <f>$D$163</f>
        <v>USD</v>
      </c>
      <c r="O168" s="40" t="str">
        <f>$D$163</f>
        <v>USD</v>
      </c>
      <c r="Q168" s="40" t="str">
        <f>$D$164</f>
        <v>GOZ</v>
      </c>
      <c r="S168" s="40" t="str">
        <f>$D$164</f>
        <v>GOZ</v>
      </c>
    </row>
    <row r="169" spans="3:19" hidden="1" outlineLevel="1" x14ac:dyDescent="0.3">
      <c r="C169" s="89" t="str">
        <f>RES_BA!D14</f>
        <v>Personnel Cadre - Other 1</v>
      </c>
      <c r="M169" s="40">
        <f>RES_BA!R14</f>
        <v>0</v>
      </c>
      <c r="O169" s="40">
        <f>RES_BA!S14</f>
        <v>0</v>
      </c>
      <c r="Q169" s="40">
        <f>RES_BA!T14</f>
        <v>0</v>
      </c>
      <c r="S169" s="40">
        <f>RES_BA!U14</f>
        <v>0</v>
      </c>
    </row>
    <row r="170" spans="3:19" hidden="1" outlineLevel="1" x14ac:dyDescent="0.3">
      <c r="C170" s="89" t="str">
        <f>RES_BA!D15</f>
        <v>Personnel Cadre - Other 2</v>
      </c>
      <c r="M170" s="40">
        <f>RES_BA!R15</f>
        <v>0</v>
      </c>
      <c r="O170" s="40">
        <f>RES_BA!S15</f>
        <v>0</v>
      </c>
      <c r="Q170" s="40">
        <f>RES_BA!T15</f>
        <v>0</v>
      </c>
      <c r="S170" s="40">
        <f>RES_BA!U15</f>
        <v>0</v>
      </c>
    </row>
    <row r="171" spans="3:19" hidden="1" outlineLevel="1" x14ac:dyDescent="0.3">
      <c r="C171" s="89" t="str">
        <f>RES_BA!D16</f>
        <v>Personnel Cadre - Other 3</v>
      </c>
      <c r="M171" s="40">
        <f>RES_BA!R16</f>
        <v>0</v>
      </c>
      <c r="O171" s="40">
        <f>RES_BA!S16</f>
        <v>0</v>
      </c>
      <c r="Q171" s="40">
        <f>RES_BA!T16</f>
        <v>0</v>
      </c>
      <c r="S171" s="40">
        <f>RES_BA!U16</f>
        <v>0</v>
      </c>
    </row>
    <row r="172" spans="3:19" hidden="1" outlineLevel="1" x14ac:dyDescent="0.3">
      <c r="C172" s="89" t="str">
        <f>RES_BA!D17</f>
        <v>Personnel Cadre - Other 4</v>
      </c>
      <c r="M172" s="40">
        <f>RES_BA!R17</f>
        <v>0</v>
      </c>
      <c r="O172" s="40">
        <f>RES_BA!S17</f>
        <v>0</v>
      </c>
      <c r="Q172" s="40">
        <f>RES_BA!T17</f>
        <v>0</v>
      </c>
      <c r="S172" s="40">
        <f>RES_BA!U17</f>
        <v>0</v>
      </c>
    </row>
    <row r="173" spans="3:19" hidden="1" outlineLevel="1" x14ac:dyDescent="0.3">
      <c r="C173" s="89" t="str">
        <f>RES_BA!D18</f>
        <v>Personnel Cadre - Other 5</v>
      </c>
      <c r="M173" s="40">
        <f>RES_BA!R18</f>
        <v>0</v>
      </c>
      <c r="O173" s="40">
        <f>RES_BA!S18</f>
        <v>0</v>
      </c>
      <c r="Q173" s="40">
        <f>RES_BA!T18</f>
        <v>0</v>
      </c>
      <c r="S173" s="40">
        <f>RES_BA!U18</f>
        <v>0</v>
      </c>
    </row>
    <row r="174" spans="3:19" hidden="1" outlineLevel="1" x14ac:dyDescent="0.3">
      <c r="C174" s="89" t="str">
        <f>RES_BA!D19</f>
        <v>Personnel Cadre - Other 6</v>
      </c>
      <c r="M174" s="40">
        <f>RES_BA!R19</f>
        <v>0</v>
      </c>
      <c r="O174" s="40">
        <f>RES_BA!S19</f>
        <v>0</v>
      </c>
      <c r="Q174" s="40">
        <f>RES_BA!T19</f>
        <v>0</v>
      </c>
      <c r="S174" s="40">
        <f>RES_BA!U19</f>
        <v>0</v>
      </c>
    </row>
    <row r="175" spans="3:19" hidden="1" outlineLevel="1" x14ac:dyDescent="0.3">
      <c r="C175" s="89" t="str">
        <f>RES_BA!D20</f>
        <v>Personnel Cadre - Other 7</v>
      </c>
      <c r="M175" s="40">
        <f>RES_BA!R20</f>
        <v>0</v>
      </c>
      <c r="O175" s="40">
        <f>RES_BA!S20</f>
        <v>0</v>
      </c>
      <c r="Q175" s="40">
        <f>RES_BA!T20</f>
        <v>0</v>
      </c>
      <c r="S175" s="40">
        <f>RES_BA!U20</f>
        <v>0</v>
      </c>
    </row>
    <row r="176" spans="3:19" hidden="1" outlineLevel="1" x14ac:dyDescent="0.3">
      <c r="C176" s="89" t="str">
        <f>RES_BA!D21</f>
        <v>Personnel Cadre - Other 8</v>
      </c>
      <c r="M176" s="40">
        <f>RES_BA!R21</f>
        <v>0</v>
      </c>
      <c r="O176" s="40">
        <f>RES_BA!S21</f>
        <v>0</v>
      </c>
      <c r="Q176" s="40">
        <f>RES_BA!T21</f>
        <v>0</v>
      </c>
      <c r="S176" s="40">
        <f>RES_BA!U21</f>
        <v>0</v>
      </c>
    </row>
    <row r="177" spans="3:19" hidden="1" outlineLevel="1" x14ac:dyDescent="0.3">
      <c r="C177" s="89" t="str">
        <f>RES_BA!D22</f>
        <v>Personnel Cadre - Other 9</v>
      </c>
      <c r="M177" s="40">
        <f>RES_BA!R22</f>
        <v>0</v>
      </c>
      <c r="O177" s="40">
        <f>RES_BA!S22</f>
        <v>0</v>
      </c>
      <c r="Q177" s="40">
        <f>RES_BA!T22</f>
        <v>0</v>
      </c>
      <c r="S177" s="40">
        <f>RES_BA!U22</f>
        <v>0</v>
      </c>
    </row>
    <row r="178" spans="3:19" hidden="1" outlineLevel="1" x14ac:dyDescent="0.3">
      <c r="C178" s="89" t="str">
        <f>RES_BA!D23</f>
        <v>Personnel Cadre - Other 10</v>
      </c>
      <c r="M178" s="40">
        <f>RES_BA!R23</f>
        <v>0</v>
      </c>
      <c r="O178" s="40">
        <f>RES_BA!S23</f>
        <v>0</v>
      </c>
      <c r="Q178" s="40">
        <f>RES_BA!T23</f>
        <v>0</v>
      </c>
      <c r="S178" s="40">
        <f>RES_BA!U23</f>
        <v>0</v>
      </c>
    </row>
    <row r="179" spans="3:19" hidden="1" outlineLevel="1" x14ac:dyDescent="0.3">
      <c r="C179" s="89" t="str">
        <f>RES_BA!D24</f>
        <v>Personnel Cadre - Other 11</v>
      </c>
      <c r="M179" s="40">
        <f>RES_BA!R24</f>
        <v>0</v>
      </c>
      <c r="O179" s="40">
        <f>RES_BA!S24</f>
        <v>0</v>
      </c>
      <c r="Q179" s="40">
        <f>RES_BA!T24</f>
        <v>0</v>
      </c>
      <c r="S179" s="40">
        <f>RES_BA!U24</f>
        <v>0</v>
      </c>
    </row>
    <row r="180" spans="3:19" hidden="1" outlineLevel="1" x14ac:dyDescent="0.3">
      <c r="C180" s="89" t="str">
        <f>RES_BA!D25</f>
        <v>Personnel Cadre - Other 12</v>
      </c>
      <c r="M180" s="40">
        <f>RES_BA!R25</f>
        <v>0</v>
      </c>
      <c r="O180" s="40">
        <f>RES_BA!S25</f>
        <v>0</v>
      </c>
      <c r="Q180" s="40">
        <f>RES_BA!T25</f>
        <v>0</v>
      </c>
      <c r="S180" s="40">
        <f>RES_BA!U25</f>
        <v>0</v>
      </c>
    </row>
    <row r="181" spans="3:19" hidden="1" outlineLevel="1" x14ac:dyDescent="0.3">
      <c r="C181" s="89" t="str">
        <f>RES_BA!D26</f>
        <v>Personnel Cadre - Other 13</v>
      </c>
      <c r="M181" s="40">
        <f>RES_BA!R26</f>
        <v>0</v>
      </c>
      <c r="O181" s="40">
        <f>RES_BA!S26</f>
        <v>0</v>
      </c>
      <c r="Q181" s="40">
        <f>RES_BA!T26</f>
        <v>0</v>
      </c>
      <c r="S181" s="40">
        <f>RES_BA!U26</f>
        <v>0</v>
      </c>
    </row>
    <row r="182" spans="3:19" hidden="1" outlineLevel="1" x14ac:dyDescent="0.3">
      <c r="C182" s="89" t="str">
        <f>RES_BA!D27</f>
        <v>Personnel Cadre - Other 14</v>
      </c>
      <c r="M182" s="40">
        <f>RES_BA!R27</f>
        <v>0</v>
      </c>
      <c r="O182" s="40">
        <f>RES_BA!S27</f>
        <v>0</v>
      </c>
      <c r="Q182" s="40">
        <f>RES_BA!T27</f>
        <v>0</v>
      </c>
      <c r="S182" s="40">
        <f>RES_BA!U27</f>
        <v>0</v>
      </c>
    </row>
    <row r="183" spans="3:19" hidden="1" outlineLevel="1" x14ac:dyDescent="0.3">
      <c r="C183" s="89" t="str">
        <f>RES_BA!D28</f>
        <v>Personnel Cadre - Other 15</v>
      </c>
      <c r="M183" s="40">
        <f>RES_BA!R28</f>
        <v>0</v>
      </c>
      <c r="O183" s="40">
        <f>RES_BA!S28</f>
        <v>0</v>
      </c>
      <c r="Q183" s="40">
        <f>RES_BA!T28</f>
        <v>0</v>
      </c>
      <c r="S183" s="40">
        <f>RES_BA!U28</f>
        <v>0</v>
      </c>
    </row>
    <row r="184" spans="3:19" s="277" customFormat="1" hidden="1" outlineLevel="1" collapsed="1" x14ac:dyDescent="0.3">
      <c r="C184" s="283" t="str">
        <f>RES_BA!D29</f>
        <v>Personnel Cadre - Other 16</v>
      </c>
      <c r="M184" s="279">
        <f>RES_BA!R29</f>
        <v>0</v>
      </c>
      <c r="O184" s="279">
        <f>RES_BA!S29</f>
        <v>0</v>
      </c>
      <c r="Q184" s="279">
        <f>RES_BA!T29</f>
        <v>0</v>
      </c>
      <c r="S184" s="279">
        <f>RES_BA!U29</f>
        <v>0</v>
      </c>
    </row>
    <row r="185" spans="3:19" s="277" customFormat="1" hidden="1" outlineLevel="1" collapsed="1" x14ac:dyDescent="0.3">
      <c r="C185" s="283" t="str">
        <f>RES_BA!D30</f>
        <v>Personnel Cadre - Other 17</v>
      </c>
      <c r="M185" s="279">
        <f>RES_BA!R30</f>
        <v>0</v>
      </c>
      <c r="O185" s="279">
        <f>RES_BA!S30</f>
        <v>0</v>
      </c>
      <c r="Q185" s="279">
        <f>RES_BA!T30</f>
        <v>0</v>
      </c>
      <c r="S185" s="279">
        <f>RES_BA!U30</f>
        <v>0</v>
      </c>
    </row>
    <row r="186" spans="3:19" s="277" customFormat="1" hidden="1" outlineLevel="1" collapsed="1" x14ac:dyDescent="0.3">
      <c r="C186" s="283" t="str">
        <f>RES_BA!D31</f>
        <v>Personnel Cadre - Other 18</v>
      </c>
      <c r="M186" s="279">
        <f>RES_BA!R31</f>
        <v>0</v>
      </c>
      <c r="O186" s="279">
        <f>RES_BA!S31</f>
        <v>0</v>
      </c>
      <c r="Q186" s="279">
        <f>RES_BA!T31</f>
        <v>0</v>
      </c>
      <c r="S186" s="279">
        <f>RES_BA!U31</f>
        <v>0</v>
      </c>
    </row>
    <row r="187" spans="3:19" s="277" customFormat="1" hidden="1" outlineLevel="1" x14ac:dyDescent="0.3">
      <c r="C187" s="283" t="str">
        <f>RES_BA!D32</f>
        <v>Personnel Cadre - Other 19</v>
      </c>
      <c r="M187" s="279">
        <f>RES_BA!R32</f>
        <v>0</v>
      </c>
      <c r="O187" s="279">
        <f>RES_BA!S32</f>
        <v>0</v>
      </c>
      <c r="Q187" s="279">
        <f>RES_BA!T32</f>
        <v>0</v>
      </c>
      <c r="S187" s="279">
        <f>RES_BA!U32</f>
        <v>0</v>
      </c>
    </row>
    <row r="188" spans="3:19" s="277" customFormat="1" hidden="1" outlineLevel="1" x14ac:dyDescent="0.3">
      <c r="C188" s="283" t="str">
        <f>RES_BA!D33</f>
        <v>Personnel Cadre - Other 20</v>
      </c>
      <c r="M188" s="279">
        <f>RES_BA!R33</f>
        <v>0</v>
      </c>
      <c r="O188" s="279">
        <f>RES_BA!S33</f>
        <v>0</v>
      </c>
      <c r="Q188" s="279">
        <f>RES_BA!T33</f>
        <v>0</v>
      </c>
      <c r="S188" s="279">
        <f>RES_BA!U33</f>
        <v>0</v>
      </c>
    </row>
    <row r="189" spans="3:19" s="277" customFormat="1" hidden="1" outlineLevel="1" collapsed="1" x14ac:dyDescent="0.3">
      <c r="C189" s="283" t="str">
        <f>RES_BA!D34</f>
        <v>Personnel Cadre - Other 21</v>
      </c>
      <c r="M189" s="279">
        <f>RES_BA!R34</f>
        <v>0</v>
      </c>
      <c r="O189" s="279">
        <f>RES_BA!S34</f>
        <v>0</v>
      </c>
      <c r="Q189" s="279">
        <f>RES_BA!T34</f>
        <v>0</v>
      </c>
      <c r="S189" s="279">
        <f>RES_BA!U34</f>
        <v>0</v>
      </c>
    </row>
    <row r="190" spans="3:19" s="277" customFormat="1" hidden="1" outlineLevel="1" x14ac:dyDescent="0.3">
      <c r="C190" s="283" t="str">
        <f>RES_BA!D35</f>
        <v>Personnel Cadre - Other 22</v>
      </c>
      <c r="M190" s="279">
        <f>RES_BA!R35</f>
        <v>0</v>
      </c>
      <c r="O190" s="279">
        <f>RES_BA!S35</f>
        <v>0</v>
      </c>
      <c r="Q190" s="279">
        <f>RES_BA!T35</f>
        <v>0</v>
      </c>
      <c r="S190" s="279">
        <f>RES_BA!U35</f>
        <v>0</v>
      </c>
    </row>
    <row r="191" spans="3:19" s="277" customFormat="1" hidden="1" outlineLevel="1" x14ac:dyDescent="0.3">
      <c r="C191" s="283" t="str">
        <f>RES_BA!D36</f>
        <v>Personnel Cadre - Other 23</v>
      </c>
      <c r="M191" s="279">
        <f>RES_BA!R36</f>
        <v>0</v>
      </c>
      <c r="O191" s="279">
        <f>RES_BA!S36</f>
        <v>0</v>
      </c>
      <c r="Q191" s="279">
        <f>RES_BA!T36</f>
        <v>0</v>
      </c>
      <c r="S191" s="279">
        <f>RES_BA!U36</f>
        <v>0</v>
      </c>
    </row>
    <row r="192" spans="3:19" s="277" customFormat="1" hidden="1" outlineLevel="1" x14ac:dyDescent="0.3">
      <c r="C192" s="283" t="str">
        <f>RES_BA!D37</f>
        <v>Personnel Cadre - Other 24</v>
      </c>
      <c r="M192" s="279">
        <f>RES_BA!R37</f>
        <v>0</v>
      </c>
      <c r="O192" s="279">
        <f>RES_BA!S37</f>
        <v>0</v>
      </c>
      <c r="Q192" s="279">
        <f>RES_BA!T37</f>
        <v>0</v>
      </c>
      <c r="S192" s="279">
        <f>RES_BA!U37</f>
        <v>0</v>
      </c>
    </row>
    <row r="193" spans="3:19" s="277" customFormat="1" hidden="1" outlineLevel="1" x14ac:dyDescent="0.3">
      <c r="C193" s="283" t="str">
        <f>RES_BA!D38</f>
        <v>Personnel Cadre - Other 25</v>
      </c>
      <c r="M193" s="279">
        <f>RES_BA!R38</f>
        <v>0</v>
      </c>
      <c r="O193" s="279">
        <f>RES_BA!S38</f>
        <v>0</v>
      </c>
      <c r="Q193" s="279">
        <f>RES_BA!T38</f>
        <v>0</v>
      </c>
      <c r="S193" s="279">
        <f>RES_BA!U38</f>
        <v>0</v>
      </c>
    </row>
    <row r="194" spans="3:19" s="277" customFormat="1" hidden="1" outlineLevel="1" x14ac:dyDescent="0.3">
      <c r="C194" s="283" t="str">
        <f>RES_BA!D39</f>
        <v>Personnel Cadre - Other 26</v>
      </c>
      <c r="M194" s="279">
        <f>RES_BA!R39</f>
        <v>0</v>
      </c>
      <c r="O194" s="279">
        <f>RES_BA!S39</f>
        <v>0</v>
      </c>
      <c r="Q194" s="279">
        <f>RES_BA!T39</f>
        <v>0</v>
      </c>
      <c r="S194" s="279">
        <f>RES_BA!U39</f>
        <v>0</v>
      </c>
    </row>
    <row r="195" spans="3:19" s="277" customFormat="1" hidden="1" outlineLevel="1" x14ac:dyDescent="0.3">
      <c r="C195" s="283" t="str">
        <f>RES_BA!D40</f>
        <v>Personnel Cadre - Other 27</v>
      </c>
      <c r="M195" s="279">
        <f>RES_BA!R40</f>
        <v>0</v>
      </c>
      <c r="O195" s="279">
        <f>RES_BA!S40</f>
        <v>0</v>
      </c>
      <c r="Q195" s="279">
        <f>RES_BA!T40</f>
        <v>0</v>
      </c>
      <c r="S195" s="279">
        <f>RES_BA!U40</f>
        <v>0</v>
      </c>
    </row>
    <row r="196" spans="3:19" s="277" customFormat="1" hidden="1" outlineLevel="1" x14ac:dyDescent="0.3">
      <c r="C196" s="283" t="str">
        <f>RES_BA!D41</f>
        <v>Personnel Cadre - Other 28</v>
      </c>
      <c r="M196" s="279">
        <f>RES_BA!R41</f>
        <v>0</v>
      </c>
      <c r="O196" s="279">
        <f>RES_BA!S41</f>
        <v>0</v>
      </c>
      <c r="Q196" s="279">
        <f>RES_BA!T41</f>
        <v>0</v>
      </c>
      <c r="S196" s="279">
        <f>RES_BA!U41</f>
        <v>0</v>
      </c>
    </row>
    <row r="197" spans="3:19" s="277" customFormat="1" hidden="1" outlineLevel="1" x14ac:dyDescent="0.3">
      <c r="C197" s="283" t="str">
        <f>RES_BA!D42</f>
        <v>Personnel Cadre - Other 29</v>
      </c>
      <c r="M197" s="279">
        <f>RES_BA!R42</f>
        <v>0</v>
      </c>
      <c r="O197" s="279">
        <f>RES_BA!S42</f>
        <v>0</v>
      </c>
      <c r="Q197" s="279">
        <f>RES_BA!T42</f>
        <v>0</v>
      </c>
      <c r="S197" s="279">
        <f>RES_BA!U42</f>
        <v>0</v>
      </c>
    </row>
    <row r="198" spans="3:19" s="277" customFormat="1" hidden="1" outlineLevel="1" x14ac:dyDescent="0.3">
      <c r="C198" s="283" t="str">
        <f>RES_BA!D43</f>
        <v>Personnel Cadre - Other 30</v>
      </c>
      <c r="M198" s="279">
        <f>RES_BA!R43</f>
        <v>0</v>
      </c>
      <c r="O198" s="279">
        <f>RES_BA!S43</f>
        <v>0</v>
      </c>
      <c r="Q198" s="279">
        <f>RES_BA!T43</f>
        <v>0</v>
      </c>
      <c r="S198" s="279">
        <f>RES_BA!U43</f>
        <v>0</v>
      </c>
    </row>
    <row r="199" spans="3:19" s="277" customFormat="1" hidden="1" outlineLevel="1" x14ac:dyDescent="0.3">
      <c r="C199" s="283" t="str">
        <f>RES_BA!D44</f>
        <v>Personnel Cadre - Other 31</v>
      </c>
      <c r="M199" s="279">
        <f>RES_BA!R44</f>
        <v>0</v>
      </c>
      <c r="O199" s="279">
        <f>RES_BA!S44</f>
        <v>0</v>
      </c>
      <c r="Q199" s="279">
        <f>RES_BA!T44</f>
        <v>0</v>
      </c>
      <c r="S199" s="279">
        <f>RES_BA!U44</f>
        <v>0</v>
      </c>
    </row>
    <row r="200" spans="3:19" s="277" customFormat="1" hidden="1" outlineLevel="1" x14ac:dyDescent="0.3">
      <c r="C200" s="283" t="str">
        <f>RES_BA!D45</f>
        <v>Personnel Cadre - Other 32</v>
      </c>
      <c r="M200" s="279">
        <f>RES_BA!R45</f>
        <v>0</v>
      </c>
      <c r="O200" s="279">
        <f>RES_BA!S45</f>
        <v>0</v>
      </c>
      <c r="Q200" s="279">
        <f>RES_BA!T45</f>
        <v>0</v>
      </c>
      <c r="S200" s="279">
        <f>RES_BA!U45</f>
        <v>0</v>
      </c>
    </row>
    <row r="201" spans="3:19" s="277" customFormat="1" hidden="1" outlineLevel="1" x14ac:dyDescent="0.3">
      <c r="C201" s="283" t="str">
        <f>RES_BA!D46</f>
        <v>Personnel Cadre - Other 33</v>
      </c>
      <c r="M201" s="279">
        <f>RES_BA!R46</f>
        <v>0</v>
      </c>
      <c r="O201" s="279">
        <f>RES_BA!S46</f>
        <v>0</v>
      </c>
      <c r="Q201" s="279">
        <f>RES_BA!T46</f>
        <v>0</v>
      </c>
      <c r="S201" s="279">
        <f>RES_BA!U46</f>
        <v>0</v>
      </c>
    </row>
    <row r="202" spans="3:19" s="277" customFormat="1" hidden="1" outlineLevel="1" x14ac:dyDescent="0.3">
      <c r="C202" s="283" t="str">
        <f>RES_BA!D47</f>
        <v>Personnel Cadre - Other 34</v>
      </c>
      <c r="M202" s="279">
        <f>RES_BA!R47</f>
        <v>0</v>
      </c>
      <c r="O202" s="279">
        <f>RES_BA!S47</f>
        <v>0</v>
      </c>
      <c r="Q202" s="279">
        <f>RES_BA!T47</f>
        <v>0</v>
      </c>
      <c r="S202" s="279">
        <f>RES_BA!U47</f>
        <v>0</v>
      </c>
    </row>
    <row r="203" spans="3:19" s="277" customFormat="1" hidden="1" outlineLevel="1" x14ac:dyDescent="0.3">
      <c r="C203" s="283" t="str">
        <f>RES_BA!D48</f>
        <v>Personnel Cadre - Other 35</v>
      </c>
      <c r="M203" s="279">
        <f>RES_BA!R48</f>
        <v>0</v>
      </c>
      <c r="O203" s="279">
        <f>RES_BA!S48</f>
        <v>0</v>
      </c>
      <c r="Q203" s="279">
        <f>RES_BA!T48</f>
        <v>0</v>
      </c>
      <c r="S203" s="279">
        <f>RES_BA!U48</f>
        <v>0</v>
      </c>
    </row>
    <row r="204" spans="3:19" hidden="1" outlineLevel="1" x14ac:dyDescent="0.3"/>
    <row r="205" spans="3:19" hidden="1" outlineLevel="1" x14ac:dyDescent="0.3">
      <c r="M205" s="40" t="str">
        <f>$D$163</f>
        <v>USD</v>
      </c>
      <c r="O205" s="40" t="str">
        <f>$D$163</f>
        <v>USD</v>
      </c>
      <c r="Q205" s="40" t="str">
        <f>$D$164</f>
        <v>GOZ</v>
      </c>
      <c r="S205" s="40" t="str">
        <f>$D$164</f>
        <v>GOZ</v>
      </c>
    </row>
    <row r="206" spans="3:19" hidden="1" outlineLevel="1" x14ac:dyDescent="0.3">
      <c r="C206" s="89" t="str">
        <f>RES_BA!D53</f>
        <v>Allowances Category 1</v>
      </c>
      <c r="M206" s="40">
        <f>RES_BA!R53</f>
        <v>0</v>
      </c>
      <c r="O206" s="40">
        <f>RES_BA!S53</f>
        <v>0</v>
      </c>
      <c r="Q206" s="40">
        <f>RES_BA!T53</f>
        <v>0</v>
      </c>
      <c r="S206" s="40">
        <f>RES_BA!U53</f>
        <v>0</v>
      </c>
    </row>
    <row r="207" spans="3:19" hidden="1" outlineLevel="1" x14ac:dyDescent="0.3">
      <c r="C207" s="89" t="str">
        <f>RES_BA!D54</f>
        <v>Allowances Category 2</v>
      </c>
      <c r="M207" s="40">
        <f>RES_BA!R54</f>
        <v>0</v>
      </c>
      <c r="O207" s="40">
        <f>RES_BA!S54</f>
        <v>0</v>
      </c>
      <c r="Q207" s="40">
        <f>RES_BA!T54</f>
        <v>0</v>
      </c>
      <c r="S207" s="40">
        <f>RES_BA!U54</f>
        <v>0</v>
      </c>
    </row>
    <row r="208" spans="3:19" hidden="1" outlineLevel="1" x14ac:dyDescent="0.3">
      <c r="C208" s="89" t="str">
        <f>RES_BA!D55</f>
        <v>Allowances Category 3</v>
      </c>
      <c r="M208" s="40">
        <f>RES_BA!R55</f>
        <v>0</v>
      </c>
      <c r="O208" s="40">
        <f>RES_BA!S55</f>
        <v>0</v>
      </c>
      <c r="Q208" s="40">
        <f>RES_BA!T55</f>
        <v>0</v>
      </c>
      <c r="S208" s="40">
        <f>RES_BA!U55</f>
        <v>0</v>
      </c>
    </row>
    <row r="209" spans="3:19" hidden="1" outlineLevel="1" x14ac:dyDescent="0.3">
      <c r="C209" s="89" t="str">
        <f>RES_BA!D56</f>
        <v>Allowances Category 4</v>
      </c>
      <c r="M209" s="40">
        <f>RES_BA!R56</f>
        <v>0</v>
      </c>
      <c r="O209" s="40">
        <f>RES_BA!S56</f>
        <v>0</v>
      </c>
      <c r="Q209" s="40">
        <f>RES_BA!T56</f>
        <v>0</v>
      </c>
      <c r="S209" s="40">
        <f>RES_BA!U56</f>
        <v>0</v>
      </c>
    </row>
    <row r="210" spans="3:19" hidden="1" outlineLevel="1" x14ac:dyDescent="0.3">
      <c r="C210" s="89" t="str">
        <f>RES_BA!D57</f>
        <v>Allowances Category 5</v>
      </c>
      <c r="M210" s="40">
        <f>RES_BA!R57</f>
        <v>0</v>
      </c>
      <c r="O210" s="40">
        <f>RES_BA!S57</f>
        <v>0</v>
      </c>
      <c r="Q210" s="40">
        <f>RES_BA!T57</f>
        <v>0</v>
      </c>
      <c r="S210" s="40">
        <f>RES_BA!U57</f>
        <v>0</v>
      </c>
    </row>
    <row r="211" spans="3:19" s="277" customFormat="1" hidden="1" outlineLevel="1" collapsed="1" x14ac:dyDescent="0.3">
      <c r="C211" s="283" t="str">
        <f>RES_BA!D58</f>
        <v>Allowances Category 6</v>
      </c>
      <c r="M211" s="279">
        <f>RES_BA!R58</f>
        <v>0</v>
      </c>
      <c r="O211" s="279">
        <f>RES_BA!S58</f>
        <v>0</v>
      </c>
      <c r="Q211" s="279">
        <f>RES_BA!T58</f>
        <v>0</v>
      </c>
      <c r="S211" s="279">
        <f>RES_BA!U58</f>
        <v>0</v>
      </c>
    </row>
    <row r="212" spans="3:19" s="277" customFormat="1" hidden="1" outlineLevel="1" x14ac:dyDescent="0.3">
      <c r="C212" s="283" t="str">
        <f>RES_BA!D59</f>
        <v>Allowances Category 7</v>
      </c>
      <c r="M212" s="279">
        <f>RES_BA!R59</f>
        <v>0</v>
      </c>
      <c r="O212" s="279">
        <f>RES_BA!S59</f>
        <v>0</v>
      </c>
      <c r="Q212" s="279">
        <f>RES_BA!T59</f>
        <v>0</v>
      </c>
      <c r="S212" s="279">
        <f>RES_BA!U59</f>
        <v>0</v>
      </c>
    </row>
    <row r="213" spans="3:19" s="277" customFormat="1" hidden="1" outlineLevel="1" x14ac:dyDescent="0.3">
      <c r="C213" s="283" t="str">
        <f>RES_BA!D60</f>
        <v>Allowances Category 8</v>
      </c>
      <c r="M213" s="279">
        <f>RES_BA!R60</f>
        <v>0</v>
      </c>
      <c r="O213" s="279">
        <f>RES_BA!S60</f>
        <v>0</v>
      </c>
      <c r="Q213" s="279">
        <f>RES_BA!T60</f>
        <v>0</v>
      </c>
      <c r="S213" s="279">
        <f>RES_BA!U60</f>
        <v>0</v>
      </c>
    </row>
    <row r="214" spans="3:19" s="277" customFormat="1" hidden="1" outlineLevel="1" x14ac:dyDescent="0.3">
      <c r="C214" s="283" t="str">
        <f>RES_BA!D61</f>
        <v>Allowances Category 9</v>
      </c>
      <c r="M214" s="279">
        <f>RES_BA!R61</f>
        <v>0</v>
      </c>
      <c r="O214" s="279">
        <f>RES_BA!S61</f>
        <v>0</v>
      </c>
      <c r="Q214" s="279">
        <f>RES_BA!T61</f>
        <v>0</v>
      </c>
      <c r="S214" s="279">
        <f>RES_BA!U61</f>
        <v>0</v>
      </c>
    </row>
    <row r="215" spans="3:19" s="277" customFormat="1" hidden="1" outlineLevel="1" x14ac:dyDescent="0.3">
      <c r="C215" s="283" t="str">
        <f>RES_BA!D62</f>
        <v>Allowances Category 10</v>
      </c>
      <c r="M215" s="279">
        <f>RES_BA!R62</f>
        <v>0</v>
      </c>
      <c r="O215" s="279">
        <f>RES_BA!S62</f>
        <v>0</v>
      </c>
      <c r="Q215" s="279">
        <f>RES_BA!T62</f>
        <v>0</v>
      </c>
      <c r="S215" s="279">
        <f>RES_BA!U62</f>
        <v>0</v>
      </c>
    </row>
    <row r="216" spans="3:19" s="277" customFormat="1" hidden="1" outlineLevel="1" x14ac:dyDescent="0.3">
      <c r="C216" s="283" t="str">
        <f>RES_BA!D63</f>
        <v>Allowances Category 11</v>
      </c>
      <c r="M216" s="279">
        <f>RES_BA!R63</f>
        <v>0</v>
      </c>
      <c r="O216" s="279">
        <f>RES_BA!S63</f>
        <v>0</v>
      </c>
      <c r="Q216" s="279">
        <f>RES_BA!T63</f>
        <v>0</v>
      </c>
      <c r="S216" s="279">
        <f>RES_BA!U63</f>
        <v>0</v>
      </c>
    </row>
    <row r="217" spans="3:19" s="277" customFormat="1" hidden="1" outlineLevel="1" x14ac:dyDescent="0.3">
      <c r="C217" s="283" t="str">
        <f>RES_BA!D64</f>
        <v>Allowances Category 12</v>
      </c>
      <c r="M217" s="279">
        <f>RES_BA!R64</f>
        <v>0</v>
      </c>
      <c r="O217" s="279">
        <f>RES_BA!S64</f>
        <v>0</v>
      </c>
      <c r="Q217" s="279">
        <f>RES_BA!T64</f>
        <v>0</v>
      </c>
      <c r="S217" s="279">
        <f>RES_BA!U64</f>
        <v>0</v>
      </c>
    </row>
    <row r="218" spans="3:19" s="277" customFormat="1" hidden="1" outlineLevel="1" x14ac:dyDescent="0.3">
      <c r="C218" s="283" t="str">
        <f>RES_BA!D65</f>
        <v>Allowances Category 13</v>
      </c>
      <c r="M218" s="279">
        <f>RES_BA!R65</f>
        <v>0</v>
      </c>
      <c r="O218" s="279">
        <f>RES_BA!S65</f>
        <v>0</v>
      </c>
      <c r="Q218" s="279">
        <f>RES_BA!T65</f>
        <v>0</v>
      </c>
      <c r="S218" s="279">
        <f>RES_BA!U65</f>
        <v>0</v>
      </c>
    </row>
    <row r="219" spans="3:19" s="277" customFormat="1" hidden="1" outlineLevel="1" x14ac:dyDescent="0.3">
      <c r="C219" s="283" t="str">
        <f>RES_BA!D66</f>
        <v>Allowances Category 14</v>
      </c>
      <c r="M219" s="279">
        <f>RES_BA!R66</f>
        <v>0</v>
      </c>
      <c r="O219" s="279">
        <f>RES_BA!S66</f>
        <v>0</v>
      </c>
      <c r="Q219" s="279">
        <f>RES_BA!T66</f>
        <v>0</v>
      </c>
      <c r="S219" s="279">
        <f>RES_BA!U66</f>
        <v>0</v>
      </c>
    </row>
    <row r="220" spans="3:19" s="277" customFormat="1" hidden="1" outlineLevel="1" x14ac:dyDescent="0.3">
      <c r="C220" s="283" t="str">
        <f>RES_BA!D67</f>
        <v>Allowances Category 15</v>
      </c>
      <c r="M220" s="279">
        <f>RES_BA!R67</f>
        <v>0</v>
      </c>
      <c r="O220" s="279">
        <f>RES_BA!S67</f>
        <v>0</v>
      </c>
      <c r="Q220" s="279">
        <f>RES_BA!T67</f>
        <v>0</v>
      </c>
      <c r="S220" s="279">
        <f>RES_BA!U67</f>
        <v>0</v>
      </c>
    </row>
    <row r="221" spans="3:19" s="277" customFormat="1" hidden="1" outlineLevel="1" x14ac:dyDescent="0.3">
      <c r="C221" s="283" t="str">
        <f>RES_BA!D68</f>
        <v>Allowances Category 16</v>
      </c>
      <c r="M221" s="279">
        <f>RES_BA!R68</f>
        <v>0</v>
      </c>
      <c r="O221" s="279">
        <f>RES_BA!S68</f>
        <v>0</v>
      </c>
      <c r="Q221" s="279">
        <f>RES_BA!T68</f>
        <v>0</v>
      </c>
      <c r="S221" s="279">
        <f>RES_BA!U68</f>
        <v>0</v>
      </c>
    </row>
    <row r="222" spans="3:19" hidden="1" outlineLevel="1" x14ac:dyDescent="0.3">
      <c r="C222" s="89" t="str">
        <f>RES_BA!D69</f>
        <v>Allowances Category 17</v>
      </c>
      <c r="M222" s="40">
        <f>RES_BA!R69</f>
        <v>0</v>
      </c>
      <c r="O222" s="40">
        <f>RES_BA!S69</f>
        <v>0</v>
      </c>
      <c r="Q222" s="40">
        <f>RES_BA!T69</f>
        <v>0</v>
      </c>
      <c r="S222" s="40">
        <f>RES_BA!U69</f>
        <v>0</v>
      </c>
    </row>
    <row r="223" spans="3:19" hidden="1" outlineLevel="1" x14ac:dyDescent="0.3">
      <c r="C223" s="89" t="str">
        <f>RES_BA!D70</f>
        <v>Allowances Category 18</v>
      </c>
      <c r="M223" s="40">
        <f>RES_BA!R70</f>
        <v>0</v>
      </c>
      <c r="O223" s="40">
        <f>RES_BA!S70</f>
        <v>0</v>
      </c>
      <c r="Q223" s="40">
        <f>RES_BA!T70</f>
        <v>0</v>
      </c>
      <c r="S223" s="40">
        <f>RES_BA!U70</f>
        <v>0</v>
      </c>
    </row>
    <row r="224" spans="3:19" hidden="1" outlineLevel="1" x14ac:dyDescent="0.3">
      <c r="C224" s="89" t="str">
        <f>RES_BA!D71</f>
        <v>Allowances Category 19</v>
      </c>
      <c r="M224" s="40">
        <f>RES_BA!R71</f>
        <v>0</v>
      </c>
      <c r="O224" s="40">
        <f>RES_BA!S71</f>
        <v>0</v>
      </c>
      <c r="Q224" s="40">
        <f>RES_BA!T71</f>
        <v>0</v>
      </c>
      <c r="S224" s="40">
        <f>RES_BA!U71</f>
        <v>0</v>
      </c>
    </row>
    <row r="225" spans="3:19" hidden="1" outlineLevel="1" x14ac:dyDescent="0.3">
      <c r="C225" s="89" t="str">
        <f>RES_BA!D72</f>
        <v>Allowances Category 20</v>
      </c>
      <c r="M225" s="40">
        <f>RES_BA!R72</f>
        <v>0</v>
      </c>
      <c r="O225" s="40">
        <f>RES_BA!S72</f>
        <v>0</v>
      </c>
      <c r="Q225" s="40">
        <f>RES_BA!T72</f>
        <v>0</v>
      </c>
      <c r="S225" s="40">
        <f>RES_BA!U72</f>
        <v>0</v>
      </c>
    </row>
    <row r="226" spans="3:19" hidden="1" outlineLevel="1" x14ac:dyDescent="0.3">
      <c r="C226" s="89" t="str">
        <f>RES_BA!D73</f>
        <v>Allowances Category 21</v>
      </c>
      <c r="M226" s="40">
        <f>RES_BA!R73</f>
        <v>0</v>
      </c>
      <c r="O226" s="40">
        <f>RES_BA!S73</f>
        <v>0</v>
      </c>
      <c r="Q226" s="40">
        <f>RES_BA!T73</f>
        <v>0</v>
      </c>
      <c r="S226" s="40">
        <f>RES_BA!U73</f>
        <v>0</v>
      </c>
    </row>
    <row r="227" spans="3:19" hidden="1" outlineLevel="1" x14ac:dyDescent="0.3">
      <c r="C227" s="89" t="str">
        <f>RES_BA!D74</f>
        <v>Allowances Category 22</v>
      </c>
      <c r="M227" s="40">
        <f>RES_BA!R74</f>
        <v>0</v>
      </c>
      <c r="O227" s="40">
        <f>RES_BA!S74</f>
        <v>0</v>
      </c>
      <c r="Q227" s="40">
        <f>RES_BA!T74</f>
        <v>0</v>
      </c>
      <c r="S227" s="40">
        <f>RES_BA!U74</f>
        <v>0</v>
      </c>
    </row>
    <row r="228" spans="3:19" hidden="1" outlineLevel="1" x14ac:dyDescent="0.3">
      <c r="C228" s="89" t="str">
        <f>RES_BA!D75</f>
        <v>Allowances Category 23</v>
      </c>
      <c r="M228" s="40">
        <f>RES_BA!R75</f>
        <v>0</v>
      </c>
      <c r="O228" s="40">
        <f>RES_BA!S75</f>
        <v>0</v>
      </c>
      <c r="Q228" s="40">
        <f>RES_BA!T75</f>
        <v>0</v>
      </c>
      <c r="S228" s="40">
        <f>RES_BA!U75</f>
        <v>0</v>
      </c>
    </row>
    <row r="229" spans="3:19" s="277" customFormat="1" hidden="1" outlineLevel="1" collapsed="1" x14ac:dyDescent="0.3">
      <c r="C229" s="283" t="str">
        <f>RES_BA!D76</f>
        <v>Allowances Category 24</v>
      </c>
      <c r="M229" s="279">
        <f>RES_BA!R76</f>
        <v>0</v>
      </c>
      <c r="O229" s="279">
        <f>RES_BA!S76</f>
        <v>0</v>
      </c>
      <c r="Q229" s="279">
        <f>RES_BA!T76</f>
        <v>0</v>
      </c>
      <c r="S229" s="279">
        <f>RES_BA!U76</f>
        <v>0</v>
      </c>
    </row>
    <row r="230" spans="3:19" s="277" customFormat="1" hidden="1" outlineLevel="1" x14ac:dyDescent="0.3">
      <c r="C230" s="283" t="str">
        <f>RES_BA!D77</f>
        <v>Allowances Category 25</v>
      </c>
      <c r="M230" s="279">
        <f>RES_BA!R77</f>
        <v>0</v>
      </c>
      <c r="O230" s="279">
        <f>RES_BA!S77</f>
        <v>0</v>
      </c>
      <c r="Q230" s="279">
        <f>RES_BA!T77</f>
        <v>0</v>
      </c>
      <c r="S230" s="279">
        <f>RES_BA!U77</f>
        <v>0</v>
      </c>
    </row>
    <row r="231" spans="3:19" s="277" customFormat="1" hidden="1" outlineLevel="1" x14ac:dyDescent="0.3">
      <c r="C231" s="283" t="str">
        <f>RES_BA!D78</f>
        <v>Allowances Category 26</v>
      </c>
      <c r="M231" s="279">
        <f>RES_BA!R78</f>
        <v>0</v>
      </c>
      <c r="O231" s="279">
        <f>RES_BA!S78</f>
        <v>0</v>
      </c>
      <c r="Q231" s="279">
        <f>RES_BA!T78</f>
        <v>0</v>
      </c>
      <c r="S231" s="279">
        <f>RES_BA!U78</f>
        <v>0</v>
      </c>
    </row>
    <row r="232" spans="3:19" s="277" customFormat="1" hidden="1" outlineLevel="1" x14ac:dyDescent="0.3">
      <c r="C232" s="283" t="str">
        <f>RES_BA!D79</f>
        <v>Allowances Category 27</v>
      </c>
      <c r="M232" s="279">
        <f>RES_BA!R79</f>
        <v>0</v>
      </c>
      <c r="O232" s="279">
        <f>RES_BA!S79</f>
        <v>0</v>
      </c>
      <c r="Q232" s="279">
        <f>RES_BA!T79</f>
        <v>0</v>
      </c>
      <c r="S232" s="279">
        <f>RES_BA!U79</f>
        <v>0</v>
      </c>
    </row>
    <row r="233" spans="3:19" s="277" customFormat="1" hidden="1" outlineLevel="1" x14ac:dyDescent="0.3">
      <c r="C233" s="283" t="str">
        <f>RES_BA!D80</f>
        <v>Allowances Category 28</v>
      </c>
      <c r="M233" s="279">
        <f>RES_BA!R80</f>
        <v>0</v>
      </c>
      <c r="O233" s="279">
        <f>RES_BA!S80</f>
        <v>0</v>
      </c>
      <c r="Q233" s="279">
        <f>RES_BA!T80</f>
        <v>0</v>
      </c>
      <c r="S233" s="279">
        <f>RES_BA!U80</f>
        <v>0</v>
      </c>
    </row>
    <row r="234" spans="3:19" s="277" customFormat="1" hidden="1" outlineLevel="1" x14ac:dyDescent="0.3">
      <c r="C234" s="283" t="str">
        <f>RES_BA!D81</f>
        <v>Allowances Category 29</v>
      </c>
      <c r="M234" s="279">
        <f>RES_BA!R81</f>
        <v>0</v>
      </c>
      <c r="O234" s="279">
        <f>RES_BA!S81</f>
        <v>0</v>
      </c>
      <c r="Q234" s="279">
        <f>RES_BA!T81</f>
        <v>0</v>
      </c>
      <c r="S234" s="279">
        <f>RES_BA!U81</f>
        <v>0</v>
      </c>
    </row>
    <row r="235" spans="3:19" s="277" customFormat="1" hidden="1" outlineLevel="1" x14ac:dyDescent="0.3">
      <c r="C235" s="283" t="str">
        <f>RES_BA!D82</f>
        <v>Allowances Category 30</v>
      </c>
      <c r="M235" s="279">
        <f>RES_BA!R82</f>
        <v>0</v>
      </c>
      <c r="O235" s="279">
        <f>RES_BA!S82</f>
        <v>0</v>
      </c>
      <c r="Q235" s="279">
        <f>RES_BA!T82</f>
        <v>0</v>
      </c>
      <c r="S235" s="279">
        <f>RES_BA!U82</f>
        <v>0</v>
      </c>
    </row>
    <row r="236" spans="3:19" hidden="1" outlineLevel="1" x14ac:dyDescent="0.3">
      <c r="C236" s="89" t="str">
        <f>RES_BA!D83</f>
        <v>Allowances Category 31</v>
      </c>
      <c r="M236" s="40">
        <f>RES_BA!R83</f>
        <v>0</v>
      </c>
      <c r="O236" s="40">
        <f>RES_BA!S83</f>
        <v>0</v>
      </c>
      <c r="Q236" s="40">
        <f>RES_BA!T83</f>
        <v>0</v>
      </c>
      <c r="S236" s="40">
        <f>RES_BA!U83</f>
        <v>0</v>
      </c>
    </row>
    <row r="237" spans="3:19" hidden="1" outlineLevel="1" x14ac:dyDescent="0.3">
      <c r="C237" s="89" t="str">
        <f>RES_BA!D84</f>
        <v>Allowances Category 32</v>
      </c>
      <c r="M237" s="40">
        <f>RES_BA!R84</f>
        <v>0</v>
      </c>
      <c r="O237" s="40">
        <f>RES_BA!S84</f>
        <v>0</v>
      </c>
      <c r="Q237" s="40">
        <f>RES_BA!T84</f>
        <v>0</v>
      </c>
      <c r="S237" s="40">
        <f>RES_BA!U84</f>
        <v>0</v>
      </c>
    </row>
    <row r="238" spans="3:19" hidden="1" outlineLevel="1" x14ac:dyDescent="0.3">
      <c r="C238" s="89" t="str">
        <f>RES_BA!D85</f>
        <v>Allowances Category 33</v>
      </c>
      <c r="M238" s="40">
        <f>RES_BA!R85</f>
        <v>0</v>
      </c>
      <c r="O238" s="40">
        <f>RES_BA!S85</f>
        <v>0</v>
      </c>
      <c r="Q238" s="40">
        <f>RES_BA!T85</f>
        <v>0</v>
      </c>
      <c r="S238" s="40">
        <f>RES_BA!U85</f>
        <v>0</v>
      </c>
    </row>
    <row r="239" spans="3:19" hidden="1" outlineLevel="1" x14ac:dyDescent="0.3">
      <c r="C239" s="89" t="str">
        <f>RES_BA!D86</f>
        <v>Allowances Category 34</v>
      </c>
      <c r="M239" s="40">
        <f>RES_BA!R86</f>
        <v>0</v>
      </c>
      <c r="O239" s="40">
        <f>RES_BA!S86</f>
        <v>0</v>
      </c>
      <c r="Q239" s="40">
        <f>RES_BA!T86</f>
        <v>0</v>
      </c>
      <c r="S239" s="40">
        <f>RES_BA!U86</f>
        <v>0</v>
      </c>
    </row>
    <row r="240" spans="3:19" hidden="1" outlineLevel="1" x14ac:dyDescent="0.3">
      <c r="C240" s="89" t="str">
        <f>RES_BA!D87</f>
        <v>Allowances Category 35</v>
      </c>
      <c r="M240" s="40">
        <f>RES_BA!R87</f>
        <v>0</v>
      </c>
      <c r="O240" s="40">
        <f>RES_BA!S87</f>
        <v>0</v>
      </c>
      <c r="Q240" s="40">
        <f>RES_BA!T87</f>
        <v>0</v>
      </c>
      <c r="S240" s="40">
        <f>RES_BA!U87</f>
        <v>0</v>
      </c>
    </row>
    <row r="241" spans="3:19" hidden="1" outlineLevel="1" x14ac:dyDescent="0.3"/>
    <row r="242" spans="3:19" hidden="1" outlineLevel="1" x14ac:dyDescent="0.3"/>
    <row r="243" spans="3:19" hidden="1" outlineLevel="1" x14ac:dyDescent="0.3">
      <c r="M243" s="40" t="str">
        <f>$D$163</f>
        <v>USD</v>
      </c>
      <c r="O243" s="40" t="str">
        <f>$D$163</f>
        <v>USD</v>
      </c>
      <c r="Q243" s="40" t="str">
        <f>$D$164</f>
        <v>GOZ</v>
      </c>
      <c r="S243" s="40" t="str">
        <f>$D$164</f>
        <v>GOZ</v>
      </c>
    </row>
    <row r="244" spans="3:19" hidden="1" outlineLevel="1" x14ac:dyDescent="0.3">
      <c r="C244" s="89" t="str">
        <f>RES_BA!D91</f>
        <v>Supplies Category 1</v>
      </c>
      <c r="M244" s="40">
        <f>RES_BA!R91</f>
        <v>0</v>
      </c>
      <c r="O244" s="40">
        <f>RES_BA!S91</f>
        <v>0</v>
      </c>
      <c r="Q244" s="40">
        <f>RES_BA!T91</f>
        <v>0</v>
      </c>
      <c r="S244" s="40">
        <f>RES_BA!U91</f>
        <v>0</v>
      </c>
    </row>
    <row r="245" spans="3:19" hidden="1" outlineLevel="1" x14ac:dyDescent="0.3">
      <c r="C245" s="89" t="str">
        <f>RES_BA!D92</f>
        <v>Supplies Category 2</v>
      </c>
      <c r="M245" s="40">
        <f>RES_BA!R92</f>
        <v>0</v>
      </c>
      <c r="O245" s="40">
        <f>RES_BA!S92</f>
        <v>0</v>
      </c>
      <c r="Q245" s="40">
        <f>RES_BA!T92</f>
        <v>0</v>
      </c>
      <c r="S245" s="40">
        <f>RES_BA!U92</f>
        <v>0</v>
      </c>
    </row>
    <row r="246" spans="3:19" hidden="1" outlineLevel="1" x14ac:dyDescent="0.3">
      <c r="C246" s="89" t="str">
        <f>RES_BA!D93</f>
        <v>Supplies Category 3</v>
      </c>
      <c r="M246" s="40">
        <f>RES_BA!R93</f>
        <v>0</v>
      </c>
      <c r="O246" s="40">
        <f>RES_BA!S93</f>
        <v>0</v>
      </c>
      <c r="Q246" s="40">
        <f>RES_BA!T93</f>
        <v>0</v>
      </c>
      <c r="S246" s="40">
        <f>RES_BA!U93</f>
        <v>0</v>
      </c>
    </row>
    <row r="247" spans="3:19" hidden="1" outlineLevel="1" x14ac:dyDescent="0.3">
      <c r="C247" s="89" t="str">
        <f>RES_BA!D94</f>
        <v>Supplies Category 4</v>
      </c>
      <c r="M247" s="40">
        <f>RES_BA!R94</f>
        <v>0</v>
      </c>
      <c r="O247" s="40">
        <f>RES_BA!S94</f>
        <v>0</v>
      </c>
      <c r="Q247" s="40">
        <f>RES_BA!T94</f>
        <v>0</v>
      </c>
      <c r="S247" s="40">
        <f>RES_BA!U94</f>
        <v>0</v>
      </c>
    </row>
    <row r="248" spans="3:19" hidden="1" outlineLevel="1" x14ac:dyDescent="0.3">
      <c r="C248" s="89" t="str">
        <f>RES_BA!D95</f>
        <v>Supplies Category 5</v>
      </c>
      <c r="M248" s="40">
        <f>RES_BA!R95</f>
        <v>0</v>
      </c>
      <c r="O248" s="40">
        <f>RES_BA!S95</f>
        <v>0</v>
      </c>
      <c r="Q248" s="40">
        <f>RES_BA!T95</f>
        <v>0</v>
      </c>
      <c r="S248" s="40">
        <f>RES_BA!U95</f>
        <v>0</v>
      </c>
    </row>
    <row r="249" spans="3:19" hidden="1" outlineLevel="1" x14ac:dyDescent="0.3">
      <c r="C249" s="89" t="str">
        <f>RES_BA!D96</f>
        <v>Supplies Category 6</v>
      </c>
      <c r="M249" s="40">
        <f>RES_BA!R96</f>
        <v>0</v>
      </c>
      <c r="O249" s="40">
        <f>RES_BA!S96</f>
        <v>0</v>
      </c>
      <c r="Q249" s="40">
        <f>RES_BA!T96</f>
        <v>0</v>
      </c>
      <c r="S249" s="40">
        <f>RES_BA!U96</f>
        <v>0</v>
      </c>
    </row>
    <row r="250" spans="3:19" hidden="1" outlineLevel="1" x14ac:dyDescent="0.3">
      <c r="C250" s="89" t="str">
        <f>RES_BA!D97</f>
        <v>Supplies Category 7</v>
      </c>
      <c r="M250" s="40">
        <f>RES_BA!R97</f>
        <v>0</v>
      </c>
      <c r="O250" s="40">
        <f>RES_BA!S97</f>
        <v>0</v>
      </c>
      <c r="Q250" s="40">
        <f>RES_BA!T97</f>
        <v>0</v>
      </c>
      <c r="S250" s="40">
        <f>RES_BA!U97</f>
        <v>0</v>
      </c>
    </row>
    <row r="251" spans="3:19" hidden="1" outlineLevel="1" x14ac:dyDescent="0.3">
      <c r="C251" s="89" t="str">
        <f>RES_BA!D98</f>
        <v>Supplies Category 8</v>
      </c>
      <c r="M251" s="40">
        <f>RES_BA!R98</f>
        <v>0</v>
      </c>
      <c r="O251" s="40">
        <f>RES_BA!S98</f>
        <v>0</v>
      </c>
      <c r="Q251" s="40">
        <f>RES_BA!T98</f>
        <v>0</v>
      </c>
      <c r="S251" s="40">
        <f>RES_BA!U98</f>
        <v>0</v>
      </c>
    </row>
    <row r="252" spans="3:19" hidden="1" outlineLevel="1" x14ac:dyDescent="0.3">
      <c r="C252" s="89" t="str">
        <f>RES_BA!D99</f>
        <v>Supplies Category 9</v>
      </c>
      <c r="M252" s="40">
        <f>RES_BA!R99</f>
        <v>0</v>
      </c>
      <c r="O252" s="40">
        <f>RES_BA!S99</f>
        <v>0</v>
      </c>
      <c r="Q252" s="40">
        <f>RES_BA!T99</f>
        <v>0</v>
      </c>
      <c r="S252" s="40">
        <f>RES_BA!U99</f>
        <v>0</v>
      </c>
    </row>
    <row r="253" spans="3:19" hidden="1" outlineLevel="1" x14ac:dyDescent="0.3">
      <c r="C253" s="89" t="str">
        <f>RES_BA!D100</f>
        <v>Supplies Category 10</v>
      </c>
      <c r="M253" s="40">
        <f>RES_BA!R100</f>
        <v>0</v>
      </c>
      <c r="O253" s="40">
        <f>RES_BA!S100</f>
        <v>0</v>
      </c>
      <c r="Q253" s="40">
        <f>RES_BA!T100</f>
        <v>0</v>
      </c>
      <c r="S253" s="40">
        <f>RES_BA!U100</f>
        <v>0</v>
      </c>
    </row>
    <row r="254" spans="3:19" hidden="1" outlineLevel="1" x14ac:dyDescent="0.3">
      <c r="C254" s="89" t="str">
        <f>RES_BA!D101</f>
        <v>Supplies Category 11</v>
      </c>
      <c r="M254" s="40">
        <f>RES_BA!R101</f>
        <v>0</v>
      </c>
      <c r="O254" s="40">
        <f>RES_BA!S101</f>
        <v>0</v>
      </c>
      <c r="Q254" s="40">
        <f>RES_BA!T101</f>
        <v>0</v>
      </c>
      <c r="S254" s="40">
        <f>RES_BA!U101</f>
        <v>0</v>
      </c>
    </row>
    <row r="255" spans="3:19" hidden="1" outlineLevel="1" x14ac:dyDescent="0.3">
      <c r="C255" s="89" t="str">
        <f>RES_BA!D102</f>
        <v>Supplies Category 12</v>
      </c>
      <c r="M255" s="40">
        <f>RES_BA!R102</f>
        <v>0</v>
      </c>
      <c r="O255" s="40">
        <f>RES_BA!S102</f>
        <v>0</v>
      </c>
      <c r="Q255" s="40">
        <f>RES_BA!T102</f>
        <v>0</v>
      </c>
      <c r="S255" s="40">
        <f>RES_BA!U102</f>
        <v>0</v>
      </c>
    </row>
    <row r="256" spans="3:19" hidden="1" outlineLevel="1" x14ac:dyDescent="0.3">
      <c r="C256" s="89" t="str">
        <f>RES_BA!D103</f>
        <v>Supplies Category 13</v>
      </c>
      <c r="M256" s="40">
        <f>RES_BA!R103</f>
        <v>0</v>
      </c>
      <c r="O256" s="40">
        <f>RES_BA!S103</f>
        <v>0</v>
      </c>
      <c r="Q256" s="40">
        <f>RES_BA!T103</f>
        <v>0</v>
      </c>
      <c r="S256" s="40">
        <f>RES_BA!U103</f>
        <v>0</v>
      </c>
    </row>
    <row r="257" spans="3:19" hidden="1" outlineLevel="1" x14ac:dyDescent="0.3">
      <c r="C257" s="89" t="str">
        <f>RES_BA!D104</f>
        <v>Supplies Category 14</v>
      </c>
      <c r="M257" s="40">
        <f>RES_BA!R104</f>
        <v>0</v>
      </c>
      <c r="O257" s="40">
        <f>RES_BA!S104</f>
        <v>0</v>
      </c>
      <c r="Q257" s="40">
        <f>RES_BA!T104</f>
        <v>0</v>
      </c>
      <c r="S257" s="40">
        <f>RES_BA!U104</f>
        <v>0</v>
      </c>
    </row>
    <row r="258" spans="3:19" hidden="1" outlineLevel="1" x14ac:dyDescent="0.3">
      <c r="C258" s="89" t="str">
        <f>RES_BA!D105</f>
        <v>Supplies Category 15</v>
      </c>
      <c r="M258" s="40">
        <f>RES_BA!R105</f>
        <v>0</v>
      </c>
      <c r="O258" s="40">
        <f>RES_BA!S105</f>
        <v>0</v>
      </c>
      <c r="Q258" s="40">
        <f>RES_BA!T105</f>
        <v>0</v>
      </c>
      <c r="S258" s="40">
        <f>RES_BA!U105</f>
        <v>0</v>
      </c>
    </row>
    <row r="259" spans="3:19" hidden="1" outlineLevel="1" x14ac:dyDescent="0.3">
      <c r="C259" s="89" t="str">
        <f>RES_BA!D106</f>
        <v>Supplies Category 16</v>
      </c>
      <c r="M259" s="40">
        <f>RES_BA!R106</f>
        <v>0</v>
      </c>
      <c r="O259" s="40">
        <f>RES_BA!S106</f>
        <v>0</v>
      </c>
      <c r="Q259" s="40">
        <f>RES_BA!T106</f>
        <v>0</v>
      </c>
      <c r="S259" s="40">
        <f>RES_BA!U106</f>
        <v>0</v>
      </c>
    </row>
    <row r="260" spans="3:19" s="277" customFormat="1" hidden="1" outlineLevel="1" collapsed="1" x14ac:dyDescent="0.3">
      <c r="C260" s="283" t="str">
        <f>RES_BA!D107</f>
        <v>Supplies Category 17</v>
      </c>
      <c r="M260" s="279">
        <f>RES_BA!R107</f>
        <v>0</v>
      </c>
      <c r="O260" s="279">
        <f>RES_BA!S107</f>
        <v>0</v>
      </c>
      <c r="Q260" s="279">
        <f>RES_BA!T107</f>
        <v>0</v>
      </c>
      <c r="S260" s="279">
        <f>RES_BA!U107</f>
        <v>0</v>
      </c>
    </row>
    <row r="261" spans="3:19" s="277" customFormat="1" hidden="1" outlineLevel="1" x14ac:dyDescent="0.3">
      <c r="C261" s="283" t="str">
        <f>RES_BA!D108</f>
        <v>Supplies Category 18</v>
      </c>
      <c r="M261" s="279">
        <f>RES_BA!R108</f>
        <v>0</v>
      </c>
      <c r="O261" s="279">
        <f>RES_BA!S108</f>
        <v>0</v>
      </c>
      <c r="Q261" s="279">
        <f>RES_BA!T108</f>
        <v>0</v>
      </c>
      <c r="S261" s="279">
        <f>RES_BA!U108</f>
        <v>0</v>
      </c>
    </row>
    <row r="262" spans="3:19" s="277" customFormat="1" hidden="1" outlineLevel="1" x14ac:dyDescent="0.3">
      <c r="C262" s="283" t="str">
        <f>RES_BA!D109</f>
        <v>Supplies Category 19</v>
      </c>
      <c r="M262" s="279">
        <f>RES_BA!R109</f>
        <v>0</v>
      </c>
      <c r="O262" s="279">
        <f>RES_BA!S109</f>
        <v>0</v>
      </c>
      <c r="Q262" s="279">
        <f>RES_BA!T109</f>
        <v>0</v>
      </c>
      <c r="S262" s="279">
        <f>RES_BA!U109</f>
        <v>0</v>
      </c>
    </row>
    <row r="263" spans="3:19" s="277" customFormat="1" hidden="1" outlineLevel="1" x14ac:dyDescent="0.3">
      <c r="C263" s="283" t="str">
        <f>RES_BA!D110</f>
        <v>Supplies Category 20</v>
      </c>
      <c r="M263" s="279">
        <f>RES_BA!R110</f>
        <v>0</v>
      </c>
      <c r="O263" s="279">
        <f>RES_BA!S110</f>
        <v>0</v>
      </c>
      <c r="Q263" s="279">
        <f>RES_BA!T110</f>
        <v>0</v>
      </c>
      <c r="S263" s="279">
        <f>RES_BA!U110</f>
        <v>0</v>
      </c>
    </row>
    <row r="264" spans="3:19" s="277" customFormat="1" hidden="1" outlineLevel="1" x14ac:dyDescent="0.3">
      <c r="C264" s="283" t="str">
        <f>RES_BA!D111</f>
        <v>Supplies Category 21</v>
      </c>
      <c r="M264" s="279">
        <f>RES_BA!R111</f>
        <v>0</v>
      </c>
      <c r="O264" s="279">
        <f>RES_BA!S111</f>
        <v>0</v>
      </c>
      <c r="Q264" s="279">
        <f>RES_BA!T111</f>
        <v>0</v>
      </c>
      <c r="S264" s="279">
        <f>RES_BA!U111</f>
        <v>0</v>
      </c>
    </row>
    <row r="265" spans="3:19" s="277" customFormat="1" hidden="1" outlineLevel="1" x14ac:dyDescent="0.3">
      <c r="C265" s="283" t="str">
        <f>RES_BA!D112</f>
        <v>Supplies Category 22</v>
      </c>
      <c r="M265" s="279">
        <f>RES_BA!R112</f>
        <v>0</v>
      </c>
      <c r="O265" s="279">
        <f>RES_BA!S112</f>
        <v>0</v>
      </c>
      <c r="Q265" s="279">
        <f>RES_BA!T112</f>
        <v>0</v>
      </c>
      <c r="S265" s="279">
        <f>RES_BA!U112</f>
        <v>0</v>
      </c>
    </row>
    <row r="266" spans="3:19" s="277" customFormat="1" hidden="1" outlineLevel="1" x14ac:dyDescent="0.3">
      <c r="C266" s="283" t="str">
        <f>RES_BA!D113</f>
        <v>Supplies Category 23</v>
      </c>
      <c r="M266" s="279">
        <f>RES_BA!R113</f>
        <v>0</v>
      </c>
      <c r="O266" s="279">
        <f>RES_BA!S113</f>
        <v>0</v>
      </c>
      <c r="Q266" s="279">
        <f>RES_BA!T113</f>
        <v>0</v>
      </c>
      <c r="S266" s="279">
        <f>RES_BA!U113</f>
        <v>0</v>
      </c>
    </row>
    <row r="267" spans="3:19" s="277" customFormat="1" hidden="1" outlineLevel="1" x14ac:dyDescent="0.3">
      <c r="C267" s="283" t="str">
        <f>RES_BA!D114</f>
        <v>Supplies Category 24</v>
      </c>
      <c r="M267" s="279">
        <f>RES_BA!R114</f>
        <v>0</v>
      </c>
      <c r="O267" s="279">
        <f>RES_BA!S114</f>
        <v>0</v>
      </c>
      <c r="Q267" s="279">
        <f>RES_BA!T114</f>
        <v>0</v>
      </c>
      <c r="S267" s="279">
        <f>RES_BA!U114</f>
        <v>0</v>
      </c>
    </row>
    <row r="268" spans="3:19" s="277" customFormat="1" hidden="1" outlineLevel="1" x14ac:dyDescent="0.3">
      <c r="C268" s="283" t="str">
        <f>RES_BA!D115</f>
        <v>Supplies Category 25</v>
      </c>
      <c r="M268" s="279">
        <f>RES_BA!R115</f>
        <v>0</v>
      </c>
      <c r="O268" s="279">
        <f>RES_BA!S115</f>
        <v>0</v>
      </c>
      <c r="Q268" s="279">
        <f>RES_BA!T115</f>
        <v>0</v>
      </c>
      <c r="S268" s="279">
        <f>RES_BA!U115</f>
        <v>0</v>
      </c>
    </row>
    <row r="269" spans="3:19" s="277" customFormat="1" hidden="1" outlineLevel="1" x14ac:dyDescent="0.3">
      <c r="C269" s="283" t="str">
        <f>RES_BA!D116</f>
        <v>Supplies Category 26</v>
      </c>
      <c r="M269" s="279">
        <f>RES_BA!R116</f>
        <v>0</v>
      </c>
      <c r="O269" s="279">
        <f>RES_BA!S116</f>
        <v>0</v>
      </c>
      <c r="Q269" s="279">
        <f>RES_BA!T116</f>
        <v>0</v>
      </c>
      <c r="S269" s="279">
        <f>RES_BA!U116</f>
        <v>0</v>
      </c>
    </row>
    <row r="270" spans="3:19" s="277" customFormat="1" hidden="1" outlineLevel="1" x14ac:dyDescent="0.3">
      <c r="C270" s="283" t="str">
        <f>RES_BA!D117</f>
        <v>Supplies Category 27</v>
      </c>
      <c r="M270" s="279">
        <f>RES_BA!R117</f>
        <v>0</v>
      </c>
      <c r="O270" s="279">
        <f>RES_BA!S117</f>
        <v>0</v>
      </c>
      <c r="Q270" s="279">
        <f>RES_BA!T117</f>
        <v>0</v>
      </c>
      <c r="S270" s="279">
        <f>RES_BA!U117</f>
        <v>0</v>
      </c>
    </row>
    <row r="271" spans="3:19" s="277" customFormat="1" hidden="1" outlineLevel="1" x14ac:dyDescent="0.3">
      <c r="C271" s="283" t="str">
        <f>RES_BA!D118</f>
        <v>Supplies Category 28</v>
      </c>
      <c r="M271" s="279">
        <f>RES_BA!R118</f>
        <v>0</v>
      </c>
      <c r="O271" s="279">
        <f>RES_BA!S118</f>
        <v>0</v>
      </c>
      <c r="Q271" s="279">
        <f>RES_BA!T118</f>
        <v>0</v>
      </c>
      <c r="S271" s="279">
        <f>RES_BA!U118</f>
        <v>0</v>
      </c>
    </row>
    <row r="272" spans="3:19" s="277" customFormat="1" hidden="1" outlineLevel="1" x14ac:dyDescent="0.3">
      <c r="C272" s="283" t="str">
        <f>RES_BA!D119</f>
        <v>Supplies Category 29</v>
      </c>
      <c r="M272" s="279">
        <f>RES_BA!R119</f>
        <v>0</v>
      </c>
      <c r="O272" s="279">
        <f>RES_BA!S119</f>
        <v>0</v>
      </c>
      <c r="Q272" s="279">
        <f>RES_BA!T119</f>
        <v>0</v>
      </c>
      <c r="S272" s="279">
        <f>RES_BA!U119</f>
        <v>0</v>
      </c>
    </row>
    <row r="273" spans="3:19" s="277" customFormat="1" hidden="1" outlineLevel="1" collapsed="1" x14ac:dyDescent="0.3">
      <c r="C273" s="283" t="str">
        <f>RES_BA!D120</f>
        <v>Supplies Category 30</v>
      </c>
      <c r="M273" s="279">
        <f>RES_BA!R120</f>
        <v>0</v>
      </c>
      <c r="O273" s="279">
        <f>RES_BA!S120</f>
        <v>0</v>
      </c>
      <c r="Q273" s="279">
        <f>RES_BA!T120</f>
        <v>0</v>
      </c>
      <c r="S273" s="279">
        <f>RES_BA!U120</f>
        <v>0</v>
      </c>
    </row>
    <row r="274" spans="3:19" s="277" customFormat="1" hidden="1" outlineLevel="1" x14ac:dyDescent="0.3">
      <c r="C274" s="283" t="str">
        <f>RES_BA!D121</f>
        <v>Supplies Category 31</v>
      </c>
      <c r="M274" s="279">
        <f>RES_BA!R121</f>
        <v>0</v>
      </c>
      <c r="O274" s="279">
        <f>RES_BA!S121</f>
        <v>0</v>
      </c>
      <c r="Q274" s="279">
        <f>RES_BA!T121</f>
        <v>0</v>
      </c>
      <c r="S274" s="279">
        <f>RES_BA!U121</f>
        <v>0</v>
      </c>
    </row>
    <row r="275" spans="3:19" s="277" customFormat="1" hidden="1" outlineLevel="1" x14ac:dyDescent="0.3">
      <c r="C275" s="283" t="str">
        <f>RES_BA!D122</f>
        <v>Supplies Category 32</v>
      </c>
      <c r="M275" s="279">
        <f>RES_BA!R122</f>
        <v>0</v>
      </c>
      <c r="O275" s="279">
        <f>RES_BA!S122</f>
        <v>0</v>
      </c>
      <c r="Q275" s="279">
        <f>RES_BA!T122</f>
        <v>0</v>
      </c>
      <c r="S275" s="279">
        <f>RES_BA!U122</f>
        <v>0</v>
      </c>
    </row>
    <row r="276" spans="3:19" s="277" customFormat="1" hidden="1" outlineLevel="1" x14ac:dyDescent="0.3">
      <c r="C276" s="283" t="str">
        <f>RES_BA!D123</f>
        <v>Supplies Category 33</v>
      </c>
      <c r="M276" s="279">
        <f>RES_BA!R123</f>
        <v>0</v>
      </c>
      <c r="O276" s="279">
        <f>RES_BA!S123</f>
        <v>0</v>
      </c>
      <c r="Q276" s="279">
        <f>RES_BA!T123</f>
        <v>0</v>
      </c>
      <c r="S276" s="279">
        <f>RES_BA!U123</f>
        <v>0</v>
      </c>
    </row>
    <row r="277" spans="3:19" s="277" customFormat="1" hidden="1" outlineLevel="1" x14ac:dyDescent="0.3">
      <c r="C277" s="283" t="str">
        <f>RES_BA!D124</f>
        <v>Supplies Category 34</v>
      </c>
      <c r="M277" s="279">
        <f>RES_BA!R124</f>
        <v>0</v>
      </c>
      <c r="O277" s="279">
        <f>RES_BA!S124</f>
        <v>0</v>
      </c>
      <c r="Q277" s="279">
        <f>RES_BA!T124</f>
        <v>0</v>
      </c>
      <c r="S277" s="279">
        <f>RES_BA!U124</f>
        <v>0</v>
      </c>
    </row>
    <row r="278" spans="3:19" s="277" customFormat="1" hidden="1" outlineLevel="1" x14ac:dyDescent="0.3">
      <c r="C278" s="283" t="str">
        <f>RES_BA!D125</f>
        <v>Supplies Category 35</v>
      </c>
      <c r="M278" s="279">
        <f>RES_BA!R125</f>
        <v>0</v>
      </c>
      <c r="O278" s="279">
        <f>RES_BA!S125</f>
        <v>0</v>
      </c>
      <c r="Q278" s="279">
        <f>RES_BA!T125</f>
        <v>0</v>
      </c>
      <c r="S278" s="279">
        <f>RES_BA!U125</f>
        <v>0</v>
      </c>
    </row>
    <row r="279" spans="3:19" hidden="1" outlineLevel="1" x14ac:dyDescent="0.3"/>
    <row r="280" spans="3:19" hidden="1" outlineLevel="1" x14ac:dyDescent="0.3">
      <c r="M280" s="40" t="str">
        <f>$D$163</f>
        <v>USD</v>
      </c>
      <c r="O280" s="40" t="str">
        <f>$D$163</f>
        <v>USD</v>
      </c>
      <c r="Q280" s="40" t="str">
        <f>$D$164</f>
        <v>GOZ</v>
      </c>
      <c r="S280" s="40" t="str">
        <f>$D$164</f>
        <v>GOZ</v>
      </c>
    </row>
    <row r="281" spans="3:19" hidden="1" outlineLevel="1" x14ac:dyDescent="0.3">
      <c r="C281" s="89" t="str">
        <f>RES_BA!D130</f>
        <v>Equipment Category 1</v>
      </c>
      <c r="M281" s="40">
        <f>RES_BA!R130</f>
        <v>0</v>
      </c>
      <c r="O281" s="40">
        <f>RES_BA!S130</f>
        <v>0</v>
      </c>
      <c r="Q281" s="40">
        <f>RES_BA!T130</f>
        <v>0</v>
      </c>
      <c r="S281" s="40">
        <f>RES_BA!U130</f>
        <v>0</v>
      </c>
    </row>
    <row r="282" spans="3:19" hidden="1" outlineLevel="1" x14ac:dyDescent="0.3">
      <c r="C282" s="89" t="str">
        <f>RES_BA!D131</f>
        <v>Equipment Category 2</v>
      </c>
      <c r="M282" s="40">
        <f>RES_BA!R131</f>
        <v>0</v>
      </c>
      <c r="O282" s="40">
        <f>RES_BA!S131</f>
        <v>0</v>
      </c>
      <c r="Q282" s="40">
        <f>RES_BA!T131</f>
        <v>0</v>
      </c>
      <c r="S282" s="40">
        <f>RES_BA!U131</f>
        <v>0</v>
      </c>
    </row>
    <row r="283" spans="3:19" hidden="1" outlineLevel="1" x14ac:dyDescent="0.3">
      <c r="C283" s="89" t="str">
        <f>RES_BA!D132</f>
        <v>Equipment Category 3</v>
      </c>
      <c r="M283" s="40">
        <f>RES_BA!R132</f>
        <v>0</v>
      </c>
      <c r="O283" s="40">
        <f>RES_BA!S132</f>
        <v>0</v>
      </c>
      <c r="Q283" s="40">
        <f>RES_BA!T132</f>
        <v>0</v>
      </c>
      <c r="S283" s="40">
        <f>RES_BA!U132</f>
        <v>0</v>
      </c>
    </row>
    <row r="284" spans="3:19" hidden="1" outlineLevel="1" x14ac:dyDescent="0.3">
      <c r="C284" s="89" t="str">
        <f>RES_BA!D133</f>
        <v>Equipment Category 4</v>
      </c>
      <c r="M284" s="40">
        <f>RES_BA!R133</f>
        <v>0</v>
      </c>
      <c r="O284" s="40">
        <f>RES_BA!S133</f>
        <v>0</v>
      </c>
      <c r="Q284" s="40">
        <f>RES_BA!T133</f>
        <v>0</v>
      </c>
      <c r="S284" s="40">
        <f>RES_BA!U133</f>
        <v>0</v>
      </c>
    </row>
    <row r="285" spans="3:19" hidden="1" outlineLevel="1" x14ac:dyDescent="0.3">
      <c r="C285" s="89" t="str">
        <f>RES_BA!D134</f>
        <v>Equipment Category 5</v>
      </c>
      <c r="M285" s="40">
        <f>RES_BA!R134</f>
        <v>0</v>
      </c>
      <c r="O285" s="40">
        <f>RES_BA!S134</f>
        <v>0</v>
      </c>
      <c r="Q285" s="40">
        <f>RES_BA!T134</f>
        <v>0</v>
      </c>
      <c r="S285" s="40">
        <f>RES_BA!U134</f>
        <v>0</v>
      </c>
    </row>
    <row r="286" spans="3:19" hidden="1" outlineLevel="1" x14ac:dyDescent="0.3">
      <c r="C286" s="89" t="str">
        <f>RES_BA!D135</f>
        <v>Equipment Category 6</v>
      </c>
      <c r="M286" s="40">
        <f>RES_BA!R135</f>
        <v>0</v>
      </c>
      <c r="O286" s="40">
        <f>RES_BA!S135</f>
        <v>0</v>
      </c>
      <c r="Q286" s="40">
        <f>RES_BA!T135</f>
        <v>0</v>
      </c>
      <c r="S286" s="40">
        <f>RES_BA!U135</f>
        <v>0</v>
      </c>
    </row>
    <row r="287" spans="3:19" s="277" customFormat="1" hidden="1" outlineLevel="1" collapsed="1" x14ac:dyDescent="0.3">
      <c r="C287" s="283" t="str">
        <f>RES_BA!D136</f>
        <v>Equipment Category 7</v>
      </c>
      <c r="M287" s="279">
        <f>RES_BA!R136</f>
        <v>0</v>
      </c>
      <c r="O287" s="279">
        <f>RES_BA!S136</f>
        <v>0</v>
      </c>
      <c r="Q287" s="279">
        <f>RES_BA!T136</f>
        <v>0</v>
      </c>
      <c r="S287" s="279">
        <f>RES_BA!U136</f>
        <v>0</v>
      </c>
    </row>
    <row r="288" spans="3:19" s="277" customFormat="1" hidden="1" outlineLevel="1" x14ac:dyDescent="0.3">
      <c r="C288" s="283" t="str">
        <f>RES_BA!D137</f>
        <v>Equipment Category 8</v>
      </c>
      <c r="M288" s="279">
        <f>RES_BA!R137</f>
        <v>0</v>
      </c>
      <c r="O288" s="279">
        <f>RES_BA!S137</f>
        <v>0</v>
      </c>
      <c r="Q288" s="279">
        <f>RES_BA!T137</f>
        <v>0</v>
      </c>
      <c r="S288" s="279">
        <f>RES_BA!U137</f>
        <v>0</v>
      </c>
    </row>
    <row r="289" spans="3:19" s="277" customFormat="1" hidden="1" outlineLevel="1" x14ac:dyDescent="0.3">
      <c r="C289" s="283" t="str">
        <f>RES_BA!D138</f>
        <v>Equipment Category 9</v>
      </c>
      <c r="M289" s="279">
        <f>RES_BA!R138</f>
        <v>0</v>
      </c>
      <c r="O289" s="279">
        <f>RES_BA!S138</f>
        <v>0</v>
      </c>
      <c r="Q289" s="279">
        <f>RES_BA!T138</f>
        <v>0</v>
      </c>
      <c r="S289" s="279">
        <f>RES_BA!U138</f>
        <v>0</v>
      </c>
    </row>
    <row r="290" spans="3:19" s="277" customFormat="1" hidden="1" outlineLevel="1" x14ac:dyDescent="0.3">
      <c r="C290" s="283" t="str">
        <f>RES_BA!D139</f>
        <v>Equipment Category 10</v>
      </c>
      <c r="M290" s="279">
        <f>RES_BA!R139</f>
        <v>0</v>
      </c>
      <c r="O290" s="279">
        <f>RES_BA!S139</f>
        <v>0</v>
      </c>
      <c r="Q290" s="279">
        <f>RES_BA!T139</f>
        <v>0</v>
      </c>
      <c r="S290" s="279">
        <f>RES_BA!U139</f>
        <v>0</v>
      </c>
    </row>
    <row r="291" spans="3:19" s="277" customFormat="1" hidden="1" outlineLevel="1" x14ac:dyDescent="0.3">
      <c r="C291" s="283" t="str">
        <f>RES_BA!D140</f>
        <v>Equipment Category 11</v>
      </c>
      <c r="M291" s="279">
        <f>RES_BA!R140</f>
        <v>0</v>
      </c>
      <c r="O291" s="279">
        <f>RES_BA!S140</f>
        <v>0</v>
      </c>
      <c r="Q291" s="279">
        <f>RES_BA!T140</f>
        <v>0</v>
      </c>
      <c r="S291" s="279">
        <f>RES_BA!U140</f>
        <v>0</v>
      </c>
    </row>
    <row r="292" spans="3:19" s="277" customFormat="1" hidden="1" outlineLevel="1" x14ac:dyDescent="0.3">
      <c r="C292" s="283" t="str">
        <f>RES_BA!D141</f>
        <v>Equipment Category 12</v>
      </c>
      <c r="M292" s="279">
        <f>RES_BA!R141</f>
        <v>0</v>
      </c>
      <c r="O292" s="279">
        <f>RES_BA!S141</f>
        <v>0</v>
      </c>
      <c r="Q292" s="279">
        <f>RES_BA!T141</f>
        <v>0</v>
      </c>
      <c r="S292" s="279">
        <f>RES_BA!U141</f>
        <v>0</v>
      </c>
    </row>
    <row r="293" spans="3:19" s="277" customFormat="1" hidden="1" outlineLevel="1" collapsed="1" x14ac:dyDescent="0.3">
      <c r="C293" s="283" t="str">
        <f>RES_BA!D142</f>
        <v>Equipment Category 13</v>
      </c>
      <c r="M293" s="279">
        <f>RES_BA!R142</f>
        <v>0</v>
      </c>
      <c r="O293" s="279">
        <f>RES_BA!S142</f>
        <v>0</v>
      </c>
      <c r="Q293" s="279">
        <f>RES_BA!T142</f>
        <v>0</v>
      </c>
      <c r="S293" s="279">
        <f>RES_BA!U142</f>
        <v>0</v>
      </c>
    </row>
    <row r="294" spans="3:19" s="277" customFormat="1" hidden="1" outlineLevel="1" x14ac:dyDescent="0.3">
      <c r="C294" s="283" t="str">
        <f>RES_BA!D143</f>
        <v>Equipment Category 14</v>
      </c>
      <c r="M294" s="279">
        <f>RES_BA!R143</f>
        <v>0</v>
      </c>
      <c r="O294" s="279">
        <f>RES_BA!S143</f>
        <v>0</v>
      </c>
      <c r="Q294" s="279">
        <f>RES_BA!T143</f>
        <v>0</v>
      </c>
      <c r="S294" s="279">
        <f>RES_BA!U143</f>
        <v>0</v>
      </c>
    </row>
    <row r="295" spans="3:19" s="277" customFormat="1" hidden="1" outlineLevel="1" x14ac:dyDescent="0.3">
      <c r="C295" s="283" t="str">
        <f>RES_BA!D144</f>
        <v>Equipment Category 15</v>
      </c>
      <c r="M295" s="279">
        <f>RES_BA!R144</f>
        <v>0</v>
      </c>
      <c r="O295" s="279">
        <f>RES_BA!S144</f>
        <v>0</v>
      </c>
      <c r="Q295" s="279">
        <f>RES_BA!T144</f>
        <v>0</v>
      </c>
      <c r="S295" s="279">
        <f>RES_BA!U144</f>
        <v>0</v>
      </c>
    </row>
    <row r="296" spans="3:19" s="277" customFormat="1" hidden="1" outlineLevel="1" x14ac:dyDescent="0.3">
      <c r="C296" s="283" t="str">
        <f>RES_BA!D145</f>
        <v>Equipment Category 16</v>
      </c>
      <c r="M296" s="279">
        <f>RES_BA!R145</f>
        <v>0</v>
      </c>
      <c r="O296" s="279">
        <f>RES_BA!S145</f>
        <v>0</v>
      </c>
      <c r="Q296" s="279">
        <f>RES_BA!T145</f>
        <v>0</v>
      </c>
      <c r="S296" s="279">
        <f>RES_BA!U145</f>
        <v>0</v>
      </c>
    </row>
    <row r="297" spans="3:19" s="277" customFormat="1" hidden="1" outlineLevel="1" x14ac:dyDescent="0.3">
      <c r="C297" s="283" t="str">
        <f>RES_BA!D146</f>
        <v>Equipment Category 17</v>
      </c>
      <c r="M297" s="279">
        <f>RES_BA!R146</f>
        <v>0</v>
      </c>
      <c r="O297" s="279">
        <f>RES_BA!S146</f>
        <v>0</v>
      </c>
      <c r="Q297" s="279">
        <f>RES_BA!T146</f>
        <v>0</v>
      </c>
      <c r="S297" s="279">
        <f>RES_BA!U146</f>
        <v>0</v>
      </c>
    </row>
    <row r="298" spans="3:19" s="277" customFormat="1" hidden="1" outlineLevel="1" x14ac:dyDescent="0.3">
      <c r="C298" s="283" t="str">
        <f>RES_BA!D147</f>
        <v>Equipment Category 18</v>
      </c>
      <c r="M298" s="279">
        <f>RES_BA!R147</f>
        <v>0</v>
      </c>
      <c r="O298" s="279">
        <f>RES_BA!S147</f>
        <v>0</v>
      </c>
      <c r="Q298" s="279">
        <f>RES_BA!T147</f>
        <v>0</v>
      </c>
      <c r="S298" s="279">
        <f>RES_BA!U147</f>
        <v>0</v>
      </c>
    </row>
    <row r="299" spans="3:19" s="277" customFormat="1" hidden="1" outlineLevel="1" x14ac:dyDescent="0.3">
      <c r="C299" s="283" t="str">
        <f>RES_BA!D148</f>
        <v>Equipment Category 19</v>
      </c>
      <c r="M299" s="279">
        <f>RES_BA!R148</f>
        <v>0</v>
      </c>
      <c r="O299" s="279">
        <f>RES_BA!S148</f>
        <v>0</v>
      </c>
      <c r="Q299" s="279">
        <f>RES_BA!T148</f>
        <v>0</v>
      </c>
      <c r="S299" s="279">
        <f>RES_BA!U148</f>
        <v>0</v>
      </c>
    </row>
    <row r="300" spans="3:19" s="277" customFormat="1" hidden="1" outlineLevel="1" x14ac:dyDescent="0.3">
      <c r="C300" s="283" t="str">
        <f>RES_BA!D149</f>
        <v>Equipment Category 20</v>
      </c>
      <c r="M300" s="279">
        <f>RES_BA!R149</f>
        <v>0</v>
      </c>
      <c r="O300" s="279">
        <f>RES_BA!S149</f>
        <v>0</v>
      </c>
      <c r="Q300" s="279">
        <f>RES_BA!T149</f>
        <v>0</v>
      </c>
      <c r="S300" s="279">
        <f>RES_BA!U149</f>
        <v>0</v>
      </c>
    </row>
    <row r="301" spans="3:19" s="277" customFormat="1" hidden="1" outlineLevel="1" x14ac:dyDescent="0.3">
      <c r="C301" s="283" t="str">
        <f>RES_BA!D150</f>
        <v>Equipment Category 21</v>
      </c>
      <c r="M301" s="279">
        <f>RES_BA!R150</f>
        <v>0</v>
      </c>
      <c r="O301" s="279">
        <f>RES_BA!S150</f>
        <v>0</v>
      </c>
      <c r="Q301" s="279">
        <f>RES_BA!T150</f>
        <v>0</v>
      </c>
      <c r="S301" s="279">
        <f>RES_BA!U150</f>
        <v>0</v>
      </c>
    </row>
    <row r="302" spans="3:19" s="277" customFormat="1" hidden="1" outlineLevel="1" x14ac:dyDescent="0.3">
      <c r="C302" s="283" t="str">
        <f>RES_BA!D151</f>
        <v>Equipment Category 22</v>
      </c>
      <c r="M302" s="279">
        <f>RES_BA!R151</f>
        <v>0</v>
      </c>
      <c r="O302" s="279">
        <f>RES_BA!S151</f>
        <v>0</v>
      </c>
      <c r="Q302" s="279">
        <f>RES_BA!T151</f>
        <v>0</v>
      </c>
      <c r="S302" s="279">
        <f>RES_BA!U151</f>
        <v>0</v>
      </c>
    </row>
    <row r="303" spans="3:19" s="277" customFormat="1" hidden="1" outlineLevel="1" x14ac:dyDescent="0.3">
      <c r="C303" s="283" t="str">
        <f>RES_BA!D152</f>
        <v>Equipment Category 23</v>
      </c>
      <c r="M303" s="279">
        <f>RES_BA!R152</f>
        <v>0</v>
      </c>
      <c r="O303" s="279">
        <f>RES_BA!S152</f>
        <v>0</v>
      </c>
      <c r="Q303" s="279">
        <f>RES_BA!T152</f>
        <v>0</v>
      </c>
      <c r="S303" s="279">
        <f>RES_BA!U152</f>
        <v>0</v>
      </c>
    </row>
    <row r="304" spans="3:19" s="277" customFormat="1" hidden="1" outlineLevel="1" collapsed="1" x14ac:dyDescent="0.3">
      <c r="C304" s="283" t="str">
        <f>RES_BA!D153</f>
        <v>Equipment Category 24</v>
      </c>
      <c r="M304" s="279">
        <f>RES_BA!R153</f>
        <v>0</v>
      </c>
      <c r="O304" s="279">
        <f>RES_BA!S153</f>
        <v>0</v>
      </c>
      <c r="Q304" s="279">
        <f>RES_BA!T153</f>
        <v>0</v>
      </c>
      <c r="S304" s="279">
        <f>RES_BA!U153</f>
        <v>0</v>
      </c>
    </row>
    <row r="305" spans="3:19" s="277" customFormat="1" hidden="1" outlineLevel="1" x14ac:dyDescent="0.3">
      <c r="C305" s="283" t="str">
        <f>RES_BA!D154</f>
        <v>Equipment Category 25</v>
      </c>
      <c r="M305" s="279">
        <f>RES_BA!R154</f>
        <v>0</v>
      </c>
      <c r="O305" s="279">
        <f>RES_BA!S154</f>
        <v>0</v>
      </c>
      <c r="Q305" s="279">
        <f>RES_BA!T154</f>
        <v>0</v>
      </c>
      <c r="S305" s="279">
        <f>RES_BA!U154</f>
        <v>0</v>
      </c>
    </row>
    <row r="306" spans="3:19" s="277" customFormat="1" hidden="1" outlineLevel="1" x14ac:dyDescent="0.3">
      <c r="C306" s="283" t="str">
        <f>RES_BA!D155</f>
        <v>Equipment Category 26</v>
      </c>
      <c r="M306" s="279">
        <f>RES_BA!R155</f>
        <v>0</v>
      </c>
      <c r="O306" s="279">
        <f>RES_BA!S155</f>
        <v>0</v>
      </c>
      <c r="Q306" s="279">
        <f>RES_BA!T155</f>
        <v>0</v>
      </c>
      <c r="S306" s="279">
        <f>RES_BA!U155</f>
        <v>0</v>
      </c>
    </row>
    <row r="307" spans="3:19" s="277" customFormat="1" hidden="1" outlineLevel="1" x14ac:dyDescent="0.3">
      <c r="C307" s="283" t="str">
        <f>RES_BA!D156</f>
        <v>Equipment Category 27</v>
      </c>
      <c r="M307" s="279">
        <f>RES_BA!R156</f>
        <v>0</v>
      </c>
      <c r="O307" s="279">
        <f>RES_BA!S156</f>
        <v>0</v>
      </c>
      <c r="Q307" s="279">
        <f>RES_BA!T156</f>
        <v>0</v>
      </c>
      <c r="S307" s="279">
        <f>RES_BA!U156</f>
        <v>0</v>
      </c>
    </row>
    <row r="308" spans="3:19" s="277" customFormat="1" hidden="1" outlineLevel="1" x14ac:dyDescent="0.3">
      <c r="C308" s="283" t="str">
        <f>RES_BA!D157</f>
        <v>Equipment Category 28</v>
      </c>
      <c r="M308" s="279">
        <f>RES_BA!R157</f>
        <v>0</v>
      </c>
      <c r="O308" s="279">
        <f>RES_BA!S157</f>
        <v>0</v>
      </c>
      <c r="Q308" s="279">
        <f>RES_BA!T157</f>
        <v>0</v>
      </c>
      <c r="S308" s="279">
        <f>RES_BA!U157</f>
        <v>0</v>
      </c>
    </row>
    <row r="309" spans="3:19" s="277" customFormat="1" hidden="1" outlineLevel="1" x14ac:dyDescent="0.3">
      <c r="C309" s="283" t="str">
        <f>RES_BA!D158</f>
        <v>Equipment Category 29</v>
      </c>
      <c r="M309" s="279">
        <f>RES_BA!R158</f>
        <v>0</v>
      </c>
      <c r="O309" s="279">
        <f>RES_BA!S158</f>
        <v>0</v>
      </c>
      <c r="Q309" s="279">
        <f>RES_BA!T158</f>
        <v>0</v>
      </c>
      <c r="S309" s="279">
        <f>RES_BA!U158</f>
        <v>0</v>
      </c>
    </row>
    <row r="310" spans="3:19" s="277" customFormat="1" hidden="1" outlineLevel="1" x14ac:dyDescent="0.3">
      <c r="C310" s="283" t="str">
        <f>RES_BA!D159</f>
        <v>Equipment Category 30</v>
      </c>
      <c r="M310" s="279">
        <f>RES_BA!R159</f>
        <v>0</v>
      </c>
      <c r="O310" s="279">
        <f>RES_BA!S159</f>
        <v>0</v>
      </c>
      <c r="Q310" s="279">
        <f>RES_BA!T159</f>
        <v>0</v>
      </c>
      <c r="S310" s="279">
        <f>RES_BA!U159</f>
        <v>0</v>
      </c>
    </row>
    <row r="311" spans="3:19" s="277" customFormat="1" hidden="1" outlineLevel="1" x14ac:dyDescent="0.3">
      <c r="C311" s="283" t="str">
        <f>RES_BA!D160</f>
        <v>Equipment Category 31</v>
      </c>
      <c r="M311" s="279">
        <f>RES_BA!R160</f>
        <v>0</v>
      </c>
      <c r="O311" s="279">
        <f>RES_BA!S160</f>
        <v>0</v>
      </c>
      <c r="Q311" s="279">
        <f>RES_BA!T160</f>
        <v>0</v>
      </c>
      <c r="S311" s="279">
        <f>RES_BA!U160</f>
        <v>0</v>
      </c>
    </row>
    <row r="312" spans="3:19" s="277" customFormat="1" hidden="1" outlineLevel="1" x14ac:dyDescent="0.3">
      <c r="C312" s="283" t="str">
        <f>RES_BA!D161</f>
        <v>Equipment Category 32</v>
      </c>
      <c r="M312" s="279">
        <f>RES_BA!R161</f>
        <v>0</v>
      </c>
      <c r="O312" s="279">
        <f>RES_BA!S161</f>
        <v>0</v>
      </c>
      <c r="Q312" s="279">
        <f>RES_BA!T161</f>
        <v>0</v>
      </c>
      <c r="S312" s="279">
        <f>RES_BA!U161</f>
        <v>0</v>
      </c>
    </row>
    <row r="313" spans="3:19" s="277" customFormat="1" hidden="1" outlineLevel="1" x14ac:dyDescent="0.3">
      <c r="C313" s="283" t="str">
        <f>RES_BA!D162</f>
        <v>Equipment Category 33</v>
      </c>
      <c r="M313" s="279">
        <f>RES_BA!R162</f>
        <v>0</v>
      </c>
      <c r="O313" s="279">
        <f>RES_BA!S162</f>
        <v>0</v>
      </c>
      <c r="Q313" s="279">
        <f>RES_BA!T162</f>
        <v>0</v>
      </c>
      <c r="S313" s="279">
        <f>RES_BA!U162</f>
        <v>0</v>
      </c>
    </row>
    <row r="314" spans="3:19" s="277" customFormat="1" hidden="1" outlineLevel="1" collapsed="1" x14ac:dyDescent="0.3">
      <c r="C314" s="283" t="str">
        <f>RES_BA!D163</f>
        <v>Equipment Category 34</v>
      </c>
      <c r="M314" s="279">
        <f>RES_BA!R163</f>
        <v>0</v>
      </c>
      <c r="O314" s="279">
        <f>RES_BA!S163</f>
        <v>0</v>
      </c>
      <c r="Q314" s="279">
        <f>RES_BA!T163</f>
        <v>0</v>
      </c>
      <c r="S314" s="279">
        <f>RES_BA!U163</f>
        <v>0</v>
      </c>
    </row>
    <row r="315" spans="3:19" s="277" customFormat="1" hidden="1" outlineLevel="1" x14ac:dyDescent="0.3">
      <c r="C315" s="283" t="str">
        <f>RES_BA!D164</f>
        <v>Equipment Category 35</v>
      </c>
      <c r="M315" s="279">
        <f>RES_BA!R164</f>
        <v>0</v>
      </c>
      <c r="O315" s="279">
        <f>RES_BA!S164</f>
        <v>0</v>
      </c>
      <c r="Q315" s="279">
        <f>RES_BA!T164</f>
        <v>0</v>
      </c>
      <c r="S315" s="279">
        <f>RES_BA!U164</f>
        <v>0</v>
      </c>
    </row>
    <row r="316" spans="3:19" hidden="1" outlineLevel="1" x14ac:dyDescent="0.3"/>
    <row r="317" spans="3:19" hidden="1" outlineLevel="1" x14ac:dyDescent="0.3"/>
    <row r="318" spans="3:19" hidden="1" outlineLevel="1" x14ac:dyDescent="0.3">
      <c r="M318" s="40" t="str">
        <f>$D$163</f>
        <v>USD</v>
      </c>
      <c r="O318" s="40" t="str">
        <f>$D$163</f>
        <v>USD</v>
      </c>
      <c r="Q318" s="40" t="str">
        <f>$D$164</f>
        <v>GOZ</v>
      </c>
      <c r="S318" s="40" t="str">
        <f>$D$164</f>
        <v>GOZ</v>
      </c>
    </row>
    <row r="319" spans="3:19" hidden="1" outlineLevel="1" x14ac:dyDescent="0.3">
      <c r="C319" s="89" t="str">
        <f>RES_BA!D169</f>
        <v>Other Direct Costs Category 1</v>
      </c>
      <c r="M319" s="40">
        <f>RES_BA!R169</f>
        <v>0</v>
      </c>
      <c r="O319" s="40">
        <f>RES_BA!S169</f>
        <v>0</v>
      </c>
      <c r="Q319" s="40">
        <f>RES_BA!T169</f>
        <v>0</v>
      </c>
      <c r="S319" s="40">
        <f>RES_BA!U169</f>
        <v>0</v>
      </c>
    </row>
    <row r="320" spans="3:19" hidden="1" outlineLevel="1" x14ac:dyDescent="0.3">
      <c r="C320" s="89" t="str">
        <f>RES_BA!D170</f>
        <v>Other Direct Costs Category 2</v>
      </c>
      <c r="M320" s="40">
        <f>RES_BA!R170</f>
        <v>0</v>
      </c>
      <c r="O320" s="40">
        <f>RES_BA!S170</f>
        <v>0</v>
      </c>
      <c r="Q320" s="40">
        <f>RES_BA!T170</f>
        <v>0</v>
      </c>
      <c r="S320" s="40">
        <f>RES_BA!U170</f>
        <v>0</v>
      </c>
    </row>
    <row r="321" spans="3:19" hidden="1" outlineLevel="1" x14ac:dyDescent="0.3">
      <c r="C321" s="89" t="str">
        <f>RES_BA!D171</f>
        <v>Other Direct Costs Category 3</v>
      </c>
      <c r="M321" s="40">
        <f>RES_BA!R171</f>
        <v>0</v>
      </c>
      <c r="O321" s="40">
        <f>RES_BA!S171</f>
        <v>0</v>
      </c>
      <c r="Q321" s="40">
        <f>RES_BA!T171</f>
        <v>0</v>
      </c>
      <c r="S321" s="40">
        <f>RES_BA!U171</f>
        <v>0</v>
      </c>
    </row>
    <row r="322" spans="3:19" s="277" customFormat="1" hidden="1" outlineLevel="1" collapsed="1" x14ac:dyDescent="0.3">
      <c r="C322" s="283" t="str">
        <f>RES_BA!D172</f>
        <v>Other Direct Costs Category 4</v>
      </c>
      <c r="M322" s="279">
        <f>RES_BA!R172</f>
        <v>0</v>
      </c>
      <c r="O322" s="279">
        <f>RES_BA!S172</f>
        <v>0</v>
      </c>
      <c r="Q322" s="279">
        <f>RES_BA!T172</f>
        <v>0</v>
      </c>
      <c r="S322" s="279">
        <f>RES_BA!U172</f>
        <v>0</v>
      </c>
    </row>
    <row r="323" spans="3:19" s="277" customFormat="1" hidden="1" outlineLevel="1" x14ac:dyDescent="0.3">
      <c r="C323" s="283" t="str">
        <f>RES_BA!D173</f>
        <v>Other Direct Costs Category 5</v>
      </c>
      <c r="M323" s="279">
        <f>RES_BA!R173</f>
        <v>0</v>
      </c>
      <c r="O323" s="279">
        <f>RES_BA!S173</f>
        <v>0</v>
      </c>
      <c r="Q323" s="279">
        <f>RES_BA!T173</f>
        <v>0</v>
      </c>
      <c r="S323" s="279">
        <f>RES_BA!U173</f>
        <v>0</v>
      </c>
    </row>
    <row r="324" spans="3:19" s="277" customFormat="1" hidden="1" outlineLevel="1" x14ac:dyDescent="0.3">
      <c r="C324" s="283" t="str">
        <f>RES_BA!D174</f>
        <v>Other Direct Costs Category 6</v>
      </c>
      <c r="M324" s="279">
        <f>RES_BA!R174</f>
        <v>0</v>
      </c>
      <c r="O324" s="279">
        <f>RES_BA!S174</f>
        <v>0</v>
      </c>
      <c r="Q324" s="279">
        <f>RES_BA!T174</f>
        <v>0</v>
      </c>
      <c r="S324" s="279">
        <f>RES_BA!U174</f>
        <v>0</v>
      </c>
    </row>
    <row r="325" spans="3:19" s="277" customFormat="1" hidden="1" outlineLevel="1" x14ac:dyDescent="0.3">
      <c r="C325" s="283" t="str">
        <f>RES_BA!D175</f>
        <v>Other Direct Costs Category 7</v>
      </c>
      <c r="M325" s="279">
        <f>RES_BA!R175</f>
        <v>0</v>
      </c>
      <c r="O325" s="279">
        <f>RES_BA!S175</f>
        <v>0</v>
      </c>
      <c r="Q325" s="279">
        <f>RES_BA!T175</f>
        <v>0</v>
      </c>
      <c r="S325" s="279">
        <f>RES_BA!U175</f>
        <v>0</v>
      </c>
    </row>
    <row r="326" spans="3:19" s="277" customFormat="1" hidden="1" outlineLevel="1" x14ac:dyDescent="0.3">
      <c r="C326" s="283" t="str">
        <f>RES_BA!D176</f>
        <v>Other Direct Costs Category 8</v>
      </c>
      <c r="M326" s="279">
        <f>RES_BA!R176</f>
        <v>0</v>
      </c>
      <c r="O326" s="279">
        <f>RES_BA!S176</f>
        <v>0</v>
      </c>
      <c r="Q326" s="279">
        <f>RES_BA!T176</f>
        <v>0</v>
      </c>
      <c r="S326" s="279">
        <f>RES_BA!U176</f>
        <v>0</v>
      </c>
    </row>
    <row r="327" spans="3:19" s="277" customFormat="1" hidden="1" outlineLevel="1" x14ac:dyDescent="0.3">
      <c r="C327" s="283" t="str">
        <f>RES_BA!D177</f>
        <v>Other Direct Costs Category 9</v>
      </c>
      <c r="M327" s="279">
        <f>RES_BA!R177</f>
        <v>0</v>
      </c>
      <c r="O327" s="279">
        <f>RES_BA!S177</f>
        <v>0</v>
      </c>
      <c r="Q327" s="279">
        <f>RES_BA!T177</f>
        <v>0</v>
      </c>
      <c r="S327" s="279">
        <f>RES_BA!U177</f>
        <v>0</v>
      </c>
    </row>
    <row r="328" spans="3:19" s="277" customFormat="1" hidden="1" outlineLevel="1" x14ac:dyDescent="0.3">
      <c r="C328" s="283" t="str">
        <f>RES_BA!D178</f>
        <v>Other Direct Costs Category 10</v>
      </c>
      <c r="M328" s="279">
        <f>RES_BA!R178</f>
        <v>0</v>
      </c>
      <c r="O328" s="279">
        <f>RES_BA!S178</f>
        <v>0</v>
      </c>
      <c r="Q328" s="279">
        <f>RES_BA!T178</f>
        <v>0</v>
      </c>
      <c r="S328" s="279">
        <f>RES_BA!U178</f>
        <v>0</v>
      </c>
    </row>
    <row r="329" spans="3:19" s="277" customFormat="1" hidden="1" outlineLevel="1" x14ac:dyDescent="0.3">
      <c r="C329" s="283" t="str">
        <f>RES_BA!D179</f>
        <v>Other Direct Costs Category 11</v>
      </c>
      <c r="M329" s="279">
        <f>RES_BA!R179</f>
        <v>0</v>
      </c>
      <c r="O329" s="279">
        <f>RES_BA!S179</f>
        <v>0</v>
      </c>
      <c r="Q329" s="279">
        <f>RES_BA!T179</f>
        <v>0</v>
      </c>
      <c r="S329" s="279">
        <f>RES_BA!U179</f>
        <v>0</v>
      </c>
    </row>
    <row r="330" spans="3:19" s="277" customFormat="1" hidden="1" outlineLevel="1" collapsed="1" x14ac:dyDescent="0.3">
      <c r="C330" s="283" t="str">
        <f>RES_BA!D180</f>
        <v>Other Direct Costs Category 12</v>
      </c>
      <c r="M330" s="279">
        <f>RES_BA!R180</f>
        <v>0</v>
      </c>
      <c r="O330" s="279">
        <f>RES_BA!S180</f>
        <v>0</v>
      </c>
      <c r="Q330" s="279">
        <f>RES_BA!T180</f>
        <v>0</v>
      </c>
      <c r="S330" s="279">
        <f>RES_BA!U180</f>
        <v>0</v>
      </c>
    </row>
    <row r="331" spans="3:19" s="277" customFormat="1" hidden="1" outlineLevel="1" x14ac:dyDescent="0.3">
      <c r="C331" s="283" t="str">
        <f>RES_BA!D181</f>
        <v>Other Direct Costs Category 13</v>
      </c>
      <c r="M331" s="279">
        <f>RES_BA!R181</f>
        <v>0</v>
      </c>
      <c r="O331" s="279">
        <f>RES_BA!S181</f>
        <v>0</v>
      </c>
      <c r="Q331" s="279">
        <f>RES_BA!T181</f>
        <v>0</v>
      </c>
      <c r="S331" s="279">
        <f>RES_BA!U181</f>
        <v>0</v>
      </c>
    </row>
    <row r="332" spans="3:19" s="277" customFormat="1" hidden="1" outlineLevel="1" x14ac:dyDescent="0.3">
      <c r="C332" s="283" t="str">
        <f>RES_BA!D182</f>
        <v>Other Direct Costs Category 14</v>
      </c>
      <c r="M332" s="279">
        <f>RES_BA!R182</f>
        <v>0</v>
      </c>
      <c r="O332" s="279">
        <f>RES_BA!S182</f>
        <v>0</v>
      </c>
      <c r="Q332" s="279">
        <f>RES_BA!T182</f>
        <v>0</v>
      </c>
      <c r="S332" s="279">
        <f>RES_BA!U182</f>
        <v>0</v>
      </c>
    </row>
    <row r="333" spans="3:19" s="277" customFormat="1" hidden="1" outlineLevel="1" x14ac:dyDescent="0.3">
      <c r="C333" s="283" t="str">
        <f>RES_BA!D183</f>
        <v>Other Direct Costs Category 15</v>
      </c>
      <c r="M333" s="279">
        <f>RES_BA!R183</f>
        <v>0</v>
      </c>
      <c r="O333" s="279">
        <f>RES_BA!S183</f>
        <v>0</v>
      </c>
      <c r="Q333" s="279">
        <f>RES_BA!T183</f>
        <v>0</v>
      </c>
      <c r="S333" s="279">
        <f>RES_BA!U183</f>
        <v>0</v>
      </c>
    </row>
    <row r="334" spans="3:19" s="277" customFormat="1" hidden="1" outlineLevel="1" x14ac:dyDescent="0.3">
      <c r="C334" s="283" t="str">
        <f>RES_BA!D184</f>
        <v>Other Direct Costs Category 16</v>
      </c>
      <c r="M334" s="279">
        <f>RES_BA!R184</f>
        <v>0</v>
      </c>
      <c r="O334" s="279">
        <f>RES_BA!S184</f>
        <v>0</v>
      </c>
      <c r="Q334" s="279">
        <f>RES_BA!T184</f>
        <v>0</v>
      </c>
      <c r="S334" s="279">
        <f>RES_BA!U184</f>
        <v>0</v>
      </c>
    </row>
    <row r="335" spans="3:19" s="277" customFormat="1" hidden="1" outlineLevel="1" x14ac:dyDescent="0.3">
      <c r="C335" s="283" t="str">
        <f>RES_BA!D185</f>
        <v>Other Direct Costs Category 17</v>
      </c>
      <c r="M335" s="279">
        <f>RES_BA!R185</f>
        <v>0</v>
      </c>
      <c r="O335" s="279">
        <f>RES_BA!S185</f>
        <v>0</v>
      </c>
      <c r="Q335" s="279">
        <f>RES_BA!T185</f>
        <v>0</v>
      </c>
      <c r="S335" s="279">
        <f>RES_BA!U185</f>
        <v>0</v>
      </c>
    </row>
    <row r="336" spans="3:19" s="277" customFormat="1" hidden="1" outlineLevel="1" x14ac:dyDescent="0.3">
      <c r="C336" s="283" t="str">
        <f>RES_BA!D186</f>
        <v>Other Direct Costs Category 18</v>
      </c>
      <c r="M336" s="279">
        <f>RES_BA!R186</f>
        <v>0</v>
      </c>
      <c r="O336" s="279">
        <f>RES_BA!S186</f>
        <v>0</v>
      </c>
      <c r="Q336" s="279">
        <f>RES_BA!T186</f>
        <v>0</v>
      </c>
      <c r="S336" s="279">
        <f>RES_BA!U186</f>
        <v>0</v>
      </c>
    </row>
    <row r="337" spans="3:19" s="277" customFormat="1" hidden="1" outlineLevel="1" x14ac:dyDescent="0.3">
      <c r="C337" s="283" t="str">
        <f>RES_BA!D187</f>
        <v>Other Direct Costs Category 19</v>
      </c>
      <c r="M337" s="279">
        <f>RES_BA!R187</f>
        <v>0</v>
      </c>
      <c r="O337" s="279">
        <f>RES_BA!S187</f>
        <v>0</v>
      </c>
      <c r="Q337" s="279">
        <f>RES_BA!T187</f>
        <v>0</v>
      </c>
      <c r="S337" s="279">
        <f>RES_BA!U187</f>
        <v>0</v>
      </c>
    </row>
    <row r="338" spans="3:19" s="277" customFormat="1" hidden="1" outlineLevel="1" x14ac:dyDescent="0.3">
      <c r="C338" s="283" t="str">
        <f>RES_BA!D188</f>
        <v>Other Direct Costs Category 20</v>
      </c>
      <c r="M338" s="279">
        <f>RES_BA!R188</f>
        <v>0</v>
      </c>
      <c r="O338" s="279">
        <f>RES_BA!S188</f>
        <v>0</v>
      </c>
      <c r="Q338" s="279">
        <f>RES_BA!T188</f>
        <v>0</v>
      </c>
      <c r="S338" s="279">
        <f>RES_BA!U188</f>
        <v>0</v>
      </c>
    </row>
    <row r="339" spans="3:19" s="277" customFormat="1" hidden="1" outlineLevel="1" x14ac:dyDescent="0.3">
      <c r="C339" s="283" t="str">
        <f>RES_BA!D189</f>
        <v>Other Direct Costs Category 21</v>
      </c>
      <c r="M339" s="279">
        <f>RES_BA!R189</f>
        <v>0</v>
      </c>
      <c r="O339" s="279">
        <f>RES_BA!S189</f>
        <v>0</v>
      </c>
      <c r="Q339" s="279">
        <f>RES_BA!T189</f>
        <v>0</v>
      </c>
      <c r="S339" s="279">
        <f>RES_BA!U189</f>
        <v>0</v>
      </c>
    </row>
    <row r="340" spans="3:19" s="277" customFormat="1" hidden="1" outlineLevel="1" x14ac:dyDescent="0.3">
      <c r="C340" s="283" t="str">
        <f>RES_BA!D190</f>
        <v>Other Direct Costs Category 22</v>
      </c>
      <c r="M340" s="279">
        <f>RES_BA!R190</f>
        <v>0</v>
      </c>
      <c r="O340" s="279">
        <f>RES_BA!S190</f>
        <v>0</v>
      </c>
      <c r="Q340" s="279">
        <f>RES_BA!T190</f>
        <v>0</v>
      </c>
      <c r="S340" s="279">
        <f>RES_BA!U190</f>
        <v>0</v>
      </c>
    </row>
    <row r="341" spans="3:19" s="277" customFormat="1" hidden="1" outlineLevel="1" x14ac:dyDescent="0.3">
      <c r="C341" s="283" t="str">
        <f>RES_BA!D191</f>
        <v>Other Direct Costs Category 23</v>
      </c>
      <c r="M341" s="279">
        <f>RES_BA!R191</f>
        <v>0</v>
      </c>
      <c r="O341" s="279">
        <f>RES_BA!S191</f>
        <v>0</v>
      </c>
      <c r="Q341" s="279">
        <f>RES_BA!T191</f>
        <v>0</v>
      </c>
      <c r="S341" s="279">
        <f>RES_BA!U191</f>
        <v>0</v>
      </c>
    </row>
    <row r="342" spans="3:19" s="277" customFormat="1" hidden="1" outlineLevel="1" collapsed="1" x14ac:dyDescent="0.3">
      <c r="C342" s="283" t="str">
        <f>RES_BA!D192</f>
        <v>Other Direct Costs Category 24</v>
      </c>
      <c r="M342" s="279">
        <f>RES_BA!R192</f>
        <v>0</v>
      </c>
      <c r="O342" s="279">
        <f>RES_BA!S192</f>
        <v>0</v>
      </c>
      <c r="Q342" s="279">
        <f>RES_BA!T192</f>
        <v>0</v>
      </c>
      <c r="S342" s="279">
        <f>RES_BA!U192</f>
        <v>0</v>
      </c>
    </row>
    <row r="343" spans="3:19" s="277" customFormat="1" hidden="1" outlineLevel="1" x14ac:dyDescent="0.3">
      <c r="C343" s="283" t="str">
        <f>RES_BA!D193</f>
        <v>Other Direct Costs Category 25</v>
      </c>
      <c r="M343" s="279">
        <f>RES_BA!R193</f>
        <v>0</v>
      </c>
      <c r="O343" s="279">
        <f>RES_BA!S193</f>
        <v>0</v>
      </c>
      <c r="Q343" s="279">
        <f>RES_BA!T193</f>
        <v>0</v>
      </c>
      <c r="S343" s="279">
        <f>RES_BA!U193</f>
        <v>0</v>
      </c>
    </row>
    <row r="344" spans="3:19" s="277" customFormat="1" hidden="1" outlineLevel="1" x14ac:dyDescent="0.3">
      <c r="C344" s="283" t="str">
        <f>RES_BA!D194</f>
        <v>Other Direct Costs Category 26</v>
      </c>
      <c r="M344" s="279">
        <f>RES_BA!R194</f>
        <v>0</v>
      </c>
      <c r="O344" s="279">
        <f>RES_BA!S194</f>
        <v>0</v>
      </c>
      <c r="Q344" s="279">
        <f>RES_BA!T194</f>
        <v>0</v>
      </c>
      <c r="S344" s="279">
        <f>RES_BA!U194</f>
        <v>0</v>
      </c>
    </row>
    <row r="345" spans="3:19" s="277" customFormat="1" hidden="1" outlineLevel="1" x14ac:dyDescent="0.3">
      <c r="C345" s="283" t="str">
        <f>RES_BA!D195</f>
        <v>Other Direct Costs Category 27</v>
      </c>
      <c r="M345" s="279">
        <f>RES_BA!R195</f>
        <v>0</v>
      </c>
      <c r="O345" s="279">
        <f>RES_BA!S195</f>
        <v>0</v>
      </c>
      <c r="Q345" s="279">
        <f>RES_BA!T195</f>
        <v>0</v>
      </c>
      <c r="S345" s="279">
        <f>RES_BA!U195</f>
        <v>0</v>
      </c>
    </row>
    <row r="346" spans="3:19" s="277" customFormat="1" hidden="1" outlineLevel="1" x14ac:dyDescent="0.3">
      <c r="C346" s="283" t="str">
        <f>RES_BA!D196</f>
        <v>Other Direct Costs Category 28</v>
      </c>
      <c r="M346" s="279">
        <f>RES_BA!R196</f>
        <v>0</v>
      </c>
      <c r="O346" s="279">
        <f>RES_BA!S196</f>
        <v>0</v>
      </c>
      <c r="Q346" s="279">
        <f>RES_BA!T196</f>
        <v>0</v>
      </c>
      <c r="S346" s="279">
        <f>RES_BA!U196</f>
        <v>0</v>
      </c>
    </row>
    <row r="347" spans="3:19" s="277" customFormat="1" hidden="1" outlineLevel="1" x14ac:dyDescent="0.3">
      <c r="C347" s="283" t="str">
        <f>RES_BA!D197</f>
        <v>Other Direct Costs Category 29</v>
      </c>
      <c r="M347" s="279">
        <f>RES_BA!R197</f>
        <v>0</v>
      </c>
      <c r="O347" s="279">
        <f>RES_BA!S197</f>
        <v>0</v>
      </c>
      <c r="Q347" s="279">
        <f>RES_BA!T197</f>
        <v>0</v>
      </c>
      <c r="S347" s="279">
        <f>RES_BA!U197</f>
        <v>0</v>
      </c>
    </row>
    <row r="348" spans="3:19" s="277" customFormat="1" hidden="1" outlineLevel="1" x14ac:dyDescent="0.3">
      <c r="C348" s="283" t="str">
        <f>RES_BA!D198</f>
        <v>Other Direct Costs Category 30</v>
      </c>
      <c r="M348" s="279">
        <f>RES_BA!R198</f>
        <v>0</v>
      </c>
      <c r="O348" s="279">
        <f>RES_BA!S198</f>
        <v>0</v>
      </c>
      <c r="Q348" s="279">
        <f>RES_BA!T198</f>
        <v>0</v>
      </c>
      <c r="S348" s="279">
        <f>RES_BA!U198</f>
        <v>0</v>
      </c>
    </row>
    <row r="349" spans="3:19" s="277" customFormat="1" hidden="1" outlineLevel="1" x14ac:dyDescent="0.3">
      <c r="C349" s="283" t="str">
        <f>RES_BA!D199</f>
        <v>Other Direct Costs Category 31</v>
      </c>
      <c r="M349" s="279">
        <f>RES_BA!R199</f>
        <v>0</v>
      </c>
      <c r="O349" s="279">
        <f>RES_BA!S199</f>
        <v>0</v>
      </c>
      <c r="Q349" s="279">
        <f>RES_BA!T199</f>
        <v>0</v>
      </c>
      <c r="S349" s="279">
        <f>RES_BA!U199</f>
        <v>0</v>
      </c>
    </row>
    <row r="350" spans="3:19" s="277" customFormat="1" hidden="1" outlineLevel="1" x14ac:dyDescent="0.3">
      <c r="C350" s="283" t="str">
        <f>RES_BA!D200</f>
        <v>Other Direct Costs Category 32</v>
      </c>
      <c r="M350" s="279">
        <f>RES_BA!R200</f>
        <v>0</v>
      </c>
      <c r="O350" s="279">
        <f>RES_BA!S200</f>
        <v>0</v>
      </c>
      <c r="Q350" s="279">
        <f>RES_BA!T200</f>
        <v>0</v>
      </c>
      <c r="S350" s="279">
        <f>RES_BA!U200</f>
        <v>0</v>
      </c>
    </row>
    <row r="351" spans="3:19" s="277" customFormat="1" hidden="1" outlineLevel="1" x14ac:dyDescent="0.3">
      <c r="C351" s="283" t="str">
        <f>RES_BA!D201</f>
        <v>Other Direct Costs Category 33</v>
      </c>
      <c r="M351" s="279">
        <f>RES_BA!R201</f>
        <v>0</v>
      </c>
      <c r="O351" s="279">
        <f>RES_BA!S201</f>
        <v>0</v>
      </c>
      <c r="Q351" s="279">
        <f>RES_BA!T201</f>
        <v>0</v>
      </c>
      <c r="S351" s="279">
        <f>RES_BA!U201</f>
        <v>0</v>
      </c>
    </row>
    <row r="352" spans="3:19" s="277" customFormat="1" hidden="1" outlineLevel="1" x14ac:dyDescent="0.3">
      <c r="C352" s="283" t="str">
        <f>RES_BA!D202</f>
        <v>Other Direct Costs Category 34</v>
      </c>
      <c r="M352" s="279">
        <f>RES_BA!R202</f>
        <v>0</v>
      </c>
      <c r="O352" s="279">
        <f>RES_BA!S202</f>
        <v>0</v>
      </c>
      <c r="Q352" s="279">
        <f>RES_BA!T202</f>
        <v>0</v>
      </c>
      <c r="S352" s="279">
        <f>RES_BA!U202</f>
        <v>0</v>
      </c>
    </row>
    <row r="353" spans="2:24" s="277" customFormat="1" hidden="1" outlineLevel="1" x14ac:dyDescent="0.3">
      <c r="C353" s="283" t="str">
        <f>RES_BA!D203</f>
        <v>Other Direct Costs Category 35</v>
      </c>
      <c r="M353" s="279">
        <f>RES_BA!R203</f>
        <v>0</v>
      </c>
      <c r="O353" s="279">
        <f>RES_BA!S203</f>
        <v>0</v>
      </c>
      <c r="Q353" s="279">
        <f>RES_BA!T203</f>
        <v>0</v>
      </c>
      <c r="S353" s="279">
        <f>RES_BA!U203</f>
        <v>0</v>
      </c>
    </row>
    <row r="354" spans="2:24" collapsed="1" x14ac:dyDescent="0.3"/>
    <row r="356" spans="2:24" ht="18" x14ac:dyDescent="0.3">
      <c r="B356" s="31" t="str">
        <f>I357</f>
        <v>Round 1 - Vacciination Activity #2 [not in use]</v>
      </c>
    </row>
    <row r="357" spans="2:24" x14ac:dyDescent="0.3">
      <c r="G357" s="41" t="s">
        <v>119</v>
      </c>
      <c r="I357" s="356" t="s">
        <v>1006</v>
      </c>
      <c r="J357" s="356"/>
      <c r="K357" s="356"/>
      <c r="L357" s="356"/>
      <c r="M357" s="356"/>
    </row>
    <row r="358" spans="2:24" ht="10.5" customHeight="1" x14ac:dyDescent="0.3">
      <c r="G358" s="41" t="s">
        <v>76</v>
      </c>
      <c r="I358" s="32">
        <v>2</v>
      </c>
    </row>
    <row r="359" spans="2:24" ht="15.6" x14ac:dyDescent="0.3">
      <c r="C359" s="92" t="s">
        <v>77</v>
      </c>
      <c r="M359" s="40" t="str">
        <f>IF(DD_ACT_12_Meet1_Curr=1,$D$512,$D$513)</f>
        <v>GOZ</v>
      </c>
      <c r="O359" s="40" t="str">
        <f>IF(DD_ACT_12_Meet1_Curr=1,$D$512,$D$513)</f>
        <v>GOZ</v>
      </c>
      <c r="Q359" s="40" t="str">
        <f>IF(DD_ACT_12_Meet1_Curr=1,$D$512,$D$513)</f>
        <v>GOZ</v>
      </c>
      <c r="S359" s="40" t="str">
        <f>IF(DD_ACT_12_Meet1_Curr=1,$D$512,$D$513)</f>
        <v>GOZ</v>
      </c>
    </row>
    <row r="360" spans="2:24" ht="27.6" x14ac:dyDescent="0.3">
      <c r="D360" s="90" t="s">
        <v>77</v>
      </c>
      <c r="I360" s="88" t="s">
        <v>80</v>
      </c>
      <c r="K360" s="91" t="s">
        <v>432</v>
      </c>
      <c r="M360" s="42" t="s">
        <v>107</v>
      </c>
      <c r="O360" s="42" t="s">
        <v>108</v>
      </c>
      <c r="Q360" s="42" t="s">
        <v>105</v>
      </c>
      <c r="S360" s="42" t="s">
        <v>106</v>
      </c>
      <c r="U360" s="350" t="s">
        <v>185</v>
      </c>
      <c r="V360" s="351"/>
      <c r="W360" s="351"/>
      <c r="X360" s="351"/>
    </row>
    <row r="361" spans="2:24" x14ac:dyDescent="0.3">
      <c r="D361" s="356" t="s">
        <v>188</v>
      </c>
      <c r="E361" s="356"/>
      <c r="F361" s="356"/>
      <c r="G361" s="356"/>
      <c r="I361" s="48">
        <v>0</v>
      </c>
      <c r="K361" s="48">
        <v>0</v>
      </c>
      <c r="M361" s="40">
        <f t="shared" ref="M361:M385" si="20">IFERROR(IF(DD_ACT_12_Meet1_Curr=1,INDEX($M$518:$M$552,MATCH(D361,LU_ACT_12_Pers_Res,0)),INDEX($Q$518:$Q$552,MATCH(D361,LU_ACT_12_Pers_Res,0))),0)</f>
        <v>0</v>
      </c>
      <c r="O361" s="40">
        <f t="shared" ref="O361:O385" si="21">IFERROR(IF(DD_ACT_12_Meet1_Curr=1,INDEX($O$518:$O$552,MATCH(D361,LU_ACT_12_Pers_Res,0)),INDEX($S$518:$S$552,MATCH(D361,LU_ACT_12_Pers_Res,0))),0)</f>
        <v>0</v>
      </c>
      <c r="Q361" s="293">
        <f t="shared" ref="Q361:Q385" si="22">I361*K361*M361</f>
        <v>0</v>
      </c>
      <c r="S361" s="293">
        <f t="shared" ref="S361:S385" si="23">I361*K361*O361</f>
        <v>0</v>
      </c>
      <c r="U361" s="356"/>
      <c r="V361" s="356"/>
      <c r="W361" s="356"/>
      <c r="X361" s="356"/>
    </row>
    <row r="362" spans="2:24" x14ac:dyDescent="0.3">
      <c r="D362" s="356" t="s">
        <v>189</v>
      </c>
      <c r="E362" s="356"/>
      <c r="F362" s="356"/>
      <c r="G362" s="356"/>
      <c r="I362" s="48">
        <v>0</v>
      </c>
      <c r="K362" s="48">
        <v>0</v>
      </c>
      <c r="M362" s="40">
        <f t="shared" si="20"/>
        <v>0</v>
      </c>
      <c r="O362" s="40">
        <f t="shared" si="21"/>
        <v>0</v>
      </c>
      <c r="Q362" s="293">
        <f t="shared" si="22"/>
        <v>0</v>
      </c>
      <c r="S362" s="293">
        <f t="shared" si="23"/>
        <v>0</v>
      </c>
      <c r="U362" s="356"/>
      <c r="V362" s="356"/>
      <c r="W362" s="356"/>
      <c r="X362" s="356"/>
    </row>
    <row r="363" spans="2:24" x14ac:dyDescent="0.3">
      <c r="D363" s="356" t="s">
        <v>190</v>
      </c>
      <c r="E363" s="356"/>
      <c r="F363" s="356"/>
      <c r="G363" s="356"/>
      <c r="I363" s="48">
        <v>0</v>
      </c>
      <c r="K363" s="48">
        <v>0</v>
      </c>
      <c r="M363" s="40">
        <f t="shared" si="20"/>
        <v>0</v>
      </c>
      <c r="O363" s="40">
        <f t="shared" si="21"/>
        <v>0</v>
      </c>
      <c r="Q363" s="293">
        <f t="shared" si="22"/>
        <v>0</v>
      </c>
      <c r="S363" s="293">
        <f t="shared" si="23"/>
        <v>0</v>
      </c>
      <c r="U363" s="356"/>
      <c r="V363" s="356"/>
      <c r="W363" s="356"/>
      <c r="X363" s="356"/>
    </row>
    <row r="364" spans="2:24" x14ac:dyDescent="0.3">
      <c r="D364" s="356" t="s">
        <v>191</v>
      </c>
      <c r="E364" s="356"/>
      <c r="F364" s="356"/>
      <c r="G364" s="356"/>
      <c r="I364" s="48">
        <v>0</v>
      </c>
      <c r="K364" s="48">
        <v>0</v>
      </c>
      <c r="M364" s="40">
        <f t="shared" si="20"/>
        <v>0</v>
      </c>
      <c r="O364" s="40">
        <f t="shared" si="21"/>
        <v>0</v>
      </c>
      <c r="Q364" s="293">
        <f t="shared" si="22"/>
        <v>0</v>
      </c>
      <c r="S364" s="293">
        <f t="shared" si="23"/>
        <v>0</v>
      </c>
      <c r="U364" s="356"/>
      <c r="V364" s="356"/>
      <c r="W364" s="356"/>
      <c r="X364" s="356"/>
    </row>
    <row r="365" spans="2:24" x14ac:dyDescent="0.3">
      <c r="D365" s="356" t="s">
        <v>192</v>
      </c>
      <c r="E365" s="356"/>
      <c r="F365" s="356"/>
      <c r="G365" s="356"/>
      <c r="I365" s="48">
        <v>0</v>
      </c>
      <c r="K365" s="48">
        <v>0</v>
      </c>
      <c r="M365" s="40">
        <f t="shared" si="20"/>
        <v>0</v>
      </c>
      <c r="O365" s="40">
        <f t="shared" si="21"/>
        <v>0</v>
      </c>
      <c r="Q365" s="293">
        <f t="shared" si="22"/>
        <v>0</v>
      </c>
      <c r="S365" s="293">
        <f t="shared" si="23"/>
        <v>0</v>
      </c>
      <c r="U365" s="356"/>
      <c r="V365" s="356"/>
      <c r="W365" s="356"/>
      <c r="X365" s="356"/>
    </row>
    <row r="366" spans="2:24" x14ac:dyDescent="0.3">
      <c r="D366" s="356" t="s">
        <v>193</v>
      </c>
      <c r="E366" s="356"/>
      <c r="F366" s="356"/>
      <c r="G366" s="356"/>
      <c r="I366" s="48">
        <v>0</v>
      </c>
      <c r="K366" s="48">
        <v>0</v>
      </c>
      <c r="M366" s="40">
        <f t="shared" si="20"/>
        <v>0</v>
      </c>
      <c r="O366" s="40">
        <f t="shared" si="21"/>
        <v>0</v>
      </c>
      <c r="Q366" s="293">
        <f t="shared" si="22"/>
        <v>0</v>
      </c>
      <c r="S366" s="293">
        <f t="shared" si="23"/>
        <v>0</v>
      </c>
      <c r="U366" s="356"/>
      <c r="V366" s="356"/>
      <c r="W366" s="356"/>
      <c r="X366" s="356"/>
    </row>
    <row r="367" spans="2:24" x14ac:dyDescent="0.3">
      <c r="D367" s="356" t="s">
        <v>120</v>
      </c>
      <c r="E367" s="356"/>
      <c r="F367" s="356"/>
      <c r="G367" s="356"/>
      <c r="I367" s="48">
        <v>0</v>
      </c>
      <c r="K367" s="48">
        <v>0</v>
      </c>
      <c r="M367" s="40">
        <f t="shared" si="20"/>
        <v>0</v>
      </c>
      <c r="O367" s="40">
        <f t="shared" si="21"/>
        <v>0</v>
      </c>
      <c r="Q367" s="293">
        <f t="shared" si="22"/>
        <v>0</v>
      </c>
      <c r="S367" s="293">
        <f t="shared" si="23"/>
        <v>0</v>
      </c>
      <c r="U367" s="356"/>
      <c r="V367" s="356"/>
      <c r="W367" s="356"/>
      <c r="X367" s="356"/>
    </row>
    <row r="368" spans="2:24" x14ac:dyDescent="0.3">
      <c r="D368" s="356" t="s">
        <v>121</v>
      </c>
      <c r="E368" s="356"/>
      <c r="F368" s="356"/>
      <c r="G368" s="356"/>
      <c r="I368" s="48">
        <v>0</v>
      </c>
      <c r="K368" s="48">
        <v>0</v>
      </c>
      <c r="M368" s="40">
        <f t="shared" si="20"/>
        <v>0</v>
      </c>
      <c r="O368" s="40">
        <f t="shared" si="21"/>
        <v>0</v>
      </c>
      <c r="Q368" s="293">
        <f t="shared" si="22"/>
        <v>0</v>
      </c>
      <c r="S368" s="293">
        <f t="shared" si="23"/>
        <v>0</v>
      </c>
      <c r="U368" s="356"/>
      <c r="V368" s="356"/>
      <c r="W368" s="356"/>
      <c r="X368" s="356"/>
    </row>
    <row r="369" spans="4:24" s="277" customFormat="1" x14ac:dyDescent="0.3">
      <c r="D369" s="356" t="s">
        <v>830</v>
      </c>
      <c r="E369" s="356"/>
      <c r="F369" s="356"/>
      <c r="G369" s="356"/>
      <c r="I369" s="48">
        <v>0</v>
      </c>
      <c r="K369" s="48">
        <v>0</v>
      </c>
      <c r="M369" s="279">
        <f t="shared" si="20"/>
        <v>0</v>
      </c>
      <c r="O369" s="279">
        <f t="shared" si="21"/>
        <v>0</v>
      </c>
      <c r="Q369" s="293">
        <f t="shared" si="22"/>
        <v>0</v>
      </c>
      <c r="S369" s="293">
        <f t="shared" si="23"/>
        <v>0</v>
      </c>
      <c r="U369" s="385"/>
      <c r="V369" s="385"/>
      <c r="W369" s="385"/>
      <c r="X369" s="385"/>
    </row>
    <row r="370" spans="4:24" s="277" customFormat="1" x14ac:dyDescent="0.3">
      <c r="D370" s="356" t="s">
        <v>831</v>
      </c>
      <c r="E370" s="356"/>
      <c r="F370" s="356"/>
      <c r="G370" s="356"/>
      <c r="I370" s="48">
        <v>0</v>
      </c>
      <c r="K370" s="48">
        <v>0</v>
      </c>
      <c r="M370" s="279">
        <f t="shared" si="20"/>
        <v>0</v>
      </c>
      <c r="O370" s="279">
        <f t="shared" si="21"/>
        <v>0</v>
      </c>
      <c r="Q370" s="293">
        <f t="shared" si="22"/>
        <v>0</v>
      </c>
      <c r="S370" s="293">
        <f t="shared" si="23"/>
        <v>0</v>
      </c>
      <c r="U370" s="385"/>
      <c r="V370" s="385"/>
      <c r="W370" s="385"/>
      <c r="X370" s="385"/>
    </row>
    <row r="371" spans="4:24" s="277" customFormat="1" x14ac:dyDescent="0.3">
      <c r="D371" s="356" t="s">
        <v>832</v>
      </c>
      <c r="E371" s="356"/>
      <c r="F371" s="356"/>
      <c r="G371" s="356"/>
      <c r="I371" s="48">
        <v>0</v>
      </c>
      <c r="K371" s="48">
        <v>0</v>
      </c>
      <c r="M371" s="279">
        <f t="shared" si="20"/>
        <v>0</v>
      </c>
      <c r="O371" s="279">
        <f t="shared" si="21"/>
        <v>0</v>
      </c>
      <c r="Q371" s="293">
        <f t="shared" si="22"/>
        <v>0</v>
      </c>
      <c r="S371" s="293">
        <f t="shared" si="23"/>
        <v>0</v>
      </c>
      <c r="U371" s="385"/>
      <c r="V371" s="385"/>
      <c r="W371" s="385"/>
      <c r="X371" s="385"/>
    </row>
    <row r="372" spans="4:24" s="277" customFormat="1" x14ac:dyDescent="0.3">
      <c r="D372" s="356" t="s">
        <v>833</v>
      </c>
      <c r="E372" s="356"/>
      <c r="F372" s="356"/>
      <c r="G372" s="356"/>
      <c r="I372" s="48">
        <v>0</v>
      </c>
      <c r="K372" s="48">
        <v>0</v>
      </c>
      <c r="M372" s="279">
        <f t="shared" si="20"/>
        <v>0</v>
      </c>
      <c r="O372" s="279">
        <f t="shared" si="21"/>
        <v>0</v>
      </c>
      <c r="Q372" s="293">
        <f t="shared" si="22"/>
        <v>0</v>
      </c>
      <c r="S372" s="293">
        <f t="shared" si="23"/>
        <v>0</v>
      </c>
      <c r="U372" s="385"/>
      <c r="V372" s="385"/>
      <c r="W372" s="385"/>
      <c r="X372" s="385"/>
    </row>
    <row r="373" spans="4:24" s="277" customFormat="1" x14ac:dyDescent="0.3">
      <c r="D373" s="356" t="s">
        <v>834</v>
      </c>
      <c r="E373" s="356"/>
      <c r="F373" s="356"/>
      <c r="G373" s="356"/>
      <c r="I373" s="48">
        <v>0</v>
      </c>
      <c r="K373" s="48">
        <v>0</v>
      </c>
      <c r="M373" s="279">
        <f t="shared" si="20"/>
        <v>0</v>
      </c>
      <c r="O373" s="279">
        <f t="shared" si="21"/>
        <v>0</v>
      </c>
      <c r="Q373" s="293">
        <f t="shared" si="22"/>
        <v>0</v>
      </c>
      <c r="S373" s="293">
        <f t="shared" si="23"/>
        <v>0</v>
      </c>
      <c r="U373" s="385"/>
      <c r="V373" s="385"/>
      <c r="W373" s="385"/>
      <c r="X373" s="385"/>
    </row>
    <row r="374" spans="4:24" s="277" customFormat="1" x14ac:dyDescent="0.3">
      <c r="D374" s="356" t="s">
        <v>835</v>
      </c>
      <c r="E374" s="356"/>
      <c r="F374" s="356"/>
      <c r="G374" s="356"/>
      <c r="I374" s="48">
        <v>0</v>
      </c>
      <c r="K374" s="48">
        <v>0</v>
      </c>
      <c r="M374" s="279">
        <f t="shared" si="20"/>
        <v>0</v>
      </c>
      <c r="O374" s="279">
        <f t="shared" si="21"/>
        <v>0</v>
      </c>
      <c r="Q374" s="293">
        <f t="shared" si="22"/>
        <v>0</v>
      </c>
      <c r="S374" s="293">
        <f t="shared" si="23"/>
        <v>0</v>
      </c>
      <c r="U374" s="385"/>
      <c r="V374" s="385"/>
      <c r="W374" s="385"/>
      <c r="X374" s="385"/>
    </row>
    <row r="375" spans="4:24" s="277" customFormat="1" x14ac:dyDescent="0.3">
      <c r="D375" s="356" t="s">
        <v>836</v>
      </c>
      <c r="E375" s="356"/>
      <c r="F375" s="356"/>
      <c r="G375" s="356"/>
      <c r="I375" s="48">
        <v>0</v>
      </c>
      <c r="K375" s="48">
        <v>0</v>
      </c>
      <c r="M375" s="279">
        <f t="shared" si="20"/>
        <v>0</v>
      </c>
      <c r="O375" s="279">
        <f t="shared" si="21"/>
        <v>0</v>
      </c>
      <c r="Q375" s="293">
        <f t="shared" si="22"/>
        <v>0</v>
      </c>
      <c r="S375" s="293">
        <f t="shared" si="23"/>
        <v>0</v>
      </c>
      <c r="U375" s="385"/>
      <c r="V375" s="385"/>
      <c r="W375" s="385"/>
      <c r="X375" s="385"/>
    </row>
    <row r="376" spans="4:24" s="277" customFormat="1" x14ac:dyDescent="0.3">
      <c r="D376" s="356" t="s">
        <v>837</v>
      </c>
      <c r="E376" s="356"/>
      <c r="F376" s="356"/>
      <c r="G376" s="356"/>
      <c r="I376" s="48">
        <v>0</v>
      </c>
      <c r="K376" s="48">
        <v>0</v>
      </c>
      <c r="M376" s="279">
        <f t="shared" si="20"/>
        <v>0</v>
      </c>
      <c r="O376" s="279">
        <f t="shared" si="21"/>
        <v>0</v>
      </c>
      <c r="Q376" s="293">
        <f t="shared" si="22"/>
        <v>0</v>
      </c>
      <c r="S376" s="293">
        <f t="shared" si="23"/>
        <v>0</v>
      </c>
      <c r="U376" s="385"/>
      <c r="V376" s="385"/>
      <c r="W376" s="385"/>
      <c r="X376" s="385"/>
    </row>
    <row r="377" spans="4:24" s="277" customFormat="1" x14ac:dyDescent="0.3">
      <c r="D377" s="356" t="s">
        <v>846</v>
      </c>
      <c r="E377" s="356"/>
      <c r="F377" s="356"/>
      <c r="G377" s="356"/>
      <c r="I377" s="48">
        <v>0</v>
      </c>
      <c r="K377" s="48">
        <v>0</v>
      </c>
      <c r="M377" s="279">
        <f t="shared" si="20"/>
        <v>0</v>
      </c>
      <c r="O377" s="279">
        <f t="shared" si="21"/>
        <v>0</v>
      </c>
      <c r="Q377" s="293">
        <f t="shared" si="22"/>
        <v>0</v>
      </c>
      <c r="S377" s="293">
        <f t="shared" si="23"/>
        <v>0</v>
      </c>
      <c r="U377" s="385"/>
      <c r="V377" s="385"/>
      <c r="W377" s="385"/>
      <c r="X377" s="385"/>
    </row>
    <row r="378" spans="4:24" s="277" customFormat="1" x14ac:dyDescent="0.3">
      <c r="D378" s="356" t="s">
        <v>847</v>
      </c>
      <c r="E378" s="356"/>
      <c r="F378" s="356"/>
      <c r="G378" s="356"/>
      <c r="I378" s="48">
        <v>0</v>
      </c>
      <c r="K378" s="48">
        <v>0</v>
      </c>
      <c r="M378" s="279">
        <f t="shared" si="20"/>
        <v>0</v>
      </c>
      <c r="O378" s="279">
        <f t="shared" si="21"/>
        <v>0</v>
      </c>
      <c r="Q378" s="293">
        <f t="shared" si="22"/>
        <v>0</v>
      </c>
      <c r="S378" s="293">
        <f t="shared" si="23"/>
        <v>0</v>
      </c>
      <c r="U378" s="385"/>
      <c r="V378" s="385"/>
      <c r="W378" s="385"/>
      <c r="X378" s="385"/>
    </row>
    <row r="379" spans="4:24" s="277" customFormat="1" x14ac:dyDescent="0.3">
      <c r="D379" s="356" t="s">
        <v>848</v>
      </c>
      <c r="E379" s="356"/>
      <c r="F379" s="356"/>
      <c r="G379" s="356"/>
      <c r="I379" s="48">
        <v>0</v>
      </c>
      <c r="K379" s="48">
        <v>0</v>
      </c>
      <c r="M379" s="279">
        <f t="shared" si="20"/>
        <v>0</v>
      </c>
      <c r="O379" s="279">
        <f t="shared" si="21"/>
        <v>0</v>
      </c>
      <c r="Q379" s="293">
        <f t="shared" si="22"/>
        <v>0</v>
      </c>
      <c r="S379" s="293">
        <f t="shared" si="23"/>
        <v>0</v>
      </c>
      <c r="U379" s="385"/>
      <c r="V379" s="385"/>
      <c r="W379" s="385"/>
      <c r="X379" s="385"/>
    </row>
    <row r="380" spans="4:24" s="277" customFormat="1" x14ac:dyDescent="0.3">
      <c r="D380" s="356" t="s">
        <v>849</v>
      </c>
      <c r="E380" s="356"/>
      <c r="F380" s="356"/>
      <c r="G380" s="356"/>
      <c r="I380" s="48">
        <v>0</v>
      </c>
      <c r="K380" s="48">
        <v>0</v>
      </c>
      <c r="M380" s="279">
        <f t="shared" si="20"/>
        <v>0</v>
      </c>
      <c r="O380" s="279">
        <f t="shared" si="21"/>
        <v>0</v>
      </c>
      <c r="Q380" s="293">
        <f t="shared" si="22"/>
        <v>0</v>
      </c>
      <c r="S380" s="293">
        <f t="shared" si="23"/>
        <v>0</v>
      </c>
      <c r="U380" s="385"/>
      <c r="V380" s="385"/>
      <c r="W380" s="385"/>
      <c r="X380" s="385"/>
    </row>
    <row r="381" spans="4:24" s="277" customFormat="1" x14ac:dyDescent="0.3">
      <c r="D381" s="356" t="s">
        <v>971</v>
      </c>
      <c r="E381" s="356"/>
      <c r="F381" s="356"/>
      <c r="G381" s="356"/>
      <c r="I381" s="48">
        <v>0</v>
      </c>
      <c r="K381" s="48">
        <v>0</v>
      </c>
      <c r="M381" s="279">
        <f t="shared" si="20"/>
        <v>0</v>
      </c>
      <c r="O381" s="279">
        <f t="shared" si="21"/>
        <v>0</v>
      </c>
      <c r="Q381" s="293">
        <f t="shared" si="22"/>
        <v>0</v>
      </c>
      <c r="S381" s="293">
        <f t="shared" si="23"/>
        <v>0</v>
      </c>
      <c r="U381" s="385"/>
      <c r="V381" s="385"/>
      <c r="W381" s="385"/>
      <c r="X381" s="385"/>
    </row>
    <row r="382" spans="4:24" s="277" customFormat="1" x14ac:dyDescent="0.3">
      <c r="D382" s="356" t="s">
        <v>973</v>
      </c>
      <c r="E382" s="356"/>
      <c r="F382" s="356"/>
      <c r="G382" s="356"/>
      <c r="I382" s="48">
        <v>0</v>
      </c>
      <c r="K382" s="48">
        <v>0</v>
      </c>
      <c r="M382" s="279">
        <f t="shared" si="20"/>
        <v>0</v>
      </c>
      <c r="O382" s="279">
        <f t="shared" si="21"/>
        <v>0</v>
      </c>
      <c r="Q382" s="293">
        <f t="shared" si="22"/>
        <v>0</v>
      </c>
      <c r="S382" s="293">
        <f t="shared" si="23"/>
        <v>0</v>
      </c>
      <c r="U382" s="385"/>
      <c r="V382" s="385"/>
      <c r="W382" s="385"/>
      <c r="X382" s="385"/>
    </row>
    <row r="383" spans="4:24" s="277" customFormat="1" x14ac:dyDescent="0.3">
      <c r="D383" s="356" t="s">
        <v>974</v>
      </c>
      <c r="E383" s="356"/>
      <c r="F383" s="356"/>
      <c r="G383" s="356"/>
      <c r="I383" s="48">
        <v>0</v>
      </c>
      <c r="K383" s="48">
        <v>0</v>
      </c>
      <c r="M383" s="279">
        <f t="shared" si="20"/>
        <v>0</v>
      </c>
      <c r="O383" s="279">
        <f t="shared" si="21"/>
        <v>0</v>
      </c>
      <c r="Q383" s="293">
        <f t="shared" si="22"/>
        <v>0</v>
      </c>
      <c r="S383" s="293">
        <f t="shared" si="23"/>
        <v>0</v>
      </c>
      <c r="U383" s="385"/>
      <c r="V383" s="385"/>
      <c r="W383" s="385"/>
      <c r="X383" s="385"/>
    </row>
    <row r="384" spans="4:24" s="277" customFormat="1" x14ac:dyDescent="0.3">
      <c r="D384" s="356" t="s">
        <v>975</v>
      </c>
      <c r="E384" s="356"/>
      <c r="F384" s="356"/>
      <c r="G384" s="356"/>
      <c r="I384" s="48">
        <v>0</v>
      </c>
      <c r="K384" s="48">
        <v>0</v>
      </c>
      <c r="M384" s="279">
        <f t="shared" si="20"/>
        <v>0</v>
      </c>
      <c r="O384" s="279">
        <f t="shared" si="21"/>
        <v>0</v>
      </c>
      <c r="Q384" s="293">
        <f t="shared" si="22"/>
        <v>0</v>
      </c>
      <c r="S384" s="293">
        <f t="shared" si="23"/>
        <v>0</v>
      </c>
      <c r="U384" s="385"/>
      <c r="V384" s="385"/>
      <c r="W384" s="385"/>
      <c r="X384" s="385"/>
    </row>
    <row r="385" spans="3:24" s="277" customFormat="1" x14ac:dyDescent="0.3">
      <c r="D385" s="356" t="s">
        <v>976</v>
      </c>
      <c r="E385" s="356"/>
      <c r="F385" s="356"/>
      <c r="G385" s="356"/>
      <c r="I385" s="48">
        <v>0</v>
      </c>
      <c r="K385" s="48">
        <v>0</v>
      </c>
      <c r="M385" s="279">
        <f t="shared" si="20"/>
        <v>0</v>
      </c>
      <c r="O385" s="279">
        <f t="shared" si="21"/>
        <v>0</v>
      </c>
      <c r="Q385" s="293">
        <f t="shared" si="22"/>
        <v>0</v>
      </c>
      <c r="S385" s="293">
        <f t="shared" si="23"/>
        <v>0</v>
      </c>
      <c r="U385" s="385"/>
      <c r="V385" s="385"/>
      <c r="W385" s="385"/>
      <c r="X385" s="385"/>
    </row>
    <row r="386" spans="3:24" ht="14.4" x14ac:dyDescent="0.3">
      <c r="D386" s="420" t="s">
        <v>79</v>
      </c>
      <c r="E386" s="421"/>
      <c r="F386" s="421"/>
      <c r="G386" s="421"/>
      <c r="I386" s="43"/>
      <c r="K386" s="43"/>
      <c r="M386" s="43"/>
      <c r="O386" s="43"/>
      <c r="Q386" s="294">
        <f>SUM(Q361:Q385)</f>
        <v>0</v>
      </c>
      <c r="S386" s="294">
        <f>SUM(S361:S385)</f>
        <v>0</v>
      </c>
    </row>
    <row r="388" spans="3:24" ht="15.6" x14ac:dyDescent="0.3">
      <c r="C388" s="92" t="s">
        <v>164</v>
      </c>
    </row>
    <row r="389" spans="3:24" ht="27.6" x14ac:dyDescent="0.3">
      <c r="D389" s="90" t="s">
        <v>102</v>
      </c>
      <c r="I389" s="91" t="s">
        <v>80</v>
      </c>
      <c r="K389" s="91" t="s">
        <v>432</v>
      </c>
      <c r="M389" s="42" t="s">
        <v>107</v>
      </c>
      <c r="O389" s="42" t="s">
        <v>108</v>
      </c>
      <c r="Q389" s="42" t="s">
        <v>105</v>
      </c>
      <c r="S389" s="42" t="s">
        <v>106</v>
      </c>
      <c r="U389" s="350" t="s">
        <v>185</v>
      </c>
      <c r="V389" s="351"/>
      <c r="W389" s="351"/>
      <c r="X389" s="351"/>
    </row>
    <row r="390" spans="3:24" x14ac:dyDescent="0.3">
      <c r="D390" s="356" t="s">
        <v>109</v>
      </c>
      <c r="E390" s="356"/>
      <c r="F390" s="356"/>
      <c r="G390" s="356"/>
      <c r="I390" s="48">
        <v>0</v>
      </c>
      <c r="K390" s="48">
        <v>0</v>
      </c>
      <c r="M390" s="40">
        <f t="shared" ref="M390:M414" si="24">IFERROR(IF(DD_ACT_12_Meet1_Curr=1,INDEX($M$555:$M$589,MATCH(D390,LU_ACT_12_Allowances,0)),INDEX($Q$555:$Q$589,MATCH(D390,LU_ACT_12_Allowances,0))),0)</f>
        <v>0</v>
      </c>
      <c r="O390" s="40">
        <f t="shared" ref="O390:O414" si="25">IFERROR(IF(DD_ACT_12_Meet1_Curr=1,INDEX($O$555:$O$589,MATCH(D390,LU_ACT_12_Allowances,0)),INDEX($S$555:$S$589,MATCH(D390,LU_ACT_12_Allowances,0))),0)</f>
        <v>0</v>
      </c>
      <c r="Q390" s="293">
        <f t="shared" ref="Q390:Q414" si="26">I390*K390*M390</f>
        <v>0</v>
      </c>
      <c r="S390" s="293">
        <f t="shared" ref="S390:S414" si="27">I390*K390*O390</f>
        <v>0</v>
      </c>
      <c r="U390" s="356"/>
      <c r="V390" s="356"/>
      <c r="W390" s="356"/>
      <c r="X390" s="356"/>
    </row>
    <row r="391" spans="3:24" x14ac:dyDescent="0.3">
      <c r="D391" s="356" t="s">
        <v>110</v>
      </c>
      <c r="E391" s="356"/>
      <c r="F391" s="356"/>
      <c r="G391" s="356"/>
      <c r="I391" s="48">
        <v>0</v>
      </c>
      <c r="K391" s="48">
        <v>0</v>
      </c>
      <c r="M391" s="40">
        <f t="shared" si="24"/>
        <v>0</v>
      </c>
      <c r="O391" s="40">
        <f t="shared" si="25"/>
        <v>0</v>
      </c>
      <c r="Q391" s="293">
        <f t="shared" si="26"/>
        <v>0</v>
      </c>
      <c r="S391" s="293">
        <f t="shared" si="27"/>
        <v>0</v>
      </c>
      <c r="U391" s="356"/>
      <c r="V391" s="356"/>
      <c r="W391" s="356"/>
      <c r="X391" s="356"/>
    </row>
    <row r="392" spans="3:24" x14ac:dyDescent="0.3">
      <c r="D392" s="356" t="s">
        <v>111</v>
      </c>
      <c r="E392" s="356"/>
      <c r="F392" s="356"/>
      <c r="G392" s="356"/>
      <c r="I392" s="48">
        <v>0</v>
      </c>
      <c r="K392" s="48">
        <v>0</v>
      </c>
      <c r="M392" s="40">
        <f t="shared" si="24"/>
        <v>0</v>
      </c>
      <c r="O392" s="40">
        <f t="shared" si="25"/>
        <v>0</v>
      </c>
      <c r="Q392" s="293">
        <f t="shared" si="26"/>
        <v>0</v>
      </c>
      <c r="S392" s="293">
        <f t="shared" si="27"/>
        <v>0</v>
      </c>
      <c r="U392" s="356"/>
      <c r="V392" s="356"/>
      <c r="W392" s="356"/>
      <c r="X392" s="356"/>
    </row>
    <row r="393" spans="3:24" x14ac:dyDescent="0.3">
      <c r="D393" s="356" t="s">
        <v>112</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113</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114</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x14ac:dyDescent="0.3">
      <c r="D396" s="356" t="s">
        <v>115</v>
      </c>
      <c r="E396" s="356"/>
      <c r="F396" s="356"/>
      <c r="G396" s="356"/>
      <c r="I396" s="48">
        <v>0</v>
      </c>
      <c r="K396" s="48">
        <v>0</v>
      </c>
      <c r="M396" s="40">
        <f t="shared" si="24"/>
        <v>0</v>
      </c>
      <c r="O396" s="40">
        <f t="shared" si="25"/>
        <v>0</v>
      </c>
      <c r="Q396" s="293">
        <f t="shared" si="26"/>
        <v>0</v>
      </c>
      <c r="S396" s="293">
        <f t="shared" si="27"/>
        <v>0</v>
      </c>
      <c r="U396" s="356"/>
      <c r="V396" s="356"/>
      <c r="W396" s="356"/>
      <c r="X396" s="356"/>
    </row>
    <row r="397" spans="3:24" x14ac:dyDescent="0.3">
      <c r="D397" s="356" t="s">
        <v>116</v>
      </c>
      <c r="E397" s="356"/>
      <c r="F397" s="356"/>
      <c r="G397" s="356"/>
      <c r="I397" s="48">
        <v>0</v>
      </c>
      <c r="K397" s="48">
        <v>0</v>
      </c>
      <c r="M397" s="40">
        <f t="shared" si="24"/>
        <v>0</v>
      </c>
      <c r="O397" s="40">
        <f t="shared" si="25"/>
        <v>0</v>
      </c>
      <c r="Q397" s="293">
        <f t="shared" si="26"/>
        <v>0</v>
      </c>
      <c r="S397" s="293">
        <f t="shared" si="27"/>
        <v>0</v>
      </c>
      <c r="U397" s="356"/>
      <c r="V397" s="356"/>
      <c r="W397" s="356"/>
      <c r="X397" s="356"/>
    </row>
    <row r="398" spans="3:24" s="277" customFormat="1" x14ac:dyDescent="0.3">
      <c r="D398" s="356" t="s">
        <v>838</v>
      </c>
      <c r="E398" s="356"/>
      <c r="F398" s="356"/>
      <c r="G398" s="356"/>
      <c r="I398" s="48">
        <v>0</v>
      </c>
      <c r="K398" s="48">
        <v>0</v>
      </c>
      <c r="M398" s="279">
        <f t="shared" si="24"/>
        <v>0</v>
      </c>
      <c r="O398" s="279">
        <f t="shared" si="25"/>
        <v>0</v>
      </c>
      <c r="Q398" s="293">
        <f t="shared" si="26"/>
        <v>0</v>
      </c>
      <c r="S398" s="293">
        <f t="shared" si="27"/>
        <v>0</v>
      </c>
      <c r="U398" s="385"/>
      <c r="V398" s="385"/>
      <c r="W398" s="385"/>
      <c r="X398" s="385"/>
    </row>
    <row r="399" spans="3:24" s="277" customFormat="1" x14ac:dyDescent="0.3">
      <c r="D399" s="356" t="s">
        <v>839</v>
      </c>
      <c r="E399" s="356"/>
      <c r="F399" s="356"/>
      <c r="G399" s="356"/>
      <c r="I399" s="48">
        <v>0</v>
      </c>
      <c r="K399" s="48">
        <v>0</v>
      </c>
      <c r="M399" s="279">
        <f t="shared" si="24"/>
        <v>0</v>
      </c>
      <c r="O399" s="279">
        <f t="shared" si="25"/>
        <v>0</v>
      </c>
      <c r="Q399" s="293">
        <f t="shared" si="26"/>
        <v>0</v>
      </c>
      <c r="S399" s="293">
        <f t="shared" si="27"/>
        <v>0</v>
      </c>
      <c r="U399" s="385"/>
      <c r="V399" s="385"/>
      <c r="W399" s="385"/>
      <c r="X399" s="385"/>
    </row>
    <row r="400" spans="3:24" s="277" customFormat="1" x14ac:dyDescent="0.3">
      <c r="D400" s="356" t="s">
        <v>840</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841</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842</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843</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844</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845</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850</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851</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852</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853</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972</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977</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978</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s="277" customFormat="1" x14ac:dyDescent="0.3">
      <c r="D413" s="356" t="s">
        <v>979</v>
      </c>
      <c r="E413" s="356"/>
      <c r="F413" s="356"/>
      <c r="G413" s="356"/>
      <c r="I413" s="48">
        <v>0</v>
      </c>
      <c r="K413" s="48">
        <v>0</v>
      </c>
      <c r="M413" s="279">
        <f t="shared" si="24"/>
        <v>0</v>
      </c>
      <c r="O413" s="279">
        <f t="shared" si="25"/>
        <v>0</v>
      </c>
      <c r="Q413" s="293">
        <f t="shared" si="26"/>
        <v>0</v>
      </c>
      <c r="S413" s="293">
        <f t="shared" si="27"/>
        <v>0</v>
      </c>
      <c r="U413" s="385"/>
      <c r="V413" s="385"/>
      <c r="W413" s="385"/>
      <c r="X413" s="385"/>
    </row>
    <row r="414" spans="4:24" s="277" customFormat="1" x14ac:dyDescent="0.3">
      <c r="D414" s="356" t="s">
        <v>980</v>
      </c>
      <c r="E414" s="356"/>
      <c r="F414" s="356"/>
      <c r="G414" s="356"/>
      <c r="I414" s="48">
        <v>0</v>
      </c>
      <c r="K414" s="48">
        <v>0</v>
      </c>
      <c r="M414" s="279">
        <f t="shared" si="24"/>
        <v>0</v>
      </c>
      <c r="O414" s="279">
        <f t="shared" si="25"/>
        <v>0</v>
      </c>
      <c r="Q414" s="293">
        <f t="shared" si="26"/>
        <v>0</v>
      </c>
      <c r="S414" s="293">
        <f t="shared" si="27"/>
        <v>0</v>
      </c>
      <c r="U414" s="385"/>
      <c r="V414" s="385"/>
      <c r="W414" s="385"/>
      <c r="X414" s="385"/>
    </row>
    <row r="415" spans="4:24" ht="14.4" x14ac:dyDescent="0.3">
      <c r="D415" s="420" t="s">
        <v>82</v>
      </c>
      <c r="E415" s="421"/>
      <c r="F415" s="421"/>
      <c r="G415" s="421"/>
      <c r="I415" s="43"/>
      <c r="K415" s="43"/>
      <c r="M415" s="43"/>
      <c r="O415" s="43"/>
      <c r="Q415" s="294">
        <f>SUM(Q390:Q414)</f>
        <v>0</v>
      </c>
      <c r="S415" s="294">
        <f>SUM(S390:S414)</f>
        <v>0</v>
      </c>
    </row>
    <row r="419" spans="3:24" ht="15.6" x14ac:dyDescent="0.3">
      <c r="C419" s="92" t="s">
        <v>84</v>
      </c>
    </row>
    <row r="420" spans="3:24" ht="27.6" x14ac:dyDescent="0.3">
      <c r="D420" s="90" t="s">
        <v>102</v>
      </c>
      <c r="I420" s="91" t="s">
        <v>87</v>
      </c>
      <c r="K420" s="91" t="s">
        <v>432</v>
      </c>
      <c r="M420" s="42" t="s">
        <v>107</v>
      </c>
      <c r="O420" s="42" t="s">
        <v>108</v>
      </c>
      <c r="Q420" s="42" t="s">
        <v>105</v>
      </c>
      <c r="S420" s="42" t="s">
        <v>106</v>
      </c>
      <c r="U420" s="350" t="s">
        <v>185</v>
      </c>
      <c r="V420" s="351"/>
      <c r="W420" s="351"/>
      <c r="X420" s="351"/>
    </row>
    <row r="421" spans="3:24" x14ac:dyDescent="0.3">
      <c r="D421" s="356" t="s">
        <v>892</v>
      </c>
      <c r="E421" s="356"/>
      <c r="F421" s="356"/>
      <c r="G421" s="356"/>
      <c r="I421" s="48">
        <v>0</v>
      </c>
      <c r="K421" s="48">
        <v>0</v>
      </c>
      <c r="M421" s="40">
        <f t="shared" ref="M421:M445" si="28">IFERROR(IF(DD_ACT_12_Meet1_Curr=1,INDEX($M$593:$M$627,MATCH(D421,LU_ACT_12_Supplies,0)),INDEX($Q$593:$Q$627,MATCH(D421,LU_ACT_12_Supplies,0))),0)</f>
        <v>0</v>
      </c>
      <c r="O421" s="40">
        <f t="shared" ref="O421:O445" si="29">IFERROR(IF(DD_ACT_12_Meet1_Curr=1,INDEX($O$593:$O$627,MATCH(D421,LU_ACT_12_Supplies,0)),INDEX($S$593:$S$627,MATCH(D421,LU_ACT_12_Supplies,0))),0)</f>
        <v>0</v>
      </c>
      <c r="Q421" s="295">
        <f t="shared" ref="Q421:Q445" si="30">I421*K421*M421</f>
        <v>0</v>
      </c>
      <c r="S421" s="293">
        <f t="shared" ref="S421:S445" si="31">I421*K421*O421</f>
        <v>0</v>
      </c>
      <c r="U421" s="356"/>
      <c r="V421" s="356"/>
      <c r="W421" s="356"/>
      <c r="X421" s="356"/>
    </row>
    <row r="422" spans="3:24" x14ac:dyDescent="0.3">
      <c r="D422" s="356" t="s">
        <v>893</v>
      </c>
      <c r="E422" s="356"/>
      <c r="F422" s="356"/>
      <c r="G422" s="356"/>
      <c r="I422" s="48">
        <v>0</v>
      </c>
      <c r="K422" s="48">
        <v>0</v>
      </c>
      <c r="M422" s="40">
        <f t="shared" si="28"/>
        <v>0</v>
      </c>
      <c r="O422" s="40">
        <f t="shared" si="29"/>
        <v>0</v>
      </c>
      <c r="Q422" s="295">
        <f t="shared" si="30"/>
        <v>0</v>
      </c>
      <c r="S422" s="293">
        <f t="shared" si="31"/>
        <v>0</v>
      </c>
      <c r="U422" s="356"/>
      <c r="V422" s="356"/>
      <c r="W422" s="356"/>
      <c r="X422" s="356"/>
    </row>
    <row r="423" spans="3:24" x14ac:dyDescent="0.3">
      <c r="D423" s="356" t="s">
        <v>854</v>
      </c>
      <c r="E423" s="356"/>
      <c r="F423" s="356"/>
      <c r="G423" s="356"/>
      <c r="I423" s="48">
        <v>0</v>
      </c>
      <c r="K423" s="48">
        <v>0</v>
      </c>
      <c r="M423" s="40">
        <f t="shared" si="28"/>
        <v>0</v>
      </c>
      <c r="O423" s="40">
        <f t="shared" si="29"/>
        <v>0</v>
      </c>
      <c r="Q423" s="295">
        <f t="shared" si="30"/>
        <v>0</v>
      </c>
      <c r="S423" s="293">
        <f t="shared" si="31"/>
        <v>0</v>
      </c>
      <c r="U423" s="356"/>
      <c r="V423" s="356"/>
      <c r="W423" s="356"/>
      <c r="X423" s="356"/>
    </row>
    <row r="424" spans="3:24" x14ac:dyDescent="0.3">
      <c r="D424" s="356" t="s">
        <v>855</v>
      </c>
      <c r="E424" s="356"/>
      <c r="F424" s="356"/>
      <c r="G424" s="356"/>
      <c r="I424" s="48">
        <v>0</v>
      </c>
      <c r="K424" s="48">
        <v>0</v>
      </c>
      <c r="M424" s="40">
        <f t="shared" si="28"/>
        <v>0</v>
      </c>
      <c r="O424" s="40">
        <f t="shared" si="29"/>
        <v>0</v>
      </c>
      <c r="Q424" s="295">
        <f t="shared" si="30"/>
        <v>0</v>
      </c>
      <c r="S424" s="293">
        <f t="shared" si="31"/>
        <v>0</v>
      </c>
      <c r="U424" s="356"/>
      <c r="V424" s="356"/>
      <c r="W424" s="356"/>
      <c r="X424" s="356"/>
    </row>
    <row r="425" spans="3:24" x14ac:dyDescent="0.3">
      <c r="D425" s="369" t="s">
        <v>856</v>
      </c>
      <c r="E425" s="391"/>
      <c r="F425" s="391"/>
      <c r="G425" s="392"/>
      <c r="I425" s="48">
        <v>0</v>
      </c>
      <c r="K425" s="48">
        <v>0</v>
      </c>
      <c r="M425" s="40">
        <f t="shared" si="28"/>
        <v>0</v>
      </c>
      <c r="O425" s="40">
        <f t="shared" si="29"/>
        <v>0</v>
      </c>
      <c r="Q425" s="295">
        <f t="shared" si="30"/>
        <v>0</v>
      </c>
      <c r="S425" s="293">
        <f t="shared" si="31"/>
        <v>0</v>
      </c>
      <c r="U425" s="369"/>
      <c r="V425" s="391"/>
      <c r="W425" s="391"/>
      <c r="X425" s="392"/>
    </row>
    <row r="426" spans="3:24" x14ac:dyDescent="0.3">
      <c r="D426" s="369" t="s">
        <v>857</v>
      </c>
      <c r="E426" s="391"/>
      <c r="F426" s="391"/>
      <c r="G426" s="392"/>
      <c r="I426" s="48">
        <v>0</v>
      </c>
      <c r="K426" s="48">
        <v>0</v>
      </c>
      <c r="M426" s="40">
        <f t="shared" si="28"/>
        <v>0</v>
      </c>
      <c r="O426" s="40">
        <f t="shared" si="29"/>
        <v>0</v>
      </c>
      <c r="Q426" s="295">
        <f t="shared" si="30"/>
        <v>0</v>
      </c>
      <c r="S426" s="293">
        <f t="shared" si="31"/>
        <v>0</v>
      </c>
      <c r="U426" s="369"/>
      <c r="V426" s="391"/>
      <c r="W426" s="391"/>
      <c r="X426" s="392"/>
    </row>
    <row r="427" spans="3:24" s="277" customFormat="1" x14ac:dyDescent="0.3">
      <c r="D427" s="356" t="s">
        <v>858</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859</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860</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861</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862</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863</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3:24" s="277" customFormat="1" x14ac:dyDescent="0.3">
      <c r="D433" s="356" t="s">
        <v>864</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3:24" s="277" customFormat="1" x14ac:dyDescent="0.3">
      <c r="D434" s="356" t="s">
        <v>865</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3:24" s="277" customFormat="1" x14ac:dyDescent="0.3">
      <c r="D435" s="356" t="s">
        <v>866</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3:24" s="277" customFormat="1" x14ac:dyDescent="0.3">
      <c r="D436" s="356" t="s">
        <v>867</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3:24" s="277" customFormat="1" x14ac:dyDescent="0.3">
      <c r="D437" s="356" t="s">
        <v>868</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3:24" s="277" customFormat="1" x14ac:dyDescent="0.3">
      <c r="D438" s="356" t="s">
        <v>869</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3:24" s="277" customFormat="1" x14ac:dyDescent="0.3">
      <c r="D439" s="356" t="s">
        <v>870</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3:24" s="277" customFormat="1" x14ac:dyDescent="0.3">
      <c r="D440" s="356" t="s">
        <v>871</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3:24" s="277" customFormat="1" x14ac:dyDescent="0.3">
      <c r="D441" s="356" t="s">
        <v>981</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3:24" s="277" customFormat="1" x14ac:dyDescent="0.3">
      <c r="D442" s="356" t="s">
        <v>982</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3:24" s="277" customFormat="1" x14ac:dyDescent="0.3">
      <c r="D443" s="356" t="s">
        <v>983</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3:24" s="277" customFormat="1" x14ac:dyDescent="0.3">
      <c r="D444" s="356" t="s">
        <v>984</v>
      </c>
      <c r="E444" s="356"/>
      <c r="F444" s="356"/>
      <c r="G444" s="356"/>
      <c r="I444" s="48">
        <v>0</v>
      </c>
      <c r="K444" s="48">
        <v>0</v>
      </c>
      <c r="M444" s="279">
        <f t="shared" si="28"/>
        <v>0</v>
      </c>
      <c r="O444" s="279">
        <f t="shared" si="29"/>
        <v>0</v>
      </c>
      <c r="Q444" s="295">
        <f t="shared" si="30"/>
        <v>0</v>
      </c>
      <c r="S444" s="293">
        <f t="shared" si="31"/>
        <v>0</v>
      </c>
      <c r="U444" s="385"/>
      <c r="V444" s="385"/>
      <c r="W444" s="385"/>
      <c r="X444" s="385"/>
    </row>
    <row r="445" spans="3:24" s="277" customFormat="1" x14ac:dyDescent="0.3">
      <c r="D445" s="356" t="s">
        <v>985</v>
      </c>
      <c r="E445" s="356"/>
      <c r="F445" s="356"/>
      <c r="G445" s="356"/>
      <c r="I445" s="48">
        <v>0</v>
      </c>
      <c r="K445" s="48">
        <v>0</v>
      </c>
      <c r="M445" s="279">
        <f t="shared" si="28"/>
        <v>0</v>
      </c>
      <c r="O445" s="279">
        <f t="shared" si="29"/>
        <v>0</v>
      </c>
      <c r="Q445" s="295">
        <f t="shared" si="30"/>
        <v>0</v>
      </c>
      <c r="S445" s="293">
        <f t="shared" si="31"/>
        <v>0</v>
      </c>
      <c r="U445" s="385"/>
      <c r="V445" s="385"/>
      <c r="W445" s="385"/>
      <c r="X445" s="385"/>
    </row>
    <row r="446" spans="3:24" ht="14.4" x14ac:dyDescent="0.3">
      <c r="D446" s="420" t="s">
        <v>85</v>
      </c>
      <c r="E446" s="421"/>
      <c r="F446" s="421"/>
      <c r="G446" s="421"/>
      <c r="I446" s="43"/>
      <c r="K446" s="43"/>
      <c r="M446" s="43"/>
      <c r="O446" s="43"/>
      <c r="Q446" s="296">
        <f>SUM(Q421:Q445)</f>
        <v>0</v>
      </c>
      <c r="S446" s="294">
        <f>SUM(S421:S445)</f>
        <v>0</v>
      </c>
      <c r="U446" s="43"/>
      <c r="V446" s="43"/>
      <c r="W446" s="43"/>
      <c r="X446" s="43"/>
    </row>
    <row r="448" spans="3:24" ht="27.6" x14ac:dyDescent="0.3">
      <c r="C448" s="92" t="s">
        <v>130</v>
      </c>
      <c r="Q448" s="44" t="str">
        <f>"FINANCIAL COST ("&amp;INDEX(LU_ACT_12_Meet_Curr,DD_ACT_12_Meet1_Curr)&amp;")"</f>
        <v>FINANCIAL COST (GOZ)</v>
      </c>
      <c r="S448" s="44" t="str">
        <f>"ECONOMIC COST ("&amp;INDEX(LU_ACT_12_Meet_Curr,DD_ACT_12_Meet1_Curr)&amp;")"</f>
        <v>ECONOMIC COST (GOZ)</v>
      </c>
    </row>
    <row r="449" spans="4:24" ht="27.6" x14ac:dyDescent="0.3">
      <c r="D449" s="90" t="s">
        <v>86</v>
      </c>
      <c r="I449" s="91" t="s">
        <v>186</v>
      </c>
      <c r="M449" s="42" t="s">
        <v>81</v>
      </c>
      <c r="O449" s="42" t="s">
        <v>83</v>
      </c>
      <c r="U449" s="350" t="s">
        <v>185</v>
      </c>
      <c r="V449" s="351"/>
      <c r="W449" s="351"/>
      <c r="X449" s="351"/>
    </row>
    <row r="450" spans="4:24" x14ac:dyDescent="0.3">
      <c r="D450" s="356" t="s">
        <v>70</v>
      </c>
      <c r="E450" s="356"/>
      <c r="F450" s="356"/>
      <c r="G450" s="356"/>
      <c r="I450" s="48">
        <v>0</v>
      </c>
      <c r="M450" s="40">
        <f t="shared" ref="M450:M474" si="32">IFERROR(IF(DD_ACT_12_Meet1_Curr=1,INDEX($M$630:$M$664,MATCH(D450,LU_ACT_12_Equipment,0)),INDEX($Q$630:$Q$664,MATCH(D450,LU_ACT_12_Equipment,0))),0)</f>
        <v>0</v>
      </c>
      <c r="O450" s="40">
        <f t="shared" ref="O450:O474" si="33">IFERROR(IF(DD_ACT_12_Meet1_Curr=1,INDEX($O$630:$O$664,MATCH(D450,LU_ACT_12_Equipment,0)),INDEX($S$630:$S$664,MATCH(D450,LU_ACT_12_Equipment,0))),0)</f>
        <v>0</v>
      </c>
      <c r="Q450" s="279">
        <f t="shared" ref="Q450:Q474" si="34">I450*M450</f>
        <v>0</v>
      </c>
      <c r="S450" s="279">
        <f t="shared" ref="S450:S474" si="35">I450*O450</f>
        <v>0</v>
      </c>
      <c r="U450" s="356"/>
      <c r="V450" s="356"/>
      <c r="W450" s="356"/>
      <c r="X450" s="356"/>
    </row>
    <row r="451" spans="4:24" x14ac:dyDescent="0.3">
      <c r="D451" s="356" t="s">
        <v>122</v>
      </c>
      <c r="E451" s="356"/>
      <c r="F451" s="356"/>
      <c r="G451" s="356"/>
      <c r="I451" s="48">
        <v>0</v>
      </c>
      <c r="M451" s="40">
        <f t="shared" si="32"/>
        <v>0</v>
      </c>
      <c r="O451" s="40">
        <f t="shared" si="33"/>
        <v>0</v>
      </c>
      <c r="Q451" s="279">
        <f t="shared" si="34"/>
        <v>0</v>
      </c>
      <c r="S451" s="279">
        <f t="shared" si="35"/>
        <v>0</v>
      </c>
      <c r="U451" s="356"/>
      <c r="V451" s="356"/>
      <c r="W451" s="356"/>
      <c r="X451" s="356"/>
    </row>
    <row r="452" spans="4:24" x14ac:dyDescent="0.3">
      <c r="D452" s="356" t="s">
        <v>872</v>
      </c>
      <c r="E452" s="356"/>
      <c r="F452" s="356"/>
      <c r="G452" s="356"/>
      <c r="I452" s="48">
        <v>0</v>
      </c>
      <c r="M452" s="40">
        <f t="shared" si="32"/>
        <v>0</v>
      </c>
      <c r="O452" s="40">
        <f t="shared" si="33"/>
        <v>0</v>
      </c>
      <c r="Q452" s="279">
        <f t="shared" si="34"/>
        <v>0</v>
      </c>
      <c r="S452" s="279">
        <f t="shared" si="35"/>
        <v>0</v>
      </c>
      <c r="U452" s="356"/>
      <c r="V452" s="356"/>
      <c r="W452" s="356"/>
      <c r="X452" s="356"/>
    </row>
    <row r="453" spans="4:24" s="277" customFormat="1" x14ac:dyDescent="0.3">
      <c r="D453" s="356" t="s">
        <v>873</v>
      </c>
      <c r="E453" s="356"/>
      <c r="F453" s="356"/>
      <c r="G453" s="356"/>
      <c r="I453" s="48">
        <v>0</v>
      </c>
      <c r="M453" s="279">
        <f t="shared" si="32"/>
        <v>0</v>
      </c>
      <c r="O453" s="279">
        <f t="shared" si="33"/>
        <v>0</v>
      </c>
      <c r="Q453" s="279">
        <f t="shared" si="34"/>
        <v>0</v>
      </c>
      <c r="S453" s="279">
        <f t="shared" si="35"/>
        <v>0</v>
      </c>
      <c r="U453" s="385"/>
      <c r="V453" s="385"/>
      <c r="W453" s="385"/>
      <c r="X453" s="385"/>
    </row>
    <row r="454" spans="4:24" s="277" customFormat="1" x14ac:dyDescent="0.3">
      <c r="D454" s="356" t="s">
        <v>874</v>
      </c>
      <c r="E454" s="356"/>
      <c r="F454" s="356"/>
      <c r="G454" s="356"/>
      <c r="I454" s="48">
        <v>0</v>
      </c>
      <c r="M454" s="279">
        <f t="shared" si="32"/>
        <v>0</v>
      </c>
      <c r="O454" s="279">
        <f t="shared" si="33"/>
        <v>0</v>
      </c>
      <c r="Q454" s="279">
        <f t="shared" si="34"/>
        <v>0</v>
      </c>
      <c r="S454" s="279">
        <f t="shared" si="35"/>
        <v>0</v>
      </c>
      <c r="U454" s="385"/>
      <c r="V454" s="385"/>
      <c r="W454" s="385"/>
      <c r="X454" s="385"/>
    </row>
    <row r="455" spans="4:24" s="277" customFormat="1" x14ac:dyDescent="0.3">
      <c r="D455" s="356" t="s">
        <v>875</v>
      </c>
      <c r="E455" s="356"/>
      <c r="F455" s="356"/>
      <c r="G455" s="356"/>
      <c r="I455" s="48">
        <v>0</v>
      </c>
      <c r="M455" s="279">
        <f t="shared" si="32"/>
        <v>0</v>
      </c>
      <c r="O455" s="279">
        <f t="shared" si="33"/>
        <v>0</v>
      </c>
      <c r="Q455" s="279">
        <f t="shared" si="34"/>
        <v>0</v>
      </c>
      <c r="S455" s="279">
        <f t="shared" si="35"/>
        <v>0</v>
      </c>
      <c r="U455" s="385"/>
      <c r="V455" s="385"/>
      <c r="W455" s="385"/>
      <c r="X455" s="385"/>
    </row>
    <row r="456" spans="4:24" s="277" customFormat="1" x14ac:dyDescent="0.3">
      <c r="D456" s="356" t="s">
        <v>778</v>
      </c>
      <c r="E456" s="356"/>
      <c r="F456" s="356"/>
      <c r="G456" s="356"/>
      <c r="I456" s="48">
        <v>0</v>
      </c>
      <c r="M456" s="279">
        <f t="shared" si="32"/>
        <v>0</v>
      </c>
      <c r="O456" s="279">
        <f t="shared" si="33"/>
        <v>0</v>
      </c>
      <c r="Q456" s="279">
        <f t="shared" si="34"/>
        <v>0</v>
      </c>
      <c r="S456" s="279">
        <f t="shared" si="35"/>
        <v>0</v>
      </c>
      <c r="U456" s="385"/>
      <c r="V456" s="385"/>
      <c r="W456" s="385"/>
      <c r="X456" s="385"/>
    </row>
    <row r="457" spans="4:24" s="277" customFormat="1" x14ac:dyDescent="0.3">
      <c r="D457" s="356" t="s">
        <v>779</v>
      </c>
      <c r="E457" s="356"/>
      <c r="F457" s="356"/>
      <c r="G457" s="356"/>
      <c r="I457" s="48">
        <v>0</v>
      </c>
      <c r="M457" s="279">
        <f t="shared" si="32"/>
        <v>0</v>
      </c>
      <c r="O457" s="279">
        <f t="shared" si="33"/>
        <v>0</v>
      </c>
      <c r="Q457" s="279">
        <f t="shared" si="34"/>
        <v>0</v>
      </c>
      <c r="S457" s="279">
        <f t="shared" si="35"/>
        <v>0</v>
      </c>
      <c r="U457" s="385"/>
      <c r="V457" s="385"/>
      <c r="W457" s="385"/>
      <c r="X457" s="385"/>
    </row>
    <row r="458" spans="4:24" s="277" customFormat="1" x14ac:dyDescent="0.3">
      <c r="D458" s="356" t="s">
        <v>780</v>
      </c>
      <c r="E458" s="356"/>
      <c r="F458" s="356"/>
      <c r="G458" s="356"/>
      <c r="I458" s="48">
        <v>0</v>
      </c>
      <c r="M458" s="279">
        <f t="shared" si="32"/>
        <v>0</v>
      </c>
      <c r="O458" s="279">
        <f t="shared" si="33"/>
        <v>0</v>
      </c>
      <c r="Q458" s="279">
        <f t="shared" si="34"/>
        <v>0</v>
      </c>
      <c r="S458" s="279">
        <f t="shared" si="35"/>
        <v>0</v>
      </c>
      <c r="U458" s="385"/>
      <c r="V458" s="385"/>
      <c r="W458" s="385"/>
      <c r="X458" s="385"/>
    </row>
    <row r="459" spans="4:24" s="277" customFormat="1" x14ac:dyDescent="0.3">
      <c r="D459" s="356" t="s">
        <v>781</v>
      </c>
      <c r="E459" s="356"/>
      <c r="F459" s="356"/>
      <c r="G459" s="356"/>
      <c r="I459" s="48">
        <v>0</v>
      </c>
      <c r="M459" s="279">
        <f t="shared" si="32"/>
        <v>0</v>
      </c>
      <c r="O459" s="279">
        <f t="shared" si="33"/>
        <v>0</v>
      </c>
      <c r="Q459" s="279">
        <f t="shared" si="34"/>
        <v>0</v>
      </c>
      <c r="S459" s="279">
        <f t="shared" si="35"/>
        <v>0</v>
      </c>
      <c r="U459" s="385"/>
      <c r="V459" s="385"/>
      <c r="W459" s="385"/>
      <c r="X459" s="385"/>
    </row>
    <row r="460" spans="4:24" s="277" customFormat="1" x14ac:dyDescent="0.3">
      <c r="D460" s="356" t="s">
        <v>782</v>
      </c>
      <c r="E460" s="356"/>
      <c r="F460" s="356"/>
      <c r="G460" s="356"/>
      <c r="I460" s="48">
        <v>0</v>
      </c>
      <c r="M460" s="279">
        <f t="shared" si="32"/>
        <v>0</v>
      </c>
      <c r="O460" s="279">
        <f t="shared" si="33"/>
        <v>0</v>
      </c>
      <c r="Q460" s="279">
        <f t="shared" si="34"/>
        <v>0</v>
      </c>
      <c r="S460" s="279">
        <f t="shared" si="35"/>
        <v>0</v>
      </c>
      <c r="U460" s="385"/>
      <c r="V460" s="385"/>
      <c r="W460" s="385"/>
      <c r="X460" s="385"/>
    </row>
    <row r="461" spans="4:24" s="277" customFormat="1" x14ac:dyDescent="0.3">
      <c r="D461" s="356" t="s">
        <v>783</v>
      </c>
      <c r="E461" s="356"/>
      <c r="F461" s="356"/>
      <c r="G461" s="356"/>
      <c r="I461" s="48">
        <v>0</v>
      </c>
      <c r="M461" s="279">
        <f t="shared" si="32"/>
        <v>0</v>
      </c>
      <c r="O461" s="279">
        <f t="shared" si="33"/>
        <v>0</v>
      </c>
      <c r="Q461" s="279">
        <f t="shared" si="34"/>
        <v>0</v>
      </c>
      <c r="S461" s="279">
        <f t="shared" si="35"/>
        <v>0</v>
      </c>
      <c r="U461" s="385"/>
      <c r="V461" s="385"/>
      <c r="W461" s="385"/>
      <c r="X461" s="385"/>
    </row>
    <row r="462" spans="4:24" s="277" customFormat="1" x14ac:dyDescent="0.3">
      <c r="D462" s="356" t="s">
        <v>784</v>
      </c>
      <c r="E462" s="356"/>
      <c r="F462" s="356"/>
      <c r="G462" s="356"/>
      <c r="I462" s="48">
        <v>0</v>
      </c>
      <c r="M462" s="279">
        <f t="shared" si="32"/>
        <v>0</v>
      </c>
      <c r="O462" s="279">
        <f t="shared" si="33"/>
        <v>0</v>
      </c>
      <c r="Q462" s="279">
        <f t="shared" si="34"/>
        <v>0</v>
      </c>
      <c r="S462" s="279">
        <f t="shared" si="35"/>
        <v>0</v>
      </c>
      <c r="U462" s="385"/>
      <c r="V462" s="385"/>
      <c r="W462" s="385"/>
      <c r="X462" s="385"/>
    </row>
    <row r="463" spans="4:24" s="277" customFormat="1" x14ac:dyDescent="0.3">
      <c r="D463" s="356" t="s">
        <v>785</v>
      </c>
      <c r="E463" s="356"/>
      <c r="F463" s="356"/>
      <c r="G463" s="356"/>
      <c r="I463" s="48">
        <v>0</v>
      </c>
      <c r="M463" s="279">
        <f t="shared" si="32"/>
        <v>0</v>
      </c>
      <c r="O463" s="279">
        <f t="shared" si="33"/>
        <v>0</v>
      </c>
      <c r="Q463" s="279">
        <f t="shared" si="34"/>
        <v>0</v>
      </c>
      <c r="S463" s="279">
        <f t="shared" si="35"/>
        <v>0</v>
      </c>
      <c r="U463" s="385"/>
      <c r="V463" s="385"/>
      <c r="W463" s="385"/>
      <c r="X463" s="385"/>
    </row>
    <row r="464" spans="4:24" s="277" customFormat="1" x14ac:dyDescent="0.3">
      <c r="D464" s="356" t="s">
        <v>786</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787</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788</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789</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790</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791</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792</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793</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794</v>
      </c>
      <c r="E472" s="356"/>
      <c r="F472" s="356"/>
      <c r="G472" s="356"/>
      <c r="I472" s="48">
        <v>0</v>
      </c>
      <c r="M472" s="279">
        <f t="shared" si="32"/>
        <v>0</v>
      </c>
      <c r="O472" s="279">
        <f t="shared" si="33"/>
        <v>0</v>
      </c>
      <c r="Q472" s="279">
        <f t="shared" si="34"/>
        <v>0</v>
      </c>
      <c r="S472" s="279">
        <f t="shared" si="35"/>
        <v>0</v>
      </c>
      <c r="U472" s="385"/>
      <c r="V472" s="385"/>
      <c r="W472" s="385"/>
      <c r="X472" s="385"/>
    </row>
    <row r="473" spans="3:24" s="277" customFormat="1" x14ac:dyDescent="0.3">
      <c r="D473" s="356" t="s">
        <v>795</v>
      </c>
      <c r="E473" s="356"/>
      <c r="F473" s="356"/>
      <c r="G473" s="356"/>
      <c r="I473" s="48">
        <v>0</v>
      </c>
      <c r="M473" s="279">
        <f t="shared" si="32"/>
        <v>0</v>
      </c>
      <c r="O473" s="279">
        <f t="shared" si="33"/>
        <v>0</v>
      </c>
      <c r="Q473" s="279">
        <f t="shared" si="34"/>
        <v>0</v>
      </c>
      <c r="S473" s="279">
        <f t="shared" si="35"/>
        <v>0</v>
      </c>
      <c r="U473" s="385"/>
      <c r="V473" s="385"/>
      <c r="W473" s="385"/>
      <c r="X473" s="385"/>
    </row>
    <row r="474" spans="3:24" s="277" customFormat="1" x14ac:dyDescent="0.3">
      <c r="D474" s="356" t="s">
        <v>796</v>
      </c>
      <c r="E474" s="356"/>
      <c r="F474" s="356"/>
      <c r="G474" s="356"/>
      <c r="I474" s="48">
        <v>0</v>
      </c>
      <c r="M474" s="279">
        <f t="shared" si="32"/>
        <v>0</v>
      </c>
      <c r="O474" s="279">
        <f t="shared" si="33"/>
        <v>0</v>
      </c>
      <c r="Q474" s="279">
        <f t="shared" si="34"/>
        <v>0</v>
      </c>
      <c r="S474" s="279">
        <f t="shared" si="35"/>
        <v>0</v>
      </c>
      <c r="U474" s="385"/>
      <c r="V474" s="385"/>
      <c r="W474" s="385"/>
      <c r="X474" s="385"/>
    </row>
    <row r="475" spans="3:24" ht="14.4" x14ac:dyDescent="0.3">
      <c r="D475" s="420" t="s">
        <v>88</v>
      </c>
      <c r="E475" s="421"/>
      <c r="F475" s="421"/>
      <c r="G475" s="421"/>
      <c r="I475" s="40"/>
      <c r="M475" s="40"/>
      <c r="O475" s="40"/>
      <c r="Q475" s="294">
        <f>SUM(Q450:Q474)</f>
        <v>0</v>
      </c>
      <c r="S475" s="294">
        <f>SUM(S450:S474)</f>
        <v>0</v>
      </c>
    </row>
    <row r="477" spans="3:24" ht="15.6" x14ac:dyDescent="0.3">
      <c r="C477" s="92" t="s">
        <v>89</v>
      </c>
    </row>
    <row r="478" spans="3:24" ht="27.6" x14ac:dyDescent="0.3">
      <c r="Q478" s="44" t="str">
        <f>"FINANCIAL COST ("&amp;INDEX(LU_ACT_12_Meet_Curr,DD_ACT_12_Meet1_Curr)&amp;")"</f>
        <v>FINANCIAL COST (GOZ)</v>
      </c>
      <c r="S478" s="44" t="str">
        <f>"ECONOMIC COST ("&amp;INDEX(LU_ACT_12_Meet_Curr,DD_ACT_12_Meet1_Curr)&amp;")"</f>
        <v>ECONOMIC COST (GOZ)</v>
      </c>
    </row>
    <row r="479" spans="3:24" ht="27.6" x14ac:dyDescent="0.3">
      <c r="D479" s="90" t="s">
        <v>86</v>
      </c>
      <c r="I479" s="91" t="s">
        <v>186</v>
      </c>
      <c r="K479" s="91" t="s">
        <v>432</v>
      </c>
      <c r="M479" s="42" t="s">
        <v>81</v>
      </c>
      <c r="O479" s="42" t="s">
        <v>83</v>
      </c>
      <c r="U479" s="350" t="s">
        <v>185</v>
      </c>
      <c r="V479" s="351"/>
      <c r="W479" s="351"/>
      <c r="X479" s="351"/>
    </row>
    <row r="480" spans="3:24" x14ac:dyDescent="0.3">
      <c r="D480" s="356" t="s">
        <v>71</v>
      </c>
      <c r="E480" s="356"/>
      <c r="F480" s="356"/>
      <c r="G480" s="356"/>
      <c r="I480" s="48">
        <v>0</v>
      </c>
      <c r="K480" s="48">
        <v>0</v>
      </c>
      <c r="M480" s="40">
        <f t="shared" ref="M480:M504" si="36">IFERROR(IF(DD_ACT_12_Meet1_Curr=1,INDEX($M$668:$M$702,MATCH(D480,LU_ACT_12_ODCS,0)),INDEX($Q$668:$Q$702,MATCH(D480,LU_ACT_12_ODCS,0))),0)</f>
        <v>0</v>
      </c>
      <c r="O480" s="40">
        <f t="shared" ref="O480:O504" si="37">IFERROR(IF(DD_ACT_12_Meet1_Curr=1,INDEX($O$668:$O$702,MATCH(D480,LU_ACT_12_ODCS,0)),INDEX($S$668:$S$702,MATCH(D480,LU_ACT_12_ODCS,0))),0)</f>
        <v>0</v>
      </c>
      <c r="Q480" s="279">
        <f t="shared" ref="Q480:Q504" si="38">I480*K480*M480</f>
        <v>0</v>
      </c>
      <c r="S480" s="279">
        <f t="shared" ref="S480:S504" si="39">I480*K480*O480</f>
        <v>0</v>
      </c>
      <c r="U480" s="356"/>
      <c r="V480" s="356"/>
      <c r="W480" s="356"/>
      <c r="X480" s="356"/>
    </row>
    <row r="481" spans="4:24" x14ac:dyDescent="0.3">
      <c r="D481" s="356" t="s">
        <v>72</v>
      </c>
      <c r="E481" s="356"/>
      <c r="F481" s="356"/>
      <c r="G481" s="356"/>
      <c r="I481" s="48">
        <v>0</v>
      </c>
      <c r="K481" s="48">
        <v>0</v>
      </c>
      <c r="M481" s="40">
        <f t="shared" si="36"/>
        <v>0</v>
      </c>
      <c r="O481" s="40">
        <f t="shared" si="37"/>
        <v>0</v>
      </c>
      <c r="Q481" s="279">
        <f t="shared" si="38"/>
        <v>0</v>
      </c>
      <c r="S481" s="279">
        <f t="shared" si="39"/>
        <v>0</v>
      </c>
      <c r="U481" s="356"/>
      <c r="V481" s="356"/>
      <c r="W481" s="356"/>
      <c r="X481" s="356"/>
    </row>
    <row r="482" spans="4:24" x14ac:dyDescent="0.3">
      <c r="D482" s="356" t="s">
        <v>73</v>
      </c>
      <c r="E482" s="356"/>
      <c r="F482" s="356"/>
      <c r="G482" s="356"/>
      <c r="I482" s="48">
        <v>0</v>
      </c>
      <c r="K482" s="48">
        <v>0</v>
      </c>
      <c r="M482" s="40">
        <f t="shared" si="36"/>
        <v>0</v>
      </c>
      <c r="O482" s="40">
        <f t="shared" si="37"/>
        <v>0</v>
      </c>
      <c r="Q482" s="279">
        <f t="shared" si="38"/>
        <v>0</v>
      </c>
      <c r="S482" s="279">
        <f t="shared" si="39"/>
        <v>0</v>
      </c>
      <c r="U482" s="356"/>
      <c r="V482" s="356"/>
      <c r="W482" s="356"/>
      <c r="X482" s="356"/>
    </row>
    <row r="483" spans="4:24" x14ac:dyDescent="0.3">
      <c r="D483" s="356" t="s">
        <v>74</v>
      </c>
      <c r="E483" s="356"/>
      <c r="F483" s="356"/>
      <c r="G483" s="356"/>
      <c r="I483" s="48">
        <v>0</v>
      </c>
      <c r="K483" s="48">
        <v>0</v>
      </c>
      <c r="M483" s="40">
        <f t="shared" si="36"/>
        <v>0</v>
      </c>
      <c r="O483" s="40">
        <f t="shared" si="37"/>
        <v>0</v>
      </c>
      <c r="Q483" s="279">
        <f t="shared" si="38"/>
        <v>0</v>
      </c>
      <c r="S483" s="279">
        <f t="shared" si="39"/>
        <v>0</v>
      </c>
      <c r="U483" s="356"/>
      <c r="V483" s="356"/>
      <c r="W483" s="356"/>
      <c r="X483" s="356"/>
    </row>
    <row r="484" spans="4:24" x14ac:dyDescent="0.3">
      <c r="D484" s="356" t="s">
        <v>75</v>
      </c>
      <c r="E484" s="356"/>
      <c r="F484" s="356"/>
      <c r="G484" s="356"/>
      <c r="I484" s="48">
        <v>0</v>
      </c>
      <c r="K484" s="48">
        <v>0</v>
      </c>
      <c r="M484" s="40">
        <f t="shared" si="36"/>
        <v>0</v>
      </c>
      <c r="O484" s="40">
        <f t="shared" si="37"/>
        <v>0</v>
      </c>
      <c r="Q484" s="279">
        <f t="shared" si="38"/>
        <v>0</v>
      </c>
      <c r="S484" s="279">
        <f t="shared" si="39"/>
        <v>0</v>
      </c>
      <c r="U484" s="356"/>
      <c r="V484" s="356"/>
      <c r="W484" s="356"/>
      <c r="X484" s="356"/>
    </row>
    <row r="485" spans="4:24" s="277" customFormat="1" x14ac:dyDescent="0.3">
      <c r="D485" s="356" t="s">
        <v>876</v>
      </c>
      <c r="E485" s="356"/>
      <c r="F485" s="356"/>
      <c r="G485" s="356"/>
      <c r="I485" s="48">
        <v>0</v>
      </c>
      <c r="K485" s="48">
        <v>0</v>
      </c>
      <c r="M485" s="279">
        <f t="shared" si="36"/>
        <v>0</v>
      </c>
      <c r="O485" s="279">
        <f t="shared" si="37"/>
        <v>0</v>
      </c>
      <c r="Q485" s="279">
        <f t="shared" si="38"/>
        <v>0</v>
      </c>
      <c r="S485" s="279">
        <f t="shared" si="39"/>
        <v>0</v>
      </c>
      <c r="U485" s="385"/>
      <c r="V485" s="385"/>
      <c r="W485" s="385"/>
      <c r="X485" s="385"/>
    </row>
    <row r="486" spans="4:24" s="277" customFormat="1" x14ac:dyDescent="0.3">
      <c r="D486" s="356" t="s">
        <v>877</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878</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879</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880</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881</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882</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883</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884</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885</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886</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887</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888</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889</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890</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986</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987</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s="277" customFormat="1" x14ac:dyDescent="0.3">
      <c r="D502" s="356" t="s">
        <v>988</v>
      </c>
      <c r="E502" s="356"/>
      <c r="F502" s="356"/>
      <c r="G502" s="356"/>
      <c r="I502" s="48">
        <v>0</v>
      </c>
      <c r="K502" s="48">
        <v>0</v>
      </c>
      <c r="M502" s="279">
        <f t="shared" si="36"/>
        <v>0</v>
      </c>
      <c r="O502" s="279">
        <f t="shared" si="37"/>
        <v>0</v>
      </c>
      <c r="Q502" s="279">
        <f t="shared" si="38"/>
        <v>0</v>
      </c>
      <c r="S502" s="279">
        <f t="shared" si="39"/>
        <v>0</v>
      </c>
      <c r="U502" s="385"/>
      <c r="V502" s="385"/>
      <c r="W502" s="385"/>
      <c r="X502" s="385"/>
    </row>
    <row r="503" spans="2:24" s="277" customFormat="1" x14ac:dyDescent="0.3">
      <c r="D503" s="356" t="s">
        <v>989</v>
      </c>
      <c r="E503" s="356"/>
      <c r="F503" s="356"/>
      <c r="G503" s="356"/>
      <c r="I503" s="48">
        <v>0</v>
      </c>
      <c r="K503" s="48">
        <v>0</v>
      </c>
      <c r="M503" s="279">
        <f t="shared" si="36"/>
        <v>0</v>
      </c>
      <c r="O503" s="279">
        <f t="shared" si="37"/>
        <v>0</v>
      </c>
      <c r="Q503" s="279">
        <f t="shared" si="38"/>
        <v>0</v>
      </c>
      <c r="S503" s="279">
        <f t="shared" si="39"/>
        <v>0</v>
      </c>
      <c r="U503" s="385"/>
      <c r="V503" s="385"/>
      <c r="W503" s="385"/>
      <c r="X503" s="385"/>
    </row>
    <row r="504" spans="2:24" s="277" customFormat="1" x14ac:dyDescent="0.3">
      <c r="D504" s="356" t="s">
        <v>990</v>
      </c>
      <c r="E504" s="356"/>
      <c r="F504" s="356"/>
      <c r="G504" s="356"/>
      <c r="I504" s="48">
        <v>0</v>
      </c>
      <c r="K504" s="48">
        <v>0</v>
      </c>
      <c r="M504" s="279">
        <f t="shared" si="36"/>
        <v>0</v>
      </c>
      <c r="O504" s="279">
        <f t="shared" si="37"/>
        <v>0</v>
      </c>
      <c r="Q504" s="279">
        <f t="shared" si="38"/>
        <v>0</v>
      </c>
      <c r="S504" s="279">
        <f t="shared" si="39"/>
        <v>0</v>
      </c>
      <c r="U504" s="385"/>
      <c r="V504" s="385"/>
      <c r="W504" s="385"/>
      <c r="X504" s="385"/>
    </row>
    <row r="505" spans="2:24" ht="14.4" x14ac:dyDescent="0.3">
      <c r="D505" s="420" t="s">
        <v>90</v>
      </c>
      <c r="E505" s="421"/>
      <c r="F505" s="421"/>
      <c r="G505" s="421"/>
      <c r="I505" s="40"/>
      <c r="K505" s="40">
        <f>SUM(K480:K504)</f>
        <v>0</v>
      </c>
      <c r="M505" s="40"/>
      <c r="O505" s="40"/>
      <c r="Q505" s="294">
        <f>SUM(Q480:Q504)</f>
        <v>0</v>
      </c>
      <c r="S505" s="294">
        <f>SUM(S480:S504)</f>
        <v>0</v>
      </c>
    </row>
    <row r="507" spans="2:24" ht="27.6" x14ac:dyDescent="0.3">
      <c r="Q507" s="44" t="str">
        <f>"FINANCIAL COST ("&amp;INDEX(LU_ACT_12_Meet_Curr,DD_ACT_12_Meet1_Curr)&amp;")"</f>
        <v>FINANCIAL COST (GOZ)</v>
      </c>
      <c r="S507" s="44" t="str">
        <f>"ECONOMIC COST ("&amp;INDEX(LU_ACT_12_Meet_Curr,DD_ACT_12_Meet1_Curr)&amp;")"</f>
        <v>ECONOMIC COST (GOZ)</v>
      </c>
      <c r="U507" s="44" t="str">
        <f>"FINANCIAL COST ("&amp;IF(DD_ACT_12_Meet1_Curr=2,$D$512,$D$513)&amp;")"</f>
        <v>FINANCIAL COST (USD)</v>
      </c>
      <c r="W507" s="44" t="str">
        <f>"ECONOMIC COST ("&amp;IF(DD_ACT_12_Meet1_Curr=2,$D$512,$D$513)&amp;")"</f>
        <v>ECONOMIC COST (USD)</v>
      </c>
    </row>
    <row r="508" spans="2:24" ht="18.600000000000001" thickBot="1" x14ac:dyDescent="0.35">
      <c r="B508" s="99" t="s">
        <v>91</v>
      </c>
      <c r="Q508" s="46">
        <f>SUM(Q386,Q415,Q446,Q475,Q505)</f>
        <v>0</v>
      </c>
      <c r="S508" s="46">
        <f>SUM(S386,S415,S446,S475,S505)</f>
        <v>0</v>
      </c>
      <c r="U508" s="47">
        <f>IFERROR(IF(DD_ACT_12_Meet1_Curr=2,$Q508/$I$513,$Q508*$I$513), 0)</f>
        <v>0</v>
      </c>
      <c r="W508" s="47">
        <f>IFERROR(IF(DD_ACT_12_Meet1_Curr=2,$S508/$I$513,$S508*$I$513), 0)</f>
        <v>0</v>
      </c>
    </row>
    <row r="509" spans="2:24" ht="14.4" thickTop="1" x14ac:dyDescent="0.3"/>
    <row r="510" spans="2:24" x14ac:dyDescent="0.3">
      <c r="C510" s="91" t="s">
        <v>584</v>
      </c>
    </row>
    <row r="511" spans="2:24" hidden="1" outlineLevel="1" x14ac:dyDescent="0.3"/>
    <row r="512" spans="2:24" ht="12.9" hidden="1" customHeight="1" outlineLevel="1" x14ac:dyDescent="0.3">
      <c r="D512" s="422" t="str">
        <f>CURR_TA!D13</f>
        <v>USD</v>
      </c>
      <c r="E512" s="423"/>
      <c r="F512" s="423"/>
      <c r="G512" s="423"/>
      <c r="I512" s="279">
        <f>CURR_TA!J13</f>
        <v>1</v>
      </c>
      <c r="J512" s="279">
        <f>CURR_TA!K13</f>
        <v>0</v>
      </c>
      <c r="K512" s="279">
        <f>CURR_TA!L13</f>
        <v>0</v>
      </c>
      <c r="L512" s="279">
        <f>CURR_TA!M13</f>
        <v>0</v>
      </c>
    </row>
    <row r="513" spans="3:19" ht="12.9" hidden="1" customHeight="1" outlineLevel="1" x14ac:dyDescent="0.3">
      <c r="D513" s="422" t="str">
        <f>CURR_TA!D14</f>
        <v>GOZ</v>
      </c>
      <c r="E513" s="423"/>
      <c r="F513" s="423"/>
      <c r="G513" s="423"/>
      <c r="I513" s="279">
        <f>CURR_TA!J14</f>
        <v>0</v>
      </c>
      <c r="J513" s="279">
        <f>CURR_TA!K14</f>
        <v>0</v>
      </c>
      <c r="K513" s="279">
        <f>CURR_TA!L14</f>
        <v>0</v>
      </c>
      <c r="L513" s="279">
        <f>CURR_TA!M14</f>
        <v>0</v>
      </c>
    </row>
    <row r="514" spans="3:19" collapsed="1" x14ac:dyDescent="0.3"/>
    <row r="516" spans="3:19" x14ac:dyDescent="0.3">
      <c r="C516" s="91" t="s">
        <v>590</v>
      </c>
    </row>
    <row r="517" spans="3:19" hidden="1" outlineLevel="1" x14ac:dyDescent="0.3">
      <c r="M517" s="40" t="str">
        <f>$D$512</f>
        <v>USD</v>
      </c>
      <c r="O517" s="40" t="str">
        <f>$D$512</f>
        <v>USD</v>
      </c>
      <c r="Q517" s="40" t="str">
        <f>$D$513</f>
        <v>GOZ</v>
      </c>
      <c r="S517" s="40" t="str">
        <f>$D$513</f>
        <v>GOZ</v>
      </c>
    </row>
    <row r="518" spans="3:19" hidden="1" outlineLevel="1" x14ac:dyDescent="0.3">
      <c r="C518" s="89" t="str">
        <f>RES_BA!D14</f>
        <v>Personnel Cadre - Other 1</v>
      </c>
      <c r="M518" s="40">
        <f>RES_BA!R14</f>
        <v>0</v>
      </c>
      <c r="O518" s="40">
        <f>RES_BA!S14</f>
        <v>0</v>
      </c>
      <c r="Q518" s="40">
        <f>RES_BA!T14</f>
        <v>0</v>
      </c>
      <c r="S518" s="40">
        <f>RES_BA!U14</f>
        <v>0</v>
      </c>
    </row>
    <row r="519" spans="3:19" hidden="1" outlineLevel="1" x14ac:dyDescent="0.3">
      <c r="C519" s="89" t="str">
        <f>RES_BA!D15</f>
        <v>Personnel Cadre - Other 2</v>
      </c>
      <c r="M519" s="40">
        <f>RES_BA!R15</f>
        <v>0</v>
      </c>
      <c r="O519" s="40">
        <f>RES_BA!S15</f>
        <v>0</v>
      </c>
      <c r="Q519" s="40">
        <f>RES_BA!T15</f>
        <v>0</v>
      </c>
      <c r="S519" s="40">
        <f>RES_BA!U15</f>
        <v>0</v>
      </c>
    </row>
    <row r="520" spans="3:19" hidden="1" outlineLevel="1" x14ac:dyDescent="0.3">
      <c r="C520" s="89" t="str">
        <f>RES_BA!D16</f>
        <v>Personnel Cadre - Other 3</v>
      </c>
      <c r="M520" s="40">
        <f>RES_BA!R16</f>
        <v>0</v>
      </c>
      <c r="O520" s="40">
        <f>RES_BA!S16</f>
        <v>0</v>
      </c>
      <c r="Q520" s="40">
        <f>RES_BA!T16</f>
        <v>0</v>
      </c>
      <c r="S520" s="40">
        <f>RES_BA!U16</f>
        <v>0</v>
      </c>
    </row>
    <row r="521" spans="3:19" hidden="1" outlineLevel="1" x14ac:dyDescent="0.3">
      <c r="C521" s="89" t="str">
        <f>RES_BA!D17</f>
        <v>Personnel Cadre - Other 4</v>
      </c>
      <c r="M521" s="40">
        <f>RES_BA!R17</f>
        <v>0</v>
      </c>
      <c r="O521" s="40">
        <f>RES_BA!S17</f>
        <v>0</v>
      </c>
      <c r="Q521" s="40">
        <f>RES_BA!T17</f>
        <v>0</v>
      </c>
      <c r="S521" s="40">
        <f>RES_BA!U17</f>
        <v>0</v>
      </c>
    </row>
    <row r="522" spans="3:19" hidden="1" outlineLevel="1" x14ac:dyDescent="0.3">
      <c r="C522" s="89" t="str">
        <f>RES_BA!D18</f>
        <v>Personnel Cadre - Other 5</v>
      </c>
      <c r="M522" s="40">
        <f>RES_BA!R18</f>
        <v>0</v>
      </c>
      <c r="O522" s="40">
        <f>RES_BA!S18</f>
        <v>0</v>
      </c>
      <c r="Q522" s="40">
        <f>RES_BA!T18</f>
        <v>0</v>
      </c>
      <c r="S522" s="40">
        <f>RES_BA!U18</f>
        <v>0</v>
      </c>
    </row>
    <row r="523" spans="3:19" hidden="1" outlineLevel="1" x14ac:dyDescent="0.3">
      <c r="C523" s="89" t="str">
        <f>RES_BA!D19</f>
        <v>Personnel Cadre - Other 6</v>
      </c>
      <c r="M523" s="40">
        <f>RES_BA!R19</f>
        <v>0</v>
      </c>
      <c r="O523" s="40">
        <f>RES_BA!S19</f>
        <v>0</v>
      </c>
      <c r="Q523" s="40">
        <f>RES_BA!T19</f>
        <v>0</v>
      </c>
      <c r="S523" s="40">
        <f>RES_BA!U19</f>
        <v>0</v>
      </c>
    </row>
    <row r="524" spans="3:19" hidden="1" outlineLevel="1" x14ac:dyDescent="0.3">
      <c r="C524" s="89" t="str">
        <f>RES_BA!D20</f>
        <v>Personnel Cadre - Other 7</v>
      </c>
      <c r="M524" s="40">
        <f>RES_BA!R20</f>
        <v>0</v>
      </c>
      <c r="O524" s="40">
        <f>RES_BA!S20</f>
        <v>0</v>
      </c>
      <c r="Q524" s="40">
        <f>RES_BA!T20</f>
        <v>0</v>
      </c>
      <c r="S524" s="40">
        <f>RES_BA!U20</f>
        <v>0</v>
      </c>
    </row>
    <row r="525" spans="3:19" hidden="1" outlineLevel="1" x14ac:dyDescent="0.3">
      <c r="C525" s="89" t="str">
        <f>RES_BA!D21</f>
        <v>Personnel Cadre - Other 8</v>
      </c>
      <c r="M525" s="40">
        <f>RES_BA!R21</f>
        <v>0</v>
      </c>
      <c r="O525" s="40">
        <f>RES_BA!S21</f>
        <v>0</v>
      </c>
      <c r="Q525" s="40">
        <f>RES_BA!T21</f>
        <v>0</v>
      </c>
      <c r="S525" s="40">
        <f>RES_BA!U21</f>
        <v>0</v>
      </c>
    </row>
    <row r="526" spans="3:19" hidden="1" outlineLevel="1" x14ac:dyDescent="0.3">
      <c r="C526" s="89" t="str">
        <f>RES_BA!D22</f>
        <v>Personnel Cadre - Other 9</v>
      </c>
      <c r="M526" s="40">
        <f>RES_BA!R22</f>
        <v>0</v>
      </c>
      <c r="O526" s="40">
        <f>RES_BA!S22</f>
        <v>0</v>
      </c>
      <c r="Q526" s="40">
        <f>RES_BA!T22</f>
        <v>0</v>
      </c>
      <c r="S526" s="40">
        <f>RES_BA!U22</f>
        <v>0</v>
      </c>
    </row>
    <row r="527" spans="3:19" hidden="1" outlineLevel="1" x14ac:dyDescent="0.3">
      <c r="C527" s="89" t="str">
        <f>RES_BA!D23</f>
        <v>Personnel Cadre - Other 10</v>
      </c>
      <c r="M527" s="40">
        <f>RES_BA!R23</f>
        <v>0</v>
      </c>
      <c r="O527" s="40">
        <f>RES_BA!S23</f>
        <v>0</v>
      </c>
      <c r="Q527" s="40">
        <f>RES_BA!T23</f>
        <v>0</v>
      </c>
      <c r="S527" s="40">
        <f>RES_BA!U23</f>
        <v>0</v>
      </c>
    </row>
    <row r="528" spans="3:19" hidden="1" outlineLevel="1" x14ac:dyDescent="0.3">
      <c r="C528" s="89" t="str">
        <f>RES_BA!D24</f>
        <v>Personnel Cadre - Other 11</v>
      </c>
      <c r="M528" s="40">
        <f>RES_BA!R24</f>
        <v>0</v>
      </c>
      <c r="O528" s="40">
        <f>RES_BA!S24</f>
        <v>0</v>
      </c>
      <c r="Q528" s="40">
        <f>RES_BA!T24</f>
        <v>0</v>
      </c>
      <c r="S528" s="40">
        <f>RES_BA!U24</f>
        <v>0</v>
      </c>
    </row>
    <row r="529" spans="3:19" hidden="1" outlineLevel="1" x14ac:dyDescent="0.3">
      <c r="C529" s="89" t="str">
        <f>RES_BA!D25</f>
        <v>Personnel Cadre - Other 12</v>
      </c>
      <c r="M529" s="40">
        <f>RES_BA!R25</f>
        <v>0</v>
      </c>
      <c r="O529" s="40">
        <f>RES_BA!S25</f>
        <v>0</v>
      </c>
      <c r="Q529" s="40">
        <f>RES_BA!T25</f>
        <v>0</v>
      </c>
      <c r="S529" s="40">
        <f>RES_BA!U25</f>
        <v>0</v>
      </c>
    </row>
    <row r="530" spans="3:19" hidden="1" outlineLevel="1" x14ac:dyDescent="0.3">
      <c r="C530" s="89" t="str">
        <f>RES_BA!D26</f>
        <v>Personnel Cadre - Other 13</v>
      </c>
      <c r="M530" s="40">
        <f>RES_BA!R26</f>
        <v>0</v>
      </c>
      <c r="O530" s="40">
        <f>RES_BA!S26</f>
        <v>0</v>
      </c>
      <c r="Q530" s="40">
        <f>RES_BA!T26</f>
        <v>0</v>
      </c>
      <c r="S530" s="40">
        <f>RES_BA!U26</f>
        <v>0</v>
      </c>
    </row>
    <row r="531" spans="3:19" hidden="1" outlineLevel="1" x14ac:dyDescent="0.3">
      <c r="C531" s="89" t="str">
        <f>RES_BA!D27</f>
        <v>Personnel Cadre - Other 14</v>
      </c>
      <c r="M531" s="40">
        <f>RES_BA!R27</f>
        <v>0</v>
      </c>
      <c r="O531" s="40">
        <f>RES_BA!S27</f>
        <v>0</v>
      </c>
      <c r="Q531" s="40">
        <f>RES_BA!T27</f>
        <v>0</v>
      </c>
      <c r="S531" s="40">
        <f>RES_BA!U27</f>
        <v>0</v>
      </c>
    </row>
    <row r="532" spans="3:19" hidden="1" outlineLevel="1" x14ac:dyDescent="0.3">
      <c r="C532" s="89" t="str">
        <f>RES_BA!D28</f>
        <v>Personnel Cadre - Other 15</v>
      </c>
      <c r="M532" s="40">
        <f>RES_BA!R28</f>
        <v>0</v>
      </c>
      <c r="O532" s="40">
        <f>RES_BA!S28</f>
        <v>0</v>
      </c>
      <c r="Q532" s="40">
        <f>RES_BA!T28</f>
        <v>0</v>
      </c>
      <c r="S532" s="40">
        <f>RES_BA!U28</f>
        <v>0</v>
      </c>
    </row>
    <row r="533" spans="3:19" s="277" customFormat="1" hidden="1" outlineLevel="1" collapsed="1" x14ac:dyDescent="0.3">
      <c r="C533" s="283" t="str">
        <f>RES_BA!D29</f>
        <v>Personnel Cadre - Other 16</v>
      </c>
      <c r="M533" s="279">
        <f>RES_BA!R29</f>
        <v>0</v>
      </c>
      <c r="O533" s="279">
        <f>RES_BA!S29</f>
        <v>0</v>
      </c>
      <c r="Q533" s="279">
        <f>RES_BA!T29</f>
        <v>0</v>
      </c>
      <c r="S533" s="279">
        <f>RES_BA!U29</f>
        <v>0</v>
      </c>
    </row>
    <row r="534" spans="3:19" s="277" customFormat="1" hidden="1" outlineLevel="1" collapsed="1" x14ac:dyDescent="0.3">
      <c r="C534" s="283" t="str">
        <f>RES_BA!D30</f>
        <v>Personnel Cadre - Other 17</v>
      </c>
      <c r="M534" s="279">
        <f>RES_BA!R30</f>
        <v>0</v>
      </c>
      <c r="O534" s="279">
        <f>RES_BA!S30</f>
        <v>0</v>
      </c>
      <c r="Q534" s="279">
        <f>RES_BA!T30</f>
        <v>0</v>
      </c>
      <c r="S534" s="279">
        <f>RES_BA!U30</f>
        <v>0</v>
      </c>
    </row>
    <row r="535" spans="3:19" s="277" customFormat="1" hidden="1" outlineLevel="1" collapsed="1" x14ac:dyDescent="0.3">
      <c r="C535" s="283" t="str">
        <f>RES_BA!D31</f>
        <v>Personnel Cadre - Other 18</v>
      </c>
      <c r="M535" s="279">
        <f>RES_BA!R31</f>
        <v>0</v>
      </c>
      <c r="O535" s="279">
        <f>RES_BA!S31</f>
        <v>0</v>
      </c>
      <c r="Q535" s="279">
        <f>RES_BA!T31</f>
        <v>0</v>
      </c>
      <c r="S535" s="279">
        <f>RES_BA!U31</f>
        <v>0</v>
      </c>
    </row>
    <row r="536" spans="3:19" s="277" customFormat="1" hidden="1" outlineLevel="1" x14ac:dyDescent="0.3">
      <c r="C536" s="283" t="str">
        <f>RES_BA!D32</f>
        <v>Personnel Cadre - Other 19</v>
      </c>
      <c r="M536" s="279">
        <f>RES_BA!R32</f>
        <v>0</v>
      </c>
      <c r="O536" s="279">
        <f>RES_BA!S32</f>
        <v>0</v>
      </c>
      <c r="Q536" s="279">
        <f>RES_BA!T32</f>
        <v>0</v>
      </c>
      <c r="S536" s="279">
        <f>RES_BA!U32</f>
        <v>0</v>
      </c>
    </row>
    <row r="537" spans="3:19" s="277" customFormat="1" hidden="1" outlineLevel="1" x14ac:dyDescent="0.3">
      <c r="C537" s="283" t="str">
        <f>RES_BA!D33</f>
        <v>Personnel Cadre - Other 20</v>
      </c>
      <c r="M537" s="279">
        <f>RES_BA!R33</f>
        <v>0</v>
      </c>
      <c r="O537" s="279">
        <f>RES_BA!S33</f>
        <v>0</v>
      </c>
      <c r="Q537" s="279">
        <f>RES_BA!T33</f>
        <v>0</v>
      </c>
      <c r="S537" s="279">
        <f>RES_BA!U33</f>
        <v>0</v>
      </c>
    </row>
    <row r="538" spans="3:19" s="277" customFormat="1" hidden="1" outlineLevel="1" collapsed="1" x14ac:dyDescent="0.3">
      <c r="C538" s="283" t="str">
        <f>RES_BA!D34</f>
        <v>Personnel Cadre - Other 21</v>
      </c>
      <c r="M538" s="279">
        <f>RES_BA!R34</f>
        <v>0</v>
      </c>
      <c r="O538" s="279">
        <f>RES_BA!S34</f>
        <v>0</v>
      </c>
      <c r="Q538" s="279">
        <f>RES_BA!T34</f>
        <v>0</v>
      </c>
      <c r="S538" s="279">
        <f>RES_BA!U34</f>
        <v>0</v>
      </c>
    </row>
    <row r="539" spans="3:19" s="277" customFormat="1" hidden="1" outlineLevel="1" x14ac:dyDescent="0.3">
      <c r="C539" s="283" t="str">
        <f>RES_BA!D35</f>
        <v>Personnel Cadre - Other 22</v>
      </c>
      <c r="M539" s="279">
        <f>RES_BA!R35</f>
        <v>0</v>
      </c>
      <c r="O539" s="279">
        <f>RES_BA!S35</f>
        <v>0</v>
      </c>
      <c r="Q539" s="279">
        <f>RES_BA!T35</f>
        <v>0</v>
      </c>
      <c r="S539" s="279">
        <f>RES_BA!U35</f>
        <v>0</v>
      </c>
    </row>
    <row r="540" spans="3:19" s="277" customFormat="1" hidden="1" outlineLevel="1" x14ac:dyDescent="0.3">
      <c r="C540" s="283" t="str">
        <f>RES_BA!D36</f>
        <v>Personnel Cadre - Other 23</v>
      </c>
      <c r="M540" s="279">
        <f>RES_BA!R36</f>
        <v>0</v>
      </c>
      <c r="O540" s="279">
        <f>RES_BA!S36</f>
        <v>0</v>
      </c>
      <c r="Q540" s="279">
        <f>RES_BA!T36</f>
        <v>0</v>
      </c>
      <c r="S540" s="279">
        <f>RES_BA!U36</f>
        <v>0</v>
      </c>
    </row>
    <row r="541" spans="3:19" s="277" customFormat="1" hidden="1" outlineLevel="1" x14ac:dyDescent="0.3">
      <c r="C541" s="283" t="str">
        <f>RES_BA!D37</f>
        <v>Personnel Cadre - Other 24</v>
      </c>
      <c r="M541" s="279">
        <f>RES_BA!R37</f>
        <v>0</v>
      </c>
      <c r="O541" s="279">
        <f>RES_BA!S37</f>
        <v>0</v>
      </c>
      <c r="Q541" s="279">
        <f>RES_BA!T37</f>
        <v>0</v>
      </c>
      <c r="S541" s="279">
        <f>RES_BA!U37</f>
        <v>0</v>
      </c>
    </row>
    <row r="542" spans="3:19" s="277" customFormat="1" hidden="1" outlineLevel="1" x14ac:dyDescent="0.3">
      <c r="C542" s="283" t="str">
        <f>RES_BA!D38</f>
        <v>Personnel Cadre - Other 25</v>
      </c>
      <c r="M542" s="279">
        <f>RES_BA!R38</f>
        <v>0</v>
      </c>
      <c r="O542" s="279">
        <f>RES_BA!S38</f>
        <v>0</v>
      </c>
      <c r="Q542" s="279">
        <f>RES_BA!T38</f>
        <v>0</v>
      </c>
      <c r="S542" s="279">
        <f>RES_BA!U38</f>
        <v>0</v>
      </c>
    </row>
    <row r="543" spans="3:19" s="277" customFormat="1" hidden="1" outlineLevel="1" x14ac:dyDescent="0.3">
      <c r="C543" s="283" t="str">
        <f>RES_BA!D39</f>
        <v>Personnel Cadre - Other 26</v>
      </c>
      <c r="M543" s="279">
        <f>RES_BA!R39</f>
        <v>0</v>
      </c>
      <c r="O543" s="279">
        <f>RES_BA!S39</f>
        <v>0</v>
      </c>
      <c r="Q543" s="279">
        <f>RES_BA!T39</f>
        <v>0</v>
      </c>
      <c r="S543" s="279">
        <f>RES_BA!U39</f>
        <v>0</v>
      </c>
    </row>
    <row r="544" spans="3:19" s="277" customFormat="1" hidden="1" outlineLevel="1" x14ac:dyDescent="0.3">
      <c r="C544" s="283" t="str">
        <f>RES_BA!D40</f>
        <v>Personnel Cadre - Other 27</v>
      </c>
      <c r="M544" s="279">
        <f>RES_BA!R40</f>
        <v>0</v>
      </c>
      <c r="O544" s="279">
        <f>RES_BA!S40</f>
        <v>0</v>
      </c>
      <c r="Q544" s="279">
        <f>RES_BA!T40</f>
        <v>0</v>
      </c>
      <c r="S544" s="279">
        <f>RES_BA!U40</f>
        <v>0</v>
      </c>
    </row>
    <row r="545" spans="3:19" s="277" customFormat="1" hidden="1" outlineLevel="1" x14ac:dyDescent="0.3">
      <c r="C545" s="283" t="str">
        <f>RES_BA!D41</f>
        <v>Personnel Cadre - Other 28</v>
      </c>
      <c r="M545" s="279">
        <f>RES_BA!R41</f>
        <v>0</v>
      </c>
      <c r="O545" s="279">
        <f>RES_BA!S41</f>
        <v>0</v>
      </c>
      <c r="Q545" s="279">
        <f>RES_BA!T41</f>
        <v>0</v>
      </c>
      <c r="S545" s="279">
        <f>RES_BA!U41</f>
        <v>0</v>
      </c>
    </row>
    <row r="546" spans="3:19" s="277" customFormat="1" hidden="1" outlineLevel="1" x14ac:dyDescent="0.3">
      <c r="C546" s="283" t="str">
        <f>RES_BA!D42</f>
        <v>Personnel Cadre - Other 29</v>
      </c>
      <c r="M546" s="279">
        <f>RES_BA!R42</f>
        <v>0</v>
      </c>
      <c r="O546" s="279">
        <f>RES_BA!S42</f>
        <v>0</v>
      </c>
      <c r="Q546" s="279">
        <f>RES_BA!T42</f>
        <v>0</v>
      </c>
      <c r="S546" s="279">
        <f>RES_BA!U42</f>
        <v>0</v>
      </c>
    </row>
    <row r="547" spans="3:19" s="277" customFormat="1" hidden="1" outlineLevel="1" x14ac:dyDescent="0.3">
      <c r="C547" s="283" t="str">
        <f>RES_BA!D43</f>
        <v>Personnel Cadre - Other 30</v>
      </c>
      <c r="M547" s="279">
        <f>RES_BA!R43</f>
        <v>0</v>
      </c>
      <c r="O547" s="279">
        <f>RES_BA!S43</f>
        <v>0</v>
      </c>
      <c r="Q547" s="279">
        <f>RES_BA!T43</f>
        <v>0</v>
      </c>
      <c r="S547" s="279">
        <f>RES_BA!U43</f>
        <v>0</v>
      </c>
    </row>
    <row r="548" spans="3:19" s="277" customFormat="1" hidden="1" outlineLevel="1" x14ac:dyDescent="0.3">
      <c r="C548" s="283" t="str">
        <f>RES_BA!D44</f>
        <v>Personnel Cadre - Other 31</v>
      </c>
      <c r="M548" s="279">
        <f>RES_BA!R44</f>
        <v>0</v>
      </c>
      <c r="O548" s="279">
        <f>RES_BA!S44</f>
        <v>0</v>
      </c>
      <c r="Q548" s="279">
        <f>RES_BA!T44</f>
        <v>0</v>
      </c>
      <c r="S548" s="279">
        <f>RES_BA!U44</f>
        <v>0</v>
      </c>
    </row>
    <row r="549" spans="3:19" s="277" customFormat="1" hidden="1" outlineLevel="1" x14ac:dyDescent="0.3">
      <c r="C549" s="283" t="str">
        <f>RES_BA!D45</f>
        <v>Personnel Cadre - Other 32</v>
      </c>
      <c r="M549" s="279">
        <f>RES_BA!R45</f>
        <v>0</v>
      </c>
      <c r="O549" s="279">
        <f>RES_BA!S45</f>
        <v>0</v>
      </c>
      <c r="Q549" s="279">
        <f>RES_BA!T45</f>
        <v>0</v>
      </c>
      <c r="S549" s="279">
        <f>RES_BA!U45</f>
        <v>0</v>
      </c>
    </row>
    <row r="550" spans="3:19" s="277" customFormat="1" hidden="1" outlineLevel="1" x14ac:dyDescent="0.3">
      <c r="C550" s="283" t="str">
        <f>RES_BA!D46</f>
        <v>Personnel Cadre - Other 33</v>
      </c>
      <c r="M550" s="279">
        <f>RES_BA!R46</f>
        <v>0</v>
      </c>
      <c r="O550" s="279">
        <f>RES_BA!S46</f>
        <v>0</v>
      </c>
      <c r="Q550" s="279">
        <f>RES_BA!T46</f>
        <v>0</v>
      </c>
      <c r="S550" s="279">
        <f>RES_BA!U46</f>
        <v>0</v>
      </c>
    </row>
    <row r="551" spans="3:19" s="277" customFormat="1" hidden="1" outlineLevel="1" x14ac:dyDescent="0.3">
      <c r="C551" s="283" t="str">
        <f>RES_BA!D47</f>
        <v>Personnel Cadre - Other 34</v>
      </c>
      <c r="M551" s="279">
        <f>RES_BA!R47</f>
        <v>0</v>
      </c>
      <c r="O551" s="279">
        <f>RES_BA!S47</f>
        <v>0</v>
      </c>
      <c r="Q551" s="279">
        <f>RES_BA!T47</f>
        <v>0</v>
      </c>
      <c r="S551" s="279">
        <f>RES_BA!U47</f>
        <v>0</v>
      </c>
    </row>
    <row r="552" spans="3:19" s="277" customFormat="1" hidden="1" outlineLevel="1" x14ac:dyDescent="0.3">
      <c r="C552" s="283" t="str">
        <f>RES_BA!D48</f>
        <v>Personnel Cadre - Other 35</v>
      </c>
      <c r="M552" s="279">
        <f>RES_BA!R48</f>
        <v>0</v>
      </c>
      <c r="O552" s="279">
        <f>RES_BA!S48</f>
        <v>0</v>
      </c>
      <c r="Q552" s="279">
        <f>RES_BA!T48</f>
        <v>0</v>
      </c>
      <c r="S552" s="279">
        <f>RES_BA!U48</f>
        <v>0</v>
      </c>
    </row>
    <row r="553" spans="3:19" hidden="1" outlineLevel="1" x14ac:dyDescent="0.3"/>
    <row r="554" spans="3:19" hidden="1" outlineLevel="1" x14ac:dyDescent="0.3">
      <c r="M554" s="40" t="str">
        <f>$D$512</f>
        <v>USD</v>
      </c>
      <c r="O554" s="40" t="str">
        <f>$D$512</f>
        <v>USD</v>
      </c>
      <c r="Q554" s="40" t="str">
        <f>$D$513</f>
        <v>GOZ</v>
      </c>
      <c r="S554" s="40" t="str">
        <f>$D$513</f>
        <v>GOZ</v>
      </c>
    </row>
    <row r="555" spans="3:19" hidden="1" outlineLevel="1" x14ac:dyDescent="0.3">
      <c r="C555" s="89" t="str">
        <f>RES_BA!D53</f>
        <v>Allowances Category 1</v>
      </c>
      <c r="M555" s="40">
        <f>RES_BA!R53</f>
        <v>0</v>
      </c>
      <c r="O555" s="40">
        <f>RES_BA!S53</f>
        <v>0</v>
      </c>
      <c r="Q555" s="40">
        <f>RES_BA!T53</f>
        <v>0</v>
      </c>
      <c r="S555" s="40">
        <f>RES_BA!U53</f>
        <v>0</v>
      </c>
    </row>
    <row r="556" spans="3:19" hidden="1" outlineLevel="1" x14ac:dyDescent="0.3">
      <c r="C556" s="89" t="str">
        <f>RES_BA!D54</f>
        <v>Allowances Category 2</v>
      </c>
      <c r="M556" s="40">
        <f>RES_BA!R54</f>
        <v>0</v>
      </c>
      <c r="O556" s="40">
        <f>RES_BA!S54</f>
        <v>0</v>
      </c>
      <c r="Q556" s="40">
        <f>RES_BA!T54</f>
        <v>0</v>
      </c>
      <c r="S556" s="40">
        <f>RES_BA!U54</f>
        <v>0</v>
      </c>
    </row>
    <row r="557" spans="3:19" hidden="1" outlineLevel="1" x14ac:dyDescent="0.3">
      <c r="C557" s="89" t="str">
        <f>RES_BA!D55</f>
        <v>Allowances Category 3</v>
      </c>
      <c r="M557" s="40">
        <f>RES_BA!R55</f>
        <v>0</v>
      </c>
      <c r="O557" s="40">
        <f>RES_BA!S55</f>
        <v>0</v>
      </c>
      <c r="Q557" s="40">
        <f>RES_BA!T55</f>
        <v>0</v>
      </c>
      <c r="S557" s="40">
        <f>RES_BA!U55</f>
        <v>0</v>
      </c>
    </row>
    <row r="558" spans="3:19" hidden="1" outlineLevel="1" x14ac:dyDescent="0.3">
      <c r="C558" s="89" t="str">
        <f>RES_BA!D56</f>
        <v>Allowances Category 4</v>
      </c>
      <c r="M558" s="40">
        <f>RES_BA!R56</f>
        <v>0</v>
      </c>
      <c r="O558" s="40">
        <f>RES_BA!S56</f>
        <v>0</v>
      </c>
      <c r="Q558" s="40">
        <f>RES_BA!T56</f>
        <v>0</v>
      </c>
      <c r="S558" s="40">
        <f>RES_BA!U56</f>
        <v>0</v>
      </c>
    </row>
    <row r="559" spans="3:19" hidden="1" outlineLevel="1" x14ac:dyDescent="0.3">
      <c r="C559" s="89" t="str">
        <f>RES_BA!D57</f>
        <v>Allowances Category 5</v>
      </c>
      <c r="M559" s="40">
        <f>RES_BA!R57</f>
        <v>0</v>
      </c>
      <c r="O559" s="40">
        <f>RES_BA!S57</f>
        <v>0</v>
      </c>
      <c r="Q559" s="40">
        <f>RES_BA!T57</f>
        <v>0</v>
      </c>
      <c r="S559" s="40">
        <f>RES_BA!U57</f>
        <v>0</v>
      </c>
    </row>
    <row r="560" spans="3:19" s="277" customFormat="1" hidden="1" outlineLevel="1" collapsed="1" x14ac:dyDescent="0.3">
      <c r="C560" s="283" t="str">
        <f>RES_BA!D58</f>
        <v>Allowances Category 6</v>
      </c>
      <c r="M560" s="279">
        <f>RES_BA!R58</f>
        <v>0</v>
      </c>
      <c r="O560" s="279">
        <f>RES_BA!S58</f>
        <v>0</v>
      </c>
      <c r="Q560" s="279">
        <f>RES_BA!T58</f>
        <v>0</v>
      </c>
      <c r="S560" s="279">
        <f>RES_BA!U58</f>
        <v>0</v>
      </c>
    </row>
    <row r="561" spans="3:19" s="277" customFormat="1" hidden="1" outlineLevel="1" x14ac:dyDescent="0.3">
      <c r="C561" s="283" t="str">
        <f>RES_BA!D59</f>
        <v>Allowances Category 7</v>
      </c>
      <c r="M561" s="279">
        <f>RES_BA!R59</f>
        <v>0</v>
      </c>
      <c r="O561" s="279">
        <f>RES_BA!S59</f>
        <v>0</v>
      </c>
      <c r="Q561" s="279">
        <f>RES_BA!T59</f>
        <v>0</v>
      </c>
      <c r="S561" s="279">
        <f>RES_BA!U59</f>
        <v>0</v>
      </c>
    </row>
    <row r="562" spans="3:19" s="277" customFormat="1" hidden="1" outlineLevel="1" x14ac:dyDescent="0.3">
      <c r="C562" s="283" t="str">
        <f>RES_BA!D60</f>
        <v>Allowances Category 8</v>
      </c>
      <c r="M562" s="279">
        <f>RES_BA!R60</f>
        <v>0</v>
      </c>
      <c r="O562" s="279">
        <f>RES_BA!S60</f>
        <v>0</v>
      </c>
      <c r="Q562" s="279">
        <f>RES_BA!T60</f>
        <v>0</v>
      </c>
      <c r="S562" s="279">
        <f>RES_BA!U60</f>
        <v>0</v>
      </c>
    </row>
    <row r="563" spans="3:19" s="277" customFormat="1" hidden="1" outlineLevel="1" x14ac:dyDescent="0.3">
      <c r="C563" s="283" t="str">
        <f>RES_BA!D61</f>
        <v>Allowances Category 9</v>
      </c>
      <c r="M563" s="279">
        <f>RES_BA!R61</f>
        <v>0</v>
      </c>
      <c r="O563" s="279">
        <f>RES_BA!S61</f>
        <v>0</v>
      </c>
      <c r="Q563" s="279">
        <f>RES_BA!T61</f>
        <v>0</v>
      </c>
      <c r="S563" s="279">
        <f>RES_BA!U61</f>
        <v>0</v>
      </c>
    </row>
    <row r="564" spans="3:19" s="277" customFormat="1" hidden="1" outlineLevel="1" x14ac:dyDescent="0.3">
      <c r="C564" s="283" t="str">
        <f>RES_BA!D62</f>
        <v>Allowances Category 10</v>
      </c>
      <c r="M564" s="279">
        <f>RES_BA!R62</f>
        <v>0</v>
      </c>
      <c r="O564" s="279">
        <f>RES_BA!S62</f>
        <v>0</v>
      </c>
      <c r="Q564" s="279">
        <f>RES_BA!T62</f>
        <v>0</v>
      </c>
      <c r="S564" s="279">
        <f>RES_BA!U62</f>
        <v>0</v>
      </c>
    </row>
    <row r="565" spans="3:19" s="277" customFormat="1" hidden="1" outlineLevel="1" x14ac:dyDescent="0.3">
      <c r="C565" s="283" t="str">
        <f>RES_BA!D63</f>
        <v>Allowances Category 11</v>
      </c>
      <c r="M565" s="279">
        <f>RES_BA!R63</f>
        <v>0</v>
      </c>
      <c r="O565" s="279">
        <f>RES_BA!S63</f>
        <v>0</v>
      </c>
      <c r="Q565" s="279">
        <f>RES_BA!T63</f>
        <v>0</v>
      </c>
      <c r="S565" s="279">
        <f>RES_BA!U63</f>
        <v>0</v>
      </c>
    </row>
    <row r="566" spans="3:19" s="277" customFormat="1" hidden="1" outlineLevel="1" x14ac:dyDescent="0.3">
      <c r="C566" s="283" t="str">
        <f>RES_BA!D64</f>
        <v>Allowances Category 12</v>
      </c>
      <c r="M566" s="279">
        <f>RES_BA!R64</f>
        <v>0</v>
      </c>
      <c r="O566" s="279">
        <f>RES_BA!S64</f>
        <v>0</v>
      </c>
      <c r="Q566" s="279">
        <f>RES_BA!T64</f>
        <v>0</v>
      </c>
      <c r="S566" s="279">
        <f>RES_BA!U64</f>
        <v>0</v>
      </c>
    </row>
    <row r="567" spans="3:19" s="277" customFormat="1" hidden="1" outlineLevel="1" x14ac:dyDescent="0.3">
      <c r="C567" s="283" t="str">
        <f>RES_BA!D65</f>
        <v>Allowances Category 13</v>
      </c>
      <c r="M567" s="279">
        <f>RES_BA!R65</f>
        <v>0</v>
      </c>
      <c r="O567" s="279">
        <f>RES_BA!S65</f>
        <v>0</v>
      </c>
      <c r="Q567" s="279">
        <f>RES_BA!T65</f>
        <v>0</v>
      </c>
      <c r="S567" s="279">
        <f>RES_BA!U65</f>
        <v>0</v>
      </c>
    </row>
    <row r="568" spans="3:19" s="277" customFormat="1" hidden="1" outlineLevel="1" x14ac:dyDescent="0.3">
      <c r="C568" s="283" t="str">
        <f>RES_BA!D66</f>
        <v>Allowances Category 14</v>
      </c>
      <c r="M568" s="279">
        <f>RES_BA!R66</f>
        <v>0</v>
      </c>
      <c r="O568" s="279">
        <f>RES_BA!S66</f>
        <v>0</v>
      </c>
      <c r="Q568" s="279">
        <f>RES_BA!T66</f>
        <v>0</v>
      </c>
      <c r="S568" s="279">
        <f>RES_BA!U66</f>
        <v>0</v>
      </c>
    </row>
    <row r="569" spans="3:19" s="277" customFormat="1" hidden="1" outlineLevel="1" x14ac:dyDescent="0.3">
      <c r="C569" s="283" t="str">
        <f>RES_BA!D67</f>
        <v>Allowances Category 15</v>
      </c>
      <c r="M569" s="279">
        <f>RES_BA!R67</f>
        <v>0</v>
      </c>
      <c r="O569" s="279">
        <f>RES_BA!S67</f>
        <v>0</v>
      </c>
      <c r="Q569" s="279">
        <f>RES_BA!T67</f>
        <v>0</v>
      </c>
      <c r="S569" s="279">
        <f>RES_BA!U67</f>
        <v>0</v>
      </c>
    </row>
    <row r="570" spans="3:19" s="277" customFormat="1" hidden="1" outlineLevel="1" x14ac:dyDescent="0.3">
      <c r="C570" s="283" t="str">
        <f>RES_BA!D68</f>
        <v>Allowances Category 16</v>
      </c>
      <c r="M570" s="279">
        <f>RES_BA!R68</f>
        <v>0</v>
      </c>
      <c r="O570" s="279">
        <f>RES_BA!S68</f>
        <v>0</v>
      </c>
      <c r="Q570" s="279">
        <f>RES_BA!T68</f>
        <v>0</v>
      </c>
      <c r="S570" s="279">
        <f>RES_BA!U68</f>
        <v>0</v>
      </c>
    </row>
    <row r="571" spans="3:19" hidden="1" outlineLevel="1" x14ac:dyDescent="0.3">
      <c r="C571" s="89" t="str">
        <f>RES_BA!D69</f>
        <v>Allowances Category 17</v>
      </c>
      <c r="M571" s="40">
        <f>RES_BA!R69</f>
        <v>0</v>
      </c>
      <c r="O571" s="40">
        <f>RES_BA!S69</f>
        <v>0</v>
      </c>
      <c r="Q571" s="40">
        <f>RES_BA!T69</f>
        <v>0</v>
      </c>
      <c r="S571" s="40">
        <f>RES_BA!U69</f>
        <v>0</v>
      </c>
    </row>
    <row r="572" spans="3:19" hidden="1" outlineLevel="1" x14ac:dyDescent="0.3">
      <c r="C572" s="89" t="str">
        <f>RES_BA!D70</f>
        <v>Allowances Category 18</v>
      </c>
      <c r="M572" s="40">
        <f>RES_BA!R70</f>
        <v>0</v>
      </c>
      <c r="O572" s="40">
        <f>RES_BA!S70</f>
        <v>0</v>
      </c>
      <c r="Q572" s="40">
        <f>RES_BA!T70</f>
        <v>0</v>
      </c>
      <c r="S572" s="40">
        <f>RES_BA!U70</f>
        <v>0</v>
      </c>
    </row>
    <row r="573" spans="3:19" hidden="1" outlineLevel="1" x14ac:dyDescent="0.3">
      <c r="C573" s="89" t="str">
        <f>RES_BA!D71</f>
        <v>Allowances Category 19</v>
      </c>
      <c r="M573" s="40">
        <f>RES_BA!R71</f>
        <v>0</v>
      </c>
      <c r="O573" s="40">
        <f>RES_BA!S71</f>
        <v>0</v>
      </c>
      <c r="Q573" s="40">
        <f>RES_BA!T71</f>
        <v>0</v>
      </c>
      <c r="S573" s="40">
        <f>RES_BA!U71</f>
        <v>0</v>
      </c>
    </row>
    <row r="574" spans="3:19" hidden="1" outlineLevel="1" x14ac:dyDescent="0.3">
      <c r="C574" s="89" t="str">
        <f>RES_BA!D72</f>
        <v>Allowances Category 20</v>
      </c>
      <c r="M574" s="40">
        <f>RES_BA!R72</f>
        <v>0</v>
      </c>
      <c r="O574" s="40">
        <f>RES_BA!S72</f>
        <v>0</v>
      </c>
      <c r="Q574" s="40">
        <f>RES_BA!T72</f>
        <v>0</v>
      </c>
      <c r="S574" s="40">
        <f>RES_BA!U72</f>
        <v>0</v>
      </c>
    </row>
    <row r="575" spans="3:19" hidden="1" outlineLevel="1" x14ac:dyDescent="0.3">
      <c r="C575" s="89" t="str">
        <f>RES_BA!D73</f>
        <v>Allowances Category 21</v>
      </c>
      <c r="M575" s="40">
        <f>RES_BA!R73</f>
        <v>0</v>
      </c>
      <c r="O575" s="40">
        <f>RES_BA!S73</f>
        <v>0</v>
      </c>
      <c r="Q575" s="40">
        <f>RES_BA!T73</f>
        <v>0</v>
      </c>
      <c r="S575" s="40">
        <f>RES_BA!U73</f>
        <v>0</v>
      </c>
    </row>
    <row r="576" spans="3:19" hidden="1" outlineLevel="1" x14ac:dyDescent="0.3">
      <c r="C576" s="89" t="str">
        <f>RES_BA!D74</f>
        <v>Allowances Category 22</v>
      </c>
      <c r="M576" s="40">
        <f>RES_BA!R74</f>
        <v>0</v>
      </c>
      <c r="O576" s="40">
        <f>RES_BA!S74</f>
        <v>0</v>
      </c>
      <c r="Q576" s="40">
        <f>RES_BA!T74</f>
        <v>0</v>
      </c>
      <c r="S576" s="40">
        <f>RES_BA!U74</f>
        <v>0</v>
      </c>
    </row>
    <row r="577" spans="3:19" hidden="1" outlineLevel="1" x14ac:dyDescent="0.3">
      <c r="C577" s="89" t="str">
        <f>RES_BA!D75</f>
        <v>Allowances Category 23</v>
      </c>
      <c r="M577" s="40">
        <f>RES_BA!R75</f>
        <v>0</v>
      </c>
      <c r="O577" s="40">
        <f>RES_BA!S75</f>
        <v>0</v>
      </c>
      <c r="Q577" s="40">
        <f>RES_BA!T75</f>
        <v>0</v>
      </c>
      <c r="S577" s="40">
        <f>RES_BA!U75</f>
        <v>0</v>
      </c>
    </row>
    <row r="578" spans="3:19" s="277" customFormat="1" hidden="1" outlineLevel="1" collapsed="1" x14ac:dyDescent="0.3">
      <c r="C578" s="283" t="str">
        <f>RES_BA!D76</f>
        <v>Allowances Category 24</v>
      </c>
      <c r="M578" s="279">
        <f>RES_BA!R76</f>
        <v>0</v>
      </c>
      <c r="O578" s="279">
        <f>RES_BA!S76</f>
        <v>0</v>
      </c>
      <c r="Q578" s="279">
        <f>RES_BA!T76</f>
        <v>0</v>
      </c>
      <c r="S578" s="279">
        <f>RES_BA!U76</f>
        <v>0</v>
      </c>
    </row>
    <row r="579" spans="3:19" s="277" customFormat="1" hidden="1" outlineLevel="1" x14ac:dyDescent="0.3">
      <c r="C579" s="283" t="str">
        <f>RES_BA!D77</f>
        <v>Allowances Category 25</v>
      </c>
      <c r="M579" s="279">
        <f>RES_BA!R77</f>
        <v>0</v>
      </c>
      <c r="O579" s="279">
        <f>RES_BA!S77</f>
        <v>0</v>
      </c>
      <c r="Q579" s="279">
        <f>RES_BA!T77</f>
        <v>0</v>
      </c>
      <c r="S579" s="279">
        <f>RES_BA!U77</f>
        <v>0</v>
      </c>
    </row>
    <row r="580" spans="3:19" s="277" customFormat="1" hidden="1" outlineLevel="1" x14ac:dyDescent="0.3">
      <c r="C580" s="283" t="str">
        <f>RES_BA!D78</f>
        <v>Allowances Category 26</v>
      </c>
      <c r="M580" s="279">
        <f>RES_BA!R78</f>
        <v>0</v>
      </c>
      <c r="O580" s="279">
        <f>RES_BA!S78</f>
        <v>0</v>
      </c>
      <c r="Q580" s="279">
        <f>RES_BA!T78</f>
        <v>0</v>
      </c>
      <c r="S580" s="279">
        <f>RES_BA!U78</f>
        <v>0</v>
      </c>
    </row>
    <row r="581" spans="3:19" s="277" customFormat="1" hidden="1" outlineLevel="1" x14ac:dyDescent="0.3">
      <c r="C581" s="283" t="str">
        <f>RES_BA!D79</f>
        <v>Allowances Category 27</v>
      </c>
      <c r="M581" s="279">
        <f>RES_BA!R79</f>
        <v>0</v>
      </c>
      <c r="O581" s="279">
        <f>RES_BA!S79</f>
        <v>0</v>
      </c>
      <c r="Q581" s="279">
        <f>RES_BA!T79</f>
        <v>0</v>
      </c>
      <c r="S581" s="279">
        <f>RES_BA!U79</f>
        <v>0</v>
      </c>
    </row>
    <row r="582" spans="3:19" s="277" customFormat="1" hidden="1" outlineLevel="1" x14ac:dyDescent="0.3">
      <c r="C582" s="283" t="str">
        <f>RES_BA!D80</f>
        <v>Allowances Category 28</v>
      </c>
      <c r="M582" s="279">
        <f>RES_BA!R80</f>
        <v>0</v>
      </c>
      <c r="O582" s="279">
        <f>RES_BA!S80</f>
        <v>0</v>
      </c>
      <c r="Q582" s="279">
        <f>RES_BA!T80</f>
        <v>0</v>
      </c>
      <c r="S582" s="279">
        <f>RES_BA!U80</f>
        <v>0</v>
      </c>
    </row>
    <row r="583" spans="3:19" s="277" customFormat="1" hidden="1" outlineLevel="1" x14ac:dyDescent="0.3">
      <c r="C583" s="283" t="str">
        <f>RES_BA!D81</f>
        <v>Allowances Category 29</v>
      </c>
      <c r="M583" s="279">
        <f>RES_BA!R81</f>
        <v>0</v>
      </c>
      <c r="O583" s="279">
        <f>RES_BA!S81</f>
        <v>0</v>
      </c>
      <c r="Q583" s="279">
        <f>RES_BA!T81</f>
        <v>0</v>
      </c>
      <c r="S583" s="279">
        <f>RES_BA!U81</f>
        <v>0</v>
      </c>
    </row>
    <row r="584" spans="3:19" s="277" customFormat="1" hidden="1" outlineLevel="1" x14ac:dyDescent="0.3">
      <c r="C584" s="283" t="str">
        <f>RES_BA!D82</f>
        <v>Allowances Category 30</v>
      </c>
      <c r="M584" s="279">
        <f>RES_BA!R82</f>
        <v>0</v>
      </c>
      <c r="O584" s="279">
        <f>RES_BA!S82</f>
        <v>0</v>
      </c>
      <c r="Q584" s="279">
        <f>RES_BA!T82</f>
        <v>0</v>
      </c>
      <c r="S584" s="279">
        <f>RES_BA!U82</f>
        <v>0</v>
      </c>
    </row>
    <row r="585" spans="3:19" hidden="1" outlineLevel="1" x14ac:dyDescent="0.3">
      <c r="C585" s="89" t="str">
        <f>RES_BA!D83</f>
        <v>Allowances Category 31</v>
      </c>
      <c r="M585" s="40">
        <f>RES_BA!R83</f>
        <v>0</v>
      </c>
      <c r="O585" s="40">
        <f>RES_BA!S83</f>
        <v>0</v>
      </c>
      <c r="Q585" s="40">
        <f>RES_BA!T83</f>
        <v>0</v>
      </c>
      <c r="S585" s="40">
        <f>RES_BA!U83</f>
        <v>0</v>
      </c>
    </row>
    <row r="586" spans="3:19" hidden="1" outlineLevel="1" x14ac:dyDescent="0.3">
      <c r="C586" s="89" t="str">
        <f>RES_BA!D84</f>
        <v>Allowances Category 32</v>
      </c>
      <c r="M586" s="40">
        <f>RES_BA!R84</f>
        <v>0</v>
      </c>
      <c r="O586" s="40">
        <f>RES_BA!S84</f>
        <v>0</v>
      </c>
      <c r="Q586" s="40">
        <f>RES_BA!T84</f>
        <v>0</v>
      </c>
      <c r="S586" s="40">
        <f>RES_BA!U84</f>
        <v>0</v>
      </c>
    </row>
    <row r="587" spans="3:19" hidden="1" outlineLevel="1" x14ac:dyDescent="0.3">
      <c r="C587" s="89" t="str">
        <f>RES_BA!D85</f>
        <v>Allowances Category 33</v>
      </c>
      <c r="M587" s="40">
        <f>RES_BA!R85</f>
        <v>0</v>
      </c>
      <c r="O587" s="40">
        <f>RES_BA!S85</f>
        <v>0</v>
      </c>
      <c r="Q587" s="40">
        <f>RES_BA!T85</f>
        <v>0</v>
      </c>
      <c r="S587" s="40">
        <f>RES_BA!U85</f>
        <v>0</v>
      </c>
    </row>
    <row r="588" spans="3:19" hidden="1" outlineLevel="1" x14ac:dyDescent="0.3">
      <c r="C588" s="89" t="str">
        <f>RES_BA!D86</f>
        <v>Allowances Category 34</v>
      </c>
      <c r="M588" s="40">
        <f>RES_BA!R86</f>
        <v>0</v>
      </c>
      <c r="O588" s="40">
        <f>RES_BA!S86</f>
        <v>0</v>
      </c>
      <c r="Q588" s="40">
        <f>RES_BA!T86</f>
        <v>0</v>
      </c>
      <c r="S588" s="40">
        <f>RES_BA!U86</f>
        <v>0</v>
      </c>
    </row>
    <row r="589" spans="3:19" hidden="1" outlineLevel="1" x14ac:dyDescent="0.3">
      <c r="C589" s="89" t="str">
        <f>RES_BA!D87</f>
        <v>Allowances Category 35</v>
      </c>
      <c r="M589" s="40">
        <f>RES_BA!R87</f>
        <v>0</v>
      </c>
      <c r="O589" s="40">
        <f>RES_BA!S87</f>
        <v>0</v>
      </c>
      <c r="Q589" s="40">
        <f>RES_BA!T87</f>
        <v>0</v>
      </c>
      <c r="S589" s="40">
        <f>RES_BA!U87</f>
        <v>0</v>
      </c>
    </row>
    <row r="590" spans="3:19" hidden="1" outlineLevel="1" x14ac:dyDescent="0.3"/>
    <row r="591" spans="3:19" hidden="1" outlineLevel="1" x14ac:dyDescent="0.3"/>
    <row r="592" spans="3:19" hidden="1" outlineLevel="1" x14ac:dyDescent="0.3">
      <c r="M592" s="40" t="str">
        <f>$D$512</f>
        <v>USD</v>
      </c>
      <c r="O592" s="40" t="str">
        <f>$D$512</f>
        <v>USD</v>
      </c>
      <c r="Q592" s="40" t="str">
        <f>$D$513</f>
        <v>GOZ</v>
      </c>
      <c r="S592" s="40" t="str">
        <f>$D$513</f>
        <v>GOZ</v>
      </c>
    </row>
    <row r="593" spans="3:19" hidden="1" outlineLevel="1" x14ac:dyDescent="0.3">
      <c r="C593" s="89" t="str">
        <f>RES_BA!D91</f>
        <v>Supplies Category 1</v>
      </c>
      <c r="M593" s="40">
        <f>RES_BA!R91</f>
        <v>0</v>
      </c>
      <c r="O593" s="40">
        <f>RES_BA!S91</f>
        <v>0</v>
      </c>
      <c r="Q593" s="40">
        <f>RES_BA!T91</f>
        <v>0</v>
      </c>
      <c r="S593" s="40">
        <f>RES_BA!U91</f>
        <v>0</v>
      </c>
    </row>
    <row r="594" spans="3:19" hidden="1" outlineLevel="1" x14ac:dyDescent="0.3">
      <c r="C594" s="89" t="str">
        <f>RES_BA!D92</f>
        <v>Supplies Category 2</v>
      </c>
      <c r="M594" s="40">
        <f>RES_BA!R92</f>
        <v>0</v>
      </c>
      <c r="O594" s="40">
        <f>RES_BA!S92</f>
        <v>0</v>
      </c>
      <c r="Q594" s="40">
        <f>RES_BA!T92</f>
        <v>0</v>
      </c>
      <c r="S594" s="40">
        <f>RES_BA!U92</f>
        <v>0</v>
      </c>
    </row>
    <row r="595" spans="3:19" hidden="1" outlineLevel="1" x14ac:dyDescent="0.3">
      <c r="C595" s="89" t="str">
        <f>RES_BA!D93</f>
        <v>Supplies Category 3</v>
      </c>
      <c r="M595" s="40">
        <f>RES_BA!R93</f>
        <v>0</v>
      </c>
      <c r="O595" s="40">
        <f>RES_BA!S93</f>
        <v>0</v>
      </c>
      <c r="Q595" s="40">
        <f>RES_BA!T93</f>
        <v>0</v>
      </c>
      <c r="S595" s="40">
        <f>RES_BA!U93</f>
        <v>0</v>
      </c>
    </row>
    <row r="596" spans="3:19" hidden="1" outlineLevel="1" x14ac:dyDescent="0.3">
      <c r="C596" s="89" t="str">
        <f>RES_BA!D94</f>
        <v>Supplies Category 4</v>
      </c>
      <c r="M596" s="40">
        <f>RES_BA!R94</f>
        <v>0</v>
      </c>
      <c r="O596" s="40">
        <f>RES_BA!S94</f>
        <v>0</v>
      </c>
      <c r="Q596" s="40">
        <f>RES_BA!T94</f>
        <v>0</v>
      </c>
      <c r="S596" s="40">
        <f>RES_BA!U94</f>
        <v>0</v>
      </c>
    </row>
    <row r="597" spans="3:19" hidden="1" outlineLevel="1" x14ac:dyDescent="0.3">
      <c r="C597" s="89" t="str">
        <f>RES_BA!D95</f>
        <v>Supplies Category 5</v>
      </c>
      <c r="M597" s="40">
        <f>RES_BA!R95</f>
        <v>0</v>
      </c>
      <c r="O597" s="40">
        <f>RES_BA!S95</f>
        <v>0</v>
      </c>
      <c r="Q597" s="40">
        <f>RES_BA!T95</f>
        <v>0</v>
      </c>
      <c r="S597" s="40">
        <f>RES_BA!U95</f>
        <v>0</v>
      </c>
    </row>
    <row r="598" spans="3:19" hidden="1" outlineLevel="1" x14ac:dyDescent="0.3">
      <c r="C598" s="89" t="str">
        <f>RES_BA!D96</f>
        <v>Supplies Category 6</v>
      </c>
      <c r="M598" s="40">
        <f>RES_BA!R96</f>
        <v>0</v>
      </c>
      <c r="O598" s="40">
        <f>RES_BA!S96</f>
        <v>0</v>
      </c>
      <c r="Q598" s="40">
        <f>RES_BA!T96</f>
        <v>0</v>
      </c>
      <c r="S598" s="40">
        <f>RES_BA!U96</f>
        <v>0</v>
      </c>
    </row>
    <row r="599" spans="3:19" hidden="1" outlineLevel="1" x14ac:dyDescent="0.3">
      <c r="C599" s="89" t="str">
        <f>RES_BA!D97</f>
        <v>Supplies Category 7</v>
      </c>
      <c r="M599" s="40">
        <f>RES_BA!R97</f>
        <v>0</v>
      </c>
      <c r="O599" s="40">
        <f>RES_BA!S97</f>
        <v>0</v>
      </c>
      <c r="Q599" s="40">
        <f>RES_BA!T97</f>
        <v>0</v>
      </c>
      <c r="S599" s="40">
        <f>RES_BA!U97</f>
        <v>0</v>
      </c>
    </row>
    <row r="600" spans="3:19" hidden="1" outlineLevel="1" x14ac:dyDescent="0.3">
      <c r="C600" s="89" t="str">
        <f>RES_BA!D98</f>
        <v>Supplies Category 8</v>
      </c>
      <c r="M600" s="40">
        <f>RES_BA!R98</f>
        <v>0</v>
      </c>
      <c r="O600" s="40">
        <f>RES_BA!S98</f>
        <v>0</v>
      </c>
      <c r="Q600" s="40">
        <f>RES_BA!T98</f>
        <v>0</v>
      </c>
      <c r="S600" s="40">
        <f>RES_BA!U98</f>
        <v>0</v>
      </c>
    </row>
    <row r="601" spans="3:19" hidden="1" outlineLevel="1" x14ac:dyDescent="0.3">
      <c r="C601" s="89" t="str">
        <f>RES_BA!D99</f>
        <v>Supplies Category 9</v>
      </c>
      <c r="M601" s="40">
        <f>RES_BA!R99</f>
        <v>0</v>
      </c>
      <c r="O601" s="40">
        <f>RES_BA!S99</f>
        <v>0</v>
      </c>
      <c r="Q601" s="40">
        <f>RES_BA!T99</f>
        <v>0</v>
      </c>
      <c r="S601" s="40">
        <f>RES_BA!U99</f>
        <v>0</v>
      </c>
    </row>
    <row r="602" spans="3:19" hidden="1" outlineLevel="1" x14ac:dyDescent="0.3">
      <c r="C602" s="89" t="str">
        <f>RES_BA!D100</f>
        <v>Supplies Category 10</v>
      </c>
      <c r="M602" s="40">
        <f>RES_BA!R100</f>
        <v>0</v>
      </c>
      <c r="O602" s="40">
        <f>RES_BA!S100</f>
        <v>0</v>
      </c>
      <c r="Q602" s="40">
        <f>RES_BA!T100</f>
        <v>0</v>
      </c>
      <c r="S602" s="40">
        <f>RES_BA!U100</f>
        <v>0</v>
      </c>
    </row>
    <row r="603" spans="3:19" hidden="1" outlineLevel="1" x14ac:dyDescent="0.3">
      <c r="C603" s="89" t="str">
        <f>RES_BA!D101</f>
        <v>Supplies Category 11</v>
      </c>
      <c r="M603" s="40">
        <f>RES_BA!R101</f>
        <v>0</v>
      </c>
      <c r="O603" s="40">
        <f>RES_BA!S101</f>
        <v>0</v>
      </c>
      <c r="Q603" s="40">
        <f>RES_BA!T101</f>
        <v>0</v>
      </c>
      <c r="S603" s="40">
        <f>RES_BA!U101</f>
        <v>0</v>
      </c>
    </row>
    <row r="604" spans="3:19" hidden="1" outlineLevel="1" x14ac:dyDescent="0.3">
      <c r="C604" s="89" t="str">
        <f>RES_BA!D102</f>
        <v>Supplies Category 12</v>
      </c>
      <c r="M604" s="40">
        <f>RES_BA!R102</f>
        <v>0</v>
      </c>
      <c r="O604" s="40">
        <f>RES_BA!S102</f>
        <v>0</v>
      </c>
      <c r="Q604" s="40">
        <f>RES_BA!T102</f>
        <v>0</v>
      </c>
      <c r="S604" s="40">
        <f>RES_BA!U102</f>
        <v>0</v>
      </c>
    </row>
    <row r="605" spans="3:19" hidden="1" outlineLevel="1" x14ac:dyDescent="0.3">
      <c r="C605" s="89" t="str">
        <f>RES_BA!D103</f>
        <v>Supplies Category 13</v>
      </c>
      <c r="M605" s="40">
        <f>RES_BA!R103</f>
        <v>0</v>
      </c>
      <c r="O605" s="40">
        <f>RES_BA!S103</f>
        <v>0</v>
      </c>
      <c r="Q605" s="40">
        <f>RES_BA!T103</f>
        <v>0</v>
      </c>
      <c r="S605" s="40">
        <f>RES_BA!U103</f>
        <v>0</v>
      </c>
    </row>
    <row r="606" spans="3:19" hidden="1" outlineLevel="1" x14ac:dyDescent="0.3">
      <c r="C606" s="89" t="str">
        <f>RES_BA!D104</f>
        <v>Supplies Category 14</v>
      </c>
      <c r="M606" s="40">
        <f>RES_BA!R104</f>
        <v>0</v>
      </c>
      <c r="O606" s="40">
        <f>RES_BA!S104</f>
        <v>0</v>
      </c>
      <c r="Q606" s="40">
        <f>RES_BA!T104</f>
        <v>0</v>
      </c>
      <c r="S606" s="40">
        <f>RES_BA!U104</f>
        <v>0</v>
      </c>
    </row>
    <row r="607" spans="3:19" hidden="1" outlineLevel="1" x14ac:dyDescent="0.3">
      <c r="C607" s="89" t="str">
        <f>RES_BA!D105</f>
        <v>Supplies Category 15</v>
      </c>
      <c r="M607" s="40">
        <f>RES_BA!R105</f>
        <v>0</v>
      </c>
      <c r="O607" s="40">
        <f>RES_BA!S105</f>
        <v>0</v>
      </c>
      <c r="Q607" s="40">
        <f>RES_BA!T105</f>
        <v>0</v>
      </c>
      <c r="S607" s="40">
        <f>RES_BA!U105</f>
        <v>0</v>
      </c>
    </row>
    <row r="608" spans="3:19" hidden="1" outlineLevel="1" x14ac:dyDescent="0.3">
      <c r="C608" s="89" t="str">
        <f>RES_BA!D106</f>
        <v>Supplies Category 16</v>
      </c>
      <c r="M608" s="40">
        <f>RES_BA!R106</f>
        <v>0</v>
      </c>
      <c r="O608" s="40">
        <f>RES_BA!S106</f>
        <v>0</v>
      </c>
      <c r="Q608" s="40">
        <f>RES_BA!T106</f>
        <v>0</v>
      </c>
      <c r="S608" s="40">
        <f>RES_BA!U106</f>
        <v>0</v>
      </c>
    </row>
    <row r="609" spans="3:19" s="277" customFormat="1" hidden="1" outlineLevel="1" collapsed="1" x14ac:dyDescent="0.3">
      <c r="C609" s="283" t="str">
        <f>RES_BA!D107</f>
        <v>Supplies Category 17</v>
      </c>
      <c r="M609" s="279">
        <f>RES_BA!R107</f>
        <v>0</v>
      </c>
      <c r="O609" s="279">
        <f>RES_BA!S107</f>
        <v>0</v>
      </c>
      <c r="Q609" s="279">
        <f>RES_BA!T107</f>
        <v>0</v>
      </c>
      <c r="S609" s="279">
        <f>RES_BA!U107</f>
        <v>0</v>
      </c>
    </row>
    <row r="610" spans="3:19" s="277" customFormat="1" hidden="1" outlineLevel="1" x14ac:dyDescent="0.3">
      <c r="C610" s="283" t="str">
        <f>RES_BA!D108</f>
        <v>Supplies Category 18</v>
      </c>
      <c r="M610" s="279">
        <f>RES_BA!R108</f>
        <v>0</v>
      </c>
      <c r="O610" s="279">
        <f>RES_BA!S108</f>
        <v>0</v>
      </c>
      <c r="Q610" s="279">
        <f>RES_BA!T108</f>
        <v>0</v>
      </c>
      <c r="S610" s="279">
        <f>RES_BA!U108</f>
        <v>0</v>
      </c>
    </row>
    <row r="611" spans="3:19" s="277" customFormat="1" hidden="1" outlineLevel="1" x14ac:dyDescent="0.3">
      <c r="C611" s="283" t="str">
        <f>RES_BA!D109</f>
        <v>Supplies Category 19</v>
      </c>
      <c r="M611" s="279">
        <f>RES_BA!R109</f>
        <v>0</v>
      </c>
      <c r="O611" s="279">
        <f>RES_BA!S109</f>
        <v>0</v>
      </c>
      <c r="Q611" s="279">
        <f>RES_BA!T109</f>
        <v>0</v>
      </c>
      <c r="S611" s="279">
        <f>RES_BA!U109</f>
        <v>0</v>
      </c>
    </row>
    <row r="612" spans="3:19" s="277" customFormat="1" hidden="1" outlineLevel="1" x14ac:dyDescent="0.3">
      <c r="C612" s="283" t="str">
        <f>RES_BA!D110</f>
        <v>Supplies Category 20</v>
      </c>
      <c r="M612" s="279">
        <f>RES_BA!R110</f>
        <v>0</v>
      </c>
      <c r="O612" s="279">
        <f>RES_BA!S110</f>
        <v>0</v>
      </c>
      <c r="Q612" s="279">
        <f>RES_BA!T110</f>
        <v>0</v>
      </c>
      <c r="S612" s="279">
        <f>RES_BA!U110</f>
        <v>0</v>
      </c>
    </row>
    <row r="613" spans="3:19" s="277" customFormat="1" hidden="1" outlineLevel="1" x14ac:dyDescent="0.3">
      <c r="C613" s="283" t="str">
        <f>RES_BA!D111</f>
        <v>Supplies Category 21</v>
      </c>
      <c r="M613" s="279">
        <f>RES_BA!R111</f>
        <v>0</v>
      </c>
      <c r="O613" s="279">
        <f>RES_BA!S111</f>
        <v>0</v>
      </c>
      <c r="Q613" s="279">
        <f>RES_BA!T111</f>
        <v>0</v>
      </c>
      <c r="S613" s="279">
        <f>RES_BA!U111</f>
        <v>0</v>
      </c>
    </row>
    <row r="614" spans="3:19" s="277" customFormat="1" hidden="1" outlineLevel="1" x14ac:dyDescent="0.3">
      <c r="C614" s="283" t="str">
        <f>RES_BA!D112</f>
        <v>Supplies Category 22</v>
      </c>
      <c r="M614" s="279">
        <f>RES_BA!R112</f>
        <v>0</v>
      </c>
      <c r="O614" s="279">
        <f>RES_BA!S112</f>
        <v>0</v>
      </c>
      <c r="Q614" s="279">
        <f>RES_BA!T112</f>
        <v>0</v>
      </c>
      <c r="S614" s="279">
        <f>RES_BA!U112</f>
        <v>0</v>
      </c>
    </row>
    <row r="615" spans="3:19" s="277" customFormat="1" hidden="1" outlineLevel="1" x14ac:dyDescent="0.3">
      <c r="C615" s="283" t="str">
        <f>RES_BA!D113</f>
        <v>Supplies Category 23</v>
      </c>
      <c r="M615" s="279">
        <f>RES_BA!R113</f>
        <v>0</v>
      </c>
      <c r="O615" s="279">
        <f>RES_BA!S113</f>
        <v>0</v>
      </c>
      <c r="Q615" s="279">
        <f>RES_BA!T113</f>
        <v>0</v>
      </c>
      <c r="S615" s="279">
        <f>RES_BA!U113</f>
        <v>0</v>
      </c>
    </row>
    <row r="616" spans="3:19" s="277" customFormat="1" hidden="1" outlineLevel="1" x14ac:dyDescent="0.3">
      <c r="C616" s="283" t="str">
        <f>RES_BA!D114</f>
        <v>Supplies Category 24</v>
      </c>
      <c r="M616" s="279">
        <f>RES_BA!R114</f>
        <v>0</v>
      </c>
      <c r="O616" s="279">
        <f>RES_BA!S114</f>
        <v>0</v>
      </c>
      <c r="Q616" s="279">
        <f>RES_BA!T114</f>
        <v>0</v>
      </c>
      <c r="S616" s="279">
        <f>RES_BA!U114</f>
        <v>0</v>
      </c>
    </row>
    <row r="617" spans="3:19" s="277" customFormat="1" hidden="1" outlineLevel="1" x14ac:dyDescent="0.3">
      <c r="C617" s="283" t="str">
        <f>RES_BA!D115</f>
        <v>Supplies Category 25</v>
      </c>
      <c r="M617" s="279">
        <f>RES_BA!R115</f>
        <v>0</v>
      </c>
      <c r="O617" s="279">
        <f>RES_BA!S115</f>
        <v>0</v>
      </c>
      <c r="Q617" s="279">
        <f>RES_BA!T115</f>
        <v>0</v>
      </c>
      <c r="S617" s="279">
        <f>RES_BA!U115</f>
        <v>0</v>
      </c>
    </row>
    <row r="618" spans="3:19" s="277" customFormat="1" hidden="1" outlineLevel="1" x14ac:dyDescent="0.3">
      <c r="C618" s="283" t="str">
        <f>RES_BA!D116</f>
        <v>Supplies Category 26</v>
      </c>
      <c r="M618" s="279">
        <f>RES_BA!R116</f>
        <v>0</v>
      </c>
      <c r="O618" s="279">
        <f>RES_BA!S116</f>
        <v>0</v>
      </c>
      <c r="Q618" s="279">
        <f>RES_BA!T116</f>
        <v>0</v>
      </c>
      <c r="S618" s="279">
        <f>RES_BA!U116</f>
        <v>0</v>
      </c>
    </row>
    <row r="619" spans="3:19" s="277" customFormat="1" hidden="1" outlineLevel="1" x14ac:dyDescent="0.3">
      <c r="C619" s="283" t="str">
        <f>RES_BA!D117</f>
        <v>Supplies Category 27</v>
      </c>
      <c r="M619" s="279">
        <f>RES_BA!R117</f>
        <v>0</v>
      </c>
      <c r="O619" s="279">
        <f>RES_BA!S117</f>
        <v>0</v>
      </c>
      <c r="Q619" s="279">
        <f>RES_BA!T117</f>
        <v>0</v>
      </c>
      <c r="S619" s="279">
        <f>RES_BA!U117</f>
        <v>0</v>
      </c>
    </row>
    <row r="620" spans="3:19" s="277" customFormat="1" hidden="1" outlineLevel="1" x14ac:dyDescent="0.3">
      <c r="C620" s="283" t="str">
        <f>RES_BA!D118</f>
        <v>Supplies Category 28</v>
      </c>
      <c r="M620" s="279">
        <f>RES_BA!R118</f>
        <v>0</v>
      </c>
      <c r="O620" s="279">
        <f>RES_BA!S118</f>
        <v>0</v>
      </c>
      <c r="Q620" s="279">
        <f>RES_BA!T118</f>
        <v>0</v>
      </c>
      <c r="S620" s="279">
        <f>RES_BA!U118</f>
        <v>0</v>
      </c>
    </row>
    <row r="621" spans="3:19" s="277" customFormat="1" hidden="1" outlineLevel="1" x14ac:dyDescent="0.3">
      <c r="C621" s="283" t="str">
        <f>RES_BA!D119</f>
        <v>Supplies Category 29</v>
      </c>
      <c r="M621" s="279">
        <f>RES_BA!R119</f>
        <v>0</v>
      </c>
      <c r="O621" s="279">
        <f>RES_BA!S119</f>
        <v>0</v>
      </c>
      <c r="Q621" s="279">
        <f>RES_BA!T119</f>
        <v>0</v>
      </c>
      <c r="S621" s="279">
        <f>RES_BA!U119</f>
        <v>0</v>
      </c>
    </row>
    <row r="622" spans="3:19" s="277" customFormat="1" hidden="1" outlineLevel="1" collapsed="1" x14ac:dyDescent="0.3">
      <c r="C622" s="283" t="str">
        <f>RES_BA!D120</f>
        <v>Supplies Category 30</v>
      </c>
      <c r="M622" s="279">
        <f>RES_BA!R120</f>
        <v>0</v>
      </c>
      <c r="O622" s="279">
        <f>RES_BA!S120</f>
        <v>0</v>
      </c>
      <c r="Q622" s="279">
        <f>RES_BA!T120</f>
        <v>0</v>
      </c>
      <c r="S622" s="279">
        <f>RES_BA!U120</f>
        <v>0</v>
      </c>
    </row>
    <row r="623" spans="3:19" s="277" customFormat="1" hidden="1" outlineLevel="1" x14ac:dyDescent="0.3">
      <c r="C623" s="283" t="str">
        <f>RES_BA!D121</f>
        <v>Supplies Category 31</v>
      </c>
      <c r="M623" s="279">
        <f>RES_BA!R121</f>
        <v>0</v>
      </c>
      <c r="O623" s="279">
        <f>RES_BA!S121</f>
        <v>0</v>
      </c>
      <c r="Q623" s="279">
        <f>RES_BA!T121</f>
        <v>0</v>
      </c>
      <c r="S623" s="279">
        <f>RES_BA!U121</f>
        <v>0</v>
      </c>
    </row>
    <row r="624" spans="3:19" s="277" customFormat="1" hidden="1" outlineLevel="1" x14ac:dyDescent="0.3">
      <c r="C624" s="283" t="str">
        <f>RES_BA!D122</f>
        <v>Supplies Category 32</v>
      </c>
      <c r="M624" s="279">
        <f>RES_BA!R122</f>
        <v>0</v>
      </c>
      <c r="O624" s="279">
        <f>RES_BA!S122</f>
        <v>0</v>
      </c>
      <c r="Q624" s="279">
        <f>RES_BA!T122</f>
        <v>0</v>
      </c>
      <c r="S624" s="279">
        <f>RES_BA!U122</f>
        <v>0</v>
      </c>
    </row>
    <row r="625" spans="3:19" s="277" customFormat="1" hidden="1" outlineLevel="1" x14ac:dyDescent="0.3">
      <c r="C625" s="283" t="str">
        <f>RES_BA!D123</f>
        <v>Supplies Category 33</v>
      </c>
      <c r="M625" s="279">
        <f>RES_BA!R123</f>
        <v>0</v>
      </c>
      <c r="O625" s="279">
        <f>RES_BA!S123</f>
        <v>0</v>
      </c>
      <c r="Q625" s="279">
        <f>RES_BA!T123</f>
        <v>0</v>
      </c>
      <c r="S625" s="279">
        <f>RES_BA!U123</f>
        <v>0</v>
      </c>
    </row>
    <row r="626" spans="3:19" s="277" customFormat="1" hidden="1" outlineLevel="1" x14ac:dyDescent="0.3">
      <c r="C626" s="283" t="str">
        <f>RES_BA!D124</f>
        <v>Supplies Category 34</v>
      </c>
      <c r="M626" s="279">
        <f>RES_BA!R124</f>
        <v>0</v>
      </c>
      <c r="O626" s="279">
        <f>RES_BA!S124</f>
        <v>0</v>
      </c>
      <c r="Q626" s="279">
        <f>RES_BA!T124</f>
        <v>0</v>
      </c>
      <c r="S626" s="279">
        <f>RES_BA!U124</f>
        <v>0</v>
      </c>
    </row>
    <row r="627" spans="3:19" s="277" customFormat="1" hidden="1" outlineLevel="1" x14ac:dyDescent="0.3">
      <c r="C627" s="283" t="str">
        <f>RES_BA!D125</f>
        <v>Supplies Category 35</v>
      </c>
      <c r="M627" s="279">
        <f>RES_BA!R125</f>
        <v>0</v>
      </c>
      <c r="O627" s="279">
        <f>RES_BA!S125</f>
        <v>0</v>
      </c>
      <c r="Q627" s="279">
        <f>RES_BA!T125</f>
        <v>0</v>
      </c>
      <c r="S627" s="279">
        <f>RES_BA!U125</f>
        <v>0</v>
      </c>
    </row>
    <row r="628" spans="3:19" hidden="1" outlineLevel="1" x14ac:dyDescent="0.3"/>
    <row r="629" spans="3:19" hidden="1" outlineLevel="1" x14ac:dyDescent="0.3">
      <c r="M629" s="40" t="str">
        <f>$D$512</f>
        <v>USD</v>
      </c>
      <c r="O629" s="40" t="str">
        <f>$D$512</f>
        <v>USD</v>
      </c>
      <c r="Q629" s="40" t="str">
        <f>$D$513</f>
        <v>GOZ</v>
      </c>
      <c r="S629" s="40" t="str">
        <f>$D$513</f>
        <v>GOZ</v>
      </c>
    </row>
    <row r="630" spans="3:19" hidden="1" outlineLevel="1" x14ac:dyDescent="0.3">
      <c r="C630" s="89" t="str">
        <f>RES_BA!D130</f>
        <v>Equipment Category 1</v>
      </c>
      <c r="M630" s="40">
        <f>RES_BA!R130</f>
        <v>0</v>
      </c>
      <c r="O630" s="40">
        <f>RES_BA!S130</f>
        <v>0</v>
      </c>
      <c r="Q630" s="40">
        <f>RES_BA!T130</f>
        <v>0</v>
      </c>
      <c r="S630" s="40">
        <f>RES_BA!U130</f>
        <v>0</v>
      </c>
    </row>
    <row r="631" spans="3:19" hidden="1" outlineLevel="1" x14ac:dyDescent="0.3">
      <c r="C631" s="89" t="str">
        <f>RES_BA!D131</f>
        <v>Equipment Category 2</v>
      </c>
      <c r="M631" s="40">
        <f>RES_BA!R131</f>
        <v>0</v>
      </c>
      <c r="O631" s="40">
        <f>RES_BA!S131</f>
        <v>0</v>
      </c>
      <c r="Q631" s="40">
        <f>RES_BA!T131</f>
        <v>0</v>
      </c>
      <c r="S631" s="40">
        <f>RES_BA!U131</f>
        <v>0</v>
      </c>
    </row>
    <row r="632" spans="3:19" hidden="1" outlineLevel="1" x14ac:dyDescent="0.3">
      <c r="C632" s="89" t="str">
        <f>RES_BA!D132</f>
        <v>Equipment Category 3</v>
      </c>
      <c r="M632" s="40">
        <f>RES_BA!R132</f>
        <v>0</v>
      </c>
      <c r="O632" s="40">
        <f>RES_BA!S132</f>
        <v>0</v>
      </c>
      <c r="Q632" s="40">
        <f>RES_BA!T132</f>
        <v>0</v>
      </c>
      <c r="S632" s="40">
        <f>RES_BA!U132</f>
        <v>0</v>
      </c>
    </row>
    <row r="633" spans="3:19" hidden="1" outlineLevel="1" x14ac:dyDescent="0.3">
      <c r="C633" s="89" t="str">
        <f>RES_BA!D133</f>
        <v>Equipment Category 4</v>
      </c>
      <c r="M633" s="40">
        <f>RES_BA!R133</f>
        <v>0</v>
      </c>
      <c r="O633" s="40">
        <f>RES_BA!S133</f>
        <v>0</v>
      </c>
      <c r="Q633" s="40">
        <f>RES_BA!T133</f>
        <v>0</v>
      </c>
      <c r="S633" s="40">
        <f>RES_BA!U133</f>
        <v>0</v>
      </c>
    </row>
    <row r="634" spans="3:19" hidden="1" outlineLevel="1" x14ac:dyDescent="0.3">
      <c r="C634" s="89" t="str">
        <f>RES_BA!D134</f>
        <v>Equipment Category 5</v>
      </c>
      <c r="M634" s="40">
        <f>RES_BA!R134</f>
        <v>0</v>
      </c>
      <c r="O634" s="40">
        <f>RES_BA!S134</f>
        <v>0</v>
      </c>
      <c r="Q634" s="40">
        <f>RES_BA!T134</f>
        <v>0</v>
      </c>
      <c r="S634" s="40">
        <f>RES_BA!U134</f>
        <v>0</v>
      </c>
    </row>
    <row r="635" spans="3:19" hidden="1" outlineLevel="1" x14ac:dyDescent="0.3">
      <c r="C635" s="89" t="str">
        <f>RES_BA!D135</f>
        <v>Equipment Category 6</v>
      </c>
      <c r="M635" s="40">
        <f>RES_BA!R135</f>
        <v>0</v>
      </c>
      <c r="O635" s="40">
        <f>RES_BA!S135</f>
        <v>0</v>
      </c>
      <c r="Q635" s="40">
        <f>RES_BA!T135</f>
        <v>0</v>
      </c>
      <c r="S635" s="40">
        <f>RES_BA!U135</f>
        <v>0</v>
      </c>
    </row>
    <row r="636" spans="3:19" s="277" customFormat="1" hidden="1" outlineLevel="1" collapsed="1" x14ac:dyDescent="0.3">
      <c r="C636" s="283" t="str">
        <f>RES_BA!D136</f>
        <v>Equipment Category 7</v>
      </c>
      <c r="M636" s="279">
        <f>RES_BA!R136</f>
        <v>0</v>
      </c>
      <c r="O636" s="279">
        <f>RES_BA!S136</f>
        <v>0</v>
      </c>
      <c r="Q636" s="279">
        <f>RES_BA!T136</f>
        <v>0</v>
      </c>
      <c r="S636" s="279">
        <f>RES_BA!U136</f>
        <v>0</v>
      </c>
    </row>
    <row r="637" spans="3:19" s="277" customFormat="1" hidden="1" outlineLevel="1" x14ac:dyDescent="0.3">
      <c r="C637" s="283" t="str">
        <f>RES_BA!D137</f>
        <v>Equipment Category 8</v>
      </c>
      <c r="M637" s="279">
        <f>RES_BA!R137</f>
        <v>0</v>
      </c>
      <c r="O637" s="279">
        <f>RES_BA!S137</f>
        <v>0</v>
      </c>
      <c r="Q637" s="279">
        <f>RES_BA!T137</f>
        <v>0</v>
      </c>
      <c r="S637" s="279">
        <f>RES_BA!U137</f>
        <v>0</v>
      </c>
    </row>
    <row r="638" spans="3:19" s="277" customFormat="1" hidden="1" outlineLevel="1" x14ac:dyDescent="0.3">
      <c r="C638" s="283" t="str">
        <f>RES_BA!D138</f>
        <v>Equipment Category 9</v>
      </c>
      <c r="M638" s="279">
        <f>RES_BA!R138</f>
        <v>0</v>
      </c>
      <c r="O638" s="279">
        <f>RES_BA!S138</f>
        <v>0</v>
      </c>
      <c r="Q638" s="279">
        <f>RES_BA!T138</f>
        <v>0</v>
      </c>
      <c r="S638" s="279">
        <f>RES_BA!U138</f>
        <v>0</v>
      </c>
    </row>
    <row r="639" spans="3:19" s="277" customFormat="1" hidden="1" outlineLevel="1" x14ac:dyDescent="0.3">
      <c r="C639" s="283" t="str">
        <f>RES_BA!D139</f>
        <v>Equipment Category 10</v>
      </c>
      <c r="M639" s="279">
        <f>RES_BA!R139</f>
        <v>0</v>
      </c>
      <c r="O639" s="279">
        <f>RES_BA!S139</f>
        <v>0</v>
      </c>
      <c r="Q639" s="279">
        <f>RES_BA!T139</f>
        <v>0</v>
      </c>
      <c r="S639" s="279">
        <f>RES_BA!U139</f>
        <v>0</v>
      </c>
    </row>
    <row r="640" spans="3:19" s="277" customFormat="1" hidden="1" outlineLevel="1" x14ac:dyDescent="0.3">
      <c r="C640" s="283" t="str">
        <f>RES_BA!D140</f>
        <v>Equipment Category 11</v>
      </c>
      <c r="M640" s="279">
        <f>RES_BA!R140</f>
        <v>0</v>
      </c>
      <c r="O640" s="279">
        <f>RES_BA!S140</f>
        <v>0</v>
      </c>
      <c r="Q640" s="279">
        <f>RES_BA!T140</f>
        <v>0</v>
      </c>
      <c r="S640" s="279">
        <f>RES_BA!U140</f>
        <v>0</v>
      </c>
    </row>
    <row r="641" spans="3:19" s="277" customFormat="1" hidden="1" outlineLevel="1" x14ac:dyDescent="0.3">
      <c r="C641" s="283" t="str">
        <f>RES_BA!D141</f>
        <v>Equipment Category 12</v>
      </c>
      <c r="M641" s="279">
        <f>RES_BA!R141</f>
        <v>0</v>
      </c>
      <c r="O641" s="279">
        <f>RES_BA!S141</f>
        <v>0</v>
      </c>
      <c r="Q641" s="279">
        <f>RES_BA!T141</f>
        <v>0</v>
      </c>
      <c r="S641" s="279">
        <f>RES_BA!U141</f>
        <v>0</v>
      </c>
    </row>
    <row r="642" spans="3:19" s="277" customFormat="1" hidden="1" outlineLevel="1" collapsed="1" x14ac:dyDescent="0.3">
      <c r="C642" s="283" t="str">
        <f>RES_BA!D142</f>
        <v>Equipment Category 13</v>
      </c>
      <c r="M642" s="279">
        <f>RES_BA!R142</f>
        <v>0</v>
      </c>
      <c r="O642" s="279">
        <f>RES_BA!S142</f>
        <v>0</v>
      </c>
      <c r="Q642" s="279">
        <f>RES_BA!T142</f>
        <v>0</v>
      </c>
      <c r="S642" s="279">
        <f>RES_BA!U142</f>
        <v>0</v>
      </c>
    </row>
    <row r="643" spans="3:19" s="277" customFormat="1" hidden="1" outlineLevel="1" x14ac:dyDescent="0.3">
      <c r="C643" s="283" t="str">
        <f>RES_BA!D143</f>
        <v>Equipment Category 14</v>
      </c>
      <c r="M643" s="279">
        <f>RES_BA!R143</f>
        <v>0</v>
      </c>
      <c r="O643" s="279">
        <f>RES_BA!S143</f>
        <v>0</v>
      </c>
      <c r="Q643" s="279">
        <f>RES_BA!T143</f>
        <v>0</v>
      </c>
      <c r="S643" s="279">
        <f>RES_BA!U143</f>
        <v>0</v>
      </c>
    </row>
    <row r="644" spans="3:19" s="277" customFormat="1" hidden="1" outlineLevel="1" x14ac:dyDescent="0.3">
      <c r="C644" s="283" t="str">
        <f>RES_BA!D144</f>
        <v>Equipment Category 15</v>
      </c>
      <c r="M644" s="279">
        <f>RES_BA!R144</f>
        <v>0</v>
      </c>
      <c r="O644" s="279">
        <f>RES_BA!S144</f>
        <v>0</v>
      </c>
      <c r="Q644" s="279">
        <f>RES_BA!T144</f>
        <v>0</v>
      </c>
      <c r="S644" s="279">
        <f>RES_BA!U144</f>
        <v>0</v>
      </c>
    </row>
    <row r="645" spans="3:19" s="277" customFormat="1" hidden="1" outlineLevel="1" x14ac:dyDescent="0.3">
      <c r="C645" s="283" t="str">
        <f>RES_BA!D145</f>
        <v>Equipment Category 16</v>
      </c>
      <c r="M645" s="279">
        <f>RES_BA!R145</f>
        <v>0</v>
      </c>
      <c r="O645" s="279">
        <f>RES_BA!S145</f>
        <v>0</v>
      </c>
      <c r="Q645" s="279">
        <f>RES_BA!T145</f>
        <v>0</v>
      </c>
      <c r="S645" s="279">
        <f>RES_BA!U145</f>
        <v>0</v>
      </c>
    </row>
    <row r="646" spans="3:19" s="277" customFormat="1" hidden="1" outlineLevel="1" x14ac:dyDescent="0.3">
      <c r="C646" s="283" t="str">
        <f>RES_BA!D146</f>
        <v>Equipment Category 17</v>
      </c>
      <c r="M646" s="279">
        <f>RES_BA!R146</f>
        <v>0</v>
      </c>
      <c r="O646" s="279">
        <f>RES_BA!S146</f>
        <v>0</v>
      </c>
      <c r="Q646" s="279">
        <f>RES_BA!T146</f>
        <v>0</v>
      </c>
      <c r="S646" s="279">
        <f>RES_BA!U146</f>
        <v>0</v>
      </c>
    </row>
    <row r="647" spans="3:19" s="277" customFormat="1" hidden="1" outlineLevel="1" x14ac:dyDescent="0.3">
      <c r="C647" s="283" t="str">
        <f>RES_BA!D147</f>
        <v>Equipment Category 18</v>
      </c>
      <c r="M647" s="279">
        <f>RES_BA!R147</f>
        <v>0</v>
      </c>
      <c r="O647" s="279">
        <f>RES_BA!S147</f>
        <v>0</v>
      </c>
      <c r="Q647" s="279">
        <f>RES_BA!T147</f>
        <v>0</v>
      </c>
      <c r="S647" s="279">
        <f>RES_BA!U147</f>
        <v>0</v>
      </c>
    </row>
    <row r="648" spans="3:19" s="277" customFormat="1" hidden="1" outlineLevel="1" x14ac:dyDescent="0.3">
      <c r="C648" s="283" t="str">
        <f>RES_BA!D148</f>
        <v>Equipment Category 19</v>
      </c>
      <c r="M648" s="279">
        <f>RES_BA!R148</f>
        <v>0</v>
      </c>
      <c r="O648" s="279">
        <f>RES_BA!S148</f>
        <v>0</v>
      </c>
      <c r="Q648" s="279">
        <f>RES_BA!T148</f>
        <v>0</v>
      </c>
      <c r="S648" s="279">
        <f>RES_BA!U148</f>
        <v>0</v>
      </c>
    </row>
    <row r="649" spans="3:19" s="277" customFormat="1" hidden="1" outlineLevel="1" x14ac:dyDescent="0.3">
      <c r="C649" s="283" t="str">
        <f>RES_BA!D149</f>
        <v>Equipment Category 20</v>
      </c>
      <c r="M649" s="279">
        <f>RES_BA!R149</f>
        <v>0</v>
      </c>
      <c r="O649" s="279">
        <f>RES_BA!S149</f>
        <v>0</v>
      </c>
      <c r="Q649" s="279">
        <f>RES_BA!T149</f>
        <v>0</v>
      </c>
      <c r="S649" s="279">
        <f>RES_BA!U149</f>
        <v>0</v>
      </c>
    </row>
    <row r="650" spans="3:19" s="277" customFormat="1" hidden="1" outlineLevel="1" x14ac:dyDescent="0.3">
      <c r="C650" s="283" t="str">
        <f>RES_BA!D150</f>
        <v>Equipment Category 21</v>
      </c>
      <c r="M650" s="279">
        <f>RES_BA!R150</f>
        <v>0</v>
      </c>
      <c r="O650" s="279">
        <f>RES_BA!S150</f>
        <v>0</v>
      </c>
      <c r="Q650" s="279">
        <f>RES_BA!T150</f>
        <v>0</v>
      </c>
      <c r="S650" s="279">
        <f>RES_BA!U150</f>
        <v>0</v>
      </c>
    </row>
    <row r="651" spans="3:19" s="277" customFormat="1" hidden="1" outlineLevel="1" x14ac:dyDescent="0.3">
      <c r="C651" s="283" t="str">
        <f>RES_BA!D151</f>
        <v>Equipment Category 22</v>
      </c>
      <c r="M651" s="279">
        <f>RES_BA!R151</f>
        <v>0</v>
      </c>
      <c r="O651" s="279">
        <f>RES_BA!S151</f>
        <v>0</v>
      </c>
      <c r="Q651" s="279">
        <f>RES_BA!T151</f>
        <v>0</v>
      </c>
      <c r="S651" s="279">
        <f>RES_BA!U151</f>
        <v>0</v>
      </c>
    </row>
    <row r="652" spans="3:19" s="277" customFormat="1" hidden="1" outlineLevel="1" x14ac:dyDescent="0.3">
      <c r="C652" s="283" t="str">
        <f>RES_BA!D152</f>
        <v>Equipment Category 23</v>
      </c>
      <c r="M652" s="279">
        <f>RES_BA!R152</f>
        <v>0</v>
      </c>
      <c r="O652" s="279">
        <f>RES_BA!S152</f>
        <v>0</v>
      </c>
      <c r="Q652" s="279">
        <f>RES_BA!T152</f>
        <v>0</v>
      </c>
      <c r="S652" s="279">
        <f>RES_BA!U152</f>
        <v>0</v>
      </c>
    </row>
    <row r="653" spans="3:19" s="277" customFormat="1" hidden="1" outlineLevel="1" collapsed="1" x14ac:dyDescent="0.3">
      <c r="C653" s="283" t="str">
        <f>RES_BA!D153</f>
        <v>Equipment Category 24</v>
      </c>
      <c r="M653" s="279">
        <f>RES_BA!R153</f>
        <v>0</v>
      </c>
      <c r="O653" s="279">
        <f>RES_BA!S153</f>
        <v>0</v>
      </c>
      <c r="Q653" s="279">
        <f>RES_BA!T153</f>
        <v>0</v>
      </c>
      <c r="S653" s="279">
        <f>RES_BA!U153</f>
        <v>0</v>
      </c>
    </row>
    <row r="654" spans="3:19" s="277" customFormat="1" hidden="1" outlineLevel="1" x14ac:dyDescent="0.3">
      <c r="C654" s="283" t="str">
        <f>RES_BA!D154</f>
        <v>Equipment Category 25</v>
      </c>
      <c r="M654" s="279">
        <f>RES_BA!R154</f>
        <v>0</v>
      </c>
      <c r="O654" s="279">
        <f>RES_BA!S154</f>
        <v>0</v>
      </c>
      <c r="Q654" s="279">
        <f>RES_BA!T154</f>
        <v>0</v>
      </c>
      <c r="S654" s="279">
        <f>RES_BA!U154</f>
        <v>0</v>
      </c>
    </row>
    <row r="655" spans="3:19" s="277" customFormat="1" hidden="1" outlineLevel="1" x14ac:dyDescent="0.3">
      <c r="C655" s="283" t="str">
        <f>RES_BA!D155</f>
        <v>Equipment Category 26</v>
      </c>
      <c r="M655" s="279">
        <f>RES_BA!R155</f>
        <v>0</v>
      </c>
      <c r="O655" s="279">
        <f>RES_BA!S155</f>
        <v>0</v>
      </c>
      <c r="Q655" s="279">
        <f>RES_BA!T155</f>
        <v>0</v>
      </c>
      <c r="S655" s="279">
        <f>RES_BA!U155</f>
        <v>0</v>
      </c>
    </row>
    <row r="656" spans="3:19" s="277" customFormat="1" hidden="1" outlineLevel="1" x14ac:dyDescent="0.3">
      <c r="C656" s="283" t="str">
        <f>RES_BA!D156</f>
        <v>Equipment Category 27</v>
      </c>
      <c r="M656" s="279">
        <f>RES_BA!R156</f>
        <v>0</v>
      </c>
      <c r="O656" s="279">
        <f>RES_BA!S156</f>
        <v>0</v>
      </c>
      <c r="Q656" s="279">
        <f>RES_BA!T156</f>
        <v>0</v>
      </c>
      <c r="S656" s="279">
        <f>RES_BA!U156</f>
        <v>0</v>
      </c>
    </row>
    <row r="657" spans="3:19" s="277" customFormat="1" hidden="1" outlineLevel="1" x14ac:dyDescent="0.3">
      <c r="C657" s="283" t="str">
        <f>RES_BA!D157</f>
        <v>Equipment Category 28</v>
      </c>
      <c r="M657" s="279">
        <f>RES_BA!R157</f>
        <v>0</v>
      </c>
      <c r="O657" s="279">
        <f>RES_BA!S157</f>
        <v>0</v>
      </c>
      <c r="Q657" s="279">
        <f>RES_BA!T157</f>
        <v>0</v>
      </c>
      <c r="S657" s="279">
        <f>RES_BA!U157</f>
        <v>0</v>
      </c>
    </row>
    <row r="658" spans="3:19" s="277" customFormat="1" hidden="1" outlineLevel="1" x14ac:dyDescent="0.3">
      <c r="C658" s="283" t="str">
        <f>RES_BA!D158</f>
        <v>Equipment Category 29</v>
      </c>
      <c r="M658" s="279">
        <f>RES_BA!R158</f>
        <v>0</v>
      </c>
      <c r="O658" s="279">
        <f>RES_BA!S158</f>
        <v>0</v>
      </c>
      <c r="Q658" s="279">
        <f>RES_BA!T158</f>
        <v>0</v>
      </c>
      <c r="S658" s="279">
        <f>RES_BA!U158</f>
        <v>0</v>
      </c>
    </row>
    <row r="659" spans="3:19" s="277" customFormat="1" hidden="1" outlineLevel="1" x14ac:dyDescent="0.3">
      <c r="C659" s="283" t="str">
        <f>RES_BA!D159</f>
        <v>Equipment Category 30</v>
      </c>
      <c r="M659" s="279">
        <f>RES_BA!R159</f>
        <v>0</v>
      </c>
      <c r="O659" s="279">
        <f>RES_BA!S159</f>
        <v>0</v>
      </c>
      <c r="Q659" s="279">
        <f>RES_BA!T159</f>
        <v>0</v>
      </c>
      <c r="S659" s="279">
        <f>RES_BA!U159</f>
        <v>0</v>
      </c>
    </row>
    <row r="660" spans="3:19" s="277" customFormat="1" hidden="1" outlineLevel="1" x14ac:dyDescent="0.3">
      <c r="C660" s="283" t="str">
        <f>RES_BA!D160</f>
        <v>Equipment Category 31</v>
      </c>
      <c r="M660" s="279">
        <f>RES_BA!R160</f>
        <v>0</v>
      </c>
      <c r="O660" s="279">
        <f>RES_BA!S160</f>
        <v>0</v>
      </c>
      <c r="Q660" s="279">
        <f>RES_BA!T160</f>
        <v>0</v>
      </c>
      <c r="S660" s="279">
        <f>RES_BA!U160</f>
        <v>0</v>
      </c>
    </row>
    <row r="661" spans="3:19" s="277" customFormat="1" hidden="1" outlineLevel="1" x14ac:dyDescent="0.3">
      <c r="C661" s="283" t="str">
        <f>RES_BA!D161</f>
        <v>Equipment Category 32</v>
      </c>
      <c r="M661" s="279">
        <f>RES_BA!R161</f>
        <v>0</v>
      </c>
      <c r="O661" s="279">
        <f>RES_BA!S161</f>
        <v>0</v>
      </c>
      <c r="Q661" s="279">
        <f>RES_BA!T161</f>
        <v>0</v>
      </c>
      <c r="S661" s="279">
        <f>RES_BA!U161</f>
        <v>0</v>
      </c>
    </row>
    <row r="662" spans="3:19" s="277" customFormat="1" hidden="1" outlineLevel="1" x14ac:dyDescent="0.3">
      <c r="C662" s="283" t="str">
        <f>RES_BA!D162</f>
        <v>Equipment Category 33</v>
      </c>
      <c r="M662" s="279">
        <f>RES_BA!R162</f>
        <v>0</v>
      </c>
      <c r="O662" s="279">
        <f>RES_BA!S162</f>
        <v>0</v>
      </c>
      <c r="Q662" s="279">
        <f>RES_BA!T162</f>
        <v>0</v>
      </c>
      <c r="S662" s="279">
        <f>RES_BA!U162</f>
        <v>0</v>
      </c>
    </row>
    <row r="663" spans="3:19" s="277" customFormat="1" hidden="1" outlineLevel="1" collapsed="1" x14ac:dyDescent="0.3">
      <c r="C663" s="283" t="str">
        <f>RES_BA!D163</f>
        <v>Equipment Category 34</v>
      </c>
      <c r="M663" s="279">
        <f>RES_BA!R163</f>
        <v>0</v>
      </c>
      <c r="O663" s="279">
        <f>RES_BA!S163</f>
        <v>0</v>
      </c>
      <c r="Q663" s="279">
        <f>RES_BA!T163</f>
        <v>0</v>
      </c>
      <c r="S663" s="279">
        <f>RES_BA!U163</f>
        <v>0</v>
      </c>
    </row>
    <row r="664" spans="3:19" s="277" customFormat="1" hidden="1" outlineLevel="1" x14ac:dyDescent="0.3">
      <c r="C664" s="283" t="str">
        <f>RES_BA!D164</f>
        <v>Equipment Category 35</v>
      </c>
      <c r="M664" s="279">
        <f>RES_BA!R164</f>
        <v>0</v>
      </c>
      <c r="O664" s="279">
        <f>RES_BA!S164</f>
        <v>0</v>
      </c>
      <c r="Q664" s="279">
        <f>RES_BA!T164</f>
        <v>0</v>
      </c>
      <c r="S664" s="279">
        <f>RES_BA!U164</f>
        <v>0</v>
      </c>
    </row>
    <row r="665" spans="3:19" hidden="1" outlineLevel="1" x14ac:dyDescent="0.3"/>
    <row r="666" spans="3:19" hidden="1" outlineLevel="1" x14ac:dyDescent="0.3"/>
    <row r="667" spans="3:19" hidden="1" outlineLevel="1" x14ac:dyDescent="0.3">
      <c r="M667" s="40" t="str">
        <f>$D$512</f>
        <v>USD</v>
      </c>
      <c r="O667" s="40" t="str">
        <f>$D$512</f>
        <v>USD</v>
      </c>
      <c r="Q667" s="40" t="str">
        <f>$D$513</f>
        <v>GOZ</v>
      </c>
      <c r="S667" s="40" t="str">
        <f>$D$513</f>
        <v>GOZ</v>
      </c>
    </row>
    <row r="668" spans="3:19" hidden="1" outlineLevel="1" x14ac:dyDescent="0.3">
      <c r="C668" s="89" t="str">
        <f>RES_BA!D169</f>
        <v>Other Direct Costs Category 1</v>
      </c>
      <c r="M668" s="40">
        <f>RES_BA!R169</f>
        <v>0</v>
      </c>
      <c r="O668" s="40">
        <f>RES_BA!S169</f>
        <v>0</v>
      </c>
      <c r="Q668" s="40">
        <f>RES_BA!T169</f>
        <v>0</v>
      </c>
      <c r="S668" s="40">
        <f>RES_BA!U169</f>
        <v>0</v>
      </c>
    </row>
    <row r="669" spans="3:19" hidden="1" outlineLevel="1" x14ac:dyDescent="0.3">
      <c r="C669" s="89" t="str">
        <f>RES_BA!D170</f>
        <v>Other Direct Costs Category 2</v>
      </c>
      <c r="M669" s="40">
        <f>RES_BA!R170</f>
        <v>0</v>
      </c>
      <c r="O669" s="40">
        <f>RES_BA!S170</f>
        <v>0</v>
      </c>
      <c r="Q669" s="40">
        <f>RES_BA!T170</f>
        <v>0</v>
      </c>
      <c r="S669" s="40">
        <f>RES_BA!U170</f>
        <v>0</v>
      </c>
    </row>
    <row r="670" spans="3:19" hidden="1" outlineLevel="1" x14ac:dyDescent="0.3">
      <c r="C670" s="89" t="str">
        <f>RES_BA!D171</f>
        <v>Other Direct Costs Category 3</v>
      </c>
      <c r="M670" s="40">
        <f>RES_BA!R171</f>
        <v>0</v>
      </c>
      <c r="O670" s="40">
        <f>RES_BA!S171</f>
        <v>0</v>
      </c>
      <c r="Q670" s="40">
        <f>RES_BA!T171</f>
        <v>0</v>
      </c>
      <c r="S670" s="40">
        <f>RES_BA!U171</f>
        <v>0</v>
      </c>
    </row>
    <row r="671" spans="3:19" s="277" customFormat="1" hidden="1" outlineLevel="1" collapsed="1" x14ac:dyDescent="0.3">
      <c r="C671" s="283" t="str">
        <f>RES_BA!D172</f>
        <v>Other Direct Costs Category 4</v>
      </c>
      <c r="M671" s="279">
        <f>RES_BA!R172</f>
        <v>0</v>
      </c>
      <c r="O671" s="279">
        <f>RES_BA!S172</f>
        <v>0</v>
      </c>
      <c r="Q671" s="279">
        <f>RES_BA!T172</f>
        <v>0</v>
      </c>
      <c r="S671" s="279">
        <f>RES_BA!U172</f>
        <v>0</v>
      </c>
    </row>
    <row r="672" spans="3:19" s="277" customFormat="1" hidden="1" outlineLevel="1" x14ac:dyDescent="0.3">
      <c r="C672" s="283" t="str">
        <f>RES_BA!D173</f>
        <v>Other Direct Costs Category 5</v>
      </c>
      <c r="M672" s="279">
        <f>RES_BA!R173</f>
        <v>0</v>
      </c>
      <c r="O672" s="279">
        <f>RES_BA!S173</f>
        <v>0</v>
      </c>
      <c r="Q672" s="279">
        <f>RES_BA!T173</f>
        <v>0</v>
      </c>
      <c r="S672" s="279">
        <f>RES_BA!U173</f>
        <v>0</v>
      </c>
    </row>
    <row r="673" spans="3:19" s="277" customFormat="1" hidden="1" outlineLevel="1" x14ac:dyDescent="0.3">
      <c r="C673" s="283" t="str">
        <f>RES_BA!D174</f>
        <v>Other Direct Costs Category 6</v>
      </c>
      <c r="M673" s="279">
        <f>RES_BA!R174</f>
        <v>0</v>
      </c>
      <c r="O673" s="279">
        <f>RES_BA!S174</f>
        <v>0</v>
      </c>
      <c r="Q673" s="279">
        <f>RES_BA!T174</f>
        <v>0</v>
      </c>
      <c r="S673" s="279">
        <f>RES_BA!U174</f>
        <v>0</v>
      </c>
    </row>
    <row r="674" spans="3:19" s="277" customFormat="1" hidden="1" outlineLevel="1" x14ac:dyDescent="0.3">
      <c r="C674" s="283" t="str">
        <f>RES_BA!D175</f>
        <v>Other Direct Costs Category 7</v>
      </c>
      <c r="M674" s="279">
        <f>RES_BA!R175</f>
        <v>0</v>
      </c>
      <c r="O674" s="279">
        <f>RES_BA!S175</f>
        <v>0</v>
      </c>
      <c r="Q674" s="279">
        <f>RES_BA!T175</f>
        <v>0</v>
      </c>
      <c r="S674" s="279">
        <f>RES_BA!U175</f>
        <v>0</v>
      </c>
    </row>
    <row r="675" spans="3:19" s="277" customFormat="1" hidden="1" outlineLevel="1" x14ac:dyDescent="0.3">
      <c r="C675" s="283" t="str">
        <f>RES_BA!D176</f>
        <v>Other Direct Costs Category 8</v>
      </c>
      <c r="M675" s="279">
        <f>RES_BA!R176</f>
        <v>0</v>
      </c>
      <c r="O675" s="279">
        <f>RES_BA!S176</f>
        <v>0</v>
      </c>
      <c r="Q675" s="279">
        <f>RES_BA!T176</f>
        <v>0</v>
      </c>
      <c r="S675" s="279">
        <f>RES_BA!U176</f>
        <v>0</v>
      </c>
    </row>
    <row r="676" spans="3:19" s="277" customFormat="1" hidden="1" outlineLevel="1" x14ac:dyDescent="0.3">
      <c r="C676" s="283" t="str">
        <f>RES_BA!D177</f>
        <v>Other Direct Costs Category 9</v>
      </c>
      <c r="M676" s="279">
        <f>RES_BA!R177</f>
        <v>0</v>
      </c>
      <c r="O676" s="279">
        <f>RES_BA!S177</f>
        <v>0</v>
      </c>
      <c r="Q676" s="279">
        <f>RES_BA!T177</f>
        <v>0</v>
      </c>
      <c r="S676" s="279">
        <f>RES_BA!U177</f>
        <v>0</v>
      </c>
    </row>
    <row r="677" spans="3:19" s="277" customFormat="1" hidden="1" outlineLevel="1" x14ac:dyDescent="0.3">
      <c r="C677" s="283" t="str">
        <f>RES_BA!D178</f>
        <v>Other Direct Costs Category 10</v>
      </c>
      <c r="M677" s="279">
        <f>RES_BA!R178</f>
        <v>0</v>
      </c>
      <c r="O677" s="279">
        <f>RES_BA!S178</f>
        <v>0</v>
      </c>
      <c r="Q677" s="279">
        <f>RES_BA!T178</f>
        <v>0</v>
      </c>
      <c r="S677" s="279">
        <f>RES_BA!U178</f>
        <v>0</v>
      </c>
    </row>
    <row r="678" spans="3:19" s="277" customFormat="1" hidden="1" outlineLevel="1" x14ac:dyDescent="0.3">
      <c r="C678" s="283" t="str">
        <f>RES_BA!D179</f>
        <v>Other Direct Costs Category 11</v>
      </c>
      <c r="M678" s="279">
        <f>RES_BA!R179</f>
        <v>0</v>
      </c>
      <c r="O678" s="279">
        <f>RES_BA!S179</f>
        <v>0</v>
      </c>
      <c r="Q678" s="279">
        <f>RES_BA!T179</f>
        <v>0</v>
      </c>
      <c r="S678" s="279">
        <f>RES_BA!U179</f>
        <v>0</v>
      </c>
    </row>
    <row r="679" spans="3:19" s="277" customFormat="1" hidden="1" outlineLevel="1" collapsed="1" x14ac:dyDescent="0.3">
      <c r="C679" s="283" t="str">
        <f>RES_BA!D180</f>
        <v>Other Direct Costs Category 12</v>
      </c>
      <c r="M679" s="279">
        <f>RES_BA!R180</f>
        <v>0</v>
      </c>
      <c r="O679" s="279">
        <f>RES_BA!S180</f>
        <v>0</v>
      </c>
      <c r="Q679" s="279">
        <f>RES_BA!T180</f>
        <v>0</v>
      </c>
      <c r="S679" s="279">
        <f>RES_BA!U180</f>
        <v>0</v>
      </c>
    </row>
    <row r="680" spans="3:19" s="277" customFormat="1" hidden="1" outlineLevel="1" x14ac:dyDescent="0.3">
      <c r="C680" s="283" t="str">
        <f>RES_BA!D181</f>
        <v>Other Direct Costs Category 13</v>
      </c>
      <c r="M680" s="279">
        <f>RES_BA!R181</f>
        <v>0</v>
      </c>
      <c r="O680" s="279">
        <f>RES_BA!S181</f>
        <v>0</v>
      </c>
      <c r="Q680" s="279">
        <f>RES_BA!T181</f>
        <v>0</v>
      </c>
      <c r="S680" s="279">
        <f>RES_BA!U181</f>
        <v>0</v>
      </c>
    </row>
    <row r="681" spans="3:19" s="277" customFormat="1" hidden="1" outlineLevel="1" x14ac:dyDescent="0.3">
      <c r="C681" s="283" t="str">
        <f>RES_BA!D182</f>
        <v>Other Direct Costs Category 14</v>
      </c>
      <c r="M681" s="279">
        <f>RES_BA!R182</f>
        <v>0</v>
      </c>
      <c r="O681" s="279">
        <f>RES_BA!S182</f>
        <v>0</v>
      </c>
      <c r="Q681" s="279">
        <f>RES_BA!T182</f>
        <v>0</v>
      </c>
      <c r="S681" s="279">
        <f>RES_BA!U182</f>
        <v>0</v>
      </c>
    </row>
    <row r="682" spans="3:19" s="277" customFormat="1" hidden="1" outlineLevel="1" x14ac:dyDescent="0.3">
      <c r="C682" s="283" t="str">
        <f>RES_BA!D183</f>
        <v>Other Direct Costs Category 15</v>
      </c>
      <c r="M682" s="279">
        <f>RES_BA!R183</f>
        <v>0</v>
      </c>
      <c r="O682" s="279">
        <f>RES_BA!S183</f>
        <v>0</v>
      </c>
      <c r="Q682" s="279">
        <f>RES_BA!T183</f>
        <v>0</v>
      </c>
      <c r="S682" s="279">
        <f>RES_BA!U183</f>
        <v>0</v>
      </c>
    </row>
    <row r="683" spans="3:19" s="277" customFormat="1" hidden="1" outlineLevel="1" x14ac:dyDescent="0.3">
      <c r="C683" s="283" t="str">
        <f>RES_BA!D184</f>
        <v>Other Direct Costs Category 16</v>
      </c>
      <c r="M683" s="279">
        <f>RES_BA!R184</f>
        <v>0</v>
      </c>
      <c r="O683" s="279">
        <f>RES_BA!S184</f>
        <v>0</v>
      </c>
      <c r="Q683" s="279">
        <f>RES_BA!T184</f>
        <v>0</v>
      </c>
      <c r="S683" s="279">
        <f>RES_BA!U184</f>
        <v>0</v>
      </c>
    </row>
    <row r="684" spans="3:19" s="277" customFormat="1" hidden="1" outlineLevel="1" x14ac:dyDescent="0.3">
      <c r="C684" s="283" t="str">
        <f>RES_BA!D185</f>
        <v>Other Direct Costs Category 17</v>
      </c>
      <c r="M684" s="279">
        <f>RES_BA!R185</f>
        <v>0</v>
      </c>
      <c r="O684" s="279">
        <f>RES_BA!S185</f>
        <v>0</v>
      </c>
      <c r="Q684" s="279">
        <f>RES_BA!T185</f>
        <v>0</v>
      </c>
      <c r="S684" s="279">
        <f>RES_BA!U185</f>
        <v>0</v>
      </c>
    </row>
    <row r="685" spans="3:19" s="277" customFormat="1" hidden="1" outlineLevel="1" x14ac:dyDescent="0.3">
      <c r="C685" s="283" t="str">
        <f>RES_BA!D186</f>
        <v>Other Direct Costs Category 18</v>
      </c>
      <c r="M685" s="279">
        <f>RES_BA!R186</f>
        <v>0</v>
      </c>
      <c r="O685" s="279">
        <f>RES_BA!S186</f>
        <v>0</v>
      </c>
      <c r="Q685" s="279">
        <f>RES_BA!T186</f>
        <v>0</v>
      </c>
      <c r="S685" s="279">
        <f>RES_BA!U186</f>
        <v>0</v>
      </c>
    </row>
    <row r="686" spans="3:19" s="277" customFormat="1" hidden="1" outlineLevel="1" x14ac:dyDescent="0.3">
      <c r="C686" s="283" t="str">
        <f>RES_BA!D187</f>
        <v>Other Direct Costs Category 19</v>
      </c>
      <c r="M686" s="279">
        <f>RES_BA!R187</f>
        <v>0</v>
      </c>
      <c r="O686" s="279">
        <f>RES_BA!S187</f>
        <v>0</v>
      </c>
      <c r="Q686" s="279">
        <f>RES_BA!T187</f>
        <v>0</v>
      </c>
      <c r="S686" s="279">
        <f>RES_BA!U187</f>
        <v>0</v>
      </c>
    </row>
    <row r="687" spans="3:19" s="277" customFormat="1" hidden="1" outlineLevel="1" x14ac:dyDescent="0.3">
      <c r="C687" s="283" t="str">
        <f>RES_BA!D188</f>
        <v>Other Direct Costs Category 20</v>
      </c>
      <c r="M687" s="279">
        <f>RES_BA!R188</f>
        <v>0</v>
      </c>
      <c r="O687" s="279">
        <f>RES_BA!S188</f>
        <v>0</v>
      </c>
      <c r="Q687" s="279">
        <f>RES_BA!T188</f>
        <v>0</v>
      </c>
      <c r="S687" s="279">
        <f>RES_BA!U188</f>
        <v>0</v>
      </c>
    </row>
    <row r="688" spans="3:19" s="277" customFormat="1" hidden="1" outlineLevel="1" x14ac:dyDescent="0.3">
      <c r="C688" s="283" t="str">
        <f>RES_BA!D189</f>
        <v>Other Direct Costs Category 21</v>
      </c>
      <c r="M688" s="279">
        <f>RES_BA!R189</f>
        <v>0</v>
      </c>
      <c r="O688" s="279">
        <f>RES_BA!S189</f>
        <v>0</v>
      </c>
      <c r="Q688" s="279">
        <f>RES_BA!T189</f>
        <v>0</v>
      </c>
      <c r="S688" s="279">
        <f>RES_BA!U189</f>
        <v>0</v>
      </c>
    </row>
    <row r="689" spans="3:19" s="277" customFormat="1" hidden="1" outlineLevel="1" x14ac:dyDescent="0.3">
      <c r="C689" s="283" t="str">
        <f>RES_BA!D190</f>
        <v>Other Direct Costs Category 22</v>
      </c>
      <c r="M689" s="279">
        <f>RES_BA!R190</f>
        <v>0</v>
      </c>
      <c r="O689" s="279">
        <f>RES_BA!S190</f>
        <v>0</v>
      </c>
      <c r="Q689" s="279">
        <f>RES_BA!T190</f>
        <v>0</v>
      </c>
      <c r="S689" s="279">
        <f>RES_BA!U190</f>
        <v>0</v>
      </c>
    </row>
    <row r="690" spans="3:19" s="277" customFormat="1" hidden="1" outlineLevel="1" x14ac:dyDescent="0.3">
      <c r="C690" s="283" t="str">
        <f>RES_BA!D191</f>
        <v>Other Direct Costs Category 23</v>
      </c>
      <c r="M690" s="279">
        <f>RES_BA!R191</f>
        <v>0</v>
      </c>
      <c r="O690" s="279">
        <f>RES_BA!S191</f>
        <v>0</v>
      </c>
      <c r="Q690" s="279">
        <f>RES_BA!T191</f>
        <v>0</v>
      </c>
      <c r="S690" s="279">
        <f>RES_BA!U191</f>
        <v>0</v>
      </c>
    </row>
    <row r="691" spans="3:19" s="277" customFormat="1" hidden="1" outlineLevel="1" collapsed="1" x14ac:dyDescent="0.3">
      <c r="C691" s="283" t="str">
        <f>RES_BA!D192</f>
        <v>Other Direct Costs Category 24</v>
      </c>
      <c r="M691" s="279">
        <f>RES_BA!R192</f>
        <v>0</v>
      </c>
      <c r="O691" s="279">
        <f>RES_BA!S192</f>
        <v>0</v>
      </c>
      <c r="Q691" s="279">
        <f>RES_BA!T192</f>
        <v>0</v>
      </c>
      <c r="S691" s="279">
        <f>RES_BA!U192</f>
        <v>0</v>
      </c>
    </row>
    <row r="692" spans="3:19" s="277" customFormat="1" hidden="1" outlineLevel="1" x14ac:dyDescent="0.3">
      <c r="C692" s="283" t="str">
        <f>RES_BA!D193</f>
        <v>Other Direct Costs Category 25</v>
      </c>
      <c r="M692" s="279">
        <f>RES_BA!R193</f>
        <v>0</v>
      </c>
      <c r="O692" s="279">
        <f>RES_BA!S193</f>
        <v>0</v>
      </c>
      <c r="Q692" s="279">
        <f>RES_BA!T193</f>
        <v>0</v>
      </c>
      <c r="S692" s="279">
        <f>RES_BA!U193</f>
        <v>0</v>
      </c>
    </row>
    <row r="693" spans="3:19" s="277" customFormat="1" hidden="1" outlineLevel="1" x14ac:dyDescent="0.3">
      <c r="C693" s="283" t="str">
        <f>RES_BA!D194</f>
        <v>Other Direct Costs Category 26</v>
      </c>
      <c r="M693" s="279">
        <f>RES_BA!R194</f>
        <v>0</v>
      </c>
      <c r="O693" s="279">
        <f>RES_BA!S194</f>
        <v>0</v>
      </c>
      <c r="Q693" s="279">
        <f>RES_BA!T194</f>
        <v>0</v>
      </c>
      <c r="S693" s="279">
        <f>RES_BA!U194</f>
        <v>0</v>
      </c>
    </row>
    <row r="694" spans="3:19" s="277" customFormat="1" hidden="1" outlineLevel="1" x14ac:dyDescent="0.3">
      <c r="C694" s="283" t="str">
        <f>RES_BA!D195</f>
        <v>Other Direct Costs Category 27</v>
      </c>
      <c r="M694" s="279">
        <f>RES_BA!R195</f>
        <v>0</v>
      </c>
      <c r="O694" s="279">
        <f>RES_BA!S195</f>
        <v>0</v>
      </c>
      <c r="Q694" s="279">
        <f>RES_BA!T195</f>
        <v>0</v>
      </c>
      <c r="S694" s="279">
        <f>RES_BA!U195</f>
        <v>0</v>
      </c>
    </row>
    <row r="695" spans="3:19" s="277" customFormat="1" hidden="1" outlineLevel="1" x14ac:dyDescent="0.3">
      <c r="C695" s="283" t="str">
        <f>RES_BA!D196</f>
        <v>Other Direct Costs Category 28</v>
      </c>
      <c r="M695" s="279">
        <f>RES_BA!R196</f>
        <v>0</v>
      </c>
      <c r="O695" s="279">
        <f>RES_BA!S196</f>
        <v>0</v>
      </c>
      <c r="Q695" s="279">
        <f>RES_BA!T196</f>
        <v>0</v>
      </c>
      <c r="S695" s="279">
        <f>RES_BA!U196</f>
        <v>0</v>
      </c>
    </row>
    <row r="696" spans="3:19" s="277" customFormat="1" hidden="1" outlineLevel="1" x14ac:dyDescent="0.3">
      <c r="C696" s="283" t="str">
        <f>RES_BA!D197</f>
        <v>Other Direct Costs Category 29</v>
      </c>
      <c r="M696" s="279">
        <f>RES_BA!R197</f>
        <v>0</v>
      </c>
      <c r="O696" s="279">
        <f>RES_BA!S197</f>
        <v>0</v>
      </c>
      <c r="Q696" s="279">
        <f>RES_BA!T197</f>
        <v>0</v>
      </c>
      <c r="S696" s="279">
        <f>RES_BA!U197</f>
        <v>0</v>
      </c>
    </row>
    <row r="697" spans="3:19" s="277" customFormat="1" hidden="1" outlineLevel="1" x14ac:dyDescent="0.3">
      <c r="C697" s="283" t="str">
        <f>RES_BA!D198</f>
        <v>Other Direct Costs Category 30</v>
      </c>
      <c r="M697" s="279">
        <f>RES_BA!R198</f>
        <v>0</v>
      </c>
      <c r="O697" s="279">
        <f>RES_BA!S198</f>
        <v>0</v>
      </c>
      <c r="Q697" s="279">
        <f>RES_BA!T198</f>
        <v>0</v>
      </c>
      <c r="S697" s="279">
        <f>RES_BA!U198</f>
        <v>0</v>
      </c>
    </row>
    <row r="698" spans="3:19" s="277" customFormat="1" hidden="1" outlineLevel="1" x14ac:dyDescent="0.3">
      <c r="C698" s="283" t="str">
        <f>RES_BA!D199</f>
        <v>Other Direct Costs Category 31</v>
      </c>
      <c r="M698" s="279">
        <f>RES_BA!R199</f>
        <v>0</v>
      </c>
      <c r="O698" s="279">
        <f>RES_BA!S199</f>
        <v>0</v>
      </c>
      <c r="Q698" s="279">
        <f>RES_BA!T199</f>
        <v>0</v>
      </c>
      <c r="S698" s="279">
        <f>RES_BA!U199</f>
        <v>0</v>
      </c>
    </row>
    <row r="699" spans="3:19" s="277" customFormat="1" hidden="1" outlineLevel="1" x14ac:dyDescent="0.3">
      <c r="C699" s="283" t="str">
        <f>RES_BA!D200</f>
        <v>Other Direct Costs Category 32</v>
      </c>
      <c r="M699" s="279">
        <f>RES_BA!R200</f>
        <v>0</v>
      </c>
      <c r="O699" s="279">
        <f>RES_BA!S200</f>
        <v>0</v>
      </c>
      <c r="Q699" s="279">
        <f>RES_BA!T200</f>
        <v>0</v>
      </c>
      <c r="S699" s="279">
        <f>RES_BA!U200</f>
        <v>0</v>
      </c>
    </row>
    <row r="700" spans="3:19" s="277" customFormat="1" hidden="1" outlineLevel="1" x14ac:dyDescent="0.3">
      <c r="C700" s="283" t="str">
        <f>RES_BA!D201</f>
        <v>Other Direct Costs Category 33</v>
      </c>
      <c r="M700" s="279">
        <f>RES_BA!R201</f>
        <v>0</v>
      </c>
      <c r="O700" s="279">
        <f>RES_BA!S201</f>
        <v>0</v>
      </c>
      <c r="Q700" s="279">
        <f>RES_BA!T201</f>
        <v>0</v>
      </c>
      <c r="S700" s="279">
        <f>RES_BA!U201</f>
        <v>0</v>
      </c>
    </row>
    <row r="701" spans="3:19" s="277" customFormat="1" hidden="1" outlineLevel="1" x14ac:dyDescent="0.3">
      <c r="C701" s="283" t="str">
        <f>RES_BA!D202</f>
        <v>Other Direct Costs Category 34</v>
      </c>
      <c r="M701" s="279">
        <f>RES_BA!R202</f>
        <v>0</v>
      </c>
      <c r="O701" s="279">
        <f>RES_BA!S202</f>
        <v>0</v>
      </c>
      <c r="Q701" s="279">
        <f>RES_BA!T202</f>
        <v>0</v>
      </c>
      <c r="S701" s="279">
        <f>RES_BA!U202</f>
        <v>0</v>
      </c>
    </row>
    <row r="702" spans="3:19" s="277" customFormat="1" hidden="1" outlineLevel="1" x14ac:dyDescent="0.3">
      <c r="C702" s="283" t="str">
        <f>RES_BA!D203</f>
        <v>Other Direct Costs Category 35</v>
      </c>
      <c r="M702" s="279">
        <f>RES_BA!R203</f>
        <v>0</v>
      </c>
      <c r="O702" s="279">
        <f>RES_BA!S203</f>
        <v>0</v>
      </c>
      <c r="Q702" s="279">
        <f>RES_BA!T203</f>
        <v>0</v>
      </c>
      <c r="S702" s="279">
        <f>RES_BA!U203</f>
        <v>0</v>
      </c>
    </row>
    <row r="703" spans="3:19" collapsed="1" x14ac:dyDescent="0.3"/>
    <row r="705" spans="2:24" ht="18" x14ac:dyDescent="0.3">
      <c r="B705" s="31" t="str">
        <f>I706</f>
        <v>Round 1 - Vacciination Activity #3 [not in use]</v>
      </c>
    </row>
    <row r="706" spans="2:24" x14ac:dyDescent="0.3">
      <c r="G706" s="41" t="s">
        <v>644</v>
      </c>
      <c r="I706" s="356" t="s">
        <v>1007</v>
      </c>
      <c r="J706" s="356"/>
      <c r="K706" s="356"/>
      <c r="L706" s="356"/>
      <c r="M706" s="356"/>
    </row>
    <row r="707" spans="2:24" ht="10.5" customHeight="1" x14ac:dyDescent="0.3">
      <c r="G707" s="41" t="s">
        <v>644</v>
      </c>
      <c r="I707" s="32">
        <v>2</v>
      </c>
    </row>
    <row r="708" spans="2:24" ht="15.6" x14ac:dyDescent="0.3">
      <c r="C708" s="92" t="s">
        <v>77</v>
      </c>
      <c r="M708" s="40" t="str">
        <f>IF(DD_ACT_26_Meet1_Curr=1,$D$861,$D$862)</f>
        <v>GOZ</v>
      </c>
      <c r="O708" s="40" t="str">
        <f>IF(DD_ACT_26_Meet1_Curr=1,$D$861,$D$862)</f>
        <v>GOZ</v>
      </c>
      <c r="Q708" s="40" t="str">
        <f>IF(DD_ACT_26_Meet1_Curr=1,$D$861,$D$862)</f>
        <v>GOZ</v>
      </c>
      <c r="S708" s="40" t="str">
        <f>IF(DD_ACT_26_Meet1_Curr=1,$D$861,$D$862)</f>
        <v>GOZ</v>
      </c>
    </row>
    <row r="709" spans="2:24" ht="27.6" x14ac:dyDescent="0.3">
      <c r="D709" s="90" t="s">
        <v>77</v>
      </c>
      <c r="I709" s="88" t="s">
        <v>80</v>
      </c>
      <c r="K709" s="91" t="s">
        <v>432</v>
      </c>
      <c r="M709" s="42" t="s">
        <v>107</v>
      </c>
      <c r="O709" s="42" t="s">
        <v>108</v>
      </c>
      <c r="Q709" s="42" t="s">
        <v>105</v>
      </c>
      <c r="S709" s="42" t="s">
        <v>106</v>
      </c>
      <c r="U709" s="350" t="s">
        <v>185</v>
      </c>
      <c r="V709" s="351"/>
      <c r="W709" s="351"/>
      <c r="X709" s="351"/>
    </row>
    <row r="710" spans="2:24" x14ac:dyDescent="0.3">
      <c r="D710" s="388" t="s">
        <v>188</v>
      </c>
      <c r="E710" s="388"/>
      <c r="F710" s="388"/>
      <c r="G710" s="388"/>
      <c r="I710" s="133">
        <v>0</v>
      </c>
      <c r="K710" s="133">
        <v>0</v>
      </c>
      <c r="M710" s="40">
        <f t="shared" ref="M710:M734" si="40">IFERROR(IF(DD_ACT_26_Meet1_Curr=1,INDEX($M$867:$M$901,MATCH(D710,LU_ACT_26_Pers_Res,0)),INDEX($Q$867:$Q$901,MATCH(D710,LU_ACT_26_Pers_Res,0))),0)</f>
        <v>0</v>
      </c>
      <c r="O710" s="40">
        <f t="shared" ref="O710:O734" si="41">IFERROR(IF(DD_ACT_26_Meet1_Curr=1,INDEX($O$867:$O$901,MATCH(D710,LU_ACT_26_Pers_Res,0)),INDEX($S$867:$S$901,MATCH(D710,LU_ACT_26_Pers_Res,0))),0)</f>
        <v>0</v>
      </c>
      <c r="Q710" s="293">
        <f t="shared" ref="Q710:Q734" si="42">I710*K710*M710</f>
        <v>0</v>
      </c>
      <c r="S710" s="293">
        <f t="shared" ref="S710:S734" si="43">I710*K710*O710</f>
        <v>0</v>
      </c>
      <c r="U710" s="356"/>
      <c r="V710" s="356"/>
      <c r="W710" s="356"/>
      <c r="X710" s="356"/>
    </row>
    <row r="711" spans="2:24" x14ac:dyDescent="0.3">
      <c r="D711" s="388" t="s">
        <v>189</v>
      </c>
      <c r="E711" s="388"/>
      <c r="F711" s="388"/>
      <c r="G711" s="388"/>
      <c r="I711" s="133">
        <v>0</v>
      </c>
      <c r="K711" s="133">
        <v>0</v>
      </c>
      <c r="M711" s="40">
        <f t="shared" si="40"/>
        <v>0</v>
      </c>
      <c r="O711" s="40">
        <f t="shared" si="41"/>
        <v>0</v>
      </c>
      <c r="Q711" s="293">
        <f t="shared" si="42"/>
        <v>0</v>
      </c>
      <c r="S711" s="293">
        <f t="shared" si="43"/>
        <v>0</v>
      </c>
      <c r="U711" s="356"/>
      <c r="V711" s="356"/>
      <c r="W711" s="356"/>
      <c r="X711" s="356"/>
    </row>
    <row r="712" spans="2:24" x14ac:dyDescent="0.3">
      <c r="D712" s="388" t="s">
        <v>190</v>
      </c>
      <c r="E712" s="388"/>
      <c r="F712" s="388"/>
      <c r="G712" s="388"/>
      <c r="I712" s="133">
        <v>0</v>
      </c>
      <c r="K712" s="133">
        <v>0</v>
      </c>
      <c r="M712" s="40">
        <f t="shared" si="40"/>
        <v>0</v>
      </c>
      <c r="O712" s="40">
        <f t="shared" si="41"/>
        <v>0</v>
      </c>
      <c r="Q712" s="293">
        <f t="shared" si="42"/>
        <v>0</v>
      </c>
      <c r="S712" s="293">
        <f t="shared" si="43"/>
        <v>0</v>
      </c>
      <c r="U712" s="356"/>
      <c r="V712" s="356"/>
      <c r="W712" s="356"/>
      <c r="X712" s="356"/>
    </row>
    <row r="713" spans="2:24" x14ac:dyDescent="0.3">
      <c r="D713" s="388" t="s">
        <v>191</v>
      </c>
      <c r="E713" s="388"/>
      <c r="F713" s="388"/>
      <c r="G713" s="388"/>
      <c r="I713" s="133">
        <v>0</v>
      </c>
      <c r="K713" s="133">
        <v>0</v>
      </c>
      <c r="M713" s="40">
        <f t="shared" si="40"/>
        <v>0</v>
      </c>
      <c r="O713" s="40">
        <f t="shared" si="41"/>
        <v>0</v>
      </c>
      <c r="Q713" s="293">
        <f t="shared" si="42"/>
        <v>0</v>
      </c>
      <c r="S713" s="293">
        <f t="shared" si="43"/>
        <v>0</v>
      </c>
      <c r="U713" s="356"/>
      <c r="V713" s="356"/>
      <c r="W713" s="356"/>
      <c r="X713" s="356"/>
    </row>
    <row r="714" spans="2:24" x14ac:dyDescent="0.3">
      <c r="D714" s="388" t="s">
        <v>192</v>
      </c>
      <c r="E714" s="388"/>
      <c r="F714" s="388"/>
      <c r="G714" s="388"/>
      <c r="I714" s="133">
        <v>0</v>
      </c>
      <c r="K714" s="133">
        <v>0</v>
      </c>
      <c r="M714" s="40">
        <f t="shared" si="40"/>
        <v>0</v>
      </c>
      <c r="O714" s="40">
        <f t="shared" si="41"/>
        <v>0</v>
      </c>
      <c r="Q714" s="293">
        <f t="shared" si="42"/>
        <v>0</v>
      </c>
      <c r="S714" s="293">
        <f t="shared" si="43"/>
        <v>0</v>
      </c>
      <c r="U714" s="356"/>
      <c r="V714" s="356"/>
      <c r="W714" s="356"/>
      <c r="X714" s="356"/>
    </row>
    <row r="715" spans="2:24" x14ac:dyDescent="0.3">
      <c r="D715" s="388" t="s">
        <v>193</v>
      </c>
      <c r="E715" s="388"/>
      <c r="F715" s="388"/>
      <c r="G715" s="388"/>
      <c r="I715" s="133">
        <v>0</v>
      </c>
      <c r="K715" s="133">
        <v>0</v>
      </c>
      <c r="M715" s="40">
        <f t="shared" si="40"/>
        <v>0</v>
      </c>
      <c r="O715" s="40">
        <f t="shared" si="41"/>
        <v>0</v>
      </c>
      <c r="Q715" s="293">
        <f t="shared" si="42"/>
        <v>0</v>
      </c>
      <c r="S715" s="293">
        <f t="shared" si="43"/>
        <v>0</v>
      </c>
      <c r="U715" s="356"/>
      <c r="V715" s="356"/>
      <c r="W715" s="356"/>
      <c r="X715" s="356"/>
    </row>
    <row r="716" spans="2:24" x14ac:dyDescent="0.3">
      <c r="D716" s="388" t="s">
        <v>120</v>
      </c>
      <c r="E716" s="388"/>
      <c r="F716" s="388"/>
      <c r="G716" s="388"/>
      <c r="I716" s="133">
        <v>0</v>
      </c>
      <c r="K716" s="133">
        <v>0</v>
      </c>
      <c r="M716" s="40">
        <f t="shared" si="40"/>
        <v>0</v>
      </c>
      <c r="O716" s="40">
        <f t="shared" si="41"/>
        <v>0</v>
      </c>
      <c r="Q716" s="293">
        <f t="shared" si="42"/>
        <v>0</v>
      </c>
      <c r="S716" s="293">
        <f t="shared" si="43"/>
        <v>0</v>
      </c>
      <c r="U716" s="356"/>
      <c r="V716" s="356"/>
      <c r="W716" s="356"/>
      <c r="X716" s="356"/>
    </row>
    <row r="717" spans="2:24" x14ac:dyDescent="0.3">
      <c r="D717" s="388" t="s">
        <v>121</v>
      </c>
      <c r="E717" s="388"/>
      <c r="F717" s="388"/>
      <c r="G717" s="388"/>
      <c r="I717" s="133">
        <v>0</v>
      </c>
      <c r="K717" s="133">
        <v>0</v>
      </c>
      <c r="M717" s="40">
        <f t="shared" si="40"/>
        <v>0</v>
      </c>
      <c r="O717" s="40">
        <f t="shared" si="41"/>
        <v>0</v>
      </c>
      <c r="Q717" s="293">
        <f t="shared" si="42"/>
        <v>0</v>
      </c>
      <c r="S717" s="293">
        <f t="shared" si="43"/>
        <v>0</v>
      </c>
      <c r="U717" s="356"/>
      <c r="V717" s="356"/>
      <c r="W717" s="356"/>
      <c r="X717" s="356"/>
    </row>
    <row r="718" spans="2:24" s="277" customFormat="1" x14ac:dyDescent="0.3">
      <c r="D718" s="356" t="s">
        <v>830</v>
      </c>
      <c r="E718" s="356"/>
      <c r="F718" s="356"/>
      <c r="G718" s="356"/>
      <c r="I718" s="48">
        <v>0</v>
      </c>
      <c r="K718" s="48">
        <v>0</v>
      </c>
      <c r="M718" s="279">
        <f t="shared" si="40"/>
        <v>0</v>
      </c>
      <c r="O718" s="279">
        <f t="shared" si="41"/>
        <v>0</v>
      </c>
      <c r="Q718" s="293">
        <f t="shared" si="42"/>
        <v>0</v>
      </c>
      <c r="S718" s="293">
        <f t="shared" si="43"/>
        <v>0</v>
      </c>
      <c r="U718" s="385"/>
      <c r="V718" s="385"/>
      <c r="W718" s="385"/>
      <c r="X718" s="385"/>
    </row>
    <row r="719" spans="2:24" s="277" customFormat="1" x14ac:dyDescent="0.3">
      <c r="D719" s="356" t="s">
        <v>831</v>
      </c>
      <c r="E719" s="356"/>
      <c r="F719" s="356"/>
      <c r="G719" s="356"/>
      <c r="I719" s="48">
        <v>0</v>
      </c>
      <c r="K719" s="48">
        <v>0</v>
      </c>
      <c r="M719" s="279">
        <f t="shared" si="40"/>
        <v>0</v>
      </c>
      <c r="O719" s="279">
        <f t="shared" si="41"/>
        <v>0</v>
      </c>
      <c r="Q719" s="293">
        <f t="shared" si="42"/>
        <v>0</v>
      </c>
      <c r="S719" s="293">
        <f t="shared" si="43"/>
        <v>0</v>
      </c>
      <c r="U719" s="385"/>
      <c r="V719" s="385"/>
      <c r="W719" s="385"/>
      <c r="X719" s="385"/>
    </row>
    <row r="720" spans="2:24" s="277" customFormat="1" x14ac:dyDescent="0.3">
      <c r="D720" s="356" t="s">
        <v>832</v>
      </c>
      <c r="E720" s="356"/>
      <c r="F720" s="356"/>
      <c r="G720" s="356"/>
      <c r="I720" s="48">
        <v>0</v>
      </c>
      <c r="K720" s="48">
        <v>0</v>
      </c>
      <c r="M720" s="279">
        <f t="shared" si="40"/>
        <v>0</v>
      </c>
      <c r="O720" s="279">
        <f t="shared" si="41"/>
        <v>0</v>
      </c>
      <c r="Q720" s="293">
        <f t="shared" si="42"/>
        <v>0</v>
      </c>
      <c r="S720" s="293">
        <f t="shared" si="43"/>
        <v>0</v>
      </c>
      <c r="U720" s="385"/>
      <c r="V720" s="385"/>
      <c r="W720" s="385"/>
      <c r="X720" s="385"/>
    </row>
    <row r="721" spans="4:24" s="277" customFormat="1" x14ac:dyDescent="0.3">
      <c r="D721" s="356" t="s">
        <v>833</v>
      </c>
      <c r="E721" s="356"/>
      <c r="F721" s="356"/>
      <c r="G721" s="356"/>
      <c r="I721" s="48">
        <v>0</v>
      </c>
      <c r="K721" s="48">
        <v>0</v>
      </c>
      <c r="M721" s="279">
        <f t="shared" si="40"/>
        <v>0</v>
      </c>
      <c r="O721" s="279">
        <f t="shared" si="41"/>
        <v>0</v>
      </c>
      <c r="Q721" s="293">
        <f t="shared" si="42"/>
        <v>0</v>
      </c>
      <c r="S721" s="293">
        <f t="shared" si="43"/>
        <v>0</v>
      </c>
      <c r="U721" s="385"/>
      <c r="V721" s="385"/>
      <c r="W721" s="385"/>
      <c r="X721" s="385"/>
    </row>
    <row r="722" spans="4:24" s="277" customFormat="1" x14ac:dyDescent="0.3">
      <c r="D722" s="356" t="s">
        <v>834</v>
      </c>
      <c r="E722" s="356"/>
      <c r="F722" s="356"/>
      <c r="G722" s="356"/>
      <c r="I722" s="48">
        <v>0</v>
      </c>
      <c r="K722" s="48">
        <v>0</v>
      </c>
      <c r="M722" s="279">
        <f t="shared" si="40"/>
        <v>0</v>
      </c>
      <c r="O722" s="279">
        <f t="shared" si="41"/>
        <v>0</v>
      </c>
      <c r="Q722" s="293">
        <f t="shared" si="42"/>
        <v>0</v>
      </c>
      <c r="S722" s="293">
        <f t="shared" si="43"/>
        <v>0</v>
      </c>
      <c r="U722" s="385"/>
      <c r="V722" s="385"/>
      <c r="W722" s="385"/>
      <c r="X722" s="385"/>
    </row>
    <row r="723" spans="4:24" s="277" customFormat="1" x14ac:dyDescent="0.3">
      <c r="D723" s="356" t="s">
        <v>835</v>
      </c>
      <c r="E723" s="356"/>
      <c r="F723" s="356"/>
      <c r="G723" s="356"/>
      <c r="I723" s="48">
        <v>0</v>
      </c>
      <c r="K723" s="48">
        <v>0</v>
      </c>
      <c r="M723" s="279">
        <f t="shared" si="40"/>
        <v>0</v>
      </c>
      <c r="O723" s="279">
        <f t="shared" si="41"/>
        <v>0</v>
      </c>
      <c r="Q723" s="293">
        <f t="shared" si="42"/>
        <v>0</v>
      </c>
      <c r="S723" s="293">
        <f t="shared" si="43"/>
        <v>0</v>
      </c>
      <c r="U723" s="385"/>
      <c r="V723" s="385"/>
      <c r="W723" s="385"/>
      <c r="X723" s="385"/>
    </row>
    <row r="724" spans="4:24" s="277" customFormat="1" x14ac:dyDescent="0.3">
      <c r="D724" s="356" t="s">
        <v>836</v>
      </c>
      <c r="E724" s="356"/>
      <c r="F724" s="356"/>
      <c r="G724" s="356"/>
      <c r="I724" s="48">
        <v>0</v>
      </c>
      <c r="K724" s="48">
        <v>0</v>
      </c>
      <c r="M724" s="279">
        <f t="shared" si="40"/>
        <v>0</v>
      </c>
      <c r="O724" s="279">
        <f t="shared" si="41"/>
        <v>0</v>
      </c>
      <c r="Q724" s="293">
        <f t="shared" si="42"/>
        <v>0</v>
      </c>
      <c r="S724" s="293">
        <f t="shared" si="43"/>
        <v>0</v>
      </c>
      <c r="U724" s="385"/>
      <c r="V724" s="385"/>
      <c r="W724" s="385"/>
      <c r="X724" s="385"/>
    </row>
    <row r="725" spans="4:24" s="277" customFormat="1" x14ac:dyDescent="0.3">
      <c r="D725" s="356" t="s">
        <v>837</v>
      </c>
      <c r="E725" s="356"/>
      <c r="F725" s="356"/>
      <c r="G725" s="356"/>
      <c r="I725" s="48">
        <v>0</v>
      </c>
      <c r="K725" s="48">
        <v>0</v>
      </c>
      <c r="M725" s="279">
        <f t="shared" si="40"/>
        <v>0</v>
      </c>
      <c r="O725" s="279">
        <f t="shared" si="41"/>
        <v>0</v>
      </c>
      <c r="Q725" s="293">
        <f t="shared" si="42"/>
        <v>0</v>
      </c>
      <c r="S725" s="293">
        <f t="shared" si="43"/>
        <v>0</v>
      </c>
      <c r="U725" s="385"/>
      <c r="V725" s="385"/>
      <c r="W725" s="385"/>
      <c r="X725" s="385"/>
    </row>
    <row r="726" spans="4:24" s="277" customFormat="1" x14ac:dyDescent="0.3">
      <c r="D726" s="356" t="s">
        <v>846</v>
      </c>
      <c r="E726" s="356"/>
      <c r="F726" s="356"/>
      <c r="G726" s="356"/>
      <c r="I726" s="48">
        <v>0</v>
      </c>
      <c r="K726" s="48">
        <v>0</v>
      </c>
      <c r="M726" s="279">
        <f t="shared" si="40"/>
        <v>0</v>
      </c>
      <c r="O726" s="279">
        <f t="shared" si="41"/>
        <v>0</v>
      </c>
      <c r="Q726" s="293">
        <f t="shared" si="42"/>
        <v>0</v>
      </c>
      <c r="S726" s="293">
        <f t="shared" si="43"/>
        <v>0</v>
      </c>
      <c r="U726" s="385"/>
      <c r="V726" s="385"/>
      <c r="W726" s="385"/>
      <c r="X726" s="385"/>
    </row>
    <row r="727" spans="4:24" s="277" customFormat="1" x14ac:dyDescent="0.3">
      <c r="D727" s="356" t="s">
        <v>847</v>
      </c>
      <c r="E727" s="356"/>
      <c r="F727" s="356"/>
      <c r="G727" s="356"/>
      <c r="I727" s="48">
        <v>0</v>
      </c>
      <c r="K727" s="48">
        <v>0</v>
      </c>
      <c r="M727" s="279">
        <f t="shared" si="40"/>
        <v>0</v>
      </c>
      <c r="O727" s="279">
        <f t="shared" si="41"/>
        <v>0</v>
      </c>
      <c r="Q727" s="293">
        <f t="shared" si="42"/>
        <v>0</v>
      </c>
      <c r="S727" s="293">
        <f t="shared" si="43"/>
        <v>0</v>
      </c>
      <c r="U727" s="385"/>
      <c r="V727" s="385"/>
      <c r="W727" s="385"/>
      <c r="X727" s="385"/>
    </row>
    <row r="728" spans="4:24" s="277" customFormat="1" x14ac:dyDescent="0.3">
      <c r="D728" s="356" t="s">
        <v>848</v>
      </c>
      <c r="E728" s="356"/>
      <c r="F728" s="356"/>
      <c r="G728" s="356"/>
      <c r="I728" s="48">
        <v>0</v>
      </c>
      <c r="K728" s="48">
        <v>0</v>
      </c>
      <c r="M728" s="279">
        <f t="shared" si="40"/>
        <v>0</v>
      </c>
      <c r="O728" s="279">
        <f t="shared" si="41"/>
        <v>0</v>
      </c>
      <c r="Q728" s="293">
        <f t="shared" si="42"/>
        <v>0</v>
      </c>
      <c r="S728" s="293">
        <f t="shared" si="43"/>
        <v>0</v>
      </c>
      <c r="U728" s="385"/>
      <c r="V728" s="385"/>
      <c r="W728" s="385"/>
      <c r="X728" s="385"/>
    </row>
    <row r="729" spans="4:24" s="277" customFormat="1" x14ac:dyDescent="0.3">
      <c r="D729" s="356" t="s">
        <v>849</v>
      </c>
      <c r="E729" s="356"/>
      <c r="F729" s="356"/>
      <c r="G729" s="356"/>
      <c r="I729" s="48">
        <v>0</v>
      </c>
      <c r="K729" s="48">
        <v>0</v>
      </c>
      <c r="M729" s="279">
        <f t="shared" si="40"/>
        <v>0</v>
      </c>
      <c r="O729" s="279">
        <f t="shared" si="41"/>
        <v>0</v>
      </c>
      <c r="Q729" s="293">
        <f t="shared" si="42"/>
        <v>0</v>
      </c>
      <c r="S729" s="293">
        <f t="shared" si="43"/>
        <v>0</v>
      </c>
      <c r="U729" s="385"/>
      <c r="V729" s="385"/>
      <c r="W729" s="385"/>
      <c r="X729" s="385"/>
    </row>
    <row r="730" spans="4:24" s="277" customFormat="1" x14ac:dyDescent="0.3">
      <c r="D730" s="356" t="s">
        <v>971</v>
      </c>
      <c r="E730" s="356"/>
      <c r="F730" s="356"/>
      <c r="G730" s="356"/>
      <c r="I730" s="48">
        <v>0</v>
      </c>
      <c r="K730" s="48">
        <v>0</v>
      </c>
      <c r="M730" s="279">
        <f t="shared" si="40"/>
        <v>0</v>
      </c>
      <c r="O730" s="279">
        <f t="shared" si="41"/>
        <v>0</v>
      </c>
      <c r="Q730" s="293">
        <f t="shared" si="42"/>
        <v>0</v>
      </c>
      <c r="S730" s="293">
        <f t="shared" si="43"/>
        <v>0</v>
      </c>
      <c r="U730" s="385"/>
      <c r="V730" s="385"/>
      <c r="W730" s="385"/>
      <c r="X730" s="385"/>
    </row>
    <row r="731" spans="4:24" s="277" customFormat="1" x14ac:dyDescent="0.3">
      <c r="D731" s="356" t="s">
        <v>973</v>
      </c>
      <c r="E731" s="356"/>
      <c r="F731" s="356"/>
      <c r="G731" s="356"/>
      <c r="I731" s="48">
        <v>0</v>
      </c>
      <c r="K731" s="48">
        <v>0</v>
      </c>
      <c r="M731" s="279">
        <f t="shared" si="40"/>
        <v>0</v>
      </c>
      <c r="O731" s="279">
        <f t="shared" si="41"/>
        <v>0</v>
      </c>
      <c r="Q731" s="293">
        <f t="shared" si="42"/>
        <v>0</v>
      </c>
      <c r="S731" s="293">
        <f t="shared" si="43"/>
        <v>0</v>
      </c>
      <c r="U731" s="385"/>
      <c r="V731" s="385"/>
      <c r="W731" s="385"/>
      <c r="X731" s="385"/>
    </row>
    <row r="732" spans="4:24" s="277" customFormat="1" x14ac:dyDescent="0.3">
      <c r="D732" s="356" t="s">
        <v>974</v>
      </c>
      <c r="E732" s="356"/>
      <c r="F732" s="356"/>
      <c r="G732" s="356"/>
      <c r="I732" s="48">
        <v>0</v>
      </c>
      <c r="K732" s="48">
        <v>0</v>
      </c>
      <c r="M732" s="279">
        <f t="shared" si="40"/>
        <v>0</v>
      </c>
      <c r="O732" s="279">
        <f t="shared" si="41"/>
        <v>0</v>
      </c>
      <c r="Q732" s="293">
        <f t="shared" si="42"/>
        <v>0</v>
      </c>
      <c r="S732" s="293">
        <f t="shared" si="43"/>
        <v>0</v>
      </c>
      <c r="U732" s="385"/>
      <c r="V732" s="385"/>
      <c r="W732" s="385"/>
      <c r="X732" s="385"/>
    </row>
    <row r="733" spans="4:24" s="277" customFormat="1" x14ac:dyDescent="0.3">
      <c r="D733" s="356" t="s">
        <v>975</v>
      </c>
      <c r="E733" s="356"/>
      <c r="F733" s="356"/>
      <c r="G733" s="356"/>
      <c r="I733" s="48">
        <v>0</v>
      </c>
      <c r="K733" s="48">
        <v>0</v>
      </c>
      <c r="M733" s="279">
        <f t="shared" si="40"/>
        <v>0</v>
      </c>
      <c r="O733" s="279">
        <f t="shared" si="41"/>
        <v>0</v>
      </c>
      <c r="Q733" s="293">
        <f t="shared" si="42"/>
        <v>0</v>
      </c>
      <c r="S733" s="293">
        <f t="shared" si="43"/>
        <v>0</v>
      </c>
      <c r="U733" s="385"/>
      <c r="V733" s="385"/>
      <c r="W733" s="385"/>
      <c r="X733" s="385"/>
    </row>
    <row r="734" spans="4:24" s="277" customFormat="1" x14ac:dyDescent="0.3">
      <c r="D734" s="356" t="s">
        <v>976</v>
      </c>
      <c r="E734" s="356"/>
      <c r="F734" s="356"/>
      <c r="G734" s="356"/>
      <c r="I734" s="48">
        <v>0</v>
      </c>
      <c r="K734" s="48">
        <v>0</v>
      </c>
      <c r="M734" s="279">
        <f t="shared" si="40"/>
        <v>0</v>
      </c>
      <c r="O734" s="279">
        <f t="shared" si="41"/>
        <v>0</v>
      </c>
      <c r="Q734" s="293">
        <f t="shared" si="42"/>
        <v>0</v>
      </c>
      <c r="S734" s="293">
        <f t="shared" si="43"/>
        <v>0</v>
      </c>
      <c r="U734" s="385"/>
      <c r="V734" s="385"/>
      <c r="W734" s="385"/>
      <c r="X734" s="385"/>
    </row>
    <row r="735" spans="4:24" ht="14.4" x14ac:dyDescent="0.3">
      <c r="D735" s="420" t="s">
        <v>79</v>
      </c>
      <c r="E735" s="421"/>
      <c r="F735" s="421"/>
      <c r="G735" s="421"/>
      <c r="I735" s="43"/>
      <c r="K735" s="43"/>
      <c r="M735" s="43"/>
      <c r="O735" s="43"/>
      <c r="Q735" s="294">
        <f>SUM(Q710:Q734)</f>
        <v>0</v>
      </c>
      <c r="S735" s="294">
        <f>SUM(S710:S734)</f>
        <v>0</v>
      </c>
    </row>
    <row r="737" spans="3:24" ht="15.6" x14ac:dyDescent="0.3">
      <c r="C737" s="92" t="s">
        <v>164</v>
      </c>
    </row>
    <row r="738" spans="3:24" ht="27.6" x14ac:dyDescent="0.3">
      <c r="D738" s="90" t="s">
        <v>102</v>
      </c>
      <c r="I738" s="91" t="s">
        <v>80</v>
      </c>
      <c r="K738" s="91" t="s">
        <v>432</v>
      </c>
      <c r="M738" s="42" t="s">
        <v>107</v>
      </c>
      <c r="O738" s="42" t="s">
        <v>108</v>
      </c>
      <c r="Q738" s="42" t="s">
        <v>105</v>
      </c>
      <c r="S738" s="42" t="s">
        <v>106</v>
      </c>
      <c r="U738" s="350" t="s">
        <v>185</v>
      </c>
      <c r="V738" s="351"/>
      <c r="W738" s="351"/>
      <c r="X738" s="351"/>
    </row>
    <row r="739" spans="3:24" x14ac:dyDescent="0.3">
      <c r="D739" s="356" t="s">
        <v>109</v>
      </c>
      <c r="E739" s="356"/>
      <c r="F739" s="356"/>
      <c r="G739" s="356"/>
      <c r="I739" s="48">
        <v>0</v>
      </c>
      <c r="K739" s="48">
        <v>0</v>
      </c>
      <c r="M739" s="40">
        <f t="shared" ref="M739:M763" si="44">IFERROR(IF(DD_ACT_26_Meet1_Curr=1,INDEX($M$904:$M$938,MATCH(D739,LU_ACT_26_Allowances,0)),INDEX($Q$904:$Q$938,MATCH(D739,LU_ACT_26_Allowances,0))),0)</f>
        <v>0</v>
      </c>
      <c r="O739" s="40">
        <f t="shared" ref="O739:O763" si="45">IFERROR(IF(DD_ACT_26_Meet1_Curr=1,INDEX($O$904:$O$938,MATCH(D739,LU_ACT_26_Allowances,0)),INDEX($S$904:$S$938,MATCH(D739,LU_ACT_26_Allowances,0))),0)</f>
        <v>0</v>
      </c>
      <c r="Q739" s="293">
        <f t="shared" ref="Q739:Q763" si="46">I739*K739*M739</f>
        <v>0</v>
      </c>
      <c r="S739" s="293">
        <f t="shared" ref="S739:S763" si="47">I739*K739*O739</f>
        <v>0</v>
      </c>
      <c r="U739" s="356"/>
      <c r="V739" s="356"/>
      <c r="W739" s="356"/>
      <c r="X739" s="356"/>
    </row>
    <row r="740" spans="3:24" x14ac:dyDescent="0.3">
      <c r="D740" s="356" t="s">
        <v>110</v>
      </c>
      <c r="E740" s="356"/>
      <c r="F740" s="356"/>
      <c r="G740" s="356"/>
      <c r="I740" s="48">
        <v>0</v>
      </c>
      <c r="K740" s="48">
        <v>0</v>
      </c>
      <c r="M740" s="40">
        <f t="shared" si="44"/>
        <v>0</v>
      </c>
      <c r="O740" s="40">
        <f t="shared" si="45"/>
        <v>0</v>
      </c>
      <c r="Q740" s="293">
        <f t="shared" si="46"/>
        <v>0</v>
      </c>
      <c r="S740" s="293">
        <f t="shared" si="47"/>
        <v>0</v>
      </c>
      <c r="U740" s="356"/>
      <c r="V740" s="356"/>
      <c r="W740" s="356"/>
      <c r="X740" s="356"/>
    </row>
    <row r="741" spans="3:24" x14ac:dyDescent="0.3">
      <c r="D741" s="356" t="s">
        <v>111</v>
      </c>
      <c r="E741" s="356"/>
      <c r="F741" s="356"/>
      <c r="G741" s="356"/>
      <c r="I741" s="48">
        <v>0</v>
      </c>
      <c r="K741" s="48">
        <v>0</v>
      </c>
      <c r="M741" s="40">
        <f t="shared" si="44"/>
        <v>0</v>
      </c>
      <c r="O741" s="40">
        <f t="shared" si="45"/>
        <v>0</v>
      </c>
      <c r="Q741" s="293">
        <f t="shared" si="46"/>
        <v>0</v>
      </c>
      <c r="S741" s="293">
        <f t="shared" si="47"/>
        <v>0</v>
      </c>
      <c r="U741" s="356"/>
      <c r="V741" s="356"/>
      <c r="W741" s="356"/>
      <c r="X741" s="356"/>
    </row>
    <row r="742" spans="3:24" x14ac:dyDescent="0.3">
      <c r="D742" s="356" t="s">
        <v>112</v>
      </c>
      <c r="E742" s="356"/>
      <c r="F742" s="356"/>
      <c r="G742" s="356"/>
      <c r="I742" s="48">
        <v>0</v>
      </c>
      <c r="K742" s="48">
        <v>0</v>
      </c>
      <c r="M742" s="40">
        <f t="shared" si="44"/>
        <v>0</v>
      </c>
      <c r="O742" s="40">
        <f t="shared" si="45"/>
        <v>0</v>
      </c>
      <c r="Q742" s="293">
        <f t="shared" si="46"/>
        <v>0</v>
      </c>
      <c r="S742" s="293">
        <f t="shared" si="47"/>
        <v>0</v>
      </c>
      <c r="U742" s="356"/>
      <c r="V742" s="356"/>
      <c r="W742" s="356"/>
      <c r="X742" s="356"/>
    </row>
    <row r="743" spans="3:24" x14ac:dyDescent="0.3">
      <c r="D743" s="356" t="s">
        <v>113</v>
      </c>
      <c r="E743" s="356"/>
      <c r="F743" s="356"/>
      <c r="G743" s="356"/>
      <c r="I743" s="48">
        <v>0</v>
      </c>
      <c r="K743" s="48">
        <v>0</v>
      </c>
      <c r="M743" s="40">
        <f t="shared" si="44"/>
        <v>0</v>
      </c>
      <c r="O743" s="40">
        <f t="shared" si="45"/>
        <v>0</v>
      </c>
      <c r="Q743" s="293">
        <f t="shared" si="46"/>
        <v>0</v>
      </c>
      <c r="S743" s="293">
        <f t="shared" si="47"/>
        <v>0</v>
      </c>
      <c r="U743" s="356"/>
      <c r="V743" s="356"/>
      <c r="W743" s="356"/>
      <c r="X743" s="356"/>
    </row>
    <row r="744" spans="3:24" x14ac:dyDescent="0.3">
      <c r="D744" s="356" t="s">
        <v>114</v>
      </c>
      <c r="E744" s="356"/>
      <c r="F744" s="356"/>
      <c r="G744" s="356"/>
      <c r="I744" s="48">
        <v>0</v>
      </c>
      <c r="K744" s="48">
        <v>0</v>
      </c>
      <c r="M744" s="40">
        <f t="shared" si="44"/>
        <v>0</v>
      </c>
      <c r="O744" s="40">
        <f t="shared" si="45"/>
        <v>0</v>
      </c>
      <c r="Q744" s="293">
        <f t="shared" si="46"/>
        <v>0</v>
      </c>
      <c r="S744" s="293">
        <f t="shared" si="47"/>
        <v>0</v>
      </c>
      <c r="U744" s="356"/>
      <c r="V744" s="356"/>
      <c r="W744" s="356"/>
      <c r="X744" s="356"/>
    </row>
    <row r="745" spans="3:24" x14ac:dyDescent="0.3">
      <c r="D745" s="356" t="s">
        <v>115</v>
      </c>
      <c r="E745" s="356"/>
      <c r="F745" s="356"/>
      <c r="G745" s="356"/>
      <c r="I745" s="48">
        <v>0</v>
      </c>
      <c r="K745" s="48">
        <v>0</v>
      </c>
      <c r="M745" s="40">
        <f t="shared" si="44"/>
        <v>0</v>
      </c>
      <c r="O745" s="40">
        <f t="shared" si="45"/>
        <v>0</v>
      </c>
      <c r="Q745" s="293">
        <f t="shared" si="46"/>
        <v>0</v>
      </c>
      <c r="S745" s="293">
        <f t="shared" si="47"/>
        <v>0</v>
      </c>
      <c r="U745" s="356"/>
      <c r="V745" s="356"/>
      <c r="W745" s="356"/>
      <c r="X745" s="356"/>
    </row>
    <row r="746" spans="3:24" x14ac:dyDescent="0.3">
      <c r="D746" s="356" t="s">
        <v>116</v>
      </c>
      <c r="E746" s="356"/>
      <c r="F746" s="356"/>
      <c r="G746" s="356"/>
      <c r="I746" s="48">
        <v>0</v>
      </c>
      <c r="K746" s="48">
        <v>0</v>
      </c>
      <c r="M746" s="40">
        <f t="shared" si="44"/>
        <v>0</v>
      </c>
      <c r="O746" s="40">
        <f t="shared" si="45"/>
        <v>0</v>
      </c>
      <c r="Q746" s="293">
        <f t="shared" si="46"/>
        <v>0</v>
      </c>
      <c r="S746" s="293">
        <f t="shared" si="47"/>
        <v>0</v>
      </c>
      <c r="U746" s="356"/>
      <c r="V746" s="356"/>
      <c r="W746" s="356"/>
      <c r="X746" s="356"/>
    </row>
    <row r="747" spans="3:24" s="277" customFormat="1" x14ac:dyDescent="0.3">
      <c r="D747" s="356" t="s">
        <v>838</v>
      </c>
      <c r="E747" s="356"/>
      <c r="F747" s="356"/>
      <c r="G747" s="356"/>
      <c r="I747" s="48">
        <v>0</v>
      </c>
      <c r="K747" s="48">
        <v>0</v>
      </c>
      <c r="M747" s="279">
        <f t="shared" si="44"/>
        <v>0</v>
      </c>
      <c r="O747" s="279">
        <f t="shared" si="45"/>
        <v>0</v>
      </c>
      <c r="Q747" s="293">
        <f t="shared" si="46"/>
        <v>0</v>
      </c>
      <c r="S747" s="293">
        <f t="shared" si="47"/>
        <v>0</v>
      </c>
      <c r="U747" s="385"/>
      <c r="V747" s="385"/>
      <c r="W747" s="385"/>
      <c r="X747" s="385"/>
    </row>
    <row r="748" spans="3:24" s="277" customFormat="1" x14ac:dyDescent="0.3">
      <c r="D748" s="356" t="s">
        <v>839</v>
      </c>
      <c r="E748" s="356"/>
      <c r="F748" s="356"/>
      <c r="G748" s="356"/>
      <c r="I748" s="48">
        <v>0</v>
      </c>
      <c r="K748" s="48">
        <v>0</v>
      </c>
      <c r="M748" s="279">
        <f t="shared" si="44"/>
        <v>0</v>
      </c>
      <c r="O748" s="279">
        <f t="shared" si="45"/>
        <v>0</v>
      </c>
      <c r="Q748" s="293">
        <f t="shared" si="46"/>
        <v>0</v>
      </c>
      <c r="S748" s="293">
        <f t="shared" si="47"/>
        <v>0</v>
      </c>
      <c r="U748" s="385"/>
      <c r="V748" s="385"/>
      <c r="W748" s="385"/>
      <c r="X748" s="385"/>
    </row>
    <row r="749" spans="3:24" s="277" customFormat="1" x14ac:dyDescent="0.3">
      <c r="D749" s="356" t="s">
        <v>840</v>
      </c>
      <c r="E749" s="356"/>
      <c r="F749" s="356"/>
      <c r="G749" s="356"/>
      <c r="I749" s="48">
        <v>0</v>
      </c>
      <c r="K749" s="48">
        <v>0</v>
      </c>
      <c r="M749" s="279">
        <f t="shared" si="44"/>
        <v>0</v>
      </c>
      <c r="O749" s="279">
        <f t="shared" si="45"/>
        <v>0</v>
      </c>
      <c r="Q749" s="293">
        <f t="shared" si="46"/>
        <v>0</v>
      </c>
      <c r="S749" s="293">
        <f t="shared" si="47"/>
        <v>0</v>
      </c>
      <c r="U749" s="385"/>
      <c r="V749" s="385"/>
      <c r="W749" s="385"/>
      <c r="X749" s="385"/>
    </row>
    <row r="750" spans="3:24" s="277" customFormat="1" x14ac:dyDescent="0.3">
      <c r="D750" s="356" t="s">
        <v>841</v>
      </c>
      <c r="E750" s="356"/>
      <c r="F750" s="356"/>
      <c r="G750" s="356"/>
      <c r="I750" s="48">
        <v>0</v>
      </c>
      <c r="K750" s="48">
        <v>0</v>
      </c>
      <c r="M750" s="279">
        <f t="shared" si="44"/>
        <v>0</v>
      </c>
      <c r="O750" s="279">
        <f t="shared" si="45"/>
        <v>0</v>
      </c>
      <c r="Q750" s="293">
        <f t="shared" si="46"/>
        <v>0</v>
      </c>
      <c r="S750" s="293">
        <f t="shared" si="47"/>
        <v>0</v>
      </c>
      <c r="U750" s="385"/>
      <c r="V750" s="385"/>
      <c r="W750" s="385"/>
      <c r="X750" s="385"/>
    </row>
    <row r="751" spans="3:24" s="277" customFormat="1" x14ac:dyDescent="0.3">
      <c r="D751" s="356" t="s">
        <v>842</v>
      </c>
      <c r="E751" s="356"/>
      <c r="F751" s="356"/>
      <c r="G751" s="356"/>
      <c r="I751" s="48">
        <v>0</v>
      </c>
      <c r="K751" s="48">
        <v>0</v>
      </c>
      <c r="M751" s="279">
        <f t="shared" si="44"/>
        <v>0</v>
      </c>
      <c r="O751" s="279">
        <f t="shared" si="45"/>
        <v>0</v>
      </c>
      <c r="Q751" s="293">
        <f t="shared" si="46"/>
        <v>0</v>
      </c>
      <c r="S751" s="293">
        <f t="shared" si="47"/>
        <v>0</v>
      </c>
      <c r="U751" s="385"/>
      <c r="V751" s="385"/>
      <c r="W751" s="385"/>
      <c r="X751" s="385"/>
    </row>
    <row r="752" spans="3:24" s="277" customFormat="1" x14ac:dyDescent="0.3">
      <c r="D752" s="356" t="s">
        <v>843</v>
      </c>
      <c r="E752" s="356"/>
      <c r="F752" s="356"/>
      <c r="G752" s="356"/>
      <c r="I752" s="48">
        <v>0</v>
      </c>
      <c r="K752" s="48">
        <v>0</v>
      </c>
      <c r="M752" s="279">
        <f t="shared" si="44"/>
        <v>0</v>
      </c>
      <c r="O752" s="279">
        <f t="shared" si="45"/>
        <v>0</v>
      </c>
      <c r="Q752" s="293">
        <f t="shared" si="46"/>
        <v>0</v>
      </c>
      <c r="S752" s="293">
        <f t="shared" si="47"/>
        <v>0</v>
      </c>
      <c r="U752" s="385"/>
      <c r="V752" s="385"/>
      <c r="W752" s="385"/>
      <c r="X752" s="385"/>
    </row>
    <row r="753" spans="3:24" s="277" customFormat="1" x14ac:dyDescent="0.3">
      <c r="D753" s="356" t="s">
        <v>844</v>
      </c>
      <c r="E753" s="356"/>
      <c r="F753" s="356"/>
      <c r="G753" s="356"/>
      <c r="I753" s="48">
        <v>0</v>
      </c>
      <c r="K753" s="48">
        <v>0</v>
      </c>
      <c r="M753" s="279">
        <f t="shared" si="44"/>
        <v>0</v>
      </c>
      <c r="O753" s="279">
        <f t="shared" si="45"/>
        <v>0</v>
      </c>
      <c r="Q753" s="293">
        <f t="shared" si="46"/>
        <v>0</v>
      </c>
      <c r="S753" s="293">
        <f t="shared" si="47"/>
        <v>0</v>
      </c>
      <c r="U753" s="385"/>
      <c r="V753" s="385"/>
      <c r="W753" s="385"/>
      <c r="X753" s="385"/>
    </row>
    <row r="754" spans="3:24" s="277" customFormat="1" x14ac:dyDescent="0.3">
      <c r="D754" s="356" t="s">
        <v>845</v>
      </c>
      <c r="E754" s="356"/>
      <c r="F754" s="356"/>
      <c r="G754" s="356"/>
      <c r="I754" s="48">
        <v>0</v>
      </c>
      <c r="K754" s="48">
        <v>0</v>
      </c>
      <c r="M754" s="279">
        <f t="shared" si="44"/>
        <v>0</v>
      </c>
      <c r="O754" s="279">
        <f t="shared" si="45"/>
        <v>0</v>
      </c>
      <c r="Q754" s="293">
        <f t="shared" si="46"/>
        <v>0</v>
      </c>
      <c r="S754" s="293">
        <f t="shared" si="47"/>
        <v>0</v>
      </c>
      <c r="U754" s="385"/>
      <c r="V754" s="385"/>
      <c r="W754" s="385"/>
      <c r="X754" s="385"/>
    </row>
    <row r="755" spans="3:24" s="277" customFormat="1" x14ac:dyDescent="0.3">
      <c r="D755" s="356" t="s">
        <v>850</v>
      </c>
      <c r="E755" s="356"/>
      <c r="F755" s="356"/>
      <c r="G755" s="356"/>
      <c r="I755" s="48">
        <v>0</v>
      </c>
      <c r="K755" s="48">
        <v>0</v>
      </c>
      <c r="M755" s="279">
        <f t="shared" si="44"/>
        <v>0</v>
      </c>
      <c r="O755" s="279">
        <f t="shared" si="45"/>
        <v>0</v>
      </c>
      <c r="Q755" s="293">
        <f t="shared" si="46"/>
        <v>0</v>
      </c>
      <c r="S755" s="293">
        <f t="shared" si="47"/>
        <v>0</v>
      </c>
      <c r="U755" s="385"/>
      <c r="V755" s="385"/>
      <c r="W755" s="385"/>
      <c r="X755" s="385"/>
    </row>
    <row r="756" spans="3:24" s="277" customFormat="1" x14ac:dyDescent="0.3">
      <c r="D756" s="356" t="s">
        <v>851</v>
      </c>
      <c r="E756" s="356"/>
      <c r="F756" s="356"/>
      <c r="G756" s="356"/>
      <c r="I756" s="48">
        <v>0</v>
      </c>
      <c r="K756" s="48">
        <v>0</v>
      </c>
      <c r="M756" s="279">
        <f t="shared" si="44"/>
        <v>0</v>
      </c>
      <c r="O756" s="279">
        <f t="shared" si="45"/>
        <v>0</v>
      </c>
      <c r="Q756" s="293">
        <f t="shared" si="46"/>
        <v>0</v>
      </c>
      <c r="S756" s="293">
        <f t="shared" si="47"/>
        <v>0</v>
      </c>
      <c r="U756" s="385"/>
      <c r="V756" s="385"/>
      <c r="W756" s="385"/>
      <c r="X756" s="385"/>
    </row>
    <row r="757" spans="3:24" s="277" customFormat="1" x14ac:dyDescent="0.3">
      <c r="D757" s="356" t="s">
        <v>852</v>
      </c>
      <c r="E757" s="356"/>
      <c r="F757" s="356"/>
      <c r="G757" s="356"/>
      <c r="I757" s="48">
        <v>0</v>
      </c>
      <c r="K757" s="48">
        <v>0</v>
      </c>
      <c r="M757" s="279">
        <f t="shared" si="44"/>
        <v>0</v>
      </c>
      <c r="O757" s="279">
        <f t="shared" si="45"/>
        <v>0</v>
      </c>
      <c r="Q757" s="293">
        <f t="shared" si="46"/>
        <v>0</v>
      </c>
      <c r="S757" s="293">
        <f t="shared" si="47"/>
        <v>0</v>
      </c>
      <c r="U757" s="385"/>
      <c r="V757" s="385"/>
      <c r="W757" s="385"/>
      <c r="X757" s="385"/>
    </row>
    <row r="758" spans="3:24" s="277" customFormat="1" x14ac:dyDescent="0.3">
      <c r="D758" s="356" t="s">
        <v>853</v>
      </c>
      <c r="E758" s="356"/>
      <c r="F758" s="356"/>
      <c r="G758" s="356"/>
      <c r="I758" s="48">
        <v>0</v>
      </c>
      <c r="K758" s="48">
        <v>0</v>
      </c>
      <c r="M758" s="279">
        <f t="shared" si="44"/>
        <v>0</v>
      </c>
      <c r="O758" s="279">
        <f t="shared" si="45"/>
        <v>0</v>
      </c>
      <c r="Q758" s="293">
        <f t="shared" si="46"/>
        <v>0</v>
      </c>
      <c r="S758" s="293">
        <f t="shared" si="47"/>
        <v>0</v>
      </c>
      <c r="U758" s="385"/>
      <c r="V758" s="385"/>
      <c r="W758" s="385"/>
      <c r="X758" s="385"/>
    </row>
    <row r="759" spans="3:24" s="277" customFormat="1" x14ac:dyDescent="0.3">
      <c r="D759" s="356" t="s">
        <v>972</v>
      </c>
      <c r="E759" s="356"/>
      <c r="F759" s="356"/>
      <c r="G759" s="356"/>
      <c r="I759" s="48">
        <v>0</v>
      </c>
      <c r="K759" s="48">
        <v>0</v>
      </c>
      <c r="M759" s="279">
        <f t="shared" si="44"/>
        <v>0</v>
      </c>
      <c r="O759" s="279">
        <f t="shared" si="45"/>
        <v>0</v>
      </c>
      <c r="Q759" s="293">
        <f t="shared" si="46"/>
        <v>0</v>
      </c>
      <c r="S759" s="293">
        <f t="shared" si="47"/>
        <v>0</v>
      </c>
      <c r="U759" s="385"/>
      <c r="V759" s="385"/>
      <c r="W759" s="385"/>
      <c r="X759" s="385"/>
    </row>
    <row r="760" spans="3:24" s="277" customFormat="1" x14ac:dyDescent="0.3">
      <c r="D760" s="356" t="s">
        <v>977</v>
      </c>
      <c r="E760" s="356"/>
      <c r="F760" s="356"/>
      <c r="G760" s="356"/>
      <c r="I760" s="48">
        <v>0</v>
      </c>
      <c r="K760" s="48">
        <v>0</v>
      </c>
      <c r="M760" s="279">
        <f t="shared" si="44"/>
        <v>0</v>
      </c>
      <c r="O760" s="279">
        <f t="shared" si="45"/>
        <v>0</v>
      </c>
      <c r="Q760" s="293">
        <f t="shared" si="46"/>
        <v>0</v>
      </c>
      <c r="S760" s="293">
        <f t="shared" si="47"/>
        <v>0</v>
      </c>
      <c r="U760" s="385"/>
      <c r="V760" s="385"/>
      <c r="W760" s="385"/>
      <c r="X760" s="385"/>
    </row>
    <row r="761" spans="3:24" s="277" customFormat="1" x14ac:dyDescent="0.3">
      <c r="D761" s="356" t="s">
        <v>978</v>
      </c>
      <c r="E761" s="356"/>
      <c r="F761" s="356"/>
      <c r="G761" s="356"/>
      <c r="I761" s="48">
        <v>0</v>
      </c>
      <c r="K761" s="48">
        <v>0</v>
      </c>
      <c r="M761" s="279">
        <f t="shared" si="44"/>
        <v>0</v>
      </c>
      <c r="O761" s="279">
        <f t="shared" si="45"/>
        <v>0</v>
      </c>
      <c r="Q761" s="293">
        <f t="shared" si="46"/>
        <v>0</v>
      </c>
      <c r="S761" s="293">
        <f t="shared" si="47"/>
        <v>0</v>
      </c>
      <c r="U761" s="385"/>
      <c r="V761" s="385"/>
      <c r="W761" s="385"/>
      <c r="X761" s="385"/>
    </row>
    <row r="762" spans="3:24" s="277" customFormat="1" x14ac:dyDescent="0.3">
      <c r="D762" s="356" t="s">
        <v>979</v>
      </c>
      <c r="E762" s="356"/>
      <c r="F762" s="356"/>
      <c r="G762" s="356"/>
      <c r="I762" s="48">
        <v>0</v>
      </c>
      <c r="K762" s="48">
        <v>0</v>
      </c>
      <c r="M762" s="279">
        <f t="shared" si="44"/>
        <v>0</v>
      </c>
      <c r="O762" s="279">
        <f t="shared" si="45"/>
        <v>0</v>
      </c>
      <c r="Q762" s="293">
        <f t="shared" si="46"/>
        <v>0</v>
      </c>
      <c r="S762" s="293">
        <f t="shared" si="47"/>
        <v>0</v>
      </c>
      <c r="U762" s="385"/>
      <c r="V762" s="385"/>
      <c r="W762" s="385"/>
      <c r="X762" s="385"/>
    </row>
    <row r="763" spans="3:24" s="277" customFormat="1" x14ac:dyDescent="0.3">
      <c r="D763" s="356" t="s">
        <v>980</v>
      </c>
      <c r="E763" s="356"/>
      <c r="F763" s="356"/>
      <c r="G763" s="356"/>
      <c r="I763" s="48">
        <v>0</v>
      </c>
      <c r="K763" s="48">
        <v>0</v>
      </c>
      <c r="M763" s="279">
        <f t="shared" si="44"/>
        <v>0</v>
      </c>
      <c r="O763" s="279">
        <f t="shared" si="45"/>
        <v>0</v>
      </c>
      <c r="Q763" s="293">
        <f t="shared" si="46"/>
        <v>0</v>
      </c>
      <c r="S763" s="293">
        <f t="shared" si="47"/>
        <v>0</v>
      </c>
      <c r="U763" s="385"/>
      <c r="V763" s="385"/>
      <c r="W763" s="385"/>
      <c r="X763" s="385"/>
    </row>
    <row r="764" spans="3:24" ht="14.4" x14ac:dyDescent="0.3">
      <c r="D764" s="420" t="s">
        <v>82</v>
      </c>
      <c r="E764" s="421"/>
      <c r="F764" s="421"/>
      <c r="G764" s="421"/>
      <c r="I764" s="43"/>
      <c r="K764" s="43"/>
      <c r="M764" s="43"/>
      <c r="O764" s="43"/>
      <c r="Q764" s="294">
        <f>SUM(Q739:Q763)</f>
        <v>0</v>
      </c>
      <c r="S764" s="294">
        <f>SUM(S739:S763)</f>
        <v>0</v>
      </c>
    </row>
    <row r="768" spans="3:24" ht="15.6" x14ac:dyDescent="0.3">
      <c r="C768" s="92" t="s">
        <v>84</v>
      </c>
    </row>
    <row r="769" spans="4:24" ht="27.6" x14ac:dyDescent="0.3">
      <c r="D769" s="90" t="s">
        <v>102</v>
      </c>
      <c r="I769" s="91" t="s">
        <v>87</v>
      </c>
      <c r="K769" s="91" t="s">
        <v>432</v>
      </c>
      <c r="M769" s="42" t="s">
        <v>107</v>
      </c>
      <c r="O769" s="42" t="s">
        <v>108</v>
      </c>
      <c r="Q769" s="42" t="s">
        <v>105</v>
      </c>
      <c r="S769" s="42" t="s">
        <v>106</v>
      </c>
      <c r="U769" s="350" t="s">
        <v>185</v>
      </c>
      <c r="V769" s="351"/>
      <c r="W769" s="351"/>
      <c r="X769" s="351"/>
    </row>
    <row r="770" spans="4:24" x14ac:dyDescent="0.3">
      <c r="D770" s="356" t="s">
        <v>892</v>
      </c>
      <c r="E770" s="356"/>
      <c r="F770" s="356"/>
      <c r="G770" s="356"/>
      <c r="I770" s="48">
        <v>0</v>
      </c>
      <c r="K770" s="48">
        <v>0</v>
      </c>
      <c r="M770" s="40">
        <f t="shared" ref="M770:M794" si="48">IFERROR(IF(DD_ACT_26_Meet1_Curr=1,INDEX($M$942:$M$976,MATCH(D770,LU_ACT_26_Supplies,0)),INDEX($Q$942:$Q$976,MATCH(D770,LU_ACT_26_Supplies,0))),0)</f>
        <v>0</v>
      </c>
      <c r="O770" s="40">
        <f t="shared" ref="O770:O794" si="49">IFERROR(IF(DD_ACT_26_Meet1_Curr=1,INDEX($O$942:$O$976,MATCH(D770,LU_ACT_26_Supplies,0)),INDEX($S$942:$S$976,MATCH(D770,LU_ACT_26_Supplies,0))),0)</f>
        <v>0</v>
      </c>
      <c r="Q770" s="295">
        <f t="shared" ref="Q770:Q794" si="50">I770*K770*M770</f>
        <v>0</v>
      </c>
      <c r="S770" s="293">
        <f t="shared" ref="S770:S794" si="51">I770*K770*O770</f>
        <v>0</v>
      </c>
      <c r="U770" s="356"/>
      <c r="V770" s="356"/>
      <c r="W770" s="356"/>
      <c r="X770" s="356"/>
    </row>
    <row r="771" spans="4:24" x14ac:dyDescent="0.3">
      <c r="D771" s="356" t="s">
        <v>893</v>
      </c>
      <c r="E771" s="356"/>
      <c r="F771" s="356"/>
      <c r="G771" s="356"/>
      <c r="I771" s="48">
        <v>0</v>
      </c>
      <c r="K771" s="48">
        <v>0</v>
      </c>
      <c r="M771" s="40">
        <f t="shared" si="48"/>
        <v>0</v>
      </c>
      <c r="O771" s="40">
        <f t="shared" si="49"/>
        <v>0</v>
      </c>
      <c r="Q771" s="295">
        <f t="shared" si="50"/>
        <v>0</v>
      </c>
      <c r="S771" s="293">
        <f t="shared" si="51"/>
        <v>0</v>
      </c>
      <c r="U771" s="356"/>
      <c r="V771" s="356"/>
      <c r="W771" s="356"/>
      <c r="X771" s="356"/>
    </row>
    <row r="772" spans="4:24" x14ac:dyDescent="0.3">
      <c r="D772" s="356" t="s">
        <v>854</v>
      </c>
      <c r="E772" s="356"/>
      <c r="F772" s="356"/>
      <c r="G772" s="356"/>
      <c r="I772" s="48">
        <v>0</v>
      </c>
      <c r="K772" s="48">
        <v>0</v>
      </c>
      <c r="M772" s="40">
        <f t="shared" si="48"/>
        <v>0</v>
      </c>
      <c r="O772" s="40">
        <f t="shared" si="49"/>
        <v>0</v>
      </c>
      <c r="Q772" s="295">
        <f t="shared" si="50"/>
        <v>0</v>
      </c>
      <c r="S772" s="293">
        <f t="shared" si="51"/>
        <v>0</v>
      </c>
      <c r="U772" s="356"/>
      <c r="V772" s="356"/>
      <c r="W772" s="356"/>
      <c r="X772" s="356"/>
    </row>
    <row r="773" spans="4:24" s="277" customFormat="1" x14ac:dyDescent="0.3">
      <c r="D773" s="356" t="s">
        <v>855</v>
      </c>
      <c r="E773" s="356"/>
      <c r="F773" s="356"/>
      <c r="G773" s="356"/>
      <c r="I773" s="48">
        <v>0</v>
      </c>
      <c r="K773" s="48">
        <v>0</v>
      </c>
      <c r="M773" s="279">
        <f t="shared" si="48"/>
        <v>0</v>
      </c>
      <c r="O773" s="279">
        <f t="shared" si="49"/>
        <v>0</v>
      </c>
      <c r="Q773" s="295">
        <f t="shared" si="50"/>
        <v>0</v>
      </c>
      <c r="S773" s="293">
        <f t="shared" si="51"/>
        <v>0</v>
      </c>
      <c r="U773" s="385"/>
      <c r="V773" s="385"/>
      <c r="W773" s="385"/>
      <c r="X773" s="385"/>
    </row>
    <row r="774" spans="4:24" s="277" customFormat="1" x14ac:dyDescent="0.3">
      <c r="D774" s="356" t="s">
        <v>856</v>
      </c>
      <c r="E774" s="356"/>
      <c r="F774" s="356"/>
      <c r="G774" s="356"/>
      <c r="I774" s="48">
        <v>0</v>
      </c>
      <c r="K774" s="48">
        <v>0</v>
      </c>
      <c r="M774" s="279">
        <f t="shared" si="48"/>
        <v>0</v>
      </c>
      <c r="O774" s="279">
        <f t="shared" si="49"/>
        <v>0</v>
      </c>
      <c r="Q774" s="295">
        <f t="shared" si="50"/>
        <v>0</v>
      </c>
      <c r="S774" s="293">
        <f t="shared" si="51"/>
        <v>0</v>
      </c>
      <c r="U774" s="385"/>
      <c r="V774" s="385"/>
      <c r="W774" s="385"/>
      <c r="X774" s="385"/>
    </row>
    <row r="775" spans="4:24" s="277" customFormat="1" x14ac:dyDescent="0.3">
      <c r="D775" s="356" t="s">
        <v>857</v>
      </c>
      <c r="E775" s="356"/>
      <c r="F775" s="356"/>
      <c r="G775" s="356"/>
      <c r="I775" s="48">
        <v>0</v>
      </c>
      <c r="K775" s="48">
        <v>0</v>
      </c>
      <c r="M775" s="279">
        <f t="shared" si="48"/>
        <v>0</v>
      </c>
      <c r="O775" s="279">
        <f t="shared" si="49"/>
        <v>0</v>
      </c>
      <c r="Q775" s="295">
        <f t="shared" si="50"/>
        <v>0</v>
      </c>
      <c r="S775" s="293">
        <f t="shared" si="51"/>
        <v>0</v>
      </c>
      <c r="U775" s="385"/>
      <c r="V775" s="385"/>
      <c r="W775" s="385"/>
      <c r="X775" s="385"/>
    </row>
    <row r="776" spans="4:24" s="277" customFormat="1" x14ac:dyDescent="0.3">
      <c r="D776" s="356" t="s">
        <v>858</v>
      </c>
      <c r="E776" s="356"/>
      <c r="F776" s="356"/>
      <c r="G776" s="356"/>
      <c r="I776" s="48">
        <v>0</v>
      </c>
      <c r="K776" s="48">
        <v>0</v>
      </c>
      <c r="M776" s="279">
        <f t="shared" si="48"/>
        <v>0</v>
      </c>
      <c r="O776" s="279">
        <f t="shared" si="49"/>
        <v>0</v>
      </c>
      <c r="Q776" s="295">
        <f t="shared" si="50"/>
        <v>0</v>
      </c>
      <c r="S776" s="293">
        <f t="shared" si="51"/>
        <v>0</v>
      </c>
      <c r="U776" s="385"/>
      <c r="V776" s="385"/>
      <c r="W776" s="385"/>
      <c r="X776" s="385"/>
    </row>
    <row r="777" spans="4:24" s="277" customFormat="1" x14ac:dyDescent="0.3">
      <c r="D777" s="356" t="s">
        <v>859</v>
      </c>
      <c r="E777" s="356"/>
      <c r="F777" s="356"/>
      <c r="G777" s="356"/>
      <c r="I777" s="48">
        <v>0</v>
      </c>
      <c r="K777" s="48">
        <v>0</v>
      </c>
      <c r="M777" s="279">
        <f t="shared" si="48"/>
        <v>0</v>
      </c>
      <c r="O777" s="279">
        <f t="shared" si="49"/>
        <v>0</v>
      </c>
      <c r="Q777" s="295">
        <f t="shared" si="50"/>
        <v>0</v>
      </c>
      <c r="S777" s="293">
        <f t="shared" si="51"/>
        <v>0</v>
      </c>
      <c r="U777" s="385"/>
      <c r="V777" s="385"/>
      <c r="W777" s="385"/>
      <c r="X777" s="385"/>
    </row>
    <row r="778" spans="4:24" s="277" customFormat="1" x14ac:dyDescent="0.3">
      <c r="D778" s="356" t="s">
        <v>860</v>
      </c>
      <c r="E778" s="356"/>
      <c r="F778" s="356"/>
      <c r="G778" s="356"/>
      <c r="I778" s="48">
        <v>0</v>
      </c>
      <c r="K778" s="48">
        <v>0</v>
      </c>
      <c r="M778" s="279">
        <f t="shared" si="48"/>
        <v>0</v>
      </c>
      <c r="O778" s="279">
        <f t="shared" si="49"/>
        <v>0</v>
      </c>
      <c r="Q778" s="295">
        <f t="shared" si="50"/>
        <v>0</v>
      </c>
      <c r="S778" s="293">
        <f t="shared" si="51"/>
        <v>0</v>
      </c>
      <c r="U778" s="385"/>
      <c r="V778" s="385"/>
      <c r="W778" s="385"/>
      <c r="X778" s="385"/>
    </row>
    <row r="779" spans="4:24" s="277" customFormat="1" x14ac:dyDescent="0.3">
      <c r="D779" s="356" t="s">
        <v>861</v>
      </c>
      <c r="E779" s="356"/>
      <c r="F779" s="356"/>
      <c r="G779" s="356"/>
      <c r="I779" s="48">
        <v>0</v>
      </c>
      <c r="K779" s="48">
        <v>0</v>
      </c>
      <c r="M779" s="279">
        <f t="shared" si="48"/>
        <v>0</v>
      </c>
      <c r="O779" s="279">
        <f t="shared" si="49"/>
        <v>0</v>
      </c>
      <c r="Q779" s="295">
        <f t="shared" si="50"/>
        <v>0</v>
      </c>
      <c r="S779" s="293">
        <f t="shared" si="51"/>
        <v>0</v>
      </c>
      <c r="U779" s="385"/>
      <c r="V779" s="385"/>
      <c r="W779" s="385"/>
      <c r="X779" s="385"/>
    </row>
    <row r="780" spans="4:24" s="277" customFormat="1" x14ac:dyDescent="0.3">
      <c r="D780" s="356" t="s">
        <v>862</v>
      </c>
      <c r="E780" s="356"/>
      <c r="F780" s="356"/>
      <c r="G780" s="356"/>
      <c r="I780" s="48">
        <v>0</v>
      </c>
      <c r="K780" s="48">
        <v>0</v>
      </c>
      <c r="M780" s="279">
        <f t="shared" si="48"/>
        <v>0</v>
      </c>
      <c r="O780" s="279">
        <f t="shared" si="49"/>
        <v>0</v>
      </c>
      <c r="Q780" s="295">
        <f t="shared" si="50"/>
        <v>0</v>
      </c>
      <c r="S780" s="293">
        <f t="shared" si="51"/>
        <v>0</v>
      </c>
      <c r="U780" s="385"/>
      <c r="V780" s="385"/>
      <c r="W780" s="385"/>
      <c r="X780" s="385"/>
    </row>
    <row r="781" spans="4:24" s="277" customFormat="1" x14ac:dyDescent="0.3">
      <c r="D781" s="356" t="s">
        <v>863</v>
      </c>
      <c r="E781" s="356"/>
      <c r="F781" s="356"/>
      <c r="G781" s="356"/>
      <c r="I781" s="48">
        <v>0</v>
      </c>
      <c r="K781" s="48">
        <v>0</v>
      </c>
      <c r="M781" s="279">
        <f t="shared" si="48"/>
        <v>0</v>
      </c>
      <c r="O781" s="279">
        <f t="shared" si="49"/>
        <v>0</v>
      </c>
      <c r="Q781" s="295">
        <f t="shared" si="50"/>
        <v>0</v>
      </c>
      <c r="S781" s="293">
        <f t="shared" si="51"/>
        <v>0</v>
      </c>
      <c r="U781" s="385"/>
      <c r="V781" s="385"/>
      <c r="W781" s="385"/>
      <c r="X781" s="385"/>
    </row>
    <row r="782" spans="4:24" s="277" customFormat="1" x14ac:dyDescent="0.3">
      <c r="D782" s="356" t="s">
        <v>864</v>
      </c>
      <c r="E782" s="356"/>
      <c r="F782" s="356"/>
      <c r="G782" s="356"/>
      <c r="I782" s="48">
        <v>0</v>
      </c>
      <c r="K782" s="48">
        <v>0</v>
      </c>
      <c r="M782" s="279">
        <f t="shared" si="48"/>
        <v>0</v>
      </c>
      <c r="O782" s="279">
        <f t="shared" si="49"/>
        <v>0</v>
      </c>
      <c r="Q782" s="295">
        <f t="shared" si="50"/>
        <v>0</v>
      </c>
      <c r="S782" s="293">
        <f t="shared" si="51"/>
        <v>0</v>
      </c>
      <c r="U782" s="385"/>
      <c r="V782" s="385"/>
      <c r="W782" s="385"/>
      <c r="X782" s="385"/>
    </row>
    <row r="783" spans="4:24" s="277" customFormat="1" x14ac:dyDescent="0.3">
      <c r="D783" s="356" t="s">
        <v>865</v>
      </c>
      <c r="E783" s="356"/>
      <c r="F783" s="356"/>
      <c r="G783" s="356"/>
      <c r="I783" s="48">
        <v>0</v>
      </c>
      <c r="K783" s="48">
        <v>0</v>
      </c>
      <c r="M783" s="279">
        <f t="shared" si="48"/>
        <v>0</v>
      </c>
      <c r="O783" s="279">
        <f t="shared" si="49"/>
        <v>0</v>
      </c>
      <c r="Q783" s="295">
        <f t="shared" si="50"/>
        <v>0</v>
      </c>
      <c r="S783" s="293">
        <f t="shared" si="51"/>
        <v>0</v>
      </c>
      <c r="U783" s="385"/>
      <c r="V783" s="385"/>
      <c r="W783" s="385"/>
      <c r="X783" s="385"/>
    </row>
    <row r="784" spans="4:24" s="277" customFormat="1" x14ac:dyDescent="0.3">
      <c r="D784" s="356" t="s">
        <v>866</v>
      </c>
      <c r="E784" s="356"/>
      <c r="F784" s="356"/>
      <c r="G784" s="356"/>
      <c r="I784" s="48">
        <v>0</v>
      </c>
      <c r="K784" s="48">
        <v>0</v>
      </c>
      <c r="M784" s="279">
        <f t="shared" si="48"/>
        <v>0</v>
      </c>
      <c r="O784" s="279">
        <f t="shared" si="49"/>
        <v>0</v>
      </c>
      <c r="Q784" s="295">
        <f t="shared" si="50"/>
        <v>0</v>
      </c>
      <c r="S784" s="293">
        <f t="shared" si="51"/>
        <v>0</v>
      </c>
      <c r="U784" s="385"/>
      <c r="V784" s="385"/>
      <c r="W784" s="385"/>
      <c r="X784" s="385"/>
    </row>
    <row r="785" spans="3:24" s="277" customFormat="1" x14ac:dyDescent="0.3">
      <c r="D785" s="356" t="s">
        <v>867</v>
      </c>
      <c r="E785" s="356"/>
      <c r="F785" s="356"/>
      <c r="G785" s="356"/>
      <c r="I785" s="48">
        <v>0</v>
      </c>
      <c r="K785" s="48">
        <v>0</v>
      </c>
      <c r="M785" s="279">
        <f t="shared" si="48"/>
        <v>0</v>
      </c>
      <c r="O785" s="279">
        <f t="shared" si="49"/>
        <v>0</v>
      </c>
      <c r="Q785" s="295">
        <f t="shared" si="50"/>
        <v>0</v>
      </c>
      <c r="S785" s="293">
        <f t="shared" si="51"/>
        <v>0</v>
      </c>
      <c r="U785" s="385"/>
      <c r="V785" s="385"/>
      <c r="W785" s="385"/>
      <c r="X785" s="385"/>
    </row>
    <row r="786" spans="3:24" s="277" customFormat="1" x14ac:dyDescent="0.3">
      <c r="D786" s="356" t="s">
        <v>868</v>
      </c>
      <c r="E786" s="356"/>
      <c r="F786" s="356"/>
      <c r="G786" s="356"/>
      <c r="I786" s="48">
        <v>0</v>
      </c>
      <c r="K786" s="48">
        <v>0</v>
      </c>
      <c r="M786" s="279">
        <f t="shared" si="48"/>
        <v>0</v>
      </c>
      <c r="O786" s="279">
        <f t="shared" si="49"/>
        <v>0</v>
      </c>
      <c r="Q786" s="295">
        <f t="shared" si="50"/>
        <v>0</v>
      </c>
      <c r="S786" s="293">
        <f t="shared" si="51"/>
        <v>0</v>
      </c>
      <c r="U786" s="385"/>
      <c r="V786" s="385"/>
      <c r="W786" s="385"/>
      <c r="X786" s="385"/>
    </row>
    <row r="787" spans="3:24" s="277" customFormat="1" x14ac:dyDescent="0.3">
      <c r="D787" s="356" t="s">
        <v>869</v>
      </c>
      <c r="E787" s="356"/>
      <c r="F787" s="356"/>
      <c r="G787" s="356"/>
      <c r="I787" s="48">
        <v>0</v>
      </c>
      <c r="K787" s="48">
        <v>0</v>
      </c>
      <c r="M787" s="279">
        <f t="shared" si="48"/>
        <v>0</v>
      </c>
      <c r="O787" s="279">
        <f t="shared" si="49"/>
        <v>0</v>
      </c>
      <c r="Q787" s="295">
        <f t="shared" si="50"/>
        <v>0</v>
      </c>
      <c r="S787" s="293">
        <f t="shared" si="51"/>
        <v>0</v>
      </c>
      <c r="U787" s="385"/>
      <c r="V787" s="385"/>
      <c r="W787" s="385"/>
      <c r="X787" s="385"/>
    </row>
    <row r="788" spans="3:24" s="277" customFormat="1" x14ac:dyDescent="0.3">
      <c r="D788" s="356" t="s">
        <v>870</v>
      </c>
      <c r="E788" s="356"/>
      <c r="F788" s="356"/>
      <c r="G788" s="356"/>
      <c r="I788" s="48">
        <v>0</v>
      </c>
      <c r="K788" s="48">
        <v>0</v>
      </c>
      <c r="M788" s="279">
        <f t="shared" si="48"/>
        <v>0</v>
      </c>
      <c r="O788" s="279">
        <f t="shared" si="49"/>
        <v>0</v>
      </c>
      <c r="Q788" s="295">
        <f t="shared" si="50"/>
        <v>0</v>
      </c>
      <c r="S788" s="293">
        <f t="shared" si="51"/>
        <v>0</v>
      </c>
      <c r="U788" s="385"/>
      <c r="V788" s="385"/>
      <c r="W788" s="385"/>
      <c r="X788" s="385"/>
    </row>
    <row r="789" spans="3:24" s="277" customFormat="1" x14ac:dyDescent="0.3">
      <c r="D789" s="356" t="s">
        <v>871</v>
      </c>
      <c r="E789" s="356"/>
      <c r="F789" s="356"/>
      <c r="G789" s="356"/>
      <c r="I789" s="48">
        <v>0</v>
      </c>
      <c r="K789" s="48">
        <v>0</v>
      </c>
      <c r="M789" s="279">
        <f t="shared" si="48"/>
        <v>0</v>
      </c>
      <c r="O789" s="279">
        <f t="shared" si="49"/>
        <v>0</v>
      </c>
      <c r="Q789" s="295">
        <f t="shared" si="50"/>
        <v>0</v>
      </c>
      <c r="S789" s="293">
        <f t="shared" si="51"/>
        <v>0</v>
      </c>
      <c r="U789" s="385"/>
      <c r="V789" s="385"/>
      <c r="W789" s="385"/>
      <c r="X789" s="385"/>
    </row>
    <row r="790" spans="3:24" s="277" customFormat="1" x14ac:dyDescent="0.3">
      <c r="D790" s="356" t="s">
        <v>981</v>
      </c>
      <c r="E790" s="356"/>
      <c r="F790" s="356"/>
      <c r="G790" s="356"/>
      <c r="I790" s="48">
        <v>0</v>
      </c>
      <c r="K790" s="48">
        <v>0</v>
      </c>
      <c r="M790" s="279">
        <f t="shared" si="48"/>
        <v>0</v>
      </c>
      <c r="O790" s="279">
        <f t="shared" si="49"/>
        <v>0</v>
      </c>
      <c r="Q790" s="295">
        <f t="shared" si="50"/>
        <v>0</v>
      </c>
      <c r="S790" s="293">
        <f t="shared" si="51"/>
        <v>0</v>
      </c>
      <c r="U790" s="385"/>
      <c r="V790" s="385"/>
      <c r="W790" s="385"/>
      <c r="X790" s="385"/>
    </row>
    <row r="791" spans="3:24" s="277" customFormat="1" x14ac:dyDescent="0.3">
      <c r="D791" s="356" t="s">
        <v>982</v>
      </c>
      <c r="E791" s="356"/>
      <c r="F791" s="356"/>
      <c r="G791" s="356"/>
      <c r="I791" s="48">
        <v>0</v>
      </c>
      <c r="K791" s="48">
        <v>0</v>
      </c>
      <c r="M791" s="279">
        <f t="shared" si="48"/>
        <v>0</v>
      </c>
      <c r="O791" s="279">
        <f t="shared" si="49"/>
        <v>0</v>
      </c>
      <c r="Q791" s="295">
        <f t="shared" si="50"/>
        <v>0</v>
      </c>
      <c r="S791" s="293">
        <f t="shared" si="51"/>
        <v>0</v>
      </c>
      <c r="U791" s="385"/>
      <c r="V791" s="385"/>
      <c r="W791" s="385"/>
      <c r="X791" s="385"/>
    </row>
    <row r="792" spans="3:24" s="277" customFormat="1" x14ac:dyDescent="0.3">
      <c r="D792" s="356" t="s">
        <v>983</v>
      </c>
      <c r="E792" s="356"/>
      <c r="F792" s="356"/>
      <c r="G792" s="356"/>
      <c r="I792" s="48">
        <v>0</v>
      </c>
      <c r="K792" s="48">
        <v>0</v>
      </c>
      <c r="M792" s="279">
        <f t="shared" si="48"/>
        <v>0</v>
      </c>
      <c r="O792" s="279">
        <f t="shared" si="49"/>
        <v>0</v>
      </c>
      <c r="Q792" s="295">
        <f t="shared" si="50"/>
        <v>0</v>
      </c>
      <c r="S792" s="293">
        <f t="shared" si="51"/>
        <v>0</v>
      </c>
      <c r="U792" s="385"/>
      <c r="V792" s="385"/>
      <c r="W792" s="385"/>
      <c r="X792" s="385"/>
    </row>
    <row r="793" spans="3:24" s="277" customFormat="1" x14ac:dyDescent="0.3">
      <c r="D793" s="356" t="s">
        <v>984</v>
      </c>
      <c r="E793" s="356"/>
      <c r="F793" s="356"/>
      <c r="G793" s="356"/>
      <c r="I793" s="48">
        <v>0</v>
      </c>
      <c r="K793" s="48">
        <v>0</v>
      </c>
      <c r="M793" s="279">
        <f t="shared" si="48"/>
        <v>0</v>
      </c>
      <c r="O793" s="279">
        <f t="shared" si="49"/>
        <v>0</v>
      </c>
      <c r="Q793" s="295">
        <f t="shared" si="50"/>
        <v>0</v>
      </c>
      <c r="S793" s="293">
        <f t="shared" si="51"/>
        <v>0</v>
      </c>
      <c r="U793" s="385"/>
      <c r="V793" s="385"/>
      <c r="W793" s="385"/>
      <c r="X793" s="385"/>
    </row>
    <row r="794" spans="3:24" s="277" customFormat="1" x14ac:dyDescent="0.3">
      <c r="D794" s="356" t="s">
        <v>985</v>
      </c>
      <c r="E794" s="356"/>
      <c r="F794" s="356"/>
      <c r="G794" s="356"/>
      <c r="I794" s="48">
        <v>0</v>
      </c>
      <c r="K794" s="48">
        <v>0</v>
      </c>
      <c r="M794" s="279">
        <f t="shared" si="48"/>
        <v>0</v>
      </c>
      <c r="O794" s="279">
        <f t="shared" si="49"/>
        <v>0</v>
      </c>
      <c r="Q794" s="295">
        <f t="shared" si="50"/>
        <v>0</v>
      </c>
      <c r="S794" s="293">
        <f t="shared" si="51"/>
        <v>0</v>
      </c>
      <c r="U794" s="385"/>
      <c r="V794" s="385"/>
      <c r="W794" s="385"/>
      <c r="X794" s="385"/>
    </row>
    <row r="795" spans="3:24" ht="14.4" x14ac:dyDescent="0.3">
      <c r="D795" s="420" t="s">
        <v>85</v>
      </c>
      <c r="E795" s="421"/>
      <c r="F795" s="421"/>
      <c r="G795" s="421"/>
      <c r="I795" s="43"/>
      <c r="K795" s="43"/>
      <c r="M795" s="43"/>
      <c r="O795" s="43"/>
      <c r="Q795" s="296">
        <f>SUM(Q770:Q794)</f>
        <v>0</v>
      </c>
      <c r="S795" s="294">
        <f>SUM(S770:S794)</f>
        <v>0</v>
      </c>
      <c r="U795" s="43"/>
      <c r="V795" s="43"/>
      <c r="W795" s="43"/>
      <c r="X795" s="43"/>
    </row>
    <row r="797" spans="3:24" ht="27.6" x14ac:dyDescent="0.3">
      <c r="C797" s="92" t="s">
        <v>130</v>
      </c>
      <c r="Q797" s="44" t="str">
        <f>"FINANCIAL COST ("&amp;INDEX(LU_ACT_26_Meet_Curr,DD_ACT_26_Meet1_Curr)&amp;")"</f>
        <v>FINANCIAL COST (GOZ)</v>
      </c>
      <c r="S797" s="44" t="str">
        <f>"ECONOMIC COST ("&amp;INDEX(LU_ACT_26_Meet_Curr,DD_ACT_26_Meet1_Curr)&amp;")"</f>
        <v>ECONOMIC COST (GOZ)</v>
      </c>
    </row>
    <row r="798" spans="3:24" ht="14.4" x14ac:dyDescent="0.3">
      <c r="D798" s="90" t="s">
        <v>86</v>
      </c>
      <c r="I798" s="91" t="s">
        <v>186</v>
      </c>
      <c r="M798" s="91" t="s">
        <v>81</v>
      </c>
      <c r="O798" s="91" t="s">
        <v>83</v>
      </c>
      <c r="U798" s="350" t="s">
        <v>185</v>
      </c>
      <c r="V798" s="351"/>
      <c r="W798" s="351"/>
      <c r="X798" s="351"/>
    </row>
    <row r="799" spans="3:24" x14ac:dyDescent="0.3">
      <c r="D799" s="356" t="s">
        <v>70</v>
      </c>
      <c r="E799" s="356"/>
      <c r="F799" s="356"/>
      <c r="G799" s="356"/>
      <c r="I799" s="48">
        <v>0</v>
      </c>
      <c r="M799" s="40">
        <f t="shared" ref="M799:M823" si="52">IFERROR(IF(DD_ACT_26_Meet1_Curr=1,INDEX($M$979:$M$1013,MATCH(D799,LU_ACT_26_Equipment,0)),INDEX($Q$979:$Q$1013,MATCH(D799,LU_ACT_26_Equipment,0))),0)</f>
        <v>0</v>
      </c>
      <c r="O799" s="40">
        <f t="shared" ref="O799:O823" si="53">IFERROR(IF(DD_ACT_26_Meet1_Curr=1,INDEX($O$979:$O$1013,MATCH(D799,LU_ACT_26_Equipment,0)),INDEX($S$979:$S$1013,MATCH(D799,LU_ACT_26_Equipment,0))),0)</f>
        <v>0</v>
      </c>
      <c r="Q799" s="279">
        <f t="shared" ref="Q799:Q823" si="54">I799*M799</f>
        <v>0</v>
      </c>
      <c r="S799" s="279">
        <f t="shared" ref="S799:S823" si="55">I799*O799</f>
        <v>0</v>
      </c>
      <c r="U799" s="356"/>
      <c r="V799" s="356"/>
      <c r="W799" s="356"/>
      <c r="X799" s="356"/>
    </row>
    <row r="800" spans="3:24" x14ac:dyDescent="0.3">
      <c r="D800" s="356" t="s">
        <v>122</v>
      </c>
      <c r="E800" s="356"/>
      <c r="F800" s="356"/>
      <c r="G800" s="356"/>
      <c r="I800" s="48">
        <v>0</v>
      </c>
      <c r="M800" s="40">
        <f t="shared" si="52"/>
        <v>0</v>
      </c>
      <c r="O800" s="40">
        <f t="shared" si="53"/>
        <v>0</v>
      </c>
      <c r="Q800" s="279">
        <f t="shared" si="54"/>
        <v>0</v>
      </c>
      <c r="S800" s="279">
        <f t="shared" si="55"/>
        <v>0</v>
      </c>
      <c r="U800" s="356"/>
      <c r="V800" s="356"/>
      <c r="W800" s="356"/>
      <c r="X800" s="356"/>
    </row>
    <row r="801" spans="4:24" s="277" customFormat="1" x14ac:dyDescent="0.3">
      <c r="D801" s="356" t="s">
        <v>872</v>
      </c>
      <c r="E801" s="356"/>
      <c r="F801" s="356"/>
      <c r="G801" s="356"/>
      <c r="I801" s="48">
        <v>0</v>
      </c>
      <c r="M801" s="279">
        <f t="shared" si="52"/>
        <v>0</v>
      </c>
      <c r="O801" s="279">
        <f t="shared" si="53"/>
        <v>0</v>
      </c>
      <c r="Q801" s="279">
        <f t="shared" si="54"/>
        <v>0</v>
      </c>
      <c r="S801" s="279">
        <f t="shared" si="55"/>
        <v>0</v>
      </c>
      <c r="U801" s="385"/>
      <c r="V801" s="385"/>
      <c r="W801" s="385"/>
      <c r="X801" s="385"/>
    </row>
    <row r="802" spans="4:24" s="277" customFormat="1" x14ac:dyDescent="0.3">
      <c r="D802" s="356" t="s">
        <v>873</v>
      </c>
      <c r="E802" s="356"/>
      <c r="F802" s="356"/>
      <c r="G802" s="356"/>
      <c r="I802" s="48">
        <v>0</v>
      </c>
      <c r="M802" s="279">
        <f t="shared" si="52"/>
        <v>0</v>
      </c>
      <c r="O802" s="279">
        <f t="shared" si="53"/>
        <v>0</v>
      </c>
      <c r="Q802" s="279">
        <f t="shared" si="54"/>
        <v>0</v>
      </c>
      <c r="S802" s="279">
        <f t="shared" si="55"/>
        <v>0</v>
      </c>
      <c r="U802" s="385"/>
      <c r="V802" s="385"/>
      <c r="W802" s="385"/>
      <c r="X802" s="385"/>
    </row>
    <row r="803" spans="4:24" s="277" customFormat="1" x14ac:dyDescent="0.3">
      <c r="D803" s="356" t="s">
        <v>874</v>
      </c>
      <c r="E803" s="356"/>
      <c r="F803" s="356"/>
      <c r="G803" s="356"/>
      <c r="I803" s="48">
        <v>0</v>
      </c>
      <c r="M803" s="279">
        <f t="shared" si="52"/>
        <v>0</v>
      </c>
      <c r="O803" s="279">
        <f t="shared" si="53"/>
        <v>0</v>
      </c>
      <c r="Q803" s="279">
        <f t="shared" si="54"/>
        <v>0</v>
      </c>
      <c r="S803" s="279">
        <f t="shared" si="55"/>
        <v>0</v>
      </c>
      <c r="U803" s="385"/>
      <c r="V803" s="385"/>
      <c r="W803" s="385"/>
      <c r="X803" s="385"/>
    </row>
    <row r="804" spans="4:24" s="277" customFormat="1" x14ac:dyDescent="0.3">
      <c r="D804" s="356" t="s">
        <v>875</v>
      </c>
      <c r="E804" s="356"/>
      <c r="F804" s="356"/>
      <c r="G804" s="356"/>
      <c r="I804" s="48">
        <v>0</v>
      </c>
      <c r="M804" s="279">
        <f t="shared" si="52"/>
        <v>0</v>
      </c>
      <c r="O804" s="279">
        <f t="shared" si="53"/>
        <v>0</v>
      </c>
      <c r="Q804" s="279">
        <f t="shared" si="54"/>
        <v>0</v>
      </c>
      <c r="S804" s="279">
        <f t="shared" si="55"/>
        <v>0</v>
      </c>
      <c r="U804" s="385"/>
      <c r="V804" s="385"/>
      <c r="W804" s="385"/>
      <c r="X804" s="385"/>
    </row>
    <row r="805" spans="4:24" s="277" customFormat="1" x14ac:dyDescent="0.3">
      <c r="D805" s="356" t="s">
        <v>778</v>
      </c>
      <c r="E805" s="356"/>
      <c r="F805" s="356"/>
      <c r="G805" s="356"/>
      <c r="I805" s="48">
        <v>0</v>
      </c>
      <c r="M805" s="279">
        <f t="shared" si="52"/>
        <v>0</v>
      </c>
      <c r="O805" s="279">
        <f t="shared" si="53"/>
        <v>0</v>
      </c>
      <c r="Q805" s="279">
        <f t="shared" si="54"/>
        <v>0</v>
      </c>
      <c r="S805" s="279">
        <f t="shared" si="55"/>
        <v>0</v>
      </c>
      <c r="U805" s="385"/>
      <c r="V805" s="385"/>
      <c r="W805" s="385"/>
      <c r="X805" s="385"/>
    </row>
    <row r="806" spans="4:24" s="277" customFormat="1" x14ac:dyDescent="0.3">
      <c r="D806" s="356" t="s">
        <v>779</v>
      </c>
      <c r="E806" s="356"/>
      <c r="F806" s="356"/>
      <c r="G806" s="356"/>
      <c r="I806" s="48">
        <v>0</v>
      </c>
      <c r="M806" s="279">
        <f t="shared" si="52"/>
        <v>0</v>
      </c>
      <c r="O806" s="279">
        <f t="shared" si="53"/>
        <v>0</v>
      </c>
      <c r="Q806" s="279">
        <f t="shared" si="54"/>
        <v>0</v>
      </c>
      <c r="S806" s="279">
        <f t="shared" si="55"/>
        <v>0</v>
      </c>
      <c r="U806" s="385"/>
      <c r="V806" s="385"/>
      <c r="W806" s="385"/>
      <c r="X806" s="385"/>
    </row>
    <row r="807" spans="4:24" s="277" customFormat="1" x14ac:dyDescent="0.3">
      <c r="D807" s="356" t="s">
        <v>780</v>
      </c>
      <c r="E807" s="356"/>
      <c r="F807" s="356"/>
      <c r="G807" s="356"/>
      <c r="I807" s="48">
        <v>0</v>
      </c>
      <c r="M807" s="279">
        <f t="shared" si="52"/>
        <v>0</v>
      </c>
      <c r="O807" s="279">
        <f t="shared" si="53"/>
        <v>0</v>
      </c>
      <c r="Q807" s="279">
        <f t="shared" si="54"/>
        <v>0</v>
      </c>
      <c r="S807" s="279">
        <f t="shared" si="55"/>
        <v>0</v>
      </c>
      <c r="U807" s="385"/>
      <c r="V807" s="385"/>
      <c r="W807" s="385"/>
      <c r="X807" s="385"/>
    </row>
    <row r="808" spans="4:24" s="277" customFormat="1" x14ac:dyDescent="0.3">
      <c r="D808" s="356" t="s">
        <v>781</v>
      </c>
      <c r="E808" s="356"/>
      <c r="F808" s="356"/>
      <c r="G808" s="356"/>
      <c r="I808" s="48">
        <v>0</v>
      </c>
      <c r="M808" s="279">
        <f t="shared" si="52"/>
        <v>0</v>
      </c>
      <c r="O808" s="279">
        <f t="shared" si="53"/>
        <v>0</v>
      </c>
      <c r="Q808" s="279">
        <f t="shared" si="54"/>
        <v>0</v>
      </c>
      <c r="S808" s="279">
        <f t="shared" si="55"/>
        <v>0</v>
      </c>
      <c r="U808" s="385"/>
      <c r="V808" s="385"/>
      <c r="W808" s="385"/>
      <c r="X808" s="385"/>
    </row>
    <row r="809" spans="4:24" s="277" customFormat="1" x14ac:dyDescent="0.3">
      <c r="D809" s="356" t="s">
        <v>782</v>
      </c>
      <c r="E809" s="356"/>
      <c r="F809" s="356"/>
      <c r="G809" s="356"/>
      <c r="I809" s="48">
        <v>0</v>
      </c>
      <c r="M809" s="279">
        <f t="shared" si="52"/>
        <v>0</v>
      </c>
      <c r="O809" s="279">
        <f t="shared" si="53"/>
        <v>0</v>
      </c>
      <c r="Q809" s="279">
        <f t="shared" si="54"/>
        <v>0</v>
      </c>
      <c r="S809" s="279">
        <f t="shared" si="55"/>
        <v>0</v>
      </c>
      <c r="U809" s="385"/>
      <c r="V809" s="385"/>
      <c r="W809" s="385"/>
      <c r="X809" s="385"/>
    </row>
    <row r="810" spans="4:24" s="277" customFormat="1" x14ac:dyDescent="0.3">
      <c r="D810" s="356" t="s">
        <v>783</v>
      </c>
      <c r="E810" s="356"/>
      <c r="F810" s="356"/>
      <c r="G810" s="356"/>
      <c r="I810" s="48">
        <v>0</v>
      </c>
      <c r="M810" s="279">
        <f t="shared" si="52"/>
        <v>0</v>
      </c>
      <c r="O810" s="279">
        <f t="shared" si="53"/>
        <v>0</v>
      </c>
      <c r="Q810" s="279">
        <f t="shared" si="54"/>
        <v>0</v>
      </c>
      <c r="S810" s="279">
        <f t="shared" si="55"/>
        <v>0</v>
      </c>
      <c r="U810" s="385"/>
      <c r="V810" s="385"/>
      <c r="W810" s="385"/>
      <c r="X810" s="385"/>
    </row>
    <row r="811" spans="4:24" s="277" customFormat="1" x14ac:dyDescent="0.3">
      <c r="D811" s="356" t="s">
        <v>784</v>
      </c>
      <c r="E811" s="356"/>
      <c r="F811" s="356"/>
      <c r="G811" s="356"/>
      <c r="I811" s="48">
        <v>0</v>
      </c>
      <c r="M811" s="279">
        <f t="shared" si="52"/>
        <v>0</v>
      </c>
      <c r="O811" s="279">
        <f t="shared" si="53"/>
        <v>0</v>
      </c>
      <c r="Q811" s="279">
        <f t="shared" si="54"/>
        <v>0</v>
      </c>
      <c r="S811" s="279">
        <f t="shared" si="55"/>
        <v>0</v>
      </c>
      <c r="U811" s="385"/>
      <c r="V811" s="385"/>
      <c r="W811" s="385"/>
      <c r="X811" s="385"/>
    </row>
    <row r="812" spans="4:24" s="277" customFormat="1" x14ac:dyDescent="0.3">
      <c r="D812" s="356" t="s">
        <v>785</v>
      </c>
      <c r="E812" s="356"/>
      <c r="F812" s="356"/>
      <c r="G812" s="356"/>
      <c r="I812" s="48">
        <v>0</v>
      </c>
      <c r="M812" s="279">
        <f t="shared" si="52"/>
        <v>0</v>
      </c>
      <c r="O812" s="279">
        <f t="shared" si="53"/>
        <v>0</v>
      </c>
      <c r="Q812" s="279">
        <f t="shared" si="54"/>
        <v>0</v>
      </c>
      <c r="S812" s="279">
        <f t="shared" si="55"/>
        <v>0</v>
      </c>
      <c r="U812" s="385"/>
      <c r="V812" s="385"/>
      <c r="W812" s="385"/>
      <c r="X812" s="385"/>
    </row>
    <row r="813" spans="4:24" s="277" customFormat="1" x14ac:dyDescent="0.3">
      <c r="D813" s="356" t="s">
        <v>786</v>
      </c>
      <c r="E813" s="356"/>
      <c r="F813" s="356"/>
      <c r="G813" s="356"/>
      <c r="I813" s="48">
        <v>0</v>
      </c>
      <c r="M813" s="279">
        <f t="shared" si="52"/>
        <v>0</v>
      </c>
      <c r="O813" s="279">
        <f t="shared" si="53"/>
        <v>0</v>
      </c>
      <c r="Q813" s="279">
        <f t="shared" si="54"/>
        <v>0</v>
      </c>
      <c r="S813" s="279">
        <f t="shared" si="55"/>
        <v>0</v>
      </c>
      <c r="U813" s="385"/>
      <c r="V813" s="385"/>
      <c r="W813" s="385"/>
      <c r="X813" s="385"/>
    </row>
    <row r="814" spans="4:24" s="277" customFormat="1" x14ac:dyDescent="0.3">
      <c r="D814" s="356" t="s">
        <v>787</v>
      </c>
      <c r="E814" s="356"/>
      <c r="F814" s="356"/>
      <c r="G814" s="356"/>
      <c r="I814" s="48">
        <v>0</v>
      </c>
      <c r="M814" s="279">
        <f t="shared" si="52"/>
        <v>0</v>
      </c>
      <c r="O814" s="279">
        <f t="shared" si="53"/>
        <v>0</v>
      </c>
      <c r="Q814" s="279">
        <f t="shared" si="54"/>
        <v>0</v>
      </c>
      <c r="S814" s="279">
        <f t="shared" si="55"/>
        <v>0</v>
      </c>
      <c r="U814" s="385"/>
      <c r="V814" s="385"/>
      <c r="W814" s="385"/>
      <c r="X814" s="385"/>
    </row>
    <row r="815" spans="4:24" s="277" customFormat="1" x14ac:dyDescent="0.3">
      <c r="D815" s="356" t="s">
        <v>788</v>
      </c>
      <c r="E815" s="356"/>
      <c r="F815" s="356"/>
      <c r="G815" s="356"/>
      <c r="I815" s="48">
        <v>0</v>
      </c>
      <c r="M815" s="279">
        <f t="shared" si="52"/>
        <v>0</v>
      </c>
      <c r="O815" s="279">
        <f t="shared" si="53"/>
        <v>0</v>
      </c>
      <c r="Q815" s="279">
        <f t="shared" si="54"/>
        <v>0</v>
      </c>
      <c r="S815" s="279">
        <f t="shared" si="55"/>
        <v>0</v>
      </c>
      <c r="U815" s="385"/>
      <c r="V815" s="385"/>
      <c r="W815" s="385"/>
      <c r="X815" s="385"/>
    </row>
    <row r="816" spans="4:24" s="277" customFormat="1" x14ac:dyDescent="0.3">
      <c r="D816" s="356" t="s">
        <v>789</v>
      </c>
      <c r="E816" s="356"/>
      <c r="F816" s="356"/>
      <c r="G816" s="356"/>
      <c r="I816" s="48">
        <v>0</v>
      </c>
      <c r="M816" s="279">
        <f t="shared" si="52"/>
        <v>0</v>
      </c>
      <c r="O816" s="279">
        <f t="shared" si="53"/>
        <v>0</v>
      </c>
      <c r="Q816" s="279">
        <f t="shared" si="54"/>
        <v>0</v>
      </c>
      <c r="S816" s="279">
        <f t="shared" si="55"/>
        <v>0</v>
      </c>
      <c r="U816" s="385"/>
      <c r="V816" s="385"/>
      <c r="W816" s="385"/>
      <c r="X816" s="385"/>
    </row>
    <row r="817" spans="3:24" s="277" customFormat="1" x14ac:dyDescent="0.3">
      <c r="D817" s="356" t="s">
        <v>790</v>
      </c>
      <c r="E817" s="356"/>
      <c r="F817" s="356"/>
      <c r="G817" s="356"/>
      <c r="I817" s="48">
        <v>0</v>
      </c>
      <c r="M817" s="279">
        <f t="shared" si="52"/>
        <v>0</v>
      </c>
      <c r="O817" s="279">
        <f t="shared" si="53"/>
        <v>0</v>
      </c>
      <c r="Q817" s="279">
        <f t="shared" si="54"/>
        <v>0</v>
      </c>
      <c r="S817" s="279">
        <f t="shared" si="55"/>
        <v>0</v>
      </c>
      <c r="U817" s="385"/>
      <c r="V817" s="385"/>
      <c r="W817" s="385"/>
      <c r="X817" s="385"/>
    </row>
    <row r="818" spans="3:24" s="277" customFormat="1" x14ac:dyDescent="0.3">
      <c r="D818" s="356" t="s">
        <v>791</v>
      </c>
      <c r="E818" s="356"/>
      <c r="F818" s="356"/>
      <c r="G818" s="356"/>
      <c r="I818" s="48">
        <v>0</v>
      </c>
      <c r="M818" s="279">
        <f t="shared" si="52"/>
        <v>0</v>
      </c>
      <c r="O818" s="279">
        <f t="shared" si="53"/>
        <v>0</v>
      </c>
      <c r="Q818" s="279">
        <f t="shared" si="54"/>
        <v>0</v>
      </c>
      <c r="S818" s="279">
        <f t="shared" si="55"/>
        <v>0</v>
      </c>
      <c r="U818" s="385"/>
      <c r="V818" s="385"/>
      <c r="W818" s="385"/>
      <c r="X818" s="385"/>
    </row>
    <row r="819" spans="3:24" s="277" customFormat="1" x14ac:dyDescent="0.3">
      <c r="D819" s="356" t="s">
        <v>792</v>
      </c>
      <c r="E819" s="356"/>
      <c r="F819" s="356"/>
      <c r="G819" s="356"/>
      <c r="I819" s="48">
        <v>0</v>
      </c>
      <c r="M819" s="279">
        <f t="shared" si="52"/>
        <v>0</v>
      </c>
      <c r="O819" s="279">
        <f t="shared" si="53"/>
        <v>0</v>
      </c>
      <c r="Q819" s="279">
        <f t="shared" si="54"/>
        <v>0</v>
      </c>
      <c r="S819" s="279">
        <f t="shared" si="55"/>
        <v>0</v>
      </c>
      <c r="U819" s="385"/>
      <c r="V819" s="385"/>
      <c r="W819" s="385"/>
      <c r="X819" s="385"/>
    </row>
    <row r="820" spans="3:24" s="277" customFormat="1" x14ac:dyDescent="0.3">
      <c r="D820" s="356" t="s">
        <v>793</v>
      </c>
      <c r="E820" s="356"/>
      <c r="F820" s="356"/>
      <c r="G820" s="356"/>
      <c r="I820" s="48">
        <v>0</v>
      </c>
      <c r="M820" s="279">
        <f t="shared" si="52"/>
        <v>0</v>
      </c>
      <c r="O820" s="279">
        <f t="shared" si="53"/>
        <v>0</v>
      </c>
      <c r="Q820" s="279">
        <f t="shared" si="54"/>
        <v>0</v>
      </c>
      <c r="S820" s="279">
        <f t="shared" si="55"/>
        <v>0</v>
      </c>
      <c r="U820" s="385"/>
      <c r="V820" s="385"/>
      <c r="W820" s="385"/>
      <c r="X820" s="385"/>
    </row>
    <row r="821" spans="3:24" s="277" customFormat="1" x14ac:dyDescent="0.3">
      <c r="D821" s="356" t="s">
        <v>794</v>
      </c>
      <c r="E821" s="356"/>
      <c r="F821" s="356"/>
      <c r="G821" s="356"/>
      <c r="I821" s="48">
        <v>0</v>
      </c>
      <c r="M821" s="279">
        <f t="shared" si="52"/>
        <v>0</v>
      </c>
      <c r="O821" s="279">
        <f t="shared" si="53"/>
        <v>0</v>
      </c>
      <c r="Q821" s="279">
        <f t="shared" si="54"/>
        <v>0</v>
      </c>
      <c r="S821" s="279">
        <f t="shared" si="55"/>
        <v>0</v>
      </c>
      <c r="U821" s="385"/>
      <c r="V821" s="385"/>
      <c r="W821" s="385"/>
      <c r="X821" s="385"/>
    </row>
    <row r="822" spans="3:24" s="277" customFormat="1" x14ac:dyDescent="0.3">
      <c r="D822" s="356" t="s">
        <v>795</v>
      </c>
      <c r="E822" s="356"/>
      <c r="F822" s="356"/>
      <c r="G822" s="356"/>
      <c r="I822" s="48">
        <v>0</v>
      </c>
      <c r="M822" s="279">
        <f t="shared" si="52"/>
        <v>0</v>
      </c>
      <c r="O822" s="279">
        <f t="shared" si="53"/>
        <v>0</v>
      </c>
      <c r="Q822" s="279">
        <f t="shared" si="54"/>
        <v>0</v>
      </c>
      <c r="S822" s="279">
        <f t="shared" si="55"/>
        <v>0</v>
      </c>
      <c r="U822" s="385"/>
      <c r="V822" s="385"/>
      <c r="W822" s="385"/>
      <c r="X822" s="385"/>
    </row>
    <row r="823" spans="3:24" s="277" customFormat="1" x14ac:dyDescent="0.3">
      <c r="D823" s="356" t="s">
        <v>796</v>
      </c>
      <c r="E823" s="356"/>
      <c r="F823" s="356"/>
      <c r="G823" s="356"/>
      <c r="I823" s="48">
        <v>0</v>
      </c>
      <c r="M823" s="279">
        <f t="shared" si="52"/>
        <v>0</v>
      </c>
      <c r="O823" s="279">
        <f t="shared" si="53"/>
        <v>0</v>
      </c>
      <c r="Q823" s="279">
        <f t="shared" si="54"/>
        <v>0</v>
      </c>
      <c r="S823" s="279">
        <f t="shared" si="55"/>
        <v>0</v>
      </c>
      <c r="U823" s="385"/>
      <c r="V823" s="385"/>
      <c r="W823" s="385"/>
      <c r="X823" s="385"/>
    </row>
    <row r="824" spans="3:24" ht="14.4" x14ac:dyDescent="0.3">
      <c r="D824" s="420" t="s">
        <v>88</v>
      </c>
      <c r="E824" s="421"/>
      <c r="F824" s="421"/>
      <c r="G824" s="421"/>
      <c r="I824" s="40"/>
      <c r="M824" s="40"/>
      <c r="O824" s="40"/>
      <c r="Q824" s="294">
        <f>SUM(Q799:Q823)</f>
        <v>0</v>
      </c>
      <c r="S824" s="294">
        <f>SUM(S799:S823)</f>
        <v>0</v>
      </c>
    </row>
    <row r="826" spans="3:24" ht="15.6" x14ac:dyDescent="0.3">
      <c r="C826" s="92" t="s">
        <v>89</v>
      </c>
    </row>
    <row r="827" spans="3:24" ht="27.6" x14ac:dyDescent="0.3">
      <c r="Q827" s="44" t="str">
        <f>"FINANCIAL COST ("&amp;INDEX(LU_ACT_26_Meet_Curr,DD_ACT_26_Meet1_Curr)&amp;")"</f>
        <v>FINANCIAL COST (GOZ)</v>
      </c>
      <c r="S827" s="44" t="str">
        <f>"ECONOMIC COST ("&amp;INDEX(LU_ACT_26_Meet_Curr,DD_ACT_26_Meet1_Curr)&amp;")"</f>
        <v>ECONOMIC COST (GOZ)</v>
      </c>
    </row>
    <row r="828" spans="3:24" ht="27.6" x14ac:dyDescent="0.3">
      <c r="D828" s="90" t="s">
        <v>86</v>
      </c>
      <c r="I828" s="91" t="s">
        <v>186</v>
      </c>
      <c r="K828" s="91" t="s">
        <v>432</v>
      </c>
      <c r="M828" s="42" t="s">
        <v>81</v>
      </c>
      <c r="O828" s="42" t="s">
        <v>83</v>
      </c>
      <c r="U828" s="350" t="s">
        <v>185</v>
      </c>
      <c r="V828" s="351"/>
      <c r="W828" s="351"/>
      <c r="X828" s="351"/>
    </row>
    <row r="829" spans="3:24" x14ac:dyDescent="0.3">
      <c r="D829" s="356" t="s">
        <v>71</v>
      </c>
      <c r="E829" s="356"/>
      <c r="F829" s="356"/>
      <c r="G829" s="356"/>
      <c r="I829" s="48">
        <v>0</v>
      </c>
      <c r="K829" s="48">
        <v>0</v>
      </c>
      <c r="M829" s="40">
        <f t="shared" ref="M829:M853" si="56">IFERROR(IF(DD_ACT_26_Meet1_Curr=1,INDEX($M$1017:$M$1051,MATCH(D829,LU_ACT_26_ODCS,0)),INDEX($Q$1017:$Q$1051,MATCH(D829,LU_ACT_26_ODCS,0))),0)</f>
        <v>0</v>
      </c>
      <c r="O829" s="40">
        <f t="shared" ref="O829:O853" si="57">IFERROR(IF(DD_ACT_26_Meet1_Curr=1,INDEX($O$1017:$O$1051,MATCH(D829,LU_ACT_26_ODCS,0)),INDEX($S$1017:$S$1051,MATCH(D829,LU_ACT_26_ODCS,0))),0)</f>
        <v>0</v>
      </c>
      <c r="Q829" s="279">
        <f t="shared" ref="Q829:Q853" si="58">I829*K829*M829</f>
        <v>0</v>
      </c>
      <c r="S829" s="279">
        <f t="shared" ref="S829:S853" si="59">I829*K829*O829</f>
        <v>0</v>
      </c>
      <c r="U829" s="356"/>
      <c r="V829" s="356"/>
      <c r="W829" s="356"/>
      <c r="X829" s="356"/>
    </row>
    <row r="830" spans="3:24" x14ac:dyDescent="0.3">
      <c r="D830" s="356" t="s">
        <v>72</v>
      </c>
      <c r="E830" s="356"/>
      <c r="F830" s="356"/>
      <c r="G830" s="356"/>
      <c r="I830" s="48">
        <v>0</v>
      </c>
      <c r="K830" s="48">
        <v>0</v>
      </c>
      <c r="M830" s="40">
        <f t="shared" si="56"/>
        <v>0</v>
      </c>
      <c r="O830" s="40">
        <f t="shared" si="57"/>
        <v>0</v>
      </c>
      <c r="Q830" s="279">
        <f t="shared" si="58"/>
        <v>0</v>
      </c>
      <c r="S830" s="279">
        <f t="shared" si="59"/>
        <v>0</v>
      </c>
      <c r="U830" s="356"/>
      <c r="V830" s="356"/>
      <c r="W830" s="356"/>
      <c r="X830" s="356"/>
    </row>
    <row r="831" spans="3:24" x14ac:dyDescent="0.3">
      <c r="D831" s="356" t="s">
        <v>73</v>
      </c>
      <c r="E831" s="356"/>
      <c r="F831" s="356"/>
      <c r="G831" s="356"/>
      <c r="I831" s="48">
        <v>0</v>
      </c>
      <c r="K831" s="48">
        <v>0</v>
      </c>
      <c r="M831" s="40">
        <f t="shared" si="56"/>
        <v>0</v>
      </c>
      <c r="O831" s="40">
        <f t="shared" si="57"/>
        <v>0</v>
      </c>
      <c r="Q831" s="279">
        <f t="shared" si="58"/>
        <v>0</v>
      </c>
      <c r="S831" s="279">
        <f t="shared" si="59"/>
        <v>0</v>
      </c>
      <c r="U831" s="356"/>
      <c r="V831" s="356"/>
      <c r="W831" s="356"/>
      <c r="X831" s="356"/>
    </row>
    <row r="832" spans="3:24" x14ac:dyDescent="0.3">
      <c r="D832" s="356" t="s">
        <v>74</v>
      </c>
      <c r="E832" s="356"/>
      <c r="F832" s="356"/>
      <c r="G832" s="356"/>
      <c r="I832" s="48">
        <v>0</v>
      </c>
      <c r="K832" s="48">
        <v>0</v>
      </c>
      <c r="M832" s="40">
        <f t="shared" si="56"/>
        <v>0</v>
      </c>
      <c r="O832" s="40">
        <f t="shared" si="57"/>
        <v>0</v>
      </c>
      <c r="Q832" s="279">
        <f t="shared" si="58"/>
        <v>0</v>
      </c>
      <c r="S832" s="279">
        <f t="shared" si="59"/>
        <v>0</v>
      </c>
      <c r="U832" s="356"/>
      <c r="V832" s="356"/>
      <c r="W832" s="356"/>
      <c r="X832" s="356"/>
    </row>
    <row r="833" spans="4:24" x14ac:dyDescent="0.3">
      <c r="D833" s="356" t="s">
        <v>75</v>
      </c>
      <c r="E833" s="356"/>
      <c r="F833" s="356"/>
      <c r="G833" s="356"/>
      <c r="I833" s="48">
        <v>0</v>
      </c>
      <c r="K833" s="48">
        <v>0</v>
      </c>
      <c r="M833" s="40">
        <f t="shared" si="56"/>
        <v>0</v>
      </c>
      <c r="O833" s="40">
        <f t="shared" si="57"/>
        <v>0</v>
      </c>
      <c r="Q833" s="279">
        <f t="shared" si="58"/>
        <v>0</v>
      </c>
      <c r="S833" s="279">
        <f t="shared" si="59"/>
        <v>0</v>
      </c>
      <c r="U833" s="356"/>
      <c r="V833" s="356"/>
      <c r="W833" s="356"/>
      <c r="X833" s="356"/>
    </row>
    <row r="834" spans="4:24" s="277" customFormat="1" x14ac:dyDescent="0.3">
      <c r="D834" s="356" t="s">
        <v>876</v>
      </c>
      <c r="E834" s="356"/>
      <c r="F834" s="356"/>
      <c r="G834" s="356"/>
      <c r="I834" s="48">
        <v>0</v>
      </c>
      <c r="K834" s="48">
        <v>0</v>
      </c>
      <c r="M834" s="279">
        <f t="shared" si="56"/>
        <v>0</v>
      </c>
      <c r="O834" s="279">
        <f t="shared" si="57"/>
        <v>0</v>
      </c>
      <c r="Q834" s="279">
        <f t="shared" si="58"/>
        <v>0</v>
      </c>
      <c r="S834" s="279">
        <f t="shared" si="59"/>
        <v>0</v>
      </c>
      <c r="U834" s="385"/>
      <c r="V834" s="385"/>
      <c r="W834" s="385"/>
      <c r="X834" s="385"/>
    </row>
    <row r="835" spans="4:24" s="277" customFormat="1" x14ac:dyDescent="0.3">
      <c r="D835" s="356" t="s">
        <v>877</v>
      </c>
      <c r="E835" s="356"/>
      <c r="F835" s="356"/>
      <c r="G835" s="356"/>
      <c r="I835" s="48">
        <v>0</v>
      </c>
      <c r="K835" s="48">
        <v>0</v>
      </c>
      <c r="M835" s="279">
        <f t="shared" si="56"/>
        <v>0</v>
      </c>
      <c r="O835" s="279">
        <f t="shared" si="57"/>
        <v>0</v>
      </c>
      <c r="Q835" s="279">
        <f t="shared" si="58"/>
        <v>0</v>
      </c>
      <c r="S835" s="279">
        <f t="shared" si="59"/>
        <v>0</v>
      </c>
      <c r="U835" s="385"/>
      <c r="V835" s="385"/>
      <c r="W835" s="385"/>
      <c r="X835" s="385"/>
    </row>
    <row r="836" spans="4:24" s="277" customFormat="1" x14ac:dyDescent="0.3">
      <c r="D836" s="356" t="s">
        <v>878</v>
      </c>
      <c r="E836" s="356"/>
      <c r="F836" s="356"/>
      <c r="G836" s="356"/>
      <c r="I836" s="48">
        <v>0</v>
      </c>
      <c r="K836" s="48">
        <v>0</v>
      </c>
      <c r="M836" s="279">
        <f t="shared" si="56"/>
        <v>0</v>
      </c>
      <c r="O836" s="279">
        <f t="shared" si="57"/>
        <v>0</v>
      </c>
      <c r="Q836" s="279">
        <f t="shared" si="58"/>
        <v>0</v>
      </c>
      <c r="S836" s="279">
        <f t="shared" si="59"/>
        <v>0</v>
      </c>
      <c r="U836" s="385"/>
      <c r="V836" s="385"/>
      <c r="W836" s="385"/>
      <c r="X836" s="385"/>
    </row>
    <row r="837" spans="4:24" s="277" customFormat="1" x14ac:dyDescent="0.3">
      <c r="D837" s="356" t="s">
        <v>879</v>
      </c>
      <c r="E837" s="356"/>
      <c r="F837" s="356"/>
      <c r="G837" s="356"/>
      <c r="I837" s="48">
        <v>0</v>
      </c>
      <c r="K837" s="48">
        <v>0</v>
      </c>
      <c r="M837" s="279">
        <f t="shared" si="56"/>
        <v>0</v>
      </c>
      <c r="O837" s="279">
        <f t="shared" si="57"/>
        <v>0</v>
      </c>
      <c r="Q837" s="279">
        <f t="shared" si="58"/>
        <v>0</v>
      </c>
      <c r="S837" s="279">
        <f t="shared" si="59"/>
        <v>0</v>
      </c>
      <c r="U837" s="385"/>
      <c r="V837" s="385"/>
      <c r="W837" s="385"/>
      <c r="X837" s="385"/>
    </row>
    <row r="838" spans="4:24" s="277" customFormat="1" x14ac:dyDescent="0.3">
      <c r="D838" s="356" t="s">
        <v>880</v>
      </c>
      <c r="E838" s="356"/>
      <c r="F838" s="356"/>
      <c r="G838" s="356"/>
      <c r="I838" s="48">
        <v>0</v>
      </c>
      <c r="K838" s="48">
        <v>0</v>
      </c>
      <c r="M838" s="279">
        <f t="shared" si="56"/>
        <v>0</v>
      </c>
      <c r="O838" s="279">
        <f t="shared" si="57"/>
        <v>0</v>
      </c>
      <c r="Q838" s="279">
        <f t="shared" si="58"/>
        <v>0</v>
      </c>
      <c r="S838" s="279">
        <f t="shared" si="59"/>
        <v>0</v>
      </c>
      <c r="U838" s="385"/>
      <c r="V838" s="385"/>
      <c r="W838" s="385"/>
      <c r="X838" s="385"/>
    </row>
    <row r="839" spans="4:24" s="277" customFormat="1" x14ac:dyDescent="0.3">
      <c r="D839" s="356" t="s">
        <v>881</v>
      </c>
      <c r="E839" s="356"/>
      <c r="F839" s="356"/>
      <c r="G839" s="356"/>
      <c r="I839" s="48">
        <v>0</v>
      </c>
      <c r="K839" s="48">
        <v>0</v>
      </c>
      <c r="M839" s="279">
        <f t="shared" si="56"/>
        <v>0</v>
      </c>
      <c r="O839" s="279">
        <f t="shared" si="57"/>
        <v>0</v>
      </c>
      <c r="Q839" s="279">
        <f t="shared" si="58"/>
        <v>0</v>
      </c>
      <c r="S839" s="279">
        <f t="shared" si="59"/>
        <v>0</v>
      </c>
      <c r="U839" s="385"/>
      <c r="V839" s="385"/>
      <c r="W839" s="385"/>
      <c r="X839" s="385"/>
    </row>
    <row r="840" spans="4:24" s="277" customFormat="1" x14ac:dyDescent="0.3">
      <c r="D840" s="356" t="s">
        <v>882</v>
      </c>
      <c r="E840" s="356"/>
      <c r="F840" s="356"/>
      <c r="G840" s="356"/>
      <c r="I840" s="48">
        <v>0</v>
      </c>
      <c r="K840" s="48">
        <v>0</v>
      </c>
      <c r="M840" s="279">
        <f t="shared" si="56"/>
        <v>0</v>
      </c>
      <c r="O840" s="279">
        <f t="shared" si="57"/>
        <v>0</v>
      </c>
      <c r="Q840" s="279">
        <f t="shared" si="58"/>
        <v>0</v>
      </c>
      <c r="S840" s="279">
        <f t="shared" si="59"/>
        <v>0</v>
      </c>
      <c r="U840" s="385"/>
      <c r="V840" s="385"/>
      <c r="W840" s="385"/>
      <c r="X840" s="385"/>
    </row>
    <row r="841" spans="4:24" s="277" customFormat="1" x14ac:dyDescent="0.3">
      <c r="D841" s="356" t="s">
        <v>883</v>
      </c>
      <c r="E841" s="356"/>
      <c r="F841" s="356"/>
      <c r="G841" s="356"/>
      <c r="I841" s="48">
        <v>0</v>
      </c>
      <c r="K841" s="48">
        <v>0</v>
      </c>
      <c r="M841" s="279">
        <f t="shared" si="56"/>
        <v>0</v>
      </c>
      <c r="O841" s="279">
        <f t="shared" si="57"/>
        <v>0</v>
      </c>
      <c r="Q841" s="279">
        <f t="shared" si="58"/>
        <v>0</v>
      </c>
      <c r="S841" s="279">
        <f t="shared" si="59"/>
        <v>0</v>
      </c>
      <c r="U841" s="385"/>
      <c r="V841" s="385"/>
      <c r="W841" s="385"/>
      <c r="X841" s="385"/>
    </row>
    <row r="842" spans="4:24" s="277" customFormat="1" x14ac:dyDescent="0.3">
      <c r="D842" s="356" t="s">
        <v>884</v>
      </c>
      <c r="E842" s="356"/>
      <c r="F842" s="356"/>
      <c r="G842" s="356"/>
      <c r="I842" s="48">
        <v>0</v>
      </c>
      <c r="K842" s="48">
        <v>0</v>
      </c>
      <c r="M842" s="279">
        <f t="shared" si="56"/>
        <v>0</v>
      </c>
      <c r="O842" s="279">
        <f t="shared" si="57"/>
        <v>0</v>
      </c>
      <c r="Q842" s="279">
        <f t="shared" si="58"/>
        <v>0</v>
      </c>
      <c r="S842" s="279">
        <f t="shared" si="59"/>
        <v>0</v>
      </c>
      <c r="U842" s="385"/>
      <c r="V842" s="385"/>
      <c r="W842" s="385"/>
      <c r="X842" s="385"/>
    </row>
    <row r="843" spans="4:24" s="277" customFormat="1" x14ac:dyDescent="0.3">
      <c r="D843" s="356" t="s">
        <v>885</v>
      </c>
      <c r="E843" s="356"/>
      <c r="F843" s="356"/>
      <c r="G843" s="356"/>
      <c r="I843" s="48">
        <v>0</v>
      </c>
      <c r="K843" s="48">
        <v>0</v>
      </c>
      <c r="M843" s="279">
        <f t="shared" si="56"/>
        <v>0</v>
      </c>
      <c r="O843" s="279">
        <f t="shared" si="57"/>
        <v>0</v>
      </c>
      <c r="Q843" s="279">
        <f t="shared" si="58"/>
        <v>0</v>
      </c>
      <c r="S843" s="279">
        <f t="shared" si="59"/>
        <v>0</v>
      </c>
      <c r="U843" s="385"/>
      <c r="V843" s="385"/>
      <c r="W843" s="385"/>
      <c r="X843" s="385"/>
    </row>
    <row r="844" spans="4:24" s="277" customFormat="1" x14ac:dyDescent="0.3">
      <c r="D844" s="356" t="s">
        <v>886</v>
      </c>
      <c r="E844" s="356"/>
      <c r="F844" s="356"/>
      <c r="G844" s="356"/>
      <c r="I844" s="48">
        <v>0</v>
      </c>
      <c r="K844" s="48">
        <v>0</v>
      </c>
      <c r="M844" s="279">
        <f t="shared" si="56"/>
        <v>0</v>
      </c>
      <c r="O844" s="279">
        <f t="shared" si="57"/>
        <v>0</v>
      </c>
      <c r="Q844" s="279">
        <f t="shared" si="58"/>
        <v>0</v>
      </c>
      <c r="S844" s="279">
        <f t="shared" si="59"/>
        <v>0</v>
      </c>
      <c r="U844" s="385"/>
      <c r="V844" s="385"/>
      <c r="W844" s="385"/>
      <c r="X844" s="385"/>
    </row>
    <row r="845" spans="4:24" s="277" customFormat="1" x14ac:dyDescent="0.3">
      <c r="D845" s="356" t="s">
        <v>887</v>
      </c>
      <c r="E845" s="356"/>
      <c r="F845" s="356"/>
      <c r="G845" s="356"/>
      <c r="I845" s="48">
        <v>0</v>
      </c>
      <c r="K845" s="48">
        <v>0</v>
      </c>
      <c r="M845" s="279">
        <f t="shared" si="56"/>
        <v>0</v>
      </c>
      <c r="O845" s="279">
        <f t="shared" si="57"/>
        <v>0</v>
      </c>
      <c r="Q845" s="279">
        <f t="shared" si="58"/>
        <v>0</v>
      </c>
      <c r="S845" s="279">
        <f t="shared" si="59"/>
        <v>0</v>
      </c>
      <c r="U845" s="385"/>
      <c r="V845" s="385"/>
      <c r="W845" s="385"/>
      <c r="X845" s="385"/>
    </row>
    <row r="846" spans="4:24" s="277" customFormat="1" x14ac:dyDescent="0.3">
      <c r="D846" s="356" t="s">
        <v>888</v>
      </c>
      <c r="E846" s="356"/>
      <c r="F846" s="356"/>
      <c r="G846" s="356"/>
      <c r="I846" s="48">
        <v>0</v>
      </c>
      <c r="K846" s="48">
        <v>0</v>
      </c>
      <c r="M846" s="279">
        <f t="shared" si="56"/>
        <v>0</v>
      </c>
      <c r="O846" s="279">
        <f t="shared" si="57"/>
        <v>0</v>
      </c>
      <c r="Q846" s="279">
        <f t="shared" si="58"/>
        <v>0</v>
      </c>
      <c r="S846" s="279">
        <f t="shared" si="59"/>
        <v>0</v>
      </c>
      <c r="U846" s="385"/>
      <c r="V846" s="385"/>
      <c r="W846" s="385"/>
      <c r="X846" s="385"/>
    </row>
    <row r="847" spans="4:24" s="277" customFormat="1" x14ac:dyDescent="0.3">
      <c r="D847" s="356" t="s">
        <v>889</v>
      </c>
      <c r="E847" s="356"/>
      <c r="F847" s="356"/>
      <c r="G847" s="356"/>
      <c r="I847" s="48">
        <v>0</v>
      </c>
      <c r="K847" s="48">
        <v>0</v>
      </c>
      <c r="M847" s="279">
        <f t="shared" si="56"/>
        <v>0</v>
      </c>
      <c r="O847" s="279">
        <f t="shared" si="57"/>
        <v>0</v>
      </c>
      <c r="Q847" s="279">
        <f t="shared" si="58"/>
        <v>0</v>
      </c>
      <c r="S847" s="279">
        <f t="shared" si="59"/>
        <v>0</v>
      </c>
      <c r="U847" s="385"/>
      <c r="V847" s="385"/>
      <c r="W847" s="385"/>
      <c r="X847" s="385"/>
    </row>
    <row r="848" spans="4:24" s="277" customFormat="1" x14ac:dyDescent="0.3">
      <c r="D848" s="356" t="s">
        <v>890</v>
      </c>
      <c r="E848" s="356"/>
      <c r="F848" s="356"/>
      <c r="G848" s="356"/>
      <c r="I848" s="48">
        <v>0</v>
      </c>
      <c r="K848" s="48">
        <v>0</v>
      </c>
      <c r="M848" s="279">
        <f t="shared" si="56"/>
        <v>0</v>
      </c>
      <c r="O848" s="279">
        <f t="shared" si="57"/>
        <v>0</v>
      </c>
      <c r="Q848" s="279">
        <f t="shared" si="58"/>
        <v>0</v>
      </c>
      <c r="S848" s="279">
        <f t="shared" si="59"/>
        <v>0</v>
      </c>
      <c r="U848" s="385"/>
      <c r="V848" s="385"/>
      <c r="W848" s="385"/>
      <c r="X848" s="385"/>
    </row>
    <row r="849" spans="2:24" s="277" customFormat="1" x14ac:dyDescent="0.3">
      <c r="D849" s="356" t="s">
        <v>986</v>
      </c>
      <c r="E849" s="356"/>
      <c r="F849" s="356"/>
      <c r="G849" s="356"/>
      <c r="I849" s="48">
        <v>0</v>
      </c>
      <c r="K849" s="48">
        <v>0</v>
      </c>
      <c r="M849" s="279">
        <f t="shared" si="56"/>
        <v>0</v>
      </c>
      <c r="O849" s="279">
        <f t="shared" si="57"/>
        <v>0</v>
      </c>
      <c r="Q849" s="279">
        <f t="shared" si="58"/>
        <v>0</v>
      </c>
      <c r="S849" s="279">
        <f t="shared" si="59"/>
        <v>0</v>
      </c>
      <c r="U849" s="385"/>
      <c r="V849" s="385"/>
      <c r="W849" s="385"/>
      <c r="X849" s="385"/>
    </row>
    <row r="850" spans="2:24" s="277" customFormat="1" x14ac:dyDescent="0.3">
      <c r="D850" s="356" t="s">
        <v>987</v>
      </c>
      <c r="E850" s="356"/>
      <c r="F850" s="356"/>
      <c r="G850" s="356"/>
      <c r="I850" s="48">
        <v>0</v>
      </c>
      <c r="K850" s="48">
        <v>0</v>
      </c>
      <c r="M850" s="279">
        <f t="shared" si="56"/>
        <v>0</v>
      </c>
      <c r="O850" s="279">
        <f t="shared" si="57"/>
        <v>0</v>
      </c>
      <c r="Q850" s="279">
        <f t="shared" si="58"/>
        <v>0</v>
      </c>
      <c r="S850" s="279">
        <f t="shared" si="59"/>
        <v>0</v>
      </c>
      <c r="U850" s="385"/>
      <c r="V850" s="385"/>
      <c r="W850" s="385"/>
      <c r="X850" s="385"/>
    </row>
    <row r="851" spans="2:24" s="277" customFormat="1" x14ac:dyDescent="0.3">
      <c r="D851" s="356" t="s">
        <v>988</v>
      </c>
      <c r="E851" s="356"/>
      <c r="F851" s="356"/>
      <c r="G851" s="356"/>
      <c r="I851" s="48">
        <v>0</v>
      </c>
      <c r="K851" s="48">
        <v>0</v>
      </c>
      <c r="M851" s="279">
        <f t="shared" si="56"/>
        <v>0</v>
      </c>
      <c r="O851" s="279">
        <f t="shared" si="57"/>
        <v>0</v>
      </c>
      <c r="Q851" s="279">
        <f t="shared" si="58"/>
        <v>0</v>
      </c>
      <c r="S851" s="279">
        <f t="shared" si="59"/>
        <v>0</v>
      </c>
      <c r="U851" s="385"/>
      <c r="V851" s="385"/>
      <c r="W851" s="385"/>
      <c r="X851" s="385"/>
    </row>
    <row r="852" spans="2:24" s="277" customFormat="1" x14ac:dyDescent="0.3">
      <c r="D852" s="356" t="s">
        <v>989</v>
      </c>
      <c r="E852" s="356"/>
      <c r="F852" s="356"/>
      <c r="G852" s="356"/>
      <c r="I852" s="48">
        <v>0</v>
      </c>
      <c r="K852" s="48">
        <v>0</v>
      </c>
      <c r="M852" s="279">
        <f t="shared" si="56"/>
        <v>0</v>
      </c>
      <c r="O852" s="279">
        <f t="shared" si="57"/>
        <v>0</v>
      </c>
      <c r="Q852" s="279">
        <f t="shared" si="58"/>
        <v>0</v>
      </c>
      <c r="S852" s="279">
        <f t="shared" si="59"/>
        <v>0</v>
      </c>
      <c r="U852" s="385"/>
      <c r="V852" s="385"/>
      <c r="W852" s="385"/>
      <c r="X852" s="385"/>
    </row>
    <row r="853" spans="2:24" s="277" customFormat="1" x14ac:dyDescent="0.3">
      <c r="D853" s="356" t="s">
        <v>990</v>
      </c>
      <c r="E853" s="356"/>
      <c r="F853" s="356"/>
      <c r="G853" s="356"/>
      <c r="I853" s="48">
        <v>0</v>
      </c>
      <c r="K853" s="48">
        <v>0</v>
      </c>
      <c r="M853" s="279">
        <f t="shared" si="56"/>
        <v>0</v>
      </c>
      <c r="O853" s="279">
        <f t="shared" si="57"/>
        <v>0</v>
      </c>
      <c r="Q853" s="279">
        <f t="shared" si="58"/>
        <v>0</v>
      </c>
      <c r="S853" s="279">
        <f t="shared" si="59"/>
        <v>0</v>
      </c>
      <c r="U853" s="385"/>
      <c r="V853" s="385"/>
      <c r="W853" s="385"/>
      <c r="X853" s="385"/>
    </row>
    <row r="854" spans="2:24" ht="14.4" x14ac:dyDescent="0.3">
      <c r="D854" s="420" t="s">
        <v>90</v>
      </c>
      <c r="E854" s="421"/>
      <c r="F854" s="421"/>
      <c r="G854" s="421"/>
      <c r="I854" s="40"/>
      <c r="K854" s="40">
        <f>SUM(K829:K853)</f>
        <v>0</v>
      </c>
      <c r="M854" s="40"/>
      <c r="O854" s="40"/>
      <c r="Q854" s="294">
        <f>SUM(Q829:Q853)</f>
        <v>0</v>
      </c>
      <c r="S854" s="294">
        <f>SUM(S829:S853)</f>
        <v>0</v>
      </c>
    </row>
    <row r="856" spans="2:24" ht="27.6" x14ac:dyDescent="0.3">
      <c r="Q856" s="44" t="str">
        <f>"FINANCIAL COST ("&amp;INDEX(LU_ACT_26_Meet_Curr,DD_ACT_26_Meet1_Curr)&amp;")"</f>
        <v>FINANCIAL COST (GOZ)</v>
      </c>
      <c r="S856" s="44" t="str">
        <f>"ECONOMIC COST ("&amp;INDEX(LU_ACT_26_Meet_Curr,DD_ACT_26_Meet1_Curr)&amp;")"</f>
        <v>ECONOMIC COST (GOZ)</v>
      </c>
      <c r="U856" s="44" t="str">
        <f>"FINANCIAL COST ("&amp;IF(DD_ACT_26_Meet1_Curr=2,$D$861,$D$862)&amp;")"</f>
        <v>FINANCIAL COST (USD)</v>
      </c>
      <c r="W856" s="44" t="str">
        <f>"ECONOMIC COST ("&amp;IF(DD_ACT_26_Meet1_Curr=2,$D$861,$D$862)&amp;")"</f>
        <v>ECONOMIC COST (USD)</v>
      </c>
    </row>
    <row r="857" spans="2:24" ht="18.600000000000001" thickBot="1" x14ac:dyDescent="0.35">
      <c r="B857" s="99" t="s">
        <v>91</v>
      </c>
      <c r="Q857" s="46">
        <f>SUM(Q735,Q764,Q795,Q824,Q854)</f>
        <v>0</v>
      </c>
      <c r="S857" s="46">
        <f>SUM(S735,S764,S795,S824,S854)</f>
        <v>0</v>
      </c>
      <c r="U857" s="47">
        <f>IFERROR(IF(DD_ACT_26_Meet1_Curr=2,$Q857/$I$862,$Q857*$I$862), 0)</f>
        <v>0</v>
      </c>
      <c r="W857" s="47">
        <f>IFERROR(IF(DD_ACT_26_Meet1_Curr=2,$S857/$I$862,$S857*$I$862), 0)</f>
        <v>0</v>
      </c>
    </row>
    <row r="858" spans="2:24" ht="14.4" thickTop="1" x14ac:dyDescent="0.3"/>
    <row r="859" spans="2:24" x14ac:dyDescent="0.3">
      <c r="C859" s="91" t="s">
        <v>584</v>
      </c>
    </row>
    <row r="860" spans="2:24" hidden="1" outlineLevel="1" x14ac:dyDescent="0.3"/>
    <row r="861" spans="2:24" ht="12.9" hidden="1" customHeight="1" outlineLevel="1" x14ac:dyDescent="0.3">
      <c r="D861" s="422" t="str">
        <f>CURR_TA!D13</f>
        <v>USD</v>
      </c>
      <c r="E861" s="423"/>
      <c r="F861" s="423"/>
      <c r="G861" s="423"/>
      <c r="I861" s="279">
        <f>CURR_TA!J13</f>
        <v>1</v>
      </c>
      <c r="J861" s="279">
        <f>CURR_TA!K13</f>
        <v>0</v>
      </c>
      <c r="K861" s="279">
        <f>CURR_TA!L13</f>
        <v>0</v>
      </c>
      <c r="L861" s="279">
        <f>CURR_TA!M13</f>
        <v>0</v>
      </c>
    </row>
    <row r="862" spans="2:24" ht="12.9" hidden="1" customHeight="1" outlineLevel="1" x14ac:dyDescent="0.3">
      <c r="D862" s="422" t="str">
        <f>CURR_TA!D14</f>
        <v>GOZ</v>
      </c>
      <c r="E862" s="423"/>
      <c r="F862" s="423"/>
      <c r="G862" s="423"/>
      <c r="I862" s="279">
        <f>CURR_TA!J14</f>
        <v>0</v>
      </c>
      <c r="J862" s="279">
        <f>CURR_TA!K14</f>
        <v>0</v>
      </c>
      <c r="K862" s="279">
        <f>CURR_TA!L14</f>
        <v>0</v>
      </c>
      <c r="L862" s="279">
        <f>CURR_TA!M14</f>
        <v>0</v>
      </c>
    </row>
    <row r="863" spans="2:24" collapsed="1" x14ac:dyDescent="0.3"/>
    <row r="865" spans="3:19" x14ac:dyDescent="0.3">
      <c r="C865" s="91" t="s">
        <v>590</v>
      </c>
    </row>
    <row r="866" spans="3:19" hidden="1" outlineLevel="1" x14ac:dyDescent="0.3">
      <c r="M866" s="40" t="str">
        <f>$D$861</f>
        <v>USD</v>
      </c>
      <c r="O866" s="40" t="str">
        <f>$D$861</f>
        <v>USD</v>
      </c>
      <c r="Q866" s="40" t="str">
        <f>$D$862</f>
        <v>GOZ</v>
      </c>
      <c r="S866" s="40" t="str">
        <f>$D$862</f>
        <v>GOZ</v>
      </c>
    </row>
    <row r="867" spans="3:19" hidden="1" outlineLevel="1" x14ac:dyDescent="0.3">
      <c r="C867" s="89" t="str">
        <f>RES_BA!D14</f>
        <v>Personnel Cadre - Other 1</v>
      </c>
      <c r="M867" s="40">
        <f>RES_BA!R14</f>
        <v>0</v>
      </c>
      <c r="O867" s="40">
        <f>RES_BA!S14</f>
        <v>0</v>
      </c>
      <c r="Q867" s="40">
        <f>RES_BA!T14</f>
        <v>0</v>
      </c>
      <c r="S867" s="40">
        <f>RES_BA!U14</f>
        <v>0</v>
      </c>
    </row>
    <row r="868" spans="3:19" hidden="1" outlineLevel="1" x14ac:dyDescent="0.3">
      <c r="C868" s="89" t="str">
        <f>RES_BA!D15</f>
        <v>Personnel Cadre - Other 2</v>
      </c>
      <c r="M868" s="40">
        <f>RES_BA!R15</f>
        <v>0</v>
      </c>
      <c r="O868" s="40">
        <f>RES_BA!S15</f>
        <v>0</v>
      </c>
      <c r="Q868" s="40">
        <f>RES_BA!T15</f>
        <v>0</v>
      </c>
      <c r="S868" s="40">
        <f>RES_BA!U15</f>
        <v>0</v>
      </c>
    </row>
    <row r="869" spans="3:19" hidden="1" outlineLevel="1" x14ac:dyDescent="0.3">
      <c r="C869" s="89" t="str">
        <f>RES_BA!D16</f>
        <v>Personnel Cadre - Other 3</v>
      </c>
      <c r="M869" s="40">
        <f>RES_BA!R16</f>
        <v>0</v>
      </c>
      <c r="O869" s="40">
        <f>RES_BA!S16</f>
        <v>0</v>
      </c>
      <c r="Q869" s="40">
        <f>RES_BA!T16</f>
        <v>0</v>
      </c>
      <c r="S869" s="40">
        <f>RES_BA!U16</f>
        <v>0</v>
      </c>
    </row>
    <row r="870" spans="3:19" hidden="1" outlineLevel="1" x14ac:dyDescent="0.3">
      <c r="C870" s="89" t="str">
        <f>RES_BA!D17</f>
        <v>Personnel Cadre - Other 4</v>
      </c>
      <c r="M870" s="40">
        <f>RES_BA!R17</f>
        <v>0</v>
      </c>
      <c r="O870" s="40">
        <f>RES_BA!S17</f>
        <v>0</v>
      </c>
      <c r="Q870" s="40">
        <f>RES_BA!T17</f>
        <v>0</v>
      </c>
      <c r="S870" s="40">
        <f>RES_BA!U17</f>
        <v>0</v>
      </c>
    </row>
    <row r="871" spans="3:19" hidden="1" outlineLevel="1" x14ac:dyDescent="0.3">
      <c r="C871" s="89" t="str">
        <f>RES_BA!D18</f>
        <v>Personnel Cadre - Other 5</v>
      </c>
      <c r="M871" s="40">
        <f>RES_BA!R18</f>
        <v>0</v>
      </c>
      <c r="O871" s="40">
        <f>RES_BA!S18</f>
        <v>0</v>
      </c>
      <c r="Q871" s="40">
        <f>RES_BA!T18</f>
        <v>0</v>
      </c>
      <c r="S871" s="40">
        <f>RES_BA!U18</f>
        <v>0</v>
      </c>
    </row>
    <row r="872" spans="3:19" hidden="1" outlineLevel="1" x14ac:dyDescent="0.3">
      <c r="C872" s="89" t="str">
        <f>RES_BA!D19</f>
        <v>Personnel Cadre - Other 6</v>
      </c>
      <c r="M872" s="40">
        <f>RES_BA!R19</f>
        <v>0</v>
      </c>
      <c r="O872" s="40">
        <f>RES_BA!S19</f>
        <v>0</v>
      </c>
      <c r="Q872" s="40">
        <f>RES_BA!T19</f>
        <v>0</v>
      </c>
      <c r="S872" s="40">
        <f>RES_BA!U19</f>
        <v>0</v>
      </c>
    </row>
    <row r="873" spans="3:19" hidden="1" outlineLevel="1" x14ac:dyDescent="0.3">
      <c r="C873" s="89" t="str">
        <f>RES_BA!D20</f>
        <v>Personnel Cadre - Other 7</v>
      </c>
      <c r="M873" s="40">
        <f>RES_BA!R20</f>
        <v>0</v>
      </c>
      <c r="O873" s="40">
        <f>RES_BA!S20</f>
        <v>0</v>
      </c>
      <c r="Q873" s="40">
        <f>RES_BA!T20</f>
        <v>0</v>
      </c>
      <c r="S873" s="40">
        <f>RES_BA!U20</f>
        <v>0</v>
      </c>
    </row>
    <row r="874" spans="3:19" hidden="1" outlineLevel="1" x14ac:dyDescent="0.3">
      <c r="C874" s="89" t="str">
        <f>RES_BA!D21</f>
        <v>Personnel Cadre - Other 8</v>
      </c>
      <c r="M874" s="40">
        <f>RES_BA!R21</f>
        <v>0</v>
      </c>
      <c r="O874" s="40">
        <f>RES_BA!S21</f>
        <v>0</v>
      </c>
      <c r="Q874" s="40">
        <f>RES_BA!T21</f>
        <v>0</v>
      </c>
      <c r="S874" s="40">
        <f>RES_BA!U21</f>
        <v>0</v>
      </c>
    </row>
    <row r="875" spans="3:19" hidden="1" outlineLevel="1" x14ac:dyDescent="0.3">
      <c r="C875" s="89" t="str">
        <f>RES_BA!D22</f>
        <v>Personnel Cadre - Other 9</v>
      </c>
      <c r="M875" s="40">
        <f>RES_BA!R22</f>
        <v>0</v>
      </c>
      <c r="O875" s="40">
        <f>RES_BA!S22</f>
        <v>0</v>
      </c>
      <c r="Q875" s="40">
        <f>RES_BA!T22</f>
        <v>0</v>
      </c>
      <c r="S875" s="40">
        <f>RES_BA!U22</f>
        <v>0</v>
      </c>
    </row>
    <row r="876" spans="3:19" hidden="1" outlineLevel="1" x14ac:dyDescent="0.3">
      <c r="C876" s="89" t="str">
        <f>RES_BA!D23</f>
        <v>Personnel Cadre - Other 10</v>
      </c>
      <c r="M876" s="40">
        <f>RES_BA!R23</f>
        <v>0</v>
      </c>
      <c r="O876" s="40">
        <f>RES_BA!S23</f>
        <v>0</v>
      </c>
      <c r="Q876" s="40">
        <f>RES_BA!T23</f>
        <v>0</v>
      </c>
      <c r="S876" s="40">
        <f>RES_BA!U23</f>
        <v>0</v>
      </c>
    </row>
    <row r="877" spans="3:19" hidden="1" outlineLevel="1" x14ac:dyDescent="0.3">
      <c r="C877" s="89" t="str">
        <f>RES_BA!D24</f>
        <v>Personnel Cadre - Other 11</v>
      </c>
      <c r="M877" s="40">
        <f>RES_BA!R24</f>
        <v>0</v>
      </c>
      <c r="O877" s="40">
        <f>RES_BA!S24</f>
        <v>0</v>
      </c>
      <c r="Q877" s="40">
        <f>RES_BA!T24</f>
        <v>0</v>
      </c>
      <c r="S877" s="40">
        <f>RES_BA!U24</f>
        <v>0</v>
      </c>
    </row>
    <row r="878" spans="3:19" hidden="1" outlineLevel="1" x14ac:dyDescent="0.3">
      <c r="C878" s="89" t="str">
        <f>RES_BA!D25</f>
        <v>Personnel Cadre - Other 12</v>
      </c>
      <c r="M878" s="40">
        <f>RES_BA!R25</f>
        <v>0</v>
      </c>
      <c r="O878" s="40">
        <f>RES_BA!S25</f>
        <v>0</v>
      </c>
      <c r="Q878" s="40">
        <f>RES_BA!T25</f>
        <v>0</v>
      </c>
      <c r="S878" s="40">
        <f>RES_BA!U25</f>
        <v>0</v>
      </c>
    </row>
    <row r="879" spans="3:19" hidden="1" outlineLevel="1" x14ac:dyDescent="0.3">
      <c r="C879" s="89" t="str">
        <f>RES_BA!D26</f>
        <v>Personnel Cadre - Other 13</v>
      </c>
      <c r="M879" s="40">
        <f>RES_BA!R26</f>
        <v>0</v>
      </c>
      <c r="O879" s="40">
        <f>RES_BA!S26</f>
        <v>0</v>
      </c>
      <c r="Q879" s="40">
        <f>RES_BA!T26</f>
        <v>0</v>
      </c>
      <c r="S879" s="40">
        <f>RES_BA!U26</f>
        <v>0</v>
      </c>
    </row>
    <row r="880" spans="3:19" hidden="1" outlineLevel="1" x14ac:dyDescent="0.3">
      <c r="C880" s="89" t="str">
        <f>RES_BA!D27</f>
        <v>Personnel Cadre - Other 14</v>
      </c>
      <c r="M880" s="40">
        <f>RES_BA!R27</f>
        <v>0</v>
      </c>
      <c r="O880" s="40">
        <f>RES_BA!S27</f>
        <v>0</v>
      </c>
      <c r="Q880" s="40">
        <f>RES_BA!T27</f>
        <v>0</v>
      </c>
      <c r="S880" s="40">
        <f>RES_BA!U27</f>
        <v>0</v>
      </c>
    </row>
    <row r="881" spans="3:19" hidden="1" outlineLevel="1" x14ac:dyDescent="0.3">
      <c r="C881" s="89" t="str">
        <f>RES_BA!D28</f>
        <v>Personnel Cadre - Other 15</v>
      </c>
      <c r="M881" s="40">
        <f>RES_BA!R28</f>
        <v>0</v>
      </c>
      <c r="O881" s="40">
        <f>RES_BA!S28</f>
        <v>0</v>
      </c>
      <c r="Q881" s="40">
        <f>RES_BA!T28</f>
        <v>0</v>
      </c>
      <c r="S881" s="40">
        <f>RES_BA!U28</f>
        <v>0</v>
      </c>
    </row>
    <row r="882" spans="3:19" s="277" customFormat="1" hidden="1" outlineLevel="1" collapsed="1" x14ac:dyDescent="0.3">
      <c r="C882" s="283" t="str">
        <f>RES_BA!D29</f>
        <v>Personnel Cadre - Other 16</v>
      </c>
      <c r="M882" s="279">
        <f>RES_BA!R29</f>
        <v>0</v>
      </c>
      <c r="O882" s="279">
        <f>RES_BA!S29</f>
        <v>0</v>
      </c>
      <c r="Q882" s="279">
        <f>RES_BA!T29</f>
        <v>0</v>
      </c>
      <c r="S882" s="279">
        <f>RES_BA!U29</f>
        <v>0</v>
      </c>
    </row>
    <row r="883" spans="3:19" s="277" customFormat="1" hidden="1" outlineLevel="1" collapsed="1" x14ac:dyDescent="0.3">
      <c r="C883" s="283" t="str">
        <f>RES_BA!D30</f>
        <v>Personnel Cadre - Other 17</v>
      </c>
      <c r="M883" s="279">
        <f>RES_BA!R30</f>
        <v>0</v>
      </c>
      <c r="O883" s="279">
        <f>RES_BA!S30</f>
        <v>0</v>
      </c>
      <c r="Q883" s="279">
        <f>RES_BA!T30</f>
        <v>0</v>
      </c>
      <c r="S883" s="279">
        <f>RES_BA!U30</f>
        <v>0</v>
      </c>
    </row>
    <row r="884" spans="3:19" s="277" customFormat="1" hidden="1" outlineLevel="1" collapsed="1" x14ac:dyDescent="0.3">
      <c r="C884" s="283" t="str">
        <f>RES_BA!D31</f>
        <v>Personnel Cadre - Other 18</v>
      </c>
      <c r="M884" s="279">
        <f>RES_BA!R31</f>
        <v>0</v>
      </c>
      <c r="O884" s="279">
        <f>RES_BA!S31</f>
        <v>0</v>
      </c>
      <c r="Q884" s="279">
        <f>RES_BA!T31</f>
        <v>0</v>
      </c>
      <c r="S884" s="279">
        <f>RES_BA!U31</f>
        <v>0</v>
      </c>
    </row>
    <row r="885" spans="3:19" s="277" customFormat="1" hidden="1" outlineLevel="1" x14ac:dyDescent="0.3">
      <c r="C885" s="283" t="str">
        <f>RES_BA!D32</f>
        <v>Personnel Cadre - Other 19</v>
      </c>
      <c r="M885" s="279">
        <f>RES_BA!R32</f>
        <v>0</v>
      </c>
      <c r="O885" s="279">
        <f>RES_BA!S32</f>
        <v>0</v>
      </c>
      <c r="Q885" s="279">
        <f>RES_BA!T32</f>
        <v>0</v>
      </c>
      <c r="S885" s="279">
        <f>RES_BA!U32</f>
        <v>0</v>
      </c>
    </row>
    <row r="886" spans="3:19" s="277" customFormat="1" hidden="1" outlineLevel="1" x14ac:dyDescent="0.3">
      <c r="C886" s="283" t="str">
        <f>RES_BA!D33</f>
        <v>Personnel Cadre - Other 20</v>
      </c>
      <c r="M886" s="279">
        <f>RES_BA!R33</f>
        <v>0</v>
      </c>
      <c r="O886" s="279">
        <f>RES_BA!S33</f>
        <v>0</v>
      </c>
      <c r="Q886" s="279">
        <f>RES_BA!T33</f>
        <v>0</v>
      </c>
      <c r="S886" s="279">
        <f>RES_BA!U33</f>
        <v>0</v>
      </c>
    </row>
    <row r="887" spans="3:19" s="277" customFormat="1" hidden="1" outlineLevel="1" collapsed="1" x14ac:dyDescent="0.3">
      <c r="C887" s="283" t="str">
        <f>RES_BA!D34</f>
        <v>Personnel Cadre - Other 21</v>
      </c>
      <c r="M887" s="279">
        <f>RES_BA!R34</f>
        <v>0</v>
      </c>
      <c r="O887" s="279">
        <f>RES_BA!S34</f>
        <v>0</v>
      </c>
      <c r="Q887" s="279">
        <f>RES_BA!T34</f>
        <v>0</v>
      </c>
      <c r="S887" s="279">
        <f>RES_BA!U34</f>
        <v>0</v>
      </c>
    </row>
    <row r="888" spans="3:19" s="277" customFormat="1" hidden="1" outlineLevel="1" x14ac:dyDescent="0.3">
      <c r="C888" s="283" t="str">
        <f>RES_BA!D35</f>
        <v>Personnel Cadre - Other 22</v>
      </c>
      <c r="M888" s="279">
        <f>RES_BA!R35</f>
        <v>0</v>
      </c>
      <c r="O888" s="279">
        <f>RES_BA!S35</f>
        <v>0</v>
      </c>
      <c r="Q888" s="279">
        <f>RES_BA!T35</f>
        <v>0</v>
      </c>
      <c r="S888" s="279">
        <f>RES_BA!U35</f>
        <v>0</v>
      </c>
    </row>
    <row r="889" spans="3:19" s="277" customFormat="1" hidden="1" outlineLevel="1" x14ac:dyDescent="0.3">
      <c r="C889" s="283" t="str">
        <f>RES_BA!D36</f>
        <v>Personnel Cadre - Other 23</v>
      </c>
      <c r="M889" s="279">
        <f>RES_BA!R36</f>
        <v>0</v>
      </c>
      <c r="O889" s="279">
        <f>RES_BA!S36</f>
        <v>0</v>
      </c>
      <c r="Q889" s="279">
        <f>RES_BA!T36</f>
        <v>0</v>
      </c>
      <c r="S889" s="279">
        <f>RES_BA!U36</f>
        <v>0</v>
      </c>
    </row>
    <row r="890" spans="3:19" s="277" customFormat="1" hidden="1" outlineLevel="1" x14ac:dyDescent="0.3">
      <c r="C890" s="283" t="str">
        <f>RES_BA!D37</f>
        <v>Personnel Cadre - Other 24</v>
      </c>
      <c r="M890" s="279">
        <f>RES_BA!R37</f>
        <v>0</v>
      </c>
      <c r="O890" s="279">
        <f>RES_BA!S37</f>
        <v>0</v>
      </c>
      <c r="Q890" s="279">
        <f>RES_BA!T37</f>
        <v>0</v>
      </c>
      <c r="S890" s="279">
        <f>RES_BA!U37</f>
        <v>0</v>
      </c>
    </row>
    <row r="891" spans="3:19" s="277" customFormat="1" hidden="1" outlineLevel="1" x14ac:dyDescent="0.3">
      <c r="C891" s="283" t="str">
        <f>RES_BA!D38</f>
        <v>Personnel Cadre - Other 25</v>
      </c>
      <c r="M891" s="279">
        <f>RES_BA!R38</f>
        <v>0</v>
      </c>
      <c r="O891" s="279">
        <f>RES_BA!S38</f>
        <v>0</v>
      </c>
      <c r="Q891" s="279">
        <f>RES_BA!T38</f>
        <v>0</v>
      </c>
      <c r="S891" s="279">
        <f>RES_BA!U38</f>
        <v>0</v>
      </c>
    </row>
    <row r="892" spans="3:19" s="277" customFormat="1" hidden="1" outlineLevel="1" x14ac:dyDescent="0.3">
      <c r="C892" s="283" t="str">
        <f>RES_BA!D39</f>
        <v>Personnel Cadre - Other 26</v>
      </c>
      <c r="M892" s="279">
        <f>RES_BA!R39</f>
        <v>0</v>
      </c>
      <c r="O892" s="279">
        <f>RES_BA!S39</f>
        <v>0</v>
      </c>
      <c r="Q892" s="279">
        <f>RES_BA!T39</f>
        <v>0</v>
      </c>
      <c r="S892" s="279">
        <f>RES_BA!U39</f>
        <v>0</v>
      </c>
    </row>
    <row r="893" spans="3:19" s="277" customFormat="1" hidden="1" outlineLevel="1" x14ac:dyDescent="0.3">
      <c r="C893" s="283" t="str">
        <f>RES_BA!D40</f>
        <v>Personnel Cadre - Other 27</v>
      </c>
      <c r="M893" s="279">
        <f>RES_BA!R40</f>
        <v>0</v>
      </c>
      <c r="O893" s="279">
        <f>RES_BA!S40</f>
        <v>0</v>
      </c>
      <c r="Q893" s="279">
        <f>RES_BA!T40</f>
        <v>0</v>
      </c>
      <c r="S893" s="279">
        <f>RES_BA!U40</f>
        <v>0</v>
      </c>
    </row>
    <row r="894" spans="3:19" s="277" customFormat="1" hidden="1" outlineLevel="1" x14ac:dyDescent="0.3">
      <c r="C894" s="283" t="str">
        <f>RES_BA!D41</f>
        <v>Personnel Cadre - Other 28</v>
      </c>
      <c r="M894" s="279">
        <f>RES_BA!R41</f>
        <v>0</v>
      </c>
      <c r="O894" s="279">
        <f>RES_BA!S41</f>
        <v>0</v>
      </c>
      <c r="Q894" s="279">
        <f>RES_BA!T41</f>
        <v>0</v>
      </c>
      <c r="S894" s="279">
        <f>RES_BA!U41</f>
        <v>0</v>
      </c>
    </row>
    <row r="895" spans="3:19" s="277" customFormat="1" hidden="1" outlineLevel="1" x14ac:dyDescent="0.3">
      <c r="C895" s="283" t="str">
        <f>RES_BA!D42</f>
        <v>Personnel Cadre - Other 29</v>
      </c>
      <c r="M895" s="279">
        <f>RES_BA!R42</f>
        <v>0</v>
      </c>
      <c r="O895" s="279">
        <f>RES_BA!S42</f>
        <v>0</v>
      </c>
      <c r="Q895" s="279">
        <f>RES_BA!T42</f>
        <v>0</v>
      </c>
      <c r="S895" s="279">
        <f>RES_BA!U42</f>
        <v>0</v>
      </c>
    </row>
    <row r="896" spans="3:19" s="277" customFormat="1" hidden="1" outlineLevel="1" x14ac:dyDescent="0.3">
      <c r="C896" s="283" t="str">
        <f>RES_BA!D43</f>
        <v>Personnel Cadre - Other 30</v>
      </c>
      <c r="M896" s="279">
        <f>RES_BA!R43</f>
        <v>0</v>
      </c>
      <c r="O896" s="279">
        <f>RES_BA!S43</f>
        <v>0</v>
      </c>
      <c r="Q896" s="279">
        <f>RES_BA!T43</f>
        <v>0</v>
      </c>
      <c r="S896" s="279">
        <f>RES_BA!U43</f>
        <v>0</v>
      </c>
    </row>
    <row r="897" spans="3:19" s="277" customFormat="1" hidden="1" outlineLevel="1" x14ac:dyDescent="0.3">
      <c r="C897" s="283" t="str">
        <f>RES_BA!D44</f>
        <v>Personnel Cadre - Other 31</v>
      </c>
      <c r="M897" s="279">
        <f>RES_BA!R44</f>
        <v>0</v>
      </c>
      <c r="O897" s="279">
        <f>RES_BA!S44</f>
        <v>0</v>
      </c>
      <c r="Q897" s="279">
        <f>RES_BA!T44</f>
        <v>0</v>
      </c>
      <c r="S897" s="279">
        <f>RES_BA!U44</f>
        <v>0</v>
      </c>
    </row>
    <row r="898" spans="3:19" s="277" customFormat="1" hidden="1" outlineLevel="1" x14ac:dyDescent="0.3">
      <c r="C898" s="283" t="str">
        <f>RES_BA!D45</f>
        <v>Personnel Cadre - Other 32</v>
      </c>
      <c r="M898" s="279">
        <f>RES_BA!R45</f>
        <v>0</v>
      </c>
      <c r="O898" s="279">
        <f>RES_BA!S45</f>
        <v>0</v>
      </c>
      <c r="Q898" s="279">
        <f>RES_BA!T45</f>
        <v>0</v>
      </c>
      <c r="S898" s="279">
        <f>RES_BA!U45</f>
        <v>0</v>
      </c>
    </row>
    <row r="899" spans="3:19" s="277" customFormat="1" hidden="1" outlineLevel="1" x14ac:dyDescent="0.3">
      <c r="C899" s="283" t="str">
        <f>RES_BA!D46</f>
        <v>Personnel Cadre - Other 33</v>
      </c>
      <c r="M899" s="279">
        <f>RES_BA!R46</f>
        <v>0</v>
      </c>
      <c r="O899" s="279">
        <f>RES_BA!S46</f>
        <v>0</v>
      </c>
      <c r="Q899" s="279">
        <f>RES_BA!T46</f>
        <v>0</v>
      </c>
      <c r="S899" s="279">
        <f>RES_BA!U46</f>
        <v>0</v>
      </c>
    </row>
    <row r="900" spans="3:19" s="277" customFormat="1" hidden="1" outlineLevel="1" x14ac:dyDescent="0.3">
      <c r="C900" s="283" t="str">
        <f>RES_BA!D47</f>
        <v>Personnel Cadre - Other 34</v>
      </c>
      <c r="M900" s="279">
        <f>RES_BA!R47</f>
        <v>0</v>
      </c>
      <c r="O900" s="279">
        <f>RES_BA!S47</f>
        <v>0</v>
      </c>
      <c r="Q900" s="279">
        <f>RES_BA!T47</f>
        <v>0</v>
      </c>
      <c r="S900" s="279">
        <f>RES_BA!U47</f>
        <v>0</v>
      </c>
    </row>
    <row r="901" spans="3:19" s="277" customFormat="1" hidden="1" outlineLevel="1" x14ac:dyDescent="0.3">
      <c r="C901" s="283" t="str">
        <f>RES_BA!D48</f>
        <v>Personnel Cadre - Other 35</v>
      </c>
      <c r="M901" s="279">
        <f>RES_BA!R48</f>
        <v>0</v>
      </c>
      <c r="O901" s="279">
        <f>RES_BA!S48</f>
        <v>0</v>
      </c>
      <c r="Q901" s="279">
        <f>RES_BA!T48</f>
        <v>0</v>
      </c>
      <c r="S901" s="279">
        <f>RES_BA!U48</f>
        <v>0</v>
      </c>
    </row>
    <row r="902" spans="3:19" hidden="1" outlineLevel="1" x14ac:dyDescent="0.3"/>
    <row r="903" spans="3:19" hidden="1" outlineLevel="1" x14ac:dyDescent="0.3">
      <c r="M903" s="40" t="str">
        <f>$D$861</f>
        <v>USD</v>
      </c>
      <c r="O903" s="40" t="str">
        <f>$D$861</f>
        <v>USD</v>
      </c>
      <c r="Q903" s="40" t="str">
        <f>$D$862</f>
        <v>GOZ</v>
      </c>
      <c r="S903" s="40" t="str">
        <f>$D$862</f>
        <v>GOZ</v>
      </c>
    </row>
    <row r="904" spans="3:19" hidden="1" outlineLevel="1" x14ac:dyDescent="0.3">
      <c r="C904" s="89" t="str">
        <f>RES_BA!D53</f>
        <v>Allowances Category 1</v>
      </c>
      <c r="M904" s="40">
        <f>RES_BA!R53</f>
        <v>0</v>
      </c>
      <c r="O904" s="40">
        <f>RES_BA!S53</f>
        <v>0</v>
      </c>
      <c r="Q904" s="40">
        <f>RES_BA!T53</f>
        <v>0</v>
      </c>
      <c r="S904" s="40">
        <f>RES_BA!U53</f>
        <v>0</v>
      </c>
    </row>
    <row r="905" spans="3:19" hidden="1" outlineLevel="1" x14ac:dyDescent="0.3">
      <c r="C905" s="89" t="str">
        <f>RES_BA!D54</f>
        <v>Allowances Category 2</v>
      </c>
      <c r="M905" s="40">
        <f>RES_BA!R54</f>
        <v>0</v>
      </c>
      <c r="O905" s="40">
        <f>RES_BA!S54</f>
        <v>0</v>
      </c>
      <c r="Q905" s="40">
        <f>RES_BA!T54</f>
        <v>0</v>
      </c>
      <c r="S905" s="40">
        <f>RES_BA!U54</f>
        <v>0</v>
      </c>
    </row>
    <row r="906" spans="3:19" hidden="1" outlineLevel="1" x14ac:dyDescent="0.3">
      <c r="C906" s="89" t="str">
        <f>RES_BA!D55</f>
        <v>Allowances Category 3</v>
      </c>
      <c r="M906" s="40">
        <f>RES_BA!R55</f>
        <v>0</v>
      </c>
      <c r="O906" s="40">
        <f>RES_BA!S55</f>
        <v>0</v>
      </c>
      <c r="Q906" s="40">
        <f>RES_BA!T55</f>
        <v>0</v>
      </c>
      <c r="S906" s="40">
        <f>RES_BA!U55</f>
        <v>0</v>
      </c>
    </row>
    <row r="907" spans="3:19" hidden="1" outlineLevel="1" x14ac:dyDescent="0.3">
      <c r="C907" s="89" t="str">
        <f>RES_BA!D56</f>
        <v>Allowances Category 4</v>
      </c>
      <c r="M907" s="40">
        <f>RES_BA!R56</f>
        <v>0</v>
      </c>
      <c r="O907" s="40">
        <f>RES_BA!S56</f>
        <v>0</v>
      </c>
      <c r="Q907" s="40">
        <f>RES_BA!T56</f>
        <v>0</v>
      </c>
      <c r="S907" s="40">
        <f>RES_BA!U56</f>
        <v>0</v>
      </c>
    </row>
    <row r="908" spans="3:19" hidden="1" outlineLevel="1" x14ac:dyDescent="0.3">
      <c r="C908" s="89" t="str">
        <f>RES_BA!D57</f>
        <v>Allowances Category 5</v>
      </c>
      <c r="M908" s="40">
        <f>RES_BA!R57</f>
        <v>0</v>
      </c>
      <c r="O908" s="40">
        <f>RES_BA!S57</f>
        <v>0</v>
      </c>
      <c r="Q908" s="40">
        <f>RES_BA!T57</f>
        <v>0</v>
      </c>
      <c r="S908" s="40">
        <f>RES_BA!U57</f>
        <v>0</v>
      </c>
    </row>
    <row r="909" spans="3:19" s="277" customFormat="1" hidden="1" outlineLevel="1" collapsed="1" x14ac:dyDescent="0.3">
      <c r="C909" s="283" t="str">
        <f>RES_BA!D58</f>
        <v>Allowances Category 6</v>
      </c>
      <c r="M909" s="279">
        <f>RES_BA!R58</f>
        <v>0</v>
      </c>
      <c r="O909" s="279">
        <f>RES_BA!S58</f>
        <v>0</v>
      </c>
      <c r="Q909" s="279">
        <f>RES_BA!T58</f>
        <v>0</v>
      </c>
      <c r="S909" s="279">
        <f>RES_BA!U58</f>
        <v>0</v>
      </c>
    </row>
    <row r="910" spans="3:19" s="277" customFormat="1" hidden="1" outlineLevel="1" x14ac:dyDescent="0.3">
      <c r="C910" s="283" t="str">
        <f>RES_BA!D59</f>
        <v>Allowances Category 7</v>
      </c>
      <c r="M910" s="279">
        <f>RES_BA!R59</f>
        <v>0</v>
      </c>
      <c r="O910" s="279">
        <f>RES_BA!S59</f>
        <v>0</v>
      </c>
      <c r="Q910" s="279">
        <f>RES_BA!T59</f>
        <v>0</v>
      </c>
      <c r="S910" s="279">
        <f>RES_BA!U59</f>
        <v>0</v>
      </c>
    </row>
    <row r="911" spans="3:19" s="277" customFormat="1" hidden="1" outlineLevel="1" x14ac:dyDescent="0.3">
      <c r="C911" s="283" t="str">
        <f>RES_BA!D60</f>
        <v>Allowances Category 8</v>
      </c>
      <c r="M911" s="279">
        <f>RES_BA!R60</f>
        <v>0</v>
      </c>
      <c r="O911" s="279">
        <f>RES_BA!S60</f>
        <v>0</v>
      </c>
      <c r="Q911" s="279">
        <f>RES_BA!T60</f>
        <v>0</v>
      </c>
      <c r="S911" s="279">
        <f>RES_BA!U60</f>
        <v>0</v>
      </c>
    </row>
    <row r="912" spans="3:19" s="277" customFormat="1" hidden="1" outlineLevel="1" x14ac:dyDescent="0.3">
      <c r="C912" s="283" t="str">
        <f>RES_BA!D61</f>
        <v>Allowances Category 9</v>
      </c>
      <c r="M912" s="279">
        <f>RES_BA!R61</f>
        <v>0</v>
      </c>
      <c r="O912" s="279">
        <f>RES_BA!S61</f>
        <v>0</v>
      </c>
      <c r="Q912" s="279">
        <f>RES_BA!T61</f>
        <v>0</v>
      </c>
      <c r="S912" s="279">
        <f>RES_BA!U61</f>
        <v>0</v>
      </c>
    </row>
    <row r="913" spans="3:19" s="277" customFormat="1" hidden="1" outlineLevel="1" x14ac:dyDescent="0.3">
      <c r="C913" s="283" t="str">
        <f>RES_BA!D62</f>
        <v>Allowances Category 10</v>
      </c>
      <c r="M913" s="279">
        <f>RES_BA!R62</f>
        <v>0</v>
      </c>
      <c r="O913" s="279">
        <f>RES_BA!S62</f>
        <v>0</v>
      </c>
      <c r="Q913" s="279">
        <f>RES_BA!T62</f>
        <v>0</v>
      </c>
      <c r="S913" s="279">
        <f>RES_BA!U62</f>
        <v>0</v>
      </c>
    </row>
    <row r="914" spans="3:19" s="277" customFormat="1" hidden="1" outlineLevel="1" x14ac:dyDescent="0.3">
      <c r="C914" s="283" t="str">
        <f>RES_BA!D63</f>
        <v>Allowances Category 11</v>
      </c>
      <c r="M914" s="279">
        <f>RES_BA!R63</f>
        <v>0</v>
      </c>
      <c r="O914" s="279">
        <f>RES_BA!S63</f>
        <v>0</v>
      </c>
      <c r="Q914" s="279">
        <f>RES_BA!T63</f>
        <v>0</v>
      </c>
      <c r="S914" s="279">
        <f>RES_BA!U63</f>
        <v>0</v>
      </c>
    </row>
    <row r="915" spans="3:19" s="277" customFormat="1" hidden="1" outlineLevel="1" x14ac:dyDescent="0.3">
      <c r="C915" s="283" t="str">
        <f>RES_BA!D64</f>
        <v>Allowances Category 12</v>
      </c>
      <c r="M915" s="279">
        <f>RES_BA!R64</f>
        <v>0</v>
      </c>
      <c r="O915" s="279">
        <f>RES_BA!S64</f>
        <v>0</v>
      </c>
      <c r="Q915" s="279">
        <f>RES_BA!T64</f>
        <v>0</v>
      </c>
      <c r="S915" s="279">
        <f>RES_BA!U64</f>
        <v>0</v>
      </c>
    </row>
    <row r="916" spans="3:19" s="277" customFormat="1" hidden="1" outlineLevel="1" x14ac:dyDescent="0.3">
      <c r="C916" s="283" t="str">
        <f>RES_BA!D65</f>
        <v>Allowances Category 13</v>
      </c>
      <c r="M916" s="279">
        <f>RES_BA!R65</f>
        <v>0</v>
      </c>
      <c r="O916" s="279">
        <f>RES_BA!S65</f>
        <v>0</v>
      </c>
      <c r="Q916" s="279">
        <f>RES_BA!T65</f>
        <v>0</v>
      </c>
      <c r="S916" s="279">
        <f>RES_BA!U65</f>
        <v>0</v>
      </c>
    </row>
    <row r="917" spans="3:19" s="277" customFormat="1" hidden="1" outlineLevel="1" x14ac:dyDescent="0.3">
      <c r="C917" s="283" t="str">
        <f>RES_BA!D66</f>
        <v>Allowances Category 14</v>
      </c>
      <c r="M917" s="279">
        <f>RES_BA!R66</f>
        <v>0</v>
      </c>
      <c r="O917" s="279">
        <f>RES_BA!S66</f>
        <v>0</v>
      </c>
      <c r="Q917" s="279">
        <f>RES_BA!T66</f>
        <v>0</v>
      </c>
      <c r="S917" s="279">
        <f>RES_BA!U66</f>
        <v>0</v>
      </c>
    </row>
    <row r="918" spans="3:19" s="277" customFormat="1" hidden="1" outlineLevel="1" x14ac:dyDescent="0.3">
      <c r="C918" s="283" t="str">
        <f>RES_BA!D67</f>
        <v>Allowances Category 15</v>
      </c>
      <c r="M918" s="279">
        <f>RES_BA!R67</f>
        <v>0</v>
      </c>
      <c r="O918" s="279">
        <f>RES_BA!S67</f>
        <v>0</v>
      </c>
      <c r="Q918" s="279">
        <f>RES_BA!T67</f>
        <v>0</v>
      </c>
      <c r="S918" s="279">
        <f>RES_BA!U67</f>
        <v>0</v>
      </c>
    </row>
    <row r="919" spans="3:19" s="277" customFormat="1" hidden="1" outlineLevel="1" x14ac:dyDescent="0.3">
      <c r="C919" s="283" t="str">
        <f>RES_BA!D68</f>
        <v>Allowances Category 16</v>
      </c>
      <c r="M919" s="279">
        <f>RES_BA!R68</f>
        <v>0</v>
      </c>
      <c r="O919" s="279">
        <f>RES_BA!S68</f>
        <v>0</v>
      </c>
      <c r="Q919" s="279">
        <f>RES_BA!T68</f>
        <v>0</v>
      </c>
      <c r="S919" s="279">
        <f>RES_BA!U68</f>
        <v>0</v>
      </c>
    </row>
    <row r="920" spans="3:19" hidden="1" outlineLevel="1" x14ac:dyDescent="0.3">
      <c r="C920" s="89" t="str">
        <f>RES_BA!D69</f>
        <v>Allowances Category 17</v>
      </c>
      <c r="M920" s="40">
        <f>RES_BA!R69</f>
        <v>0</v>
      </c>
      <c r="O920" s="40">
        <f>RES_BA!S69</f>
        <v>0</v>
      </c>
      <c r="Q920" s="40">
        <f>RES_BA!T69</f>
        <v>0</v>
      </c>
      <c r="S920" s="40">
        <f>RES_BA!U69</f>
        <v>0</v>
      </c>
    </row>
    <row r="921" spans="3:19" hidden="1" outlineLevel="1" x14ac:dyDescent="0.3">
      <c r="C921" s="89" t="str">
        <f>RES_BA!D70</f>
        <v>Allowances Category 18</v>
      </c>
      <c r="M921" s="40">
        <f>RES_BA!R70</f>
        <v>0</v>
      </c>
      <c r="O921" s="40">
        <f>RES_BA!S70</f>
        <v>0</v>
      </c>
      <c r="Q921" s="40">
        <f>RES_BA!T70</f>
        <v>0</v>
      </c>
      <c r="S921" s="40">
        <f>RES_BA!U70</f>
        <v>0</v>
      </c>
    </row>
    <row r="922" spans="3:19" hidden="1" outlineLevel="1" x14ac:dyDescent="0.3">
      <c r="C922" s="89" t="str">
        <f>RES_BA!D71</f>
        <v>Allowances Category 19</v>
      </c>
      <c r="M922" s="40">
        <f>RES_BA!R71</f>
        <v>0</v>
      </c>
      <c r="O922" s="40">
        <f>RES_BA!S71</f>
        <v>0</v>
      </c>
      <c r="Q922" s="40">
        <f>RES_BA!T71</f>
        <v>0</v>
      </c>
      <c r="S922" s="40">
        <f>RES_BA!U71</f>
        <v>0</v>
      </c>
    </row>
    <row r="923" spans="3:19" hidden="1" outlineLevel="1" x14ac:dyDescent="0.3">
      <c r="C923" s="89" t="str">
        <f>RES_BA!D72</f>
        <v>Allowances Category 20</v>
      </c>
      <c r="M923" s="40">
        <f>RES_BA!R72</f>
        <v>0</v>
      </c>
      <c r="O923" s="40">
        <f>RES_BA!S72</f>
        <v>0</v>
      </c>
      <c r="Q923" s="40">
        <f>RES_BA!T72</f>
        <v>0</v>
      </c>
      <c r="S923" s="40">
        <f>RES_BA!U72</f>
        <v>0</v>
      </c>
    </row>
    <row r="924" spans="3:19" hidden="1" outlineLevel="1" x14ac:dyDescent="0.3">
      <c r="C924" s="89" t="str">
        <f>RES_BA!D73</f>
        <v>Allowances Category 21</v>
      </c>
      <c r="M924" s="40">
        <f>RES_BA!R73</f>
        <v>0</v>
      </c>
      <c r="O924" s="40">
        <f>RES_BA!S73</f>
        <v>0</v>
      </c>
      <c r="Q924" s="40">
        <f>RES_BA!T73</f>
        <v>0</v>
      </c>
      <c r="S924" s="40">
        <f>RES_BA!U73</f>
        <v>0</v>
      </c>
    </row>
    <row r="925" spans="3:19" hidden="1" outlineLevel="1" x14ac:dyDescent="0.3">
      <c r="C925" s="89" t="str">
        <f>RES_BA!D74</f>
        <v>Allowances Category 22</v>
      </c>
      <c r="M925" s="40">
        <f>RES_BA!R74</f>
        <v>0</v>
      </c>
      <c r="O925" s="40">
        <f>RES_BA!S74</f>
        <v>0</v>
      </c>
      <c r="Q925" s="40">
        <f>RES_BA!T74</f>
        <v>0</v>
      </c>
      <c r="S925" s="40">
        <f>RES_BA!U74</f>
        <v>0</v>
      </c>
    </row>
    <row r="926" spans="3:19" hidden="1" outlineLevel="1" x14ac:dyDescent="0.3">
      <c r="C926" s="89" t="str">
        <f>RES_BA!D75</f>
        <v>Allowances Category 23</v>
      </c>
      <c r="M926" s="40">
        <f>RES_BA!R75</f>
        <v>0</v>
      </c>
      <c r="O926" s="40">
        <f>RES_BA!S75</f>
        <v>0</v>
      </c>
      <c r="Q926" s="40">
        <f>RES_BA!T75</f>
        <v>0</v>
      </c>
      <c r="S926" s="40">
        <f>RES_BA!U75</f>
        <v>0</v>
      </c>
    </row>
    <row r="927" spans="3:19" s="277" customFormat="1" hidden="1" outlineLevel="1" collapsed="1" x14ac:dyDescent="0.3">
      <c r="C927" s="283" t="str">
        <f>RES_BA!D76</f>
        <v>Allowances Category 24</v>
      </c>
      <c r="M927" s="279">
        <f>RES_BA!R76</f>
        <v>0</v>
      </c>
      <c r="O927" s="279">
        <f>RES_BA!S76</f>
        <v>0</v>
      </c>
      <c r="Q927" s="279">
        <f>RES_BA!T76</f>
        <v>0</v>
      </c>
      <c r="S927" s="279">
        <f>RES_BA!U76</f>
        <v>0</v>
      </c>
    </row>
    <row r="928" spans="3:19" s="277" customFormat="1" hidden="1" outlineLevel="1" x14ac:dyDescent="0.3">
      <c r="C928" s="283" t="str">
        <f>RES_BA!D77</f>
        <v>Allowances Category 25</v>
      </c>
      <c r="M928" s="279">
        <f>RES_BA!R77</f>
        <v>0</v>
      </c>
      <c r="O928" s="279">
        <f>RES_BA!S77</f>
        <v>0</v>
      </c>
      <c r="Q928" s="279">
        <f>RES_BA!T77</f>
        <v>0</v>
      </c>
      <c r="S928" s="279">
        <f>RES_BA!U77</f>
        <v>0</v>
      </c>
    </row>
    <row r="929" spans="3:19" s="277" customFormat="1" hidden="1" outlineLevel="1" x14ac:dyDescent="0.3">
      <c r="C929" s="283" t="str">
        <f>RES_BA!D78</f>
        <v>Allowances Category 26</v>
      </c>
      <c r="M929" s="279">
        <f>RES_BA!R78</f>
        <v>0</v>
      </c>
      <c r="O929" s="279">
        <f>RES_BA!S78</f>
        <v>0</v>
      </c>
      <c r="Q929" s="279">
        <f>RES_BA!T78</f>
        <v>0</v>
      </c>
      <c r="S929" s="279">
        <f>RES_BA!U78</f>
        <v>0</v>
      </c>
    </row>
    <row r="930" spans="3:19" s="277" customFormat="1" hidden="1" outlineLevel="1" x14ac:dyDescent="0.3">
      <c r="C930" s="283" t="str">
        <f>RES_BA!D79</f>
        <v>Allowances Category 27</v>
      </c>
      <c r="M930" s="279">
        <f>RES_BA!R79</f>
        <v>0</v>
      </c>
      <c r="O930" s="279">
        <f>RES_BA!S79</f>
        <v>0</v>
      </c>
      <c r="Q930" s="279">
        <f>RES_BA!T79</f>
        <v>0</v>
      </c>
      <c r="S930" s="279">
        <f>RES_BA!U79</f>
        <v>0</v>
      </c>
    </row>
    <row r="931" spans="3:19" s="277" customFormat="1" hidden="1" outlineLevel="1" x14ac:dyDescent="0.3">
      <c r="C931" s="283" t="str">
        <f>RES_BA!D80</f>
        <v>Allowances Category 28</v>
      </c>
      <c r="M931" s="279">
        <f>RES_BA!R80</f>
        <v>0</v>
      </c>
      <c r="O931" s="279">
        <f>RES_BA!S80</f>
        <v>0</v>
      </c>
      <c r="Q931" s="279">
        <f>RES_BA!T80</f>
        <v>0</v>
      </c>
      <c r="S931" s="279">
        <f>RES_BA!U80</f>
        <v>0</v>
      </c>
    </row>
    <row r="932" spans="3:19" s="277" customFormat="1" hidden="1" outlineLevel="1" x14ac:dyDescent="0.3">
      <c r="C932" s="283" t="str">
        <f>RES_BA!D81</f>
        <v>Allowances Category 29</v>
      </c>
      <c r="M932" s="279">
        <f>RES_BA!R81</f>
        <v>0</v>
      </c>
      <c r="O932" s="279">
        <f>RES_BA!S81</f>
        <v>0</v>
      </c>
      <c r="Q932" s="279">
        <f>RES_BA!T81</f>
        <v>0</v>
      </c>
      <c r="S932" s="279">
        <f>RES_BA!U81</f>
        <v>0</v>
      </c>
    </row>
    <row r="933" spans="3:19" s="277" customFormat="1" hidden="1" outlineLevel="1" x14ac:dyDescent="0.3">
      <c r="C933" s="283" t="str">
        <f>RES_BA!D82</f>
        <v>Allowances Category 30</v>
      </c>
      <c r="M933" s="279">
        <f>RES_BA!R82</f>
        <v>0</v>
      </c>
      <c r="O933" s="279">
        <f>RES_BA!S82</f>
        <v>0</v>
      </c>
      <c r="Q933" s="279">
        <f>RES_BA!T82</f>
        <v>0</v>
      </c>
      <c r="S933" s="279">
        <f>RES_BA!U82</f>
        <v>0</v>
      </c>
    </row>
    <row r="934" spans="3:19" hidden="1" outlineLevel="1" x14ac:dyDescent="0.3">
      <c r="C934" s="89" t="str">
        <f>RES_BA!D83</f>
        <v>Allowances Category 31</v>
      </c>
      <c r="M934" s="40">
        <f>RES_BA!R83</f>
        <v>0</v>
      </c>
      <c r="O934" s="40">
        <f>RES_BA!S83</f>
        <v>0</v>
      </c>
      <c r="Q934" s="40">
        <f>RES_BA!T83</f>
        <v>0</v>
      </c>
      <c r="S934" s="40">
        <f>RES_BA!U83</f>
        <v>0</v>
      </c>
    </row>
    <row r="935" spans="3:19" hidden="1" outlineLevel="1" x14ac:dyDescent="0.3">
      <c r="C935" s="89" t="str">
        <f>RES_BA!D84</f>
        <v>Allowances Category 32</v>
      </c>
      <c r="M935" s="40">
        <f>RES_BA!R84</f>
        <v>0</v>
      </c>
      <c r="O935" s="40">
        <f>RES_BA!S84</f>
        <v>0</v>
      </c>
      <c r="Q935" s="40">
        <f>RES_BA!T84</f>
        <v>0</v>
      </c>
      <c r="S935" s="40">
        <f>RES_BA!U84</f>
        <v>0</v>
      </c>
    </row>
    <row r="936" spans="3:19" hidden="1" outlineLevel="1" x14ac:dyDescent="0.3">
      <c r="C936" s="89" t="str">
        <f>RES_BA!D85</f>
        <v>Allowances Category 33</v>
      </c>
      <c r="M936" s="40">
        <f>RES_BA!R85</f>
        <v>0</v>
      </c>
      <c r="O936" s="40">
        <f>RES_BA!S85</f>
        <v>0</v>
      </c>
      <c r="Q936" s="40">
        <f>RES_BA!T85</f>
        <v>0</v>
      </c>
      <c r="S936" s="40">
        <f>RES_BA!U85</f>
        <v>0</v>
      </c>
    </row>
    <row r="937" spans="3:19" hidden="1" outlineLevel="1" x14ac:dyDescent="0.3">
      <c r="C937" s="89" t="str">
        <f>RES_BA!D86</f>
        <v>Allowances Category 34</v>
      </c>
      <c r="M937" s="40">
        <f>RES_BA!R86</f>
        <v>0</v>
      </c>
      <c r="O937" s="40">
        <f>RES_BA!S86</f>
        <v>0</v>
      </c>
      <c r="Q937" s="40">
        <f>RES_BA!T86</f>
        <v>0</v>
      </c>
      <c r="S937" s="40">
        <f>RES_BA!U86</f>
        <v>0</v>
      </c>
    </row>
    <row r="938" spans="3:19" hidden="1" outlineLevel="1" x14ac:dyDescent="0.3">
      <c r="C938" s="89" t="str">
        <f>RES_BA!D87</f>
        <v>Allowances Category 35</v>
      </c>
      <c r="M938" s="40">
        <f>RES_BA!R87</f>
        <v>0</v>
      </c>
      <c r="O938" s="40">
        <f>RES_BA!S87</f>
        <v>0</v>
      </c>
      <c r="Q938" s="40">
        <f>RES_BA!T87</f>
        <v>0</v>
      </c>
      <c r="S938" s="40">
        <f>RES_BA!U87</f>
        <v>0</v>
      </c>
    </row>
    <row r="939" spans="3:19" hidden="1" outlineLevel="1" x14ac:dyDescent="0.3"/>
    <row r="940" spans="3:19" hidden="1" outlineLevel="1" x14ac:dyDescent="0.3"/>
    <row r="941" spans="3:19" hidden="1" outlineLevel="1" x14ac:dyDescent="0.3">
      <c r="M941" s="40" t="str">
        <f>$D$861</f>
        <v>USD</v>
      </c>
      <c r="O941" s="40" t="str">
        <f>$D$861</f>
        <v>USD</v>
      </c>
      <c r="Q941" s="40" t="str">
        <f>$D$862</f>
        <v>GOZ</v>
      </c>
      <c r="S941" s="40" t="str">
        <f>$D$862</f>
        <v>GOZ</v>
      </c>
    </row>
    <row r="942" spans="3:19" hidden="1" outlineLevel="1" x14ac:dyDescent="0.3">
      <c r="C942" s="89" t="str">
        <f>RES_BA!D91</f>
        <v>Supplies Category 1</v>
      </c>
      <c r="M942" s="40">
        <f>RES_BA!R91</f>
        <v>0</v>
      </c>
      <c r="O942" s="40">
        <f>RES_BA!S91</f>
        <v>0</v>
      </c>
      <c r="Q942" s="40">
        <f>RES_BA!T91</f>
        <v>0</v>
      </c>
      <c r="S942" s="40">
        <f>RES_BA!U91</f>
        <v>0</v>
      </c>
    </row>
    <row r="943" spans="3:19" hidden="1" outlineLevel="1" x14ac:dyDescent="0.3">
      <c r="C943" s="89" t="str">
        <f>RES_BA!D92</f>
        <v>Supplies Category 2</v>
      </c>
      <c r="M943" s="40">
        <f>RES_BA!R92</f>
        <v>0</v>
      </c>
      <c r="O943" s="40">
        <f>RES_BA!S92</f>
        <v>0</v>
      </c>
      <c r="Q943" s="40">
        <f>RES_BA!T92</f>
        <v>0</v>
      </c>
      <c r="S943" s="40">
        <f>RES_BA!U92</f>
        <v>0</v>
      </c>
    </row>
    <row r="944" spans="3:19" hidden="1" outlineLevel="1" x14ac:dyDescent="0.3">
      <c r="C944" s="89" t="str">
        <f>RES_BA!D93</f>
        <v>Supplies Category 3</v>
      </c>
      <c r="M944" s="40">
        <f>RES_BA!R93</f>
        <v>0</v>
      </c>
      <c r="O944" s="40">
        <f>RES_BA!S93</f>
        <v>0</v>
      </c>
      <c r="Q944" s="40">
        <f>RES_BA!T93</f>
        <v>0</v>
      </c>
      <c r="S944" s="40">
        <f>RES_BA!U93</f>
        <v>0</v>
      </c>
    </row>
    <row r="945" spans="3:19" hidden="1" outlineLevel="1" x14ac:dyDescent="0.3">
      <c r="C945" s="89" t="str">
        <f>RES_BA!D94</f>
        <v>Supplies Category 4</v>
      </c>
      <c r="M945" s="40">
        <f>RES_BA!R94</f>
        <v>0</v>
      </c>
      <c r="O945" s="40">
        <f>RES_BA!S94</f>
        <v>0</v>
      </c>
      <c r="Q945" s="40">
        <f>RES_BA!T94</f>
        <v>0</v>
      </c>
      <c r="S945" s="40">
        <f>RES_BA!U94</f>
        <v>0</v>
      </c>
    </row>
    <row r="946" spans="3:19" hidden="1" outlineLevel="1" x14ac:dyDescent="0.3">
      <c r="C946" s="89" t="str">
        <f>RES_BA!D95</f>
        <v>Supplies Category 5</v>
      </c>
      <c r="M946" s="40">
        <f>RES_BA!R95</f>
        <v>0</v>
      </c>
      <c r="O946" s="40">
        <f>RES_BA!S95</f>
        <v>0</v>
      </c>
      <c r="Q946" s="40">
        <f>RES_BA!T95</f>
        <v>0</v>
      </c>
      <c r="S946" s="40">
        <f>RES_BA!U95</f>
        <v>0</v>
      </c>
    </row>
    <row r="947" spans="3:19" hidden="1" outlineLevel="1" x14ac:dyDescent="0.3">
      <c r="C947" s="89" t="str">
        <f>RES_BA!D96</f>
        <v>Supplies Category 6</v>
      </c>
      <c r="M947" s="40">
        <f>RES_BA!R96</f>
        <v>0</v>
      </c>
      <c r="O947" s="40">
        <f>RES_BA!S96</f>
        <v>0</v>
      </c>
      <c r="Q947" s="40">
        <f>RES_BA!T96</f>
        <v>0</v>
      </c>
      <c r="S947" s="40">
        <f>RES_BA!U96</f>
        <v>0</v>
      </c>
    </row>
    <row r="948" spans="3:19" hidden="1" outlineLevel="1" x14ac:dyDescent="0.3">
      <c r="C948" s="89" t="str">
        <f>RES_BA!D97</f>
        <v>Supplies Category 7</v>
      </c>
      <c r="M948" s="40">
        <f>RES_BA!R97</f>
        <v>0</v>
      </c>
      <c r="O948" s="40">
        <f>RES_BA!S97</f>
        <v>0</v>
      </c>
      <c r="Q948" s="40">
        <f>RES_BA!T97</f>
        <v>0</v>
      </c>
      <c r="S948" s="40">
        <f>RES_BA!U97</f>
        <v>0</v>
      </c>
    </row>
    <row r="949" spans="3:19" hidden="1" outlineLevel="1" x14ac:dyDescent="0.3">
      <c r="C949" s="89" t="str">
        <f>RES_BA!D98</f>
        <v>Supplies Category 8</v>
      </c>
      <c r="M949" s="40">
        <f>RES_BA!R98</f>
        <v>0</v>
      </c>
      <c r="O949" s="40">
        <f>RES_BA!S98</f>
        <v>0</v>
      </c>
      <c r="Q949" s="40">
        <f>RES_BA!T98</f>
        <v>0</v>
      </c>
      <c r="S949" s="40">
        <f>RES_BA!U98</f>
        <v>0</v>
      </c>
    </row>
    <row r="950" spans="3:19" hidden="1" outlineLevel="1" x14ac:dyDescent="0.3">
      <c r="C950" s="89" t="str">
        <f>RES_BA!D99</f>
        <v>Supplies Category 9</v>
      </c>
      <c r="M950" s="40">
        <f>RES_BA!R99</f>
        <v>0</v>
      </c>
      <c r="O950" s="40">
        <f>RES_BA!S99</f>
        <v>0</v>
      </c>
      <c r="Q950" s="40">
        <f>RES_BA!T99</f>
        <v>0</v>
      </c>
      <c r="S950" s="40">
        <f>RES_BA!U99</f>
        <v>0</v>
      </c>
    </row>
    <row r="951" spans="3:19" hidden="1" outlineLevel="1" x14ac:dyDescent="0.3">
      <c r="C951" s="89" t="str">
        <f>RES_BA!D100</f>
        <v>Supplies Category 10</v>
      </c>
      <c r="M951" s="40">
        <f>RES_BA!R100</f>
        <v>0</v>
      </c>
      <c r="O951" s="40">
        <f>RES_BA!S100</f>
        <v>0</v>
      </c>
      <c r="Q951" s="40">
        <f>RES_BA!T100</f>
        <v>0</v>
      </c>
      <c r="S951" s="40">
        <f>RES_BA!U100</f>
        <v>0</v>
      </c>
    </row>
    <row r="952" spans="3:19" hidden="1" outlineLevel="1" x14ac:dyDescent="0.3">
      <c r="C952" s="89" t="str">
        <f>RES_BA!D101</f>
        <v>Supplies Category 11</v>
      </c>
      <c r="M952" s="40">
        <f>RES_BA!R101</f>
        <v>0</v>
      </c>
      <c r="O952" s="40">
        <f>RES_BA!S101</f>
        <v>0</v>
      </c>
      <c r="Q952" s="40">
        <f>RES_BA!T101</f>
        <v>0</v>
      </c>
      <c r="S952" s="40">
        <f>RES_BA!U101</f>
        <v>0</v>
      </c>
    </row>
    <row r="953" spans="3:19" hidden="1" outlineLevel="1" x14ac:dyDescent="0.3">
      <c r="C953" s="89" t="str">
        <f>RES_BA!D102</f>
        <v>Supplies Category 12</v>
      </c>
      <c r="M953" s="40">
        <f>RES_BA!R102</f>
        <v>0</v>
      </c>
      <c r="O953" s="40">
        <f>RES_BA!S102</f>
        <v>0</v>
      </c>
      <c r="Q953" s="40">
        <f>RES_BA!T102</f>
        <v>0</v>
      </c>
      <c r="S953" s="40">
        <f>RES_BA!U102</f>
        <v>0</v>
      </c>
    </row>
    <row r="954" spans="3:19" hidden="1" outlineLevel="1" x14ac:dyDescent="0.3">
      <c r="C954" s="89" t="str">
        <f>RES_BA!D103</f>
        <v>Supplies Category 13</v>
      </c>
      <c r="M954" s="40">
        <f>RES_BA!R103</f>
        <v>0</v>
      </c>
      <c r="O954" s="40">
        <f>RES_BA!S103</f>
        <v>0</v>
      </c>
      <c r="Q954" s="40">
        <f>RES_BA!T103</f>
        <v>0</v>
      </c>
      <c r="S954" s="40">
        <f>RES_BA!U103</f>
        <v>0</v>
      </c>
    </row>
    <row r="955" spans="3:19" hidden="1" outlineLevel="1" x14ac:dyDescent="0.3">
      <c r="C955" s="89" t="str">
        <f>RES_BA!D104</f>
        <v>Supplies Category 14</v>
      </c>
      <c r="M955" s="40">
        <f>RES_BA!R104</f>
        <v>0</v>
      </c>
      <c r="O955" s="40">
        <f>RES_BA!S104</f>
        <v>0</v>
      </c>
      <c r="Q955" s="40">
        <f>RES_BA!T104</f>
        <v>0</v>
      </c>
      <c r="S955" s="40">
        <f>RES_BA!U104</f>
        <v>0</v>
      </c>
    </row>
    <row r="956" spans="3:19" hidden="1" outlineLevel="1" x14ac:dyDescent="0.3">
      <c r="C956" s="89" t="str">
        <f>RES_BA!D105</f>
        <v>Supplies Category 15</v>
      </c>
      <c r="M956" s="40">
        <f>RES_BA!R105</f>
        <v>0</v>
      </c>
      <c r="O956" s="40">
        <f>RES_BA!S105</f>
        <v>0</v>
      </c>
      <c r="Q956" s="40">
        <f>RES_BA!T105</f>
        <v>0</v>
      </c>
      <c r="S956" s="40">
        <f>RES_BA!U105</f>
        <v>0</v>
      </c>
    </row>
    <row r="957" spans="3:19" hidden="1" outlineLevel="1" x14ac:dyDescent="0.3">
      <c r="C957" s="89" t="str">
        <f>RES_BA!D106</f>
        <v>Supplies Category 16</v>
      </c>
      <c r="M957" s="40">
        <f>RES_BA!R106</f>
        <v>0</v>
      </c>
      <c r="O957" s="40">
        <f>RES_BA!S106</f>
        <v>0</v>
      </c>
      <c r="Q957" s="40">
        <f>RES_BA!T106</f>
        <v>0</v>
      </c>
      <c r="S957" s="40">
        <f>RES_BA!U106</f>
        <v>0</v>
      </c>
    </row>
    <row r="958" spans="3:19" s="277" customFormat="1" hidden="1" outlineLevel="1" collapsed="1" x14ac:dyDescent="0.3">
      <c r="C958" s="283" t="str">
        <f>RES_BA!D107</f>
        <v>Supplies Category 17</v>
      </c>
      <c r="M958" s="279">
        <f>RES_BA!R107</f>
        <v>0</v>
      </c>
      <c r="O958" s="279">
        <f>RES_BA!S107</f>
        <v>0</v>
      </c>
      <c r="Q958" s="279">
        <f>RES_BA!T107</f>
        <v>0</v>
      </c>
      <c r="S958" s="279">
        <f>RES_BA!U107</f>
        <v>0</v>
      </c>
    </row>
    <row r="959" spans="3:19" s="277" customFormat="1" hidden="1" outlineLevel="1" x14ac:dyDescent="0.3">
      <c r="C959" s="283" t="str">
        <f>RES_BA!D108</f>
        <v>Supplies Category 18</v>
      </c>
      <c r="M959" s="279">
        <f>RES_BA!R108</f>
        <v>0</v>
      </c>
      <c r="O959" s="279">
        <f>RES_BA!S108</f>
        <v>0</v>
      </c>
      <c r="Q959" s="279">
        <f>RES_BA!T108</f>
        <v>0</v>
      </c>
      <c r="S959" s="279">
        <f>RES_BA!U108</f>
        <v>0</v>
      </c>
    </row>
    <row r="960" spans="3:19" s="277" customFormat="1" hidden="1" outlineLevel="1" x14ac:dyDescent="0.3">
      <c r="C960" s="283" t="str">
        <f>RES_BA!D109</f>
        <v>Supplies Category 19</v>
      </c>
      <c r="M960" s="279">
        <f>RES_BA!R109</f>
        <v>0</v>
      </c>
      <c r="O960" s="279">
        <f>RES_BA!S109</f>
        <v>0</v>
      </c>
      <c r="Q960" s="279">
        <f>RES_BA!T109</f>
        <v>0</v>
      </c>
      <c r="S960" s="279">
        <f>RES_BA!U109</f>
        <v>0</v>
      </c>
    </row>
    <row r="961" spans="3:19" s="277" customFormat="1" hidden="1" outlineLevel="1" x14ac:dyDescent="0.3">
      <c r="C961" s="283" t="str">
        <f>RES_BA!D110</f>
        <v>Supplies Category 20</v>
      </c>
      <c r="M961" s="279">
        <f>RES_BA!R110</f>
        <v>0</v>
      </c>
      <c r="O961" s="279">
        <f>RES_BA!S110</f>
        <v>0</v>
      </c>
      <c r="Q961" s="279">
        <f>RES_BA!T110</f>
        <v>0</v>
      </c>
      <c r="S961" s="279">
        <f>RES_BA!U110</f>
        <v>0</v>
      </c>
    </row>
    <row r="962" spans="3:19" s="277" customFormat="1" hidden="1" outlineLevel="1" x14ac:dyDescent="0.3">
      <c r="C962" s="283" t="str">
        <f>RES_BA!D111</f>
        <v>Supplies Category 21</v>
      </c>
      <c r="M962" s="279">
        <f>RES_BA!R111</f>
        <v>0</v>
      </c>
      <c r="O962" s="279">
        <f>RES_BA!S111</f>
        <v>0</v>
      </c>
      <c r="Q962" s="279">
        <f>RES_BA!T111</f>
        <v>0</v>
      </c>
      <c r="S962" s="279">
        <f>RES_BA!U111</f>
        <v>0</v>
      </c>
    </row>
    <row r="963" spans="3:19" s="277" customFormat="1" hidden="1" outlineLevel="1" x14ac:dyDescent="0.3">
      <c r="C963" s="283" t="str">
        <f>RES_BA!D112</f>
        <v>Supplies Category 22</v>
      </c>
      <c r="M963" s="279">
        <f>RES_BA!R112</f>
        <v>0</v>
      </c>
      <c r="O963" s="279">
        <f>RES_BA!S112</f>
        <v>0</v>
      </c>
      <c r="Q963" s="279">
        <f>RES_BA!T112</f>
        <v>0</v>
      </c>
      <c r="S963" s="279">
        <f>RES_BA!U112</f>
        <v>0</v>
      </c>
    </row>
    <row r="964" spans="3:19" s="277" customFormat="1" hidden="1" outlineLevel="1" x14ac:dyDescent="0.3">
      <c r="C964" s="283" t="str">
        <f>RES_BA!D113</f>
        <v>Supplies Category 23</v>
      </c>
      <c r="M964" s="279">
        <f>RES_BA!R113</f>
        <v>0</v>
      </c>
      <c r="O964" s="279">
        <f>RES_BA!S113</f>
        <v>0</v>
      </c>
      <c r="Q964" s="279">
        <f>RES_BA!T113</f>
        <v>0</v>
      </c>
      <c r="S964" s="279">
        <f>RES_BA!U113</f>
        <v>0</v>
      </c>
    </row>
    <row r="965" spans="3:19" s="277" customFormat="1" hidden="1" outlineLevel="1" x14ac:dyDescent="0.3">
      <c r="C965" s="283" t="str">
        <f>RES_BA!D114</f>
        <v>Supplies Category 24</v>
      </c>
      <c r="M965" s="279">
        <f>RES_BA!R114</f>
        <v>0</v>
      </c>
      <c r="O965" s="279">
        <f>RES_BA!S114</f>
        <v>0</v>
      </c>
      <c r="Q965" s="279">
        <f>RES_BA!T114</f>
        <v>0</v>
      </c>
      <c r="S965" s="279">
        <f>RES_BA!U114</f>
        <v>0</v>
      </c>
    </row>
    <row r="966" spans="3:19" s="277" customFormat="1" hidden="1" outlineLevel="1" x14ac:dyDescent="0.3">
      <c r="C966" s="283" t="str">
        <f>RES_BA!D115</f>
        <v>Supplies Category 25</v>
      </c>
      <c r="M966" s="279">
        <f>RES_BA!R115</f>
        <v>0</v>
      </c>
      <c r="O966" s="279">
        <f>RES_BA!S115</f>
        <v>0</v>
      </c>
      <c r="Q966" s="279">
        <f>RES_BA!T115</f>
        <v>0</v>
      </c>
      <c r="S966" s="279">
        <f>RES_BA!U115</f>
        <v>0</v>
      </c>
    </row>
    <row r="967" spans="3:19" s="277" customFormat="1" hidden="1" outlineLevel="1" x14ac:dyDescent="0.3">
      <c r="C967" s="283" t="str">
        <f>RES_BA!D116</f>
        <v>Supplies Category 26</v>
      </c>
      <c r="M967" s="279">
        <f>RES_BA!R116</f>
        <v>0</v>
      </c>
      <c r="O967" s="279">
        <f>RES_BA!S116</f>
        <v>0</v>
      </c>
      <c r="Q967" s="279">
        <f>RES_BA!T116</f>
        <v>0</v>
      </c>
      <c r="S967" s="279">
        <f>RES_BA!U116</f>
        <v>0</v>
      </c>
    </row>
    <row r="968" spans="3:19" s="277" customFormat="1" hidden="1" outlineLevel="1" x14ac:dyDescent="0.3">
      <c r="C968" s="283" t="str">
        <f>RES_BA!D117</f>
        <v>Supplies Category 27</v>
      </c>
      <c r="M968" s="279">
        <f>RES_BA!R117</f>
        <v>0</v>
      </c>
      <c r="O968" s="279">
        <f>RES_BA!S117</f>
        <v>0</v>
      </c>
      <c r="Q968" s="279">
        <f>RES_BA!T117</f>
        <v>0</v>
      </c>
      <c r="S968" s="279">
        <f>RES_BA!U117</f>
        <v>0</v>
      </c>
    </row>
    <row r="969" spans="3:19" s="277" customFormat="1" hidden="1" outlineLevel="1" x14ac:dyDescent="0.3">
      <c r="C969" s="283" t="str">
        <f>RES_BA!D118</f>
        <v>Supplies Category 28</v>
      </c>
      <c r="M969" s="279">
        <f>RES_BA!R118</f>
        <v>0</v>
      </c>
      <c r="O969" s="279">
        <f>RES_BA!S118</f>
        <v>0</v>
      </c>
      <c r="Q969" s="279">
        <f>RES_BA!T118</f>
        <v>0</v>
      </c>
      <c r="S969" s="279">
        <f>RES_BA!U118</f>
        <v>0</v>
      </c>
    </row>
    <row r="970" spans="3:19" s="277" customFormat="1" hidden="1" outlineLevel="1" x14ac:dyDescent="0.3">
      <c r="C970" s="283" t="str">
        <f>RES_BA!D119</f>
        <v>Supplies Category 29</v>
      </c>
      <c r="M970" s="279">
        <f>RES_BA!R119</f>
        <v>0</v>
      </c>
      <c r="O970" s="279">
        <f>RES_BA!S119</f>
        <v>0</v>
      </c>
      <c r="Q970" s="279">
        <f>RES_BA!T119</f>
        <v>0</v>
      </c>
      <c r="S970" s="279">
        <f>RES_BA!U119</f>
        <v>0</v>
      </c>
    </row>
    <row r="971" spans="3:19" s="277" customFormat="1" hidden="1" outlineLevel="1" collapsed="1" x14ac:dyDescent="0.3">
      <c r="C971" s="283" t="str">
        <f>RES_BA!D120</f>
        <v>Supplies Category 30</v>
      </c>
      <c r="M971" s="279">
        <f>RES_BA!R120</f>
        <v>0</v>
      </c>
      <c r="O971" s="279">
        <f>RES_BA!S120</f>
        <v>0</v>
      </c>
      <c r="Q971" s="279">
        <f>RES_BA!T120</f>
        <v>0</v>
      </c>
      <c r="S971" s="279">
        <f>RES_BA!U120</f>
        <v>0</v>
      </c>
    </row>
    <row r="972" spans="3:19" s="277" customFormat="1" hidden="1" outlineLevel="1" x14ac:dyDescent="0.3">
      <c r="C972" s="283" t="str">
        <f>RES_BA!D121</f>
        <v>Supplies Category 31</v>
      </c>
      <c r="M972" s="279">
        <f>RES_BA!R121</f>
        <v>0</v>
      </c>
      <c r="O972" s="279">
        <f>RES_BA!S121</f>
        <v>0</v>
      </c>
      <c r="Q972" s="279">
        <f>RES_BA!T121</f>
        <v>0</v>
      </c>
      <c r="S972" s="279">
        <f>RES_BA!U121</f>
        <v>0</v>
      </c>
    </row>
    <row r="973" spans="3:19" s="277" customFormat="1" hidden="1" outlineLevel="1" x14ac:dyDescent="0.3">
      <c r="C973" s="283" t="str">
        <f>RES_BA!D122</f>
        <v>Supplies Category 32</v>
      </c>
      <c r="M973" s="279">
        <f>RES_BA!R122</f>
        <v>0</v>
      </c>
      <c r="O973" s="279">
        <f>RES_BA!S122</f>
        <v>0</v>
      </c>
      <c r="Q973" s="279">
        <f>RES_BA!T122</f>
        <v>0</v>
      </c>
      <c r="S973" s="279">
        <f>RES_BA!U122</f>
        <v>0</v>
      </c>
    </row>
    <row r="974" spans="3:19" s="277" customFormat="1" hidden="1" outlineLevel="1" x14ac:dyDescent="0.3">
      <c r="C974" s="283" t="str">
        <f>RES_BA!D123</f>
        <v>Supplies Category 33</v>
      </c>
      <c r="M974" s="279">
        <f>RES_BA!R123</f>
        <v>0</v>
      </c>
      <c r="O974" s="279">
        <f>RES_BA!S123</f>
        <v>0</v>
      </c>
      <c r="Q974" s="279">
        <f>RES_BA!T123</f>
        <v>0</v>
      </c>
      <c r="S974" s="279">
        <f>RES_BA!U123</f>
        <v>0</v>
      </c>
    </row>
    <row r="975" spans="3:19" s="277" customFormat="1" hidden="1" outlineLevel="1" x14ac:dyDescent="0.3">
      <c r="C975" s="283" t="str">
        <f>RES_BA!D124</f>
        <v>Supplies Category 34</v>
      </c>
      <c r="M975" s="279">
        <f>RES_BA!R124</f>
        <v>0</v>
      </c>
      <c r="O975" s="279">
        <f>RES_BA!S124</f>
        <v>0</v>
      </c>
      <c r="Q975" s="279">
        <f>RES_BA!T124</f>
        <v>0</v>
      </c>
      <c r="S975" s="279">
        <f>RES_BA!U124</f>
        <v>0</v>
      </c>
    </row>
    <row r="976" spans="3:19" s="277" customFormat="1" hidden="1" outlineLevel="1" x14ac:dyDescent="0.3">
      <c r="C976" s="283" t="str">
        <f>RES_BA!D125</f>
        <v>Supplies Category 35</v>
      </c>
      <c r="M976" s="279">
        <f>RES_BA!R125</f>
        <v>0</v>
      </c>
      <c r="O976" s="279">
        <f>RES_BA!S125</f>
        <v>0</v>
      </c>
      <c r="Q976" s="279">
        <f>RES_BA!T125</f>
        <v>0</v>
      </c>
      <c r="S976" s="279">
        <f>RES_BA!U125</f>
        <v>0</v>
      </c>
    </row>
    <row r="977" spans="3:19" hidden="1" outlineLevel="1" x14ac:dyDescent="0.3"/>
    <row r="978" spans="3:19" hidden="1" outlineLevel="1" x14ac:dyDescent="0.3">
      <c r="M978" s="40" t="str">
        <f>$D$861</f>
        <v>USD</v>
      </c>
      <c r="O978" s="40" t="str">
        <f>$D$861</f>
        <v>USD</v>
      </c>
      <c r="Q978" s="40" t="str">
        <f>$D$862</f>
        <v>GOZ</v>
      </c>
      <c r="S978" s="40" t="str">
        <f>$D$862</f>
        <v>GOZ</v>
      </c>
    </row>
    <row r="979" spans="3:19" hidden="1" outlineLevel="1" x14ac:dyDescent="0.3">
      <c r="C979" s="89" t="str">
        <f>RES_BA!D130</f>
        <v>Equipment Category 1</v>
      </c>
      <c r="M979" s="40">
        <f>RES_BA!R130</f>
        <v>0</v>
      </c>
      <c r="O979" s="40">
        <f>RES_BA!S130</f>
        <v>0</v>
      </c>
      <c r="Q979" s="40">
        <f>RES_BA!T130</f>
        <v>0</v>
      </c>
      <c r="S979" s="40">
        <f>RES_BA!U130</f>
        <v>0</v>
      </c>
    </row>
    <row r="980" spans="3:19" hidden="1" outlineLevel="1" x14ac:dyDescent="0.3">
      <c r="C980" s="89" t="str">
        <f>RES_BA!D131</f>
        <v>Equipment Category 2</v>
      </c>
      <c r="M980" s="40">
        <f>RES_BA!R131</f>
        <v>0</v>
      </c>
      <c r="O980" s="40">
        <f>RES_BA!S131</f>
        <v>0</v>
      </c>
      <c r="Q980" s="40">
        <f>RES_BA!T131</f>
        <v>0</v>
      </c>
      <c r="S980" s="40">
        <f>RES_BA!U131</f>
        <v>0</v>
      </c>
    </row>
    <row r="981" spans="3:19" hidden="1" outlineLevel="1" x14ac:dyDescent="0.3">
      <c r="C981" s="89" t="str">
        <f>RES_BA!D132</f>
        <v>Equipment Category 3</v>
      </c>
      <c r="M981" s="40">
        <f>RES_BA!R132</f>
        <v>0</v>
      </c>
      <c r="O981" s="40">
        <f>RES_BA!S132</f>
        <v>0</v>
      </c>
      <c r="Q981" s="40">
        <f>RES_BA!T132</f>
        <v>0</v>
      </c>
      <c r="S981" s="40">
        <f>RES_BA!U132</f>
        <v>0</v>
      </c>
    </row>
    <row r="982" spans="3:19" hidden="1" outlineLevel="1" x14ac:dyDescent="0.3">
      <c r="C982" s="89" t="str">
        <f>RES_BA!D133</f>
        <v>Equipment Category 4</v>
      </c>
      <c r="M982" s="40">
        <f>RES_BA!R133</f>
        <v>0</v>
      </c>
      <c r="O982" s="40">
        <f>RES_BA!S133</f>
        <v>0</v>
      </c>
      <c r="Q982" s="40">
        <f>RES_BA!T133</f>
        <v>0</v>
      </c>
      <c r="S982" s="40">
        <f>RES_BA!U133</f>
        <v>0</v>
      </c>
    </row>
    <row r="983" spans="3:19" hidden="1" outlineLevel="1" x14ac:dyDescent="0.3">
      <c r="C983" s="89" t="str">
        <f>RES_BA!D134</f>
        <v>Equipment Category 5</v>
      </c>
      <c r="M983" s="40">
        <f>RES_BA!R134</f>
        <v>0</v>
      </c>
      <c r="O983" s="40">
        <f>RES_BA!S134</f>
        <v>0</v>
      </c>
      <c r="Q983" s="40">
        <f>RES_BA!T134</f>
        <v>0</v>
      </c>
      <c r="S983" s="40">
        <f>RES_BA!U134</f>
        <v>0</v>
      </c>
    </row>
    <row r="984" spans="3:19" hidden="1" outlineLevel="1" x14ac:dyDescent="0.3">
      <c r="C984" s="89" t="str">
        <f>RES_BA!D135</f>
        <v>Equipment Category 6</v>
      </c>
      <c r="M984" s="40">
        <f>RES_BA!R135</f>
        <v>0</v>
      </c>
      <c r="O984" s="40">
        <f>RES_BA!S135</f>
        <v>0</v>
      </c>
      <c r="Q984" s="40">
        <f>RES_BA!T135</f>
        <v>0</v>
      </c>
      <c r="S984" s="40">
        <f>RES_BA!U135</f>
        <v>0</v>
      </c>
    </row>
    <row r="985" spans="3:19" s="277" customFormat="1" hidden="1" outlineLevel="1" collapsed="1" x14ac:dyDescent="0.3">
      <c r="C985" s="283" t="str">
        <f>RES_BA!D136</f>
        <v>Equipment Category 7</v>
      </c>
      <c r="M985" s="279">
        <f>RES_BA!R136</f>
        <v>0</v>
      </c>
      <c r="O985" s="279">
        <f>RES_BA!S136</f>
        <v>0</v>
      </c>
      <c r="Q985" s="279">
        <f>RES_BA!T136</f>
        <v>0</v>
      </c>
      <c r="S985" s="279">
        <f>RES_BA!U136</f>
        <v>0</v>
      </c>
    </row>
    <row r="986" spans="3:19" s="277" customFormat="1" hidden="1" outlineLevel="1" x14ac:dyDescent="0.3">
      <c r="C986" s="283" t="str">
        <f>RES_BA!D137</f>
        <v>Equipment Category 8</v>
      </c>
      <c r="M986" s="279">
        <f>RES_BA!R137</f>
        <v>0</v>
      </c>
      <c r="O986" s="279">
        <f>RES_BA!S137</f>
        <v>0</v>
      </c>
      <c r="Q986" s="279">
        <f>RES_BA!T137</f>
        <v>0</v>
      </c>
      <c r="S986" s="279">
        <f>RES_BA!U137</f>
        <v>0</v>
      </c>
    </row>
    <row r="987" spans="3:19" s="277" customFormat="1" hidden="1" outlineLevel="1" x14ac:dyDescent="0.3">
      <c r="C987" s="283" t="str">
        <f>RES_BA!D138</f>
        <v>Equipment Category 9</v>
      </c>
      <c r="M987" s="279">
        <f>RES_BA!R138</f>
        <v>0</v>
      </c>
      <c r="O987" s="279">
        <f>RES_BA!S138</f>
        <v>0</v>
      </c>
      <c r="Q987" s="279">
        <f>RES_BA!T138</f>
        <v>0</v>
      </c>
      <c r="S987" s="279">
        <f>RES_BA!U138</f>
        <v>0</v>
      </c>
    </row>
    <row r="988" spans="3:19" s="277" customFormat="1" hidden="1" outlineLevel="1" x14ac:dyDescent="0.3">
      <c r="C988" s="283" t="str">
        <f>RES_BA!D139</f>
        <v>Equipment Category 10</v>
      </c>
      <c r="M988" s="279">
        <f>RES_BA!R139</f>
        <v>0</v>
      </c>
      <c r="O988" s="279">
        <f>RES_BA!S139</f>
        <v>0</v>
      </c>
      <c r="Q988" s="279">
        <f>RES_BA!T139</f>
        <v>0</v>
      </c>
      <c r="S988" s="279">
        <f>RES_BA!U139</f>
        <v>0</v>
      </c>
    </row>
    <row r="989" spans="3:19" s="277" customFormat="1" hidden="1" outlineLevel="1" x14ac:dyDescent="0.3">
      <c r="C989" s="283" t="str">
        <f>RES_BA!D140</f>
        <v>Equipment Category 11</v>
      </c>
      <c r="M989" s="279">
        <f>RES_BA!R140</f>
        <v>0</v>
      </c>
      <c r="O989" s="279">
        <f>RES_BA!S140</f>
        <v>0</v>
      </c>
      <c r="Q989" s="279">
        <f>RES_BA!T140</f>
        <v>0</v>
      </c>
      <c r="S989" s="279">
        <f>RES_BA!U140</f>
        <v>0</v>
      </c>
    </row>
    <row r="990" spans="3:19" s="277" customFormat="1" hidden="1" outlineLevel="1" x14ac:dyDescent="0.3">
      <c r="C990" s="283" t="str">
        <f>RES_BA!D141</f>
        <v>Equipment Category 12</v>
      </c>
      <c r="M990" s="279">
        <f>RES_BA!R141</f>
        <v>0</v>
      </c>
      <c r="O990" s="279">
        <f>RES_BA!S141</f>
        <v>0</v>
      </c>
      <c r="Q990" s="279">
        <f>RES_BA!T141</f>
        <v>0</v>
      </c>
      <c r="S990" s="279">
        <f>RES_BA!U141</f>
        <v>0</v>
      </c>
    </row>
    <row r="991" spans="3:19" s="277" customFormat="1" hidden="1" outlineLevel="1" collapsed="1" x14ac:dyDescent="0.3">
      <c r="C991" s="283" t="str">
        <f>RES_BA!D142</f>
        <v>Equipment Category 13</v>
      </c>
      <c r="M991" s="279">
        <f>RES_BA!R142</f>
        <v>0</v>
      </c>
      <c r="O991" s="279">
        <f>RES_BA!S142</f>
        <v>0</v>
      </c>
      <c r="Q991" s="279">
        <f>RES_BA!T142</f>
        <v>0</v>
      </c>
      <c r="S991" s="279">
        <f>RES_BA!U142</f>
        <v>0</v>
      </c>
    </row>
    <row r="992" spans="3:19" s="277" customFormat="1" hidden="1" outlineLevel="1" x14ac:dyDescent="0.3">
      <c r="C992" s="283" t="str">
        <f>RES_BA!D143</f>
        <v>Equipment Category 14</v>
      </c>
      <c r="M992" s="279">
        <f>RES_BA!R143</f>
        <v>0</v>
      </c>
      <c r="O992" s="279">
        <f>RES_BA!S143</f>
        <v>0</v>
      </c>
      <c r="Q992" s="279">
        <f>RES_BA!T143</f>
        <v>0</v>
      </c>
      <c r="S992" s="279">
        <f>RES_BA!U143</f>
        <v>0</v>
      </c>
    </row>
    <row r="993" spans="3:19" s="277" customFormat="1" hidden="1" outlineLevel="1" x14ac:dyDescent="0.3">
      <c r="C993" s="283" t="str">
        <f>RES_BA!D144</f>
        <v>Equipment Category 15</v>
      </c>
      <c r="M993" s="279">
        <f>RES_BA!R144</f>
        <v>0</v>
      </c>
      <c r="O993" s="279">
        <f>RES_BA!S144</f>
        <v>0</v>
      </c>
      <c r="Q993" s="279">
        <f>RES_BA!T144</f>
        <v>0</v>
      </c>
      <c r="S993" s="279">
        <f>RES_BA!U144</f>
        <v>0</v>
      </c>
    </row>
    <row r="994" spans="3:19" s="277" customFormat="1" hidden="1" outlineLevel="1" x14ac:dyDescent="0.3">
      <c r="C994" s="283" t="str">
        <f>RES_BA!D145</f>
        <v>Equipment Category 16</v>
      </c>
      <c r="M994" s="279">
        <f>RES_BA!R145</f>
        <v>0</v>
      </c>
      <c r="O994" s="279">
        <f>RES_BA!S145</f>
        <v>0</v>
      </c>
      <c r="Q994" s="279">
        <f>RES_BA!T145</f>
        <v>0</v>
      </c>
      <c r="S994" s="279">
        <f>RES_BA!U145</f>
        <v>0</v>
      </c>
    </row>
    <row r="995" spans="3:19" s="277" customFormat="1" hidden="1" outlineLevel="1" x14ac:dyDescent="0.3">
      <c r="C995" s="283" t="str">
        <f>RES_BA!D146</f>
        <v>Equipment Category 17</v>
      </c>
      <c r="M995" s="279">
        <f>RES_BA!R146</f>
        <v>0</v>
      </c>
      <c r="O995" s="279">
        <f>RES_BA!S146</f>
        <v>0</v>
      </c>
      <c r="Q995" s="279">
        <f>RES_BA!T146</f>
        <v>0</v>
      </c>
      <c r="S995" s="279">
        <f>RES_BA!U146</f>
        <v>0</v>
      </c>
    </row>
    <row r="996" spans="3:19" s="277" customFormat="1" hidden="1" outlineLevel="1" x14ac:dyDescent="0.3">
      <c r="C996" s="283" t="str">
        <f>RES_BA!D147</f>
        <v>Equipment Category 18</v>
      </c>
      <c r="M996" s="279">
        <f>RES_BA!R147</f>
        <v>0</v>
      </c>
      <c r="O996" s="279">
        <f>RES_BA!S147</f>
        <v>0</v>
      </c>
      <c r="Q996" s="279">
        <f>RES_BA!T147</f>
        <v>0</v>
      </c>
      <c r="S996" s="279">
        <f>RES_BA!U147</f>
        <v>0</v>
      </c>
    </row>
    <row r="997" spans="3:19" s="277" customFormat="1" hidden="1" outlineLevel="1" x14ac:dyDescent="0.3">
      <c r="C997" s="283" t="str">
        <f>RES_BA!D148</f>
        <v>Equipment Category 19</v>
      </c>
      <c r="M997" s="279">
        <f>RES_BA!R148</f>
        <v>0</v>
      </c>
      <c r="O997" s="279">
        <f>RES_BA!S148</f>
        <v>0</v>
      </c>
      <c r="Q997" s="279">
        <f>RES_BA!T148</f>
        <v>0</v>
      </c>
      <c r="S997" s="279">
        <f>RES_BA!U148</f>
        <v>0</v>
      </c>
    </row>
    <row r="998" spans="3:19" s="277" customFormat="1" hidden="1" outlineLevel="1" x14ac:dyDescent="0.3">
      <c r="C998" s="283" t="str">
        <f>RES_BA!D149</f>
        <v>Equipment Category 20</v>
      </c>
      <c r="M998" s="279">
        <f>RES_BA!R149</f>
        <v>0</v>
      </c>
      <c r="O998" s="279">
        <f>RES_BA!S149</f>
        <v>0</v>
      </c>
      <c r="Q998" s="279">
        <f>RES_BA!T149</f>
        <v>0</v>
      </c>
      <c r="S998" s="279">
        <f>RES_BA!U149</f>
        <v>0</v>
      </c>
    </row>
    <row r="999" spans="3:19" s="277" customFormat="1" hidden="1" outlineLevel="1" x14ac:dyDescent="0.3">
      <c r="C999" s="283" t="str">
        <f>RES_BA!D150</f>
        <v>Equipment Category 21</v>
      </c>
      <c r="M999" s="279">
        <f>RES_BA!R150</f>
        <v>0</v>
      </c>
      <c r="O999" s="279">
        <f>RES_BA!S150</f>
        <v>0</v>
      </c>
      <c r="Q999" s="279">
        <f>RES_BA!T150</f>
        <v>0</v>
      </c>
      <c r="S999" s="279">
        <f>RES_BA!U150</f>
        <v>0</v>
      </c>
    </row>
    <row r="1000" spans="3:19" s="277" customFormat="1" hidden="1" outlineLevel="1" x14ac:dyDescent="0.3">
      <c r="C1000" s="283" t="str">
        <f>RES_BA!D151</f>
        <v>Equipment Category 22</v>
      </c>
      <c r="M1000" s="279">
        <f>RES_BA!R151</f>
        <v>0</v>
      </c>
      <c r="O1000" s="279">
        <f>RES_BA!S151</f>
        <v>0</v>
      </c>
      <c r="Q1000" s="279">
        <f>RES_BA!T151</f>
        <v>0</v>
      </c>
      <c r="S1000" s="279">
        <f>RES_BA!U151</f>
        <v>0</v>
      </c>
    </row>
    <row r="1001" spans="3:19" s="277" customFormat="1" hidden="1" outlineLevel="1" x14ac:dyDescent="0.3">
      <c r="C1001" s="283" t="str">
        <f>RES_BA!D152</f>
        <v>Equipment Category 23</v>
      </c>
      <c r="M1001" s="279">
        <f>RES_BA!R152</f>
        <v>0</v>
      </c>
      <c r="O1001" s="279">
        <f>RES_BA!S152</f>
        <v>0</v>
      </c>
      <c r="Q1001" s="279">
        <f>RES_BA!T152</f>
        <v>0</v>
      </c>
      <c r="S1001" s="279">
        <f>RES_BA!U152</f>
        <v>0</v>
      </c>
    </row>
    <row r="1002" spans="3:19" s="277" customFormat="1" hidden="1" outlineLevel="1" collapsed="1" x14ac:dyDescent="0.3">
      <c r="C1002" s="283" t="str">
        <f>RES_BA!D153</f>
        <v>Equipment Category 24</v>
      </c>
      <c r="M1002" s="279">
        <f>RES_BA!R153</f>
        <v>0</v>
      </c>
      <c r="O1002" s="279">
        <f>RES_BA!S153</f>
        <v>0</v>
      </c>
      <c r="Q1002" s="279">
        <f>RES_BA!T153</f>
        <v>0</v>
      </c>
      <c r="S1002" s="279">
        <f>RES_BA!U153</f>
        <v>0</v>
      </c>
    </row>
    <row r="1003" spans="3:19" s="277" customFormat="1" hidden="1" outlineLevel="1" x14ac:dyDescent="0.3">
      <c r="C1003" s="283" t="str">
        <f>RES_BA!D154</f>
        <v>Equipment Category 25</v>
      </c>
      <c r="M1003" s="279">
        <f>RES_BA!R154</f>
        <v>0</v>
      </c>
      <c r="O1003" s="279">
        <f>RES_BA!S154</f>
        <v>0</v>
      </c>
      <c r="Q1003" s="279">
        <f>RES_BA!T154</f>
        <v>0</v>
      </c>
      <c r="S1003" s="279">
        <f>RES_BA!U154</f>
        <v>0</v>
      </c>
    </row>
    <row r="1004" spans="3:19" s="277" customFormat="1" hidden="1" outlineLevel="1" x14ac:dyDescent="0.3">
      <c r="C1004" s="283" t="str">
        <f>RES_BA!D155</f>
        <v>Equipment Category 26</v>
      </c>
      <c r="M1004" s="279">
        <f>RES_BA!R155</f>
        <v>0</v>
      </c>
      <c r="O1004" s="279">
        <f>RES_BA!S155</f>
        <v>0</v>
      </c>
      <c r="Q1004" s="279">
        <f>RES_BA!T155</f>
        <v>0</v>
      </c>
      <c r="S1004" s="279">
        <f>RES_BA!U155</f>
        <v>0</v>
      </c>
    </row>
    <row r="1005" spans="3:19" s="277" customFormat="1" hidden="1" outlineLevel="1" x14ac:dyDescent="0.3">
      <c r="C1005" s="283" t="str">
        <f>RES_BA!D156</f>
        <v>Equipment Category 27</v>
      </c>
      <c r="M1005" s="279">
        <f>RES_BA!R156</f>
        <v>0</v>
      </c>
      <c r="O1005" s="279">
        <f>RES_BA!S156</f>
        <v>0</v>
      </c>
      <c r="Q1005" s="279">
        <f>RES_BA!T156</f>
        <v>0</v>
      </c>
      <c r="S1005" s="279">
        <f>RES_BA!U156</f>
        <v>0</v>
      </c>
    </row>
    <row r="1006" spans="3:19" s="277" customFormat="1" hidden="1" outlineLevel="1" x14ac:dyDescent="0.3">
      <c r="C1006" s="283" t="str">
        <f>RES_BA!D157</f>
        <v>Equipment Category 28</v>
      </c>
      <c r="M1006" s="279">
        <f>RES_BA!R157</f>
        <v>0</v>
      </c>
      <c r="O1006" s="279">
        <f>RES_BA!S157</f>
        <v>0</v>
      </c>
      <c r="Q1006" s="279">
        <f>RES_BA!T157</f>
        <v>0</v>
      </c>
      <c r="S1006" s="279">
        <f>RES_BA!U157</f>
        <v>0</v>
      </c>
    </row>
    <row r="1007" spans="3:19" s="277" customFormat="1" hidden="1" outlineLevel="1" x14ac:dyDescent="0.3">
      <c r="C1007" s="283" t="str">
        <f>RES_BA!D158</f>
        <v>Equipment Category 29</v>
      </c>
      <c r="M1007" s="279">
        <f>RES_BA!R158</f>
        <v>0</v>
      </c>
      <c r="O1007" s="279">
        <f>RES_BA!S158</f>
        <v>0</v>
      </c>
      <c r="Q1007" s="279">
        <f>RES_BA!T158</f>
        <v>0</v>
      </c>
      <c r="S1007" s="279">
        <f>RES_BA!U158</f>
        <v>0</v>
      </c>
    </row>
    <row r="1008" spans="3:19" s="277" customFormat="1" hidden="1" outlineLevel="1" x14ac:dyDescent="0.3">
      <c r="C1008" s="283" t="str">
        <f>RES_BA!D159</f>
        <v>Equipment Category 30</v>
      </c>
      <c r="M1008" s="279">
        <f>RES_BA!R159</f>
        <v>0</v>
      </c>
      <c r="O1008" s="279">
        <f>RES_BA!S159</f>
        <v>0</v>
      </c>
      <c r="Q1008" s="279">
        <f>RES_BA!T159</f>
        <v>0</v>
      </c>
      <c r="S1008" s="279">
        <f>RES_BA!U159</f>
        <v>0</v>
      </c>
    </row>
    <row r="1009" spans="3:19" s="277" customFormat="1" hidden="1" outlineLevel="1" x14ac:dyDescent="0.3">
      <c r="C1009" s="283" t="str">
        <f>RES_BA!D160</f>
        <v>Equipment Category 31</v>
      </c>
      <c r="M1009" s="279">
        <f>RES_BA!R160</f>
        <v>0</v>
      </c>
      <c r="O1009" s="279">
        <f>RES_BA!S160</f>
        <v>0</v>
      </c>
      <c r="Q1009" s="279">
        <f>RES_BA!T160</f>
        <v>0</v>
      </c>
      <c r="S1009" s="279">
        <f>RES_BA!U160</f>
        <v>0</v>
      </c>
    </row>
    <row r="1010" spans="3:19" s="277" customFormat="1" hidden="1" outlineLevel="1" x14ac:dyDescent="0.3">
      <c r="C1010" s="283" t="str">
        <f>RES_BA!D161</f>
        <v>Equipment Category 32</v>
      </c>
      <c r="M1010" s="279">
        <f>RES_BA!R161</f>
        <v>0</v>
      </c>
      <c r="O1010" s="279">
        <f>RES_BA!S161</f>
        <v>0</v>
      </c>
      <c r="Q1010" s="279">
        <f>RES_BA!T161</f>
        <v>0</v>
      </c>
      <c r="S1010" s="279">
        <f>RES_BA!U161</f>
        <v>0</v>
      </c>
    </row>
    <row r="1011" spans="3:19" s="277" customFormat="1" hidden="1" outlineLevel="1" x14ac:dyDescent="0.3">
      <c r="C1011" s="283" t="str">
        <f>RES_BA!D162</f>
        <v>Equipment Category 33</v>
      </c>
      <c r="M1011" s="279">
        <f>RES_BA!R162</f>
        <v>0</v>
      </c>
      <c r="O1011" s="279">
        <f>RES_BA!S162</f>
        <v>0</v>
      </c>
      <c r="Q1011" s="279">
        <f>RES_BA!T162</f>
        <v>0</v>
      </c>
      <c r="S1011" s="279">
        <f>RES_BA!U162</f>
        <v>0</v>
      </c>
    </row>
    <row r="1012" spans="3:19" s="277" customFormat="1" hidden="1" outlineLevel="1" collapsed="1" x14ac:dyDescent="0.3">
      <c r="C1012" s="283" t="str">
        <f>RES_BA!D163</f>
        <v>Equipment Category 34</v>
      </c>
      <c r="M1012" s="279">
        <f>RES_BA!R163</f>
        <v>0</v>
      </c>
      <c r="O1012" s="279">
        <f>RES_BA!S163</f>
        <v>0</v>
      </c>
      <c r="Q1012" s="279">
        <f>RES_BA!T163</f>
        <v>0</v>
      </c>
      <c r="S1012" s="279">
        <f>RES_BA!U163</f>
        <v>0</v>
      </c>
    </row>
    <row r="1013" spans="3:19" s="277" customFormat="1" hidden="1" outlineLevel="1" x14ac:dyDescent="0.3">
      <c r="C1013" s="283" t="str">
        <f>RES_BA!D164</f>
        <v>Equipment Category 35</v>
      </c>
      <c r="M1013" s="279">
        <f>RES_BA!R164</f>
        <v>0</v>
      </c>
      <c r="O1013" s="279">
        <f>RES_BA!S164</f>
        <v>0</v>
      </c>
      <c r="Q1013" s="279">
        <f>RES_BA!T164</f>
        <v>0</v>
      </c>
      <c r="S1013" s="279">
        <f>RES_BA!U164</f>
        <v>0</v>
      </c>
    </row>
    <row r="1014" spans="3:19" hidden="1" outlineLevel="1" x14ac:dyDescent="0.3"/>
    <row r="1015" spans="3:19" hidden="1" outlineLevel="1" x14ac:dyDescent="0.3"/>
    <row r="1016" spans="3:19" hidden="1" outlineLevel="1" x14ac:dyDescent="0.3">
      <c r="M1016" s="40" t="str">
        <f>$D$861</f>
        <v>USD</v>
      </c>
      <c r="O1016" s="40" t="str">
        <f>$D$861</f>
        <v>USD</v>
      </c>
      <c r="Q1016" s="40" t="str">
        <f>$D$862</f>
        <v>GOZ</v>
      </c>
      <c r="S1016" s="40" t="str">
        <f>$D$862</f>
        <v>GOZ</v>
      </c>
    </row>
    <row r="1017" spans="3:19" hidden="1" outlineLevel="1" x14ac:dyDescent="0.3">
      <c r="C1017" s="89" t="str">
        <f>RES_BA!D169</f>
        <v>Other Direct Costs Category 1</v>
      </c>
      <c r="M1017" s="40">
        <f>RES_BA!R169</f>
        <v>0</v>
      </c>
      <c r="O1017" s="40">
        <f>RES_BA!S169</f>
        <v>0</v>
      </c>
      <c r="Q1017" s="40">
        <f>RES_BA!T169</f>
        <v>0</v>
      </c>
      <c r="S1017" s="40">
        <f>RES_BA!U169</f>
        <v>0</v>
      </c>
    </row>
    <row r="1018" spans="3:19" hidden="1" outlineLevel="1" x14ac:dyDescent="0.3">
      <c r="C1018" s="89" t="str">
        <f>RES_BA!D170</f>
        <v>Other Direct Costs Category 2</v>
      </c>
      <c r="M1018" s="40">
        <f>RES_BA!R170</f>
        <v>0</v>
      </c>
      <c r="O1018" s="40">
        <f>RES_BA!S170</f>
        <v>0</v>
      </c>
      <c r="Q1018" s="40">
        <f>RES_BA!T170</f>
        <v>0</v>
      </c>
      <c r="S1018" s="40">
        <f>RES_BA!U170</f>
        <v>0</v>
      </c>
    </row>
    <row r="1019" spans="3:19" hidden="1" outlineLevel="1" x14ac:dyDescent="0.3">
      <c r="C1019" s="89" t="str">
        <f>RES_BA!D171</f>
        <v>Other Direct Costs Category 3</v>
      </c>
      <c r="M1019" s="40">
        <f>RES_BA!R171</f>
        <v>0</v>
      </c>
      <c r="O1019" s="40">
        <f>RES_BA!S171</f>
        <v>0</v>
      </c>
      <c r="Q1019" s="40">
        <f>RES_BA!T171</f>
        <v>0</v>
      </c>
      <c r="S1019" s="40">
        <f>RES_BA!U171</f>
        <v>0</v>
      </c>
    </row>
    <row r="1020" spans="3:19" s="277" customFormat="1" hidden="1" outlineLevel="1" collapsed="1" x14ac:dyDescent="0.3">
      <c r="C1020" s="283" t="str">
        <f>RES_BA!D172</f>
        <v>Other Direct Costs Category 4</v>
      </c>
      <c r="M1020" s="279">
        <f>RES_BA!R172</f>
        <v>0</v>
      </c>
      <c r="O1020" s="279">
        <f>RES_BA!S172</f>
        <v>0</v>
      </c>
      <c r="Q1020" s="279">
        <f>RES_BA!T172</f>
        <v>0</v>
      </c>
      <c r="S1020" s="279">
        <f>RES_BA!U172</f>
        <v>0</v>
      </c>
    </row>
    <row r="1021" spans="3:19" s="277" customFormat="1" hidden="1" outlineLevel="1" x14ac:dyDescent="0.3">
      <c r="C1021" s="283" t="str">
        <f>RES_BA!D173</f>
        <v>Other Direct Costs Category 5</v>
      </c>
      <c r="M1021" s="279">
        <f>RES_BA!R173</f>
        <v>0</v>
      </c>
      <c r="O1021" s="279">
        <f>RES_BA!S173</f>
        <v>0</v>
      </c>
      <c r="Q1021" s="279">
        <f>RES_BA!T173</f>
        <v>0</v>
      </c>
      <c r="S1021" s="279">
        <f>RES_BA!U173</f>
        <v>0</v>
      </c>
    </row>
    <row r="1022" spans="3:19" s="277" customFormat="1" hidden="1" outlineLevel="1" x14ac:dyDescent="0.3">
      <c r="C1022" s="283" t="str">
        <f>RES_BA!D174</f>
        <v>Other Direct Costs Category 6</v>
      </c>
      <c r="M1022" s="279">
        <f>RES_BA!R174</f>
        <v>0</v>
      </c>
      <c r="O1022" s="279">
        <f>RES_BA!S174</f>
        <v>0</v>
      </c>
      <c r="Q1022" s="279">
        <f>RES_BA!T174</f>
        <v>0</v>
      </c>
      <c r="S1022" s="279">
        <f>RES_BA!U174</f>
        <v>0</v>
      </c>
    </row>
    <row r="1023" spans="3:19" s="277" customFormat="1" hidden="1" outlineLevel="1" x14ac:dyDescent="0.3">
      <c r="C1023" s="283" t="str">
        <f>RES_BA!D175</f>
        <v>Other Direct Costs Category 7</v>
      </c>
      <c r="M1023" s="279">
        <f>RES_BA!R175</f>
        <v>0</v>
      </c>
      <c r="O1023" s="279">
        <f>RES_BA!S175</f>
        <v>0</v>
      </c>
      <c r="Q1023" s="279">
        <f>RES_BA!T175</f>
        <v>0</v>
      </c>
      <c r="S1023" s="279">
        <f>RES_BA!U175</f>
        <v>0</v>
      </c>
    </row>
    <row r="1024" spans="3:19" s="277" customFormat="1" hidden="1" outlineLevel="1" x14ac:dyDescent="0.3">
      <c r="C1024" s="283" t="str">
        <f>RES_BA!D176</f>
        <v>Other Direct Costs Category 8</v>
      </c>
      <c r="M1024" s="279">
        <f>RES_BA!R176</f>
        <v>0</v>
      </c>
      <c r="O1024" s="279">
        <f>RES_BA!S176</f>
        <v>0</v>
      </c>
      <c r="Q1024" s="279">
        <f>RES_BA!T176</f>
        <v>0</v>
      </c>
      <c r="S1024" s="279">
        <f>RES_BA!U176</f>
        <v>0</v>
      </c>
    </row>
    <row r="1025" spans="3:19" s="277" customFormat="1" hidden="1" outlineLevel="1" x14ac:dyDescent="0.3">
      <c r="C1025" s="283" t="str">
        <f>RES_BA!D177</f>
        <v>Other Direct Costs Category 9</v>
      </c>
      <c r="M1025" s="279">
        <f>RES_BA!R177</f>
        <v>0</v>
      </c>
      <c r="O1025" s="279">
        <f>RES_BA!S177</f>
        <v>0</v>
      </c>
      <c r="Q1025" s="279">
        <f>RES_BA!T177</f>
        <v>0</v>
      </c>
      <c r="S1025" s="279">
        <f>RES_BA!U177</f>
        <v>0</v>
      </c>
    </row>
    <row r="1026" spans="3:19" s="277" customFormat="1" hidden="1" outlineLevel="1" x14ac:dyDescent="0.3">
      <c r="C1026" s="283" t="str">
        <f>RES_BA!D178</f>
        <v>Other Direct Costs Category 10</v>
      </c>
      <c r="M1026" s="279">
        <f>RES_BA!R178</f>
        <v>0</v>
      </c>
      <c r="O1026" s="279">
        <f>RES_BA!S178</f>
        <v>0</v>
      </c>
      <c r="Q1026" s="279">
        <f>RES_BA!T178</f>
        <v>0</v>
      </c>
      <c r="S1026" s="279">
        <f>RES_BA!U178</f>
        <v>0</v>
      </c>
    </row>
    <row r="1027" spans="3:19" s="277" customFormat="1" hidden="1" outlineLevel="1" x14ac:dyDescent="0.3">
      <c r="C1027" s="283" t="str">
        <f>RES_BA!D179</f>
        <v>Other Direct Costs Category 11</v>
      </c>
      <c r="M1027" s="279">
        <f>RES_BA!R179</f>
        <v>0</v>
      </c>
      <c r="O1027" s="279">
        <f>RES_BA!S179</f>
        <v>0</v>
      </c>
      <c r="Q1027" s="279">
        <f>RES_BA!T179</f>
        <v>0</v>
      </c>
      <c r="S1027" s="279">
        <f>RES_BA!U179</f>
        <v>0</v>
      </c>
    </row>
    <row r="1028" spans="3:19" s="277" customFormat="1" hidden="1" outlineLevel="1" collapsed="1" x14ac:dyDescent="0.3">
      <c r="C1028" s="283" t="str">
        <f>RES_BA!D180</f>
        <v>Other Direct Costs Category 12</v>
      </c>
      <c r="M1028" s="279">
        <f>RES_BA!R180</f>
        <v>0</v>
      </c>
      <c r="O1028" s="279">
        <f>RES_BA!S180</f>
        <v>0</v>
      </c>
      <c r="Q1028" s="279">
        <f>RES_BA!T180</f>
        <v>0</v>
      </c>
      <c r="S1028" s="279">
        <f>RES_BA!U180</f>
        <v>0</v>
      </c>
    </row>
    <row r="1029" spans="3:19" s="277" customFormat="1" hidden="1" outlineLevel="1" x14ac:dyDescent="0.3">
      <c r="C1029" s="283" t="str">
        <f>RES_BA!D181</f>
        <v>Other Direct Costs Category 13</v>
      </c>
      <c r="M1029" s="279">
        <f>RES_BA!R181</f>
        <v>0</v>
      </c>
      <c r="O1029" s="279">
        <f>RES_BA!S181</f>
        <v>0</v>
      </c>
      <c r="Q1029" s="279">
        <f>RES_BA!T181</f>
        <v>0</v>
      </c>
      <c r="S1029" s="279">
        <f>RES_BA!U181</f>
        <v>0</v>
      </c>
    </row>
    <row r="1030" spans="3:19" s="277" customFormat="1" hidden="1" outlineLevel="1" x14ac:dyDescent="0.3">
      <c r="C1030" s="283" t="str">
        <f>RES_BA!D182</f>
        <v>Other Direct Costs Category 14</v>
      </c>
      <c r="M1030" s="279">
        <f>RES_BA!R182</f>
        <v>0</v>
      </c>
      <c r="O1030" s="279">
        <f>RES_BA!S182</f>
        <v>0</v>
      </c>
      <c r="Q1030" s="279">
        <f>RES_BA!T182</f>
        <v>0</v>
      </c>
      <c r="S1030" s="279">
        <f>RES_BA!U182</f>
        <v>0</v>
      </c>
    </row>
    <row r="1031" spans="3:19" s="277" customFormat="1" hidden="1" outlineLevel="1" x14ac:dyDescent="0.3">
      <c r="C1031" s="283" t="str">
        <f>RES_BA!D183</f>
        <v>Other Direct Costs Category 15</v>
      </c>
      <c r="M1031" s="279">
        <f>RES_BA!R183</f>
        <v>0</v>
      </c>
      <c r="O1031" s="279">
        <f>RES_BA!S183</f>
        <v>0</v>
      </c>
      <c r="Q1031" s="279">
        <f>RES_BA!T183</f>
        <v>0</v>
      </c>
      <c r="S1031" s="279">
        <f>RES_BA!U183</f>
        <v>0</v>
      </c>
    </row>
    <row r="1032" spans="3:19" s="277" customFormat="1" hidden="1" outlineLevel="1" x14ac:dyDescent="0.3">
      <c r="C1032" s="283" t="str">
        <f>RES_BA!D184</f>
        <v>Other Direct Costs Category 16</v>
      </c>
      <c r="M1032" s="279">
        <f>RES_BA!R184</f>
        <v>0</v>
      </c>
      <c r="O1032" s="279">
        <f>RES_BA!S184</f>
        <v>0</v>
      </c>
      <c r="Q1032" s="279">
        <f>RES_BA!T184</f>
        <v>0</v>
      </c>
      <c r="S1032" s="279">
        <f>RES_BA!U184</f>
        <v>0</v>
      </c>
    </row>
    <row r="1033" spans="3:19" s="277" customFormat="1" hidden="1" outlineLevel="1" x14ac:dyDescent="0.3">
      <c r="C1033" s="283" t="str">
        <f>RES_BA!D185</f>
        <v>Other Direct Costs Category 17</v>
      </c>
      <c r="M1033" s="279">
        <f>RES_BA!R185</f>
        <v>0</v>
      </c>
      <c r="O1033" s="279">
        <f>RES_BA!S185</f>
        <v>0</v>
      </c>
      <c r="Q1033" s="279">
        <f>RES_BA!T185</f>
        <v>0</v>
      </c>
      <c r="S1033" s="279">
        <f>RES_BA!U185</f>
        <v>0</v>
      </c>
    </row>
    <row r="1034" spans="3:19" s="277" customFormat="1" hidden="1" outlineLevel="1" x14ac:dyDescent="0.3">
      <c r="C1034" s="283" t="str">
        <f>RES_BA!D186</f>
        <v>Other Direct Costs Category 18</v>
      </c>
      <c r="M1034" s="279">
        <f>RES_BA!R186</f>
        <v>0</v>
      </c>
      <c r="O1034" s="279">
        <f>RES_BA!S186</f>
        <v>0</v>
      </c>
      <c r="Q1034" s="279">
        <f>RES_BA!T186</f>
        <v>0</v>
      </c>
      <c r="S1034" s="279">
        <f>RES_BA!U186</f>
        <v>0</v>
      </c>
    </row>
    <row r="1035" spans="3:19" s="277" customFormat="1" hidden="1" outlineLevel="1" x14ac:dyDescent="0.3">
      <c r="C1035" s="283" t="str">
        <f>RES_BA!D187</f>
        <v>Other Direct Costs Category 19</v>
      </c>
      <c r="M1035" s="279">
        <f>RES_BA!R187</f>
        <v>0</v>
      </c>
      <c r="O1035" s="279">
        <f>RES_BA!S187</f>
        <v>0</v>
      </c>
      <c r="Q1035" s="279">
        <f>RES_BA!T187</f>
        <v>0</v>
      </c>
      <c r="S1035" s="279">
        <f>RES_BA!U187</f>
        <v>0</v>
      </c>
    </row>
    <row r="1036" spans="3:19" s="277" customFormat="1" hidden="1" outlineLevel="1" x14ac:dyDescent="0.3">
      <c r="C1036" s="283" t="str">
        <f>RES_BA!D188</f>
        <v>Other Direct Costs Category 20</v>
      </c>
      <c r="M1036" s="279">
        <f>RES_BA!R188</f>
        <v>0</v>
      </c>
      <c r="O1036" s="279">
        <f>RES_BA!S188</f>
        <v>0</v>
      </c>
      <c r="Q1036" s="279">
        <f>RES_BA!T188</f>
        <v>0</v>
      </c>
      <c r="S1036" s="279">
        <f>RES_BA!U188</f>
        <v>0</v>
      </c>
    </row>
    <row r="1037" spans="3:19" s="277" customFormat="1" hidden="1" outlineLevel="1" x14ac:dyDescent="0.3">
      <c r="C1037" s="283" t="str">
        <f>RES_BA!D189</f>
        <v>Other Direct Costs Category 21</v>
      </c>
      <c r="M1037" s="279">
        <f>RES_BA!R189</f>
        <v>0</v>
      </c>
      <c r="O1037" s="279">
        <f>RES_BA!S189</f>
        <v>0</v>
      </c>
      <c r="Q1037" s="279">
        <f>RES_BA!T189</f>
        <v>0</v>
      </c>
      <c r="S1037" s="279">
        <f>RES_BA!U189</f>
        <v>0</v>
      </c>
    </row>
    <row r="1038" spans="3:19" s="277" customFormat="1" hidden="1" outlineLevel="1" x14ac:dyDescent="0.3">
      <c r="C1038" s="283" t="str">
        <f>RES_BA!D190</f>
        <v>Other Direct Costs Category 22</v>
      </c>
      <c r="M1038" s="279">
        <f>RES_BA!R190</f>
        <v>0</v>
      </c>
      <c r="O1038" s="279">
        <f>RES_BA!S190</f>
        <v>0</v>
      </c>
      <c r="Q1038" s="279">
        <f>RES_BA!T190</f>
        <v>0</v>
      </c>
      <c r="S1038" s="279">
        <f>RES_BA!U190</f>
        <v>0</v>
      </c>
    </row>
    <row r="1039" spans="3:19" s="277" customFormat="1" hidden="1" outlineLevel="1" x14ac:dyDescent="0.3">
      <c r="C1039" s="283" t="str">
        <f>RES_BA!D191</f>
        <v>Other Direct Costs Category 23</v>
      </c>
      <c r="M1039" s="279">
        <f>RES_BA!R191</f>
        <v>0</v>
      </c>
      <c r="O1039" s="279">
        <f>RES_BA!S191</f>
        <v>0</v>
      </c>
      <c r="Q1039" s="279">
        <f>RES_BA!T191</f>
        <v>0</v>
      </c>
      <c r="S1039" s="279">
        <f>RES_BA!U191</f>
        <v>0</v>
      </c>
    </row>
    <row r="1040" spans="3:19" s="277" customFormat="1" hidden="1" outlineLevel="1" collapsed="1" x14ac:dyDescent="0.3">
      <c r="C1040" s="283" t="str">
        <f>RES_BA!D192</f>
        <v>Other Direct Costs Category 24</v>
      </c>
      <c r="M1040" s="279">
        <f>RES_BA!R192</f>
        <v>0</v>
      </c>
      <c r="O1040" s="279">
        <f>RES_BA!S192</f>
        <v>0</v>
      </c>
      <c r="Q1040" s="279">
        <f>RES_BA!T192</f>
        <v>0</v>
      </c>
      <c r="S1040" s="279">
        <f>RES_BA!U192</f>
        <v>0</v>
      </c>
    </row>
    <row r="1041" spans="2:19" s="277" customFormat="1" hidden="1" outlineLevel="1" x14ac:dyDescent="0.3">
      <c r="C1041" s="283" t="str">
        <f>RES_BA!D193</f>
        <v>Other Direct Costs Category 25</v>
      </c>
      <c r="M1041" s="279">
        <f>RES_BA!R193</f>
        <v>0</v>
      </c>
      <c r="O1041" s="279">
        <f>RES_BA!S193</f>
        <v>0</v>
      </c>
      <c r="Q1041" s="279">
        <f>RES_BA!T193</f>
        <v>0</v>
      </c>
      <c r="S1041" s="279">
        <f>RES_BA!U193</f>
        <v>0</v>
      </c>
    </row>
    <row r="1042" spans="2:19" s="277" customFormat="1" hidden="1" outlineLevel="1" x14ac:dyDescent="0.3">
      <c r="C1042" s="283" t="str">
        <f>RES_BA!D194</f>
        <v>Other Direct Costs Category 26</v>
      </c>
      <c r="M1042" s="279">
        <f>RES_BA!R194</f>
        <v>0</v>
      </c>
      <c r="O1042" s="279">
        <f>RES_BA!S194</f>
        <v>0</v>
      </c>
      <c r="Q1042" s="279">
        <f>RES_BA!T194</f>
        <v>0</v>
      </c>
      <c r="S1042" s="279">
        <f>RES_BA!U194</f>
        <v>0</v>
      </c>
    </row>
    <row r="1043" spans="2:19" s="277" customFormat="1" hidden="1" outlineLevel="1" x14ac:dyDescent="0.3">
      <c r="C1043" s="283" t="str">
        <f>RES_BA!D195</f>
        <v>Other Direct Costs Category 27</v>
      </c>
      <c r="M1043" s="279">
        <f>RES_BA!R195</f>
        <v>0</v>
      </c>
      <c r="O1043" s="279">
        <f>RES_BA!S195</f>
        <v>0</v>
      </c>
      <c r="Q1043" s="279">
        <f>RES_BA!T195</f>
        <v>0</v>
      </c>
      <c r="S1043" s="279">
        <f>RES_BA!U195</f>
        <v>0</v>
      </c>
    </row>
    <row r="1044" spans="2:19" s="277" customFormat="1" hidden="1" outlineLevel="1" x14ac:dyDescent="0.3">
      <c r="C1044" s="283" t="str">
        <f>RES_BA!D196</f>
        <v>Other Direct Costs Category 28</v>
      </c>
      <c r="M1044" s="279">
        <f>RES_BA!R196</f>
        <v>0</v>
      </c>
      <c r="O1044" s="279">
        <f>RES_BA!S196</f>
        <v>0</v>
      </c>
      <c r="Q1044" s="279">
        <f>RES_BA!T196</f>
        <v>0</v>
      </c>
      <c r="S1044" s="279">
        <f>RES_BA!U196</f>
        <v>0</v>
      </c>
    </row>
    <row r="1045" spans="2:19" s="277" customFormat="1" hidden="1" outlineLevel="1" x14ac:dyDescent="0.3">
      <c r="C1045" s="283" t="str">
        <f>RES_BA!D197</f>
        <v>Other Direct Costs Category 29</v>
      </c>
      <c r="M1045" s="279">
        <f>RES_BA!R197</f>
        <v>0</v>
      </c>
      <c r="O1045" s="279">
        <f>RES_BA!S197</f>
        <v>0</v>
      </c>
      <c r="Q1045" s="279">
        <f>RES_BA!T197</f>
        <v>0</v>
      </c>
      <c r="S1045" s="279">
        <f>RES_BA!U197</f>
        <v>0</v>
      </c>
    </row>
    <row r="1046" spans="2:19" s="277" customFormat="1" hidden="1" outlineLevel="1" x14ac:dyDescent="0.3">
      <c r="C1046" s="283" t="str">
        <f>RES_BA!D198</f>
        <v>Other Direct Costs Category 30</v>
      </c>
      <c r="M1046" s="279">
        <f>RES_BA!R198</f>
        <v>0</v>
      </c>
      <c r="O1046" s="279">
        <f>RES_BA!S198</f>
        <v>0</v>
      </c>
      <c r="Q1046" s="279">
        <f>RES_BA!T198</f>
        <v>0</v>
      </c>
      <c r="S1046" s="279">
        <f>RES_BA!U198</f>
        <v>0</v>
      </c>
    </row>
    <row r="1047" spans="2:19" s="277" customFormat="1" hidden="1" outlineLevel="1" x14ac:dyDescent="0.3">
      <c r="C1047" s="283" t="str">
        <f>RES_BA!D199</f>
        <v>Other Direct Costs Category 31</v>
      </c>
      <c r="M1047" s="279">
        <f>RES_BA!R199</f>
        <v>0</v>
      </c>
      <c r="O1047" s="279">
        <f>RES_BA!S199</f>
        <v>0</v>
      </c>
      <c r="Q1047" s="279">
        <f>RES_BA!T199</f>
        <v>0</v>
      </c>
      <c r="S1047" s="279">
        <f>RES_BA!U199</f>
        <v>0</v>
      </c>
    </row>
    <row r="1048" spans="2:19" s="277" customFormat="1" hidden="1" outlineLevel="1" x14ac:dyDescent="0.3">
      <c r="C1048" s="283" t="str">
        <f>RES_BA!D200</f>
        <v>Other Direct Costs Category 32</v>
      </c>
      <c r="M1048" s="279">
        <f>RES_BA!R200</f>
        <v>0</v>
      </c>
      <c r="O1048" s="279">
        <f>RES_BA!S200</f>
        <v>0</v>
      </c>
      <c r="Q1048" s="279">
        <f>RES_BA!T200</f>
        <v>0</v>
      </c>
      <c r="S1048" s="279">
        <f>RES_BA!U200</f>
        <v>0</v>
      </c>
    </row>
    <row r="1049" spans="2:19" s="277" customFormat="1" hidden="1" outlineLevel="1" x14ac:dyDescent="0.3">
      <c r="C1049" s="283" t="str">
        <f>RES_BA!D201</f>
        <v>Other Direct Costs Category 33</v>
      </c>
      <c r="M1049" s="279">
        <f>RES_BA!R201</f>
        <v>0</v>
      </c>
      <c r="O1049" s="279">
        <f>RES_BA!S201</f>
        <v>0</v>
      </c>
      <c r="Q1049" s="279">
        <f>RES_BA!T201</f>
        <v>0</v>
      </c>
      <c r="S1049" s="279">
        <f>RES_BA!U201</f>
        <v>0</v>
      </c>
    </row>
    <row r="1050" spans="2:19" s="277" customFormat="1" hidden="1" outlineLevel="1" x14ac:dyDescent="0.3">
      <c r="C1050" s="283" t="str">
        <f>RES_BA!D202</f>
        <v>Other Direct Costs Category 34</v>
      </c>
      <c r="M1050" s="279">
        <f>RES_BA!R202</f>
        <v>0</v>
      </c>
      <c r="O1050" s="279">
        <f>RES_BA!S202</f>
        <v>0</v>
      </c>
      <c r="Q1050" s="279">
        <f>RES_BA!T202</f>
        <v>0</v>
      </c>
      <c r="S1050" s="279">
        <f>RES_BA!U202</f>
        <v>0</v>
      </c>
    </row>
    <row r="1051" spans="2:19" s="277" customFormat="1" hidden="1" outlineLevel="1" x14ac:dyDescent="0.3">
      <c r="C1051" s="283" t="str">
        <f>RES_BA!D203</f>
        <v>Other Direct Costs Category 35</v>
      </c>
      <c r="M1051" s="279">
        <f>RES_BA!R203</f>
        <v>0</v>
      </c>
      <c r="O1051" s="279">
        <f>RES_BA!S203</f>
        <v>0</v>
      </c>
      <c r="Q1051" s="279">
        <f>RES_BA!T203</f>
        <v>0</v>
      </c>
      <c r="S1051" s="279">
        <f>RES_BA!U203</f>
        <v>0</v>
      </c>
    </row>
    <row r="1052" spans="2:19" collapsed="1" x14ac:dyDescent="0.3"/>
    <row r="1054" spans="2:19" ht="18" x14ac:dyDescent="0.3">
      <c r="B1054" s="31" t="str">
        <f>I1055</f>
        <v>Round 1 - Vacciination Activity #4 [not in use]</v>
      </c>
    </row>
    <row r="1055" spans="2:19" x14ac:dyDescent="0.3">
      <c r="G1055" s="41" t="s">
        <v>119</v>
      </c>
      <c r="I1055" s="356" t="s">
        <v>1008</v>
      </c>
      <c r="J1055" s="356"/>
      <c r="K1055" s="356"/>
      <c r="L1055" s="356"/>
      <c r="M1055" s="356"/>
    </row>
    <row r="1056" spans="2:19" ht="10.5" customHeight="1" x14ac:dyDescent="0.3">
      <c r="G1056" s="41" t="s">
        <v>644</v>
      </c>
      <c r="I1056" s="32">
        <v>2</v>
      </c>
    </row>
    <row r="1057" spans="3:24" ht="15.6" x14ac:dyDescent="0.3">
      <c r="C1057" s="92" t="s">
        <v>77</v>
      </c>
      <c r="M1057" s="40" t="str">
        <f>IF(DD_ACT_13_Meet1_Curr=1,$D$1210,$D$1211)</f>
        <v>GOZ</v>
      </c>
      <c r="O1057" s="40" t="str">
        <f>IF(DD_ACT_13_Meet1_Curr=1,$D$1210,$D$1211)</f>
        <v>GOZ</v>
      </c>
      <c r="Q1057" s="40" t="str">
        <f>IF(DD_ACT_13_Meet1_Curr=1,$D$1210,$D$1211)</f>
        <v>GOZ</v>
      </c>
      <c r="S1057" s="40" t="str">
        <f>IF(DD_ACT_13_Meet1_Curr=1,$D$1210,$D$1211)</f>
        <v>GOZ</v>
      </c>
    </row>
    <row r="1058" spans="3:24" ht="27.6" x14ac:dyDescent="0.3">
      <c r="D1058" s="90" t="s">
        <v>77</v>
      </c>
      <c r="I1058" s="88" t="s">
        <v>80</v>
      </c>
      <c r="K1058" s="91" t="s">
        <v>432</v>
      </c>
      <c r="M1058" s="42" t="s">
        <v>107</v>
      </c>
      <c r="O1058" s="42" t="s">
        <v>108</v>
      </c>
      <c r="Q1058" s="42" t="s">
        <v>105</v>
      </c>
      <c r="S1058" s="42" t="s">
        <v>106</v>
      </c>
      <c r="U1058" s="350" t="s">
        <v>185</v>
      </c>
      <c r="V1058" s="351"/>
      <c r="W1058" s="351"/>
      <c r="X1058" s="351"/>
    </row>
    <row r="1059" spans="3:24" x14ac:dyDescent="0.3">
      <c r="D1059" s="356" t="s">
        <v>188</v>
      </c>
      <c r="E1059" s="356"/>
      <c r="F1059" s="356"/>
      <c r="G1059" s="356"/>
      <c r="I1059" s="48">
        <v>0</v>
      </c>
      <c r="K1059" s="48">
        <v>0</v>
      </c>
      <c r="M1059" s="40">
        <f t="shared" ref="M1059:M1083" si="60">IFERROR(IF(DD_ACT_13_Meet1_Curr=1,INDEX($M$1216:$M$1250,MATCH(D1059,LU_ACT_13_Pers_Res,0)),INDEX($Q$1216:$Q$1250,MATCH(D1059,LU_ACT_13_Pers_Res,0))),0)</f>
        <v>0</v>
      </c>
      <c r="O1059" s="40">
        <f t="shared" ref="O1059:O1083" si="61">IFERROR(IF(DD_ACT_13_Meet1_Curr=1,INDEX($O$1216:$O$1250,MATCH(D1059,LU_ACT_13_Pers_Res,0)),INDEX($S$1216:$S$1250,MATCH(D1059,LU_ACT_13_Pers_Res,0))),0)</f>
        <v>0</v>
      </c>
      <c r="Q1059" s="293">
        <f t="shared" ref="Q1059:Q1083" si="62">I1059*K1059*M1059</f>
        <v>0</v>
      </c>
      <c r="S1059" s="293">
        <f t="shared" ref="S1059:S1083" si="63">I1059*K1059*O1059</f>
        <v>0</v>
      </c>
      <c r="U1059" s="356"/>
      <c r="V1059" s="356"/>
      <c r="W1059" s="356"/>
      <c r="X1059" s="356"/>
    </row>
    <row r="1060" spans="3:24" x14ac:dyDescent="0.3">
      <c r="D1060" s="356" t="s">
        <v>189</v>
      </c>
      <c r="E1060" s="356"/>
      <c r="F1060" s="356"/>
      <c r="G1060" s="356"/>
      <c r="I1060" s="48">
        <v>0</v>
      </c>
      <c r="K1060" s="48">
        <v>0</v>
      </c>
      <c r="M1060" s="40">
        <f t="shared" si="60"/>
        <v>0</v>
      </c>
      <c r="O1060" s="40">
        <f t="shared" si="61"/>
        <v>0</v>
      </c>
      <c r="Q1060" s="293">
        <f t="shared" si="62"/>
        <v>0</v>
      </c>
      <c r="S1060" s="293">
        <f t="shared" si="63"/>
        <v>0</v>
      </c>
      <c r="U1060" s="356"/>
      <c r="V1060" s="356"/>
      <c r="W1060" s="356"/>
      <c r="X1060" s="356"/>
    </row>
    <row r="1061" spans="3:24" x14ac:dyDescent="0.3">
      <c r="D1061" s="356" t="s">
        <v>190</v>
      </c>
      <c r="E1061" s="356"/>
      <c r="F1061" s="356"/>
      <c r="G1061" s="356"/>
      <c r="I1061" s="48">
        <v>0</v>
      </c>
      <c r="K1061" s="48">
        <v>0</v>
      </c>
      <c r="M1061" s="40">
        <f t="shared" si="60"/>
        <v>0</v>
      </c>
      <c r="O1061" s="40">
        <f t="shared" si="61"/>
        <v>0</v>
      </c>
      <c r="Q1061" s="293">
        <f t="shared" si="62"/>
        <v>0</v>
      </c>
      <c r="S1061" s="293">
        <f t="shared" si="63"/>
        <v>0</v>
      </c>
      <c r="U1061" s="356"/>
      <c r="V1061" s="356"/>
      <c r="W1061" s="356"/>
      <c r="X1061" s="356"/>
    </row>
    <row r="1062" spans="3:24" x14ac:dyDescent="0.3">
      <c r="D1062" s="356" t="s">
        <v>191</v>
      </c>
      <c r="E1062" s="356"/>
      <c r="F1062" s="356"/>
      <c r="G1062" s="356"/>
      <c r="I1062" s="48">
        <v>0</v>
      </c>
      <c r="K1062" s="48">
        <v>0</v>
      </c>
      <c r="M1062" s="40">
        <f t="shared" si="60"/>
        <v>0</v>
      </c>
      <c r="O1062" s="40">
        <f t="shared" si="61"/>
        <v>0</v>
      </c>
      <c r="Q1062" s="293">
        <f t="shared" si="62"/>
        <v>0</v>
      </c>
      <c r="S1062" s="293">
        <f t="shared" si="63"/>
        <v>0</v>
      </c>
      <c r="U1062" s="356"/>
      <c r="V1062" s="356"/>
      <c r="W1062" s="356"/>
      <c r="X1062" s="356"/>
    </row>
    <row r="1063" spans="3:24" x14ac:dyDescent="0.3">
      <c r="D1063" s="356" t="s">
        <v>192</v>
      </c>
      <c r="E1063" s="356"/>
      <c r="F1063" s="356"/>
      <c r="G1063" s="356"/>
      <c r="I1063" s="48">
        <v>0</v>
      </c>
      <c r="K1063" s="48">
        <v>0</v>
      </c>
      <c r="M1063" s="40">
        <f t="shared" si="60"/>
        <v>0</v>
      </c>
      <c r="O1063" s="40">
        <f t="shared" si="61"/>
        <v>0</v>
      </c>
      <c r="Q1063" s="293">
        <f t="shared" si="62"/>
        <v>0</v>
      </c>
      <c r="S1063" s="293">
        <f t="shared" si="63"/>
        <v>0</v>
      </c>
      <c r="U1063" s="356"/>
      <c r="V1063" s="356"/>
      <c r="W1063" s="356"/>
      <c r="X1063" s="356"/>
    </row>
    <row r="1064" spans="3:24" x14ac:dyDescent="0.3">
      <c r="D1064" s="356" t="s">
        <v>193</v>
      </c>
      <c r="E1064" s="356"/>
      <c r="F1064" s="356"/>
      <c r="G1064" s="356"/>
      <c r="I1064" s="48">
        <v>0</v>
      </c>
      <c r="K1064" s="48">
        <v>0</v>
      </c>
      <c r="M1064" s="40">
        <f t="shared" si="60"/>
        <v>0</v>
      </c>
      <c r="O1064" s="40">
        <f t="shared" si="61"/>
        <v>0</v>
      </c>
      <c r="Q1064" s="293">
        <f t="shared" si="62"/>
        <v>0</v>
      </c>
      <c r="S1064" s="293">
        <f t="shared" si="63"/>
        <v>0</v>
      </c>
      <c r="U1064" s="356"/>
      <c r="V1064" s="356"/>
      <c r="W1064" s="356"/>
      <c r="X1064" s="356"/>
    </row>
    <row r="1065" spans="3:24" x14ac:dyDescent="0.3">
      <c r="D1065" s="356" t="s">
        <v>120</v>
      </c>
      <c r="E1065" s="356"/>
      <c r="F1065" s="356"/>
      <c r="G1065" s="356"/>
      <c r="I1065" s="48">
        <v>0</v>
      </c>
      <c r="K1065" s="48">
        <v>0</v>
      </c>
      <c r="M1065" s="40">
        <f t="shared" si="60"/>
        <v>0</v>
      </c>
      <c r="O1065" s="40">
        <f t="shared" si="61"/>
        <v>0</v>
      </c>
      <c r="Q1065" s="293">
        <f t="shared" si="62"/>
        <v>0</v>
      </c>
      <c r="S1065" s="293">
        <f t="shared" si="63"/>
        <v>0</v>
      </c>
      <c r="U1065" s="356"/>
      <c r="V1065" s="356"/>
      <c r="W1065" s="356"/>
      <c r="X1065" s="356"/>
    </row>
    <row r="1066" spans="3:24" x14ac:dyDescent="0.3">
      <c r="D1066" s="356" t="s">
        <v>121</v>
      </c>
      <c r="E1066" s="356"/>
      <c r="F1066" s="356"/>
      <c r="G1066" s="356"/>
      <c r="I1066" s="48">
        <v>0</v>
      </c>
      <c r="K1066" s="48">
        <v>0</v>
      </c>
      <c r="M1066" s="40">
        <f t="shared" si="60"/>
        <v>0</v>
      </c>
      <c r="O1066" s="40">
        <f t="shared" si="61"/>
        <v>0</v>
      </c>
      <c r="Q1066" s="293">
        <f t="shared" si="62"/>
        <v>0</v>
      </c>
      <c r="S1066" s="293">
        <f t="shared" si="63"/>
        <v>0</v>
      </c>
      <c r="U1066" s="356"/>
      <c r="V1066" s="356"/>
      <c r="W1066" s="356"/>
      <c r="X1066" s="356"/>
    </row>
    <row r="1067" spans="3:24" s="277" customFormat="1" x14ac:dyDescent="0.3">
      <c r="D1067" s="356" t="s">
        <v>830</v>
      </c>
      <c r="E1067" s="356"/>
      <c r="F1067" s="356"/>
      <c r="G1067" s="356"/>
      <c r="I1067" s="48">
        <v>0</v>
      </c>
      <c r="K1067" s="48">
        <v>0</v>
      </c>
      <c r="M1067" s="279">
        <f t="shared" si="60"/>
        <v>0</v>
      </c>
      <c r="O1067" s="279">
        <f t="shared" si="61"/>
        <v>0</v>
      </c>
      <c r="Q1067" s="293">
        <f t="shared" si="62"/>
        <v>0</v>
      </c>
      <c r="S1067" s="293">
        <f t="shared" si="63"/>
        <v>0</v>
      </c>
      <c r="U1067" s="385"/>
      <c r="V1067" s="385"/>
      <c r="W1067" s="385"/>
      <c r="X1067" s="385"/>
    </row>
    <row r="1068" spans="3:24" s="277" customFormat="1" x14ac:dyDescent="0.3">
      <c r="D1068" s="356" t="s">
        <v>831</v>
      </c>
      <c r="E1068" s="356"/>
      <c r="F1068" s="356"/>
      <c r="G1068" s="356"/>
      <c r="I1068" s="48">
        <v>0</v>
      </c>
      <c r="K1068" s="48">
        <v>0</v>
      </c>
      <c r="M1068" s="279">
        <f t="shared" si="60"/>
        <v>0</v>
      </c>
      <c r="O1068" s="279">
        <f t="shared" si="61"/>
        <v>0</v>
      </c>
      <c r="Q1068" s="293">
        <f t="shared" si="62"/>
        <v>0</v>
      </c>
      <c r="S1068" s="293">
        <f t="shared" si="63"/>
        <v>0</v>
      </c>
      <c r="U1068" s="385"/>
      <c r="V1068" s="385"/>
      <c r="W1068" s="385"/>
      <c r="X1068" s="385"/>
    </row>
    <row r="1069" spans="3:24" s="277" customFormat="1" x14ac:dyDescent="0.3">
      <c r="D1069" s="356" t="s">
        <v>832</v>
      </c>
      <c r="E1069" s="356"/>
      <c r="F1069" s="356"/>
      <c r="G1069" s="356"/>
      <c r="I1069" s="48">
        <v>0</v>
      </c>
      <c r="K1069" s="48">
        <v>0</v>
      </c>
      <c r="M1069" s="279">
        <f t="shared" si="60"/>
        <v>0</v>
      </c>
      <c r="O1069" s="279">
        <f t="shared" si="61"/>
        <v>0</v>
      </c>
      <c r="Q1069" s="293">
        <f t="shared" si="62"/>
        <v>0</v>
      </c>
      <c r="S1069" s="293">
        <f t="shared" si="63"/>
        <v>0</v>
      </c>
      <c r="U1069" s="385"/>
      <c r="V1069" s="385"/>
      <c r="W1069" s="385"/>
      <c r="X1069" s="385"/>
    </row>
    <row r="1070" spans="3:24" s="277" customFormat="1" x14ac:dyDescent="0.3">
      <c r="D1070" s="356" t="s">
        <v>833</v>
      </c>
      <c r="E1070" s="356"/>
      <c r="F1070" s="356"/>
      <c r="G1070" s="356"/>
      <c r="I1070" s="48">
        <v>0</v>
      </c>
      <c r="K1070" s="48">
        <v>0</v>
      </c>
      <c r="M1070" s="279">
        <f t="shared" si="60"/>
        <v>0</v>
      </c>
      <c r="O1070" s="279">
        <f t="shared" si="61"/>
        <v>0</v>
      </c>
      <c r="Q1070" s="293">
        <f t="shared" si="62"/>
        <v>0</v>
      </c>
      <c r="S1070" s="293">
        <f t="shared" si="63"/>
        <v>0</v>
      </c>
      <c r="U1070" s="385"/>
      <c r="V1070" s="385"/>
      <c r="W1070" s="385"/>
      <c r="X1070" s="385"/>
    </row>
    <row r="1071" spans="3:24" s="277" customFormat="1" x14ac:dyDescent="0.3">
      <c r="D1071" s="356" t="s">
        <v>834</v>
      </c>
      <c r="E1071" s="356"/>
      <c r="F1071" s="356"/>
      <c r="G1071" s="356"/>
      <c r="I1071" s="48">
        <v>0</v>
      </c>
      <c r="K1071" s="48">
        <v>0</v>
      </c>
      <c r="M1071" s="279">
        <f t="shared" si="60"/>
        <v>0</v>
      </c>
      <c r="O1071" s="279">
        <f t="shared" si="61"/>
        <v>0</v>
      </c>
      <c r="Q1071" s="293">
        <f t="shared" si="62"/>
        <v>0</v>
      </c>
      <c r="S1071" s="293">
        <f t="shared" si="63"/>
        <v>0</v>
      </c>
      <c r="U1071" s="385"/>
      <c r="V1071" s="385"/>
      <c r="W1071" s="385"/>
      <c r="X1071" s="385"/>
    </row>
    <row r="1072" spans="3:24" s="277" customFormat="1" x14ac:dyDescent="0.3">
      <c r="D1072" s="356" t="s">
        <v>835</v>
      </c>
      <c r="E1072" s="356"/>
      <c r="F1072" s="356"/>
      <c r="G1072" s="356"/>
      <c r="I1072" s="48">
        <v>0</v>
      </c>
      <c r="K1072" s="48">
        <v>0</v>
      </c>
      <c r="M1072" s="279">
        <f t="shared" si="60"/>
        <v>0</v>
      </c>
      <c r="O1072" s="279">
        <f t="shared" si="61"/>
        <v>0</v>
      </c>
      <c r="Q1072" s="293">
        <f t="shared" si="62"/>
        <v>0</v>
      </c>
      <c r="S1072" s="293">
        <f t="shared" si="63"/>
        <v>0</v>
      </c>
      <c r="U1072" s="385"/>
      <c r="V1072" s="385"/>
      <c r="W1072" s="385"/>
      <c r="X1072" s="385"/>
    </row>
    <row r="1073" spans="3:24" s="277" customFormat="1" x14ac:dyDescent="0.3">
      <c r="D1073" s="356" t="s">
        <v>836</v>
      </c>
      <c r="E1073" s="356"/>
      <c r="F1073" s="356"/>
      <c r="G1073" s="356"/>
      <c r="I1073" s="48">
        <v>0</v>
      </c>
      <c r="K1073" s="48">
        <v>0</v>
      </c>
      <c r="M1073" s="279">
        <f t="shared" si="60"/>
        <v>0</v>
      </c>
      <c r="O1073" s="279">
        <f t="shared" si="61"/>
        <v>0</v>
      </c>
      <c r="Q1073" s="293">
        <f t="shared" si="62"/>
        <v>0</v>
      </c>
      <c r="S1073" s="293">
        <f t="shared" si="63"/>
        <v>0</v>
      </c>
      <c r="U1073" s="385"/>
      <c r="V1073" s="385"/>
      <c r="W1073" s="385"/>
      <c r="X1073" s="385"/>
    </row>
    <row r="1074" spans="3:24" s="277" customFormat="1" x14ac:dyDescent="0.3">
      <c r="D1074" s="356" t="s">
        <v>837</v>
      </c>
      <c r="E1074" s="356"/>
      <c r="F1074" s="356"/>
      <c r="G1074" s="356"/>
      <c r="I1074" s="48">
        <v>0</v>
      </c>
      <c r="K1074" s="48">
        <v>0</v>
      </c>
      <c r="M1074" s="279">
        <f t="shared" si="60"/>
        <v>0</v>
      </c>
      <c r="O1074" s="279">
        <f t="shared" si="61"/>
        <v>0</v>
      </c>
      <c r="Q1074" s="293">
        <f t="shared" si="62"/>
        <v>0</v>
      </c>
      <c r="S1074" s="293">
        <f t="shared" si="63"/>
        <v>0</v>
      </c>
      <c r="U1074" s="385"/>
      <c r="V1074" s="385"/>
      <c r="W1074" s="385"/>
      <c r="X1074" s="385"/>
    </row>
    <row r="1075" spans="3:24" s="277" customFormat="1" x14ac:dyDescent="0.3">
      <c r="D1075" s="356" t="s">
        <v>846</v>
      </c>
      <c r="E1075" s="356"/>
      <c r="F1075" s="356"/>
      <c r="G1075" s="356"/>
      <c r="I1075" s="48">
        <v>0</v>
      </c>
      <c r="K1075" s="48">
        <v>0</v>
      </c>
      <c r="M1075" s="279">
        <f t="shared" si="60"/>
        <v>0</v>
      </c>
      <c r="O1075" s="279">
        <f t="shared" si="61"/>
        <v>0</v>
      </c>
      <c r="Q1075" s="293">
        <f t="shared" si="62"/>
        <v>0</v>
      </c>
      <c r="S1075" s="293">
        <f t="shared" si="63"/>
        <v>0</v>
      </c>
      <c r="U1075" s="385"/>
      <c r="V1075" s="385"/>
      <c r="W1075" s="385"/>
      <c r="X1075" s="385"/>
    </row>
    <row r="1076" spans="3:24" s="277" customFormat="1" x14ac:dyDescent="0.3">
      <c r="D1076" s="356" t="s">
        <v>847</v>
      </c>
      <c r="E1076" s="356"/>
      <c r="F1076" s="356"/>
      <c r="G1076" s="356"/>
      <c r="I1076" s="48">
        <v>0</v>
      </c>
      <c r="K1076" s="48">
        <v>0</v>
      </c>
      <c r="M1076" s="279">
        <f t="shared" si="60"/>
        <v>0</v>
      </c>
      <c r="O1076" s="279">
        <f t="shared" si="61"/>
        <v>0</v>
      </c>
      <c r="Q1076" s="293">
        <f t="shared" si="62"/>
        <v>0</v>
      </c>
      <c r="S1076" s="293">
        <f t="shared" si="63"/>
        <v>0</v>
      </c>
      <c r="U1076" s="385"/>
      <c r="V1076" s="385"/>
      <c r="W1076" s="385"/>
      <c r="X1076" s="385"/>
    </row>
    <row r="1077" spans="3:24" s="277" customFormat="1" x14ac:dyDescent="0.3">
      <c r="D1077" s="356" t="s">
        <v>848</v>
      </c>
      <c r="E1077" s="356"/>
      <c r="F1077" s="356"/>
      <c r="G1077" s="356"/>
      <c r="I1077" s="48">
        <v>0</v>
      </c>
      <c r="K1077" s="48">
        <v>0</v>
      </c>
      <c r="M1077" s="279">
        <f t="shared" si="60"/>
        <v>0</v>
      </c>
      <c r="O1077" s="279">
        <f t="shared" si="61"/>
        <v>0</v>
      </c>
      <c r="Q1077" s="293">
        <f t="shared" si="62"/>
        <v>0</v>
      </c>
      <c r="S1077" s="293">
        <f t="shared" si="63"/>
        <v>0</v>
      </c>
      <c r="U1077" s="385"/>
      <c r="V1077" s="385"/>
      <c r="W1077" s="385"/>
      <c r="X1077" s="385"/>
    </row>
    <row r="1078" spans="3:24" s="277" customFormat="1" x14ac:dyDescent="0.3">
      <c r="D1078" s="356" t="s">
        <v>849</v>
      </c>
      <c r="E1078" s="356"/>
      <c r="F1078" s="356"/>
      <c r="G1078" s="356"/>
      <c r="I1078" s="48">
        <v>0</v>
      </c>
      <c r="K1078" s="48">
        <v>0</v>
      </c>
      <c r="M1078" s="279">
        <f t="shared" si="60"/>
        <v>0</v>
      </c>
      <c r="O1078" s="279">
        <f t="shared" si="61"/>
        <v>0</v>
      </c>
      <c r="Q1078" s="293">
        <f t="shared" si="62"/>
        <v>0</v>
      </c>
      <c r="S1078" s="293">
        <f t="shared" si="63"/>
        <v>0</v>
      </c>
      <c r="U1078" s="385"/>
      <c r="V1078" s="385"/>
      <c r="W1078" s="385"/>
      <c r="X1078" s="385"/>
    </row>
    <row r="1079" spans="3:24" s="277" customFormat="1" x14ac:dyDescent="0.3">
      <c r="D1079" s="356" t="s">
        <v>971</v>
      </c>
      <c r="E1079" s="356"/>
      <c r="F1079" s="356"/>
      <c r="G1079" s="356"/>
      <c r="I1079" s="48">
        <v>0</v>
      </c>
      <c r="K1079" s="48">
        <v>0</v>
      </c>
      <c r="M1079" s="279">
        <f t="shared" si="60"/>
        <v>0</v>
      </c>
      <c r="O1079" s="279">
        <f t="shared" si="61"/>
        <v>0</v>
      </c>
      <c r="Q1079" s="293">
        <f t="shared" si="62"/>
        <v>0</v>
      </c>
      <c r="S1079" s="293">
        <f t="shared" si="63"/>
        <v>0</v>
      </c>
      <c r="U1079" s="385"/>
      <c r="V1079" s="385"/>
      <c r="W1079" s="385"/>
      <c r="X1079" s="385"/>
    </row>
    <row r="1080" spans="3:24" s="277" customFormat="1" x14ac:dyDescent="0.3">
      <c r="D1080" s="356" t="s">
        <v>973</v>
      </c>
      <c r="E1080" s="356"/>
      <c r="F1080" s="356"/>
      <c r="G1080" s="356"/>
      <c r="I1080" s="48">
        <v>0</v>
      </c>
      <c r="K1080" s="48">
        <v>0</v>
      </c>
      <c r="M1080" s="279">
        <f t="shared" si="60"/>
        <v>0</v>
      </c>
      <c r="O1080" s="279">
        <f t="shared" si="61"/>
        <v>0</v>
      </c>
      <c r="Q1080" s="293">
        <f t="shared" si="62"/>
        <v>0</v>
      </c>
      <c r="S1080" s="293">
        <f t="shared" si="63"/>
        <v>0</v>
      </c>
      <c r="U1080" s="385"/>
      <c r="V1080" s="385"/>
      <c r="W1080" s="385"/>
      <c r="X1080" s="385"/>
    </row>
    <row r="1081" spans="3:24" s="277" customFormat="1" x14ac:dyDescent="0.3">
      <c r="D1081" s="356" t="s">
        <v>974</v>
      </c>
      <c r="E1081" s="356"/>
      <c r="F1081" s="356"/>
      <c r="G1081" s="356"/>
      <c r="I1081" s="48">
        <v>0</v>
      </c>
      <c r="K1081" s="48">
        <v>0</v>
      </c>
      <c r="M1081" s="279">
        <f t="shared" si="60"/>
        <v>0</v>
      </c>
      <c r="O1081" s="279">
        <f t="shared" si="61"/>
        <v>0</v>
      </c>
      <c r="Q1081" s="293">
        <f t="shared" si="62"/>
        <v>0</v>
      </c>
      <c r="S1081" s="293">
        <f t="shared" si="63"/>
        <v>0</v>
      </c>
      <c r="U1081" s="385"/>
      <c r="V1081" s="385"/>
      <c r="W1081" s="385"/>
      <c r="X1081" s="385"/>
    </row>
    <row r="1082" spans="3:24" s="277" customFormat="1" x14ac:dyDescent="0.3">
      <c r="D1082" s="356" t="s">
        <v>975</v>
      </c>
      <c r="E1082" s="356"/>
      <c r="F1082" s="356"/>
      <c r="G1082" s="356"/>
      <c r="I1082" s="48">
        <v>0</v>
      </c>
      <c r="K1082" s="48">
        <v>0</v>
      </c>
      <c r="M1082" s="279">
        <f t="shared" si="60"/>
        <v>0</v>
      </c>
      <c r="O1082" s="279">
        <f t="shared" si="61"/>
        <v>0</v>
      </c>
      <c r="Q1082" s="293">
        <f t="shared" si="62"/>
        <v>0</v>
      </c>
      <c r="S1082" s="293">
        <f t="shared" si="63"/>
        <v>0</v>
      </c>
      <c r="U1082" s="385"/>
      <c r="V1082" s="385"/>
      <c r="W1082" s="385"/>
      <c r="X1082" s="385"/>
    </row>
    <row r="1083" spans="3:24" s="277" customFormat="1" x14ac:dyDescent="0.3">
      <c r="D1083" s="356" t="s">
        <v>976</v>
      </c>
      <c r="E1083" s="356"/>
      <c r="F1083" s="356"/>
      <c r="G1083" s="356"/>
      <c r="I1083" s="48">
        <v>0</v>
      </c>
      <c r="K1083" s="48">
        <v>0</v>
      </c>
      <c r="M1083" s="279">
        <f t="shared" si="60"/>
        <v>0</v>
      </c>
      <c r="O1083" s="279">
        <f t="shared" si="61"/>
        <v>0</v>
      </c>
      <c r="Q1083" s="293">
        <f t="shared" si="62"/>
        <v>0</v>
      </c>
      <c r="S1083" s="293">
        <f t="shared" si="63"/>
        <v>0</v>
      </c>
      <c r="U1083" s="385"/>
      <c r="V1083" s="385"/>
      <c r="W1083" s="385"/>
      <c r="X1083" s="385"/>
    </row>
    <row r="1084" spans="3:24" ht="14.4" x14ac:dyDescent="0.3">
      <c r="D1084" s="420" t="s">
        <v>79</v>
      </c>
      <c r="E1084" s="421"/>
      <c r="F1084" s="421"/>
      <c r="G1084" s="421"/>
      <c r="I1084" s="43"/>
      <c r="K1084" s="43"/>
      <c r="M1084" s="43"/>
      <c r="O1084" s="43"/>
      <c r="Q1084" s="294">
        <f>SUM(Q1059:Q1083)</f>
        <v>0</v>
      </c>
      <c r="S1084" s="294">
        <f>SUM(S1059:S1083)</f>
        <v>0</v>
      </c>
    </row>
    <row r="1086" spans="3:24" ht="15.6" x14ac:dyDescent="0.3">
      <c r="C1086" s="92" t="s">
        <v>164</v>
      </c>
    </row>
    <row r="1087" spans="3:24" ht="27.6" x14ac:dyDescent="0.3">
      <c r="D1087" s="90" t="s">
        <v>102</v>
      </c>
      <c r="I1087" s="91" t="s">
        <v>80</v>
      </c>
      <c r="K1087" s="91" t="s">
        <v>432</v>
      </c>
      <c r="M1087" s="42" t="s">
        <v>107</v>
      </c>
      <c r="O1087" s="42" t="s">
        <v>108</v>
      </c>
      <c r="Q1087" s="42" t="s">
        <v>105</v>
      </c>
      <c r="S1087" s="42" t="s">
        <v>106</v>
      </c>
      <c r="U1087" s="350" t="s">
        <v>185</v>
      </c>
      <c r="V1087" s="351"/>
      <c r="W1087" s="351"/>
      <c r="X1087" s="351"/>
    </row>
    <row r="1088" spans="3:24" x14ac:dyDescent="0.3">
      <c r="D1088" s="356" t="s">
        <v>109</v>
      </c>
      <c r="E1088" s="356"/>
      <c r="F1088" s="356"/>
      <c r="G1088" s="356"/>
      <c r="I1088" s="48">
        <v>0</v>
      </c>
      <c r="K1088" s="48">
        <v>0</v>
      </c>
      <c r="M1088" s="40">
        <f t="shared" ref="M1088:M1112" si="64">IFERROR(IF(DD_ACT_13_Meet1_Curr=1,INDEX($M$1253:$M$1287,MATCH(D1088,LU_ACT_13_Allowances,0)),INDEX($Q$1253:$Q$1287,MATCH(D1088,LU_ACT_13_Allowances,0))),0)</f>
        <v>0</v>
      </c>
      <c r="O1088" s="40">
        <f t="shared" ref="O1088:O1112" si="65">IFERROR(IF(DD_ACT_13_Meet1_Curr=1,INDEX($O$1253:$O$1287,MATCH(D1088,LU_ACT_13_Allowances,0)),INDEX($S$1253:$S$1287,MATCH(D1088,LU_ACT_13_Allowances,0))),0)</f>
        <v>0</v>
      </c>
      <c r="Q1088" s="293">
        <f t="shared" ref="Q1088:Q1112" si="66">I1088*K1088*M1088</f>
        <v>0</v>
      </c>
      <c r="S1088" s="293">
        <f t="shared" ref="S1088:S1112" si="67">I1088*K1088*O1088</f>
        <v>0</v>
      </c>
      <c r="U1088" s="356"/>
      <c r="V1088" s="356"/>
      <c r="W1088" s="356"/>
      <c r="X1088" s="356"/>
    </row>
    <row r="1089" spans="4:24" x14ac:dyDescent="0.3">
      <c r="D1089" s="356" t="s">
        <v>110</v>
      </c>
      <c r="E1089" s="356"/>
      <c r="F1089" s="356"/>
      <c r="G1089" s="356"/>
      <c r="I1089" s="48">
        <v>0</v>
      </c>
      <c r="K1089" s="48">
        <v>0</v>
      </c>
      <c r="M1089" s="40">
        <f t="shared" si="64"/>
        <v>0</v>
      </c>
      <c r="O1089" s="40">
        <f t="shared" si="65"/>
        <v>0</v>
      </c>
      <c r="Q1089" s="293">
        <f t="shared" si="66"/>
        <v>0</v>
      </c>
      <c r="S1089" s="293">
        <f t="shared" si="67"/>
        <v>0</v>
      </c>
      <c r="U1089" s="356"/>
      <c r="V1089" s="356"/>
      <c r="W1089" s="356"/>
      <c r="X1089" s="356"/>
    </row>
    <row r="1090" spans="4:24" x14ac:dyDescent="0.3">
      <c r="D1090" s="356" t="s">
        <v>111</v>
      </c>
      <c r="E1090" s="356"/>
      <c r="F1090" s="356"/>
      <c r="G1090" s="356"/>
      <c r="I1090" s="48">
        <v>0</v>
      </c>
      <c r="K1090" s="48">
        <v>0</v>
      </c>
      <c r="M1090" s="40">
        <f t="shared" si="64"/>
        <v>0</v>
      </c>
      <c r="O1090" s="40">
        <f t="shared" si="65"/>
        <v>0</v>
      </c>
      <c r="Q1090" s="293">
        <f t="shared" si="66"/>
        <v>0</v>
      </c>
      <c r="S1090" s="293">
        <f t="shared" si="67"/>
        <v>0</v>
      </c>
      <c r="U1090" s="356"/>
      <c r="V1090" s="356"/>
      <c r="W1090" s="356"/>
      <c r="X1090" s="356"/>
    </row>
    <row r="1091" spans="4:24" x14ac:dyDescent="0.3">
      <c r="D1091" s="356" t="s">
        <v>112</v>
      </c>
      <c r="E1091" s="356"/>
      <c r="F1091" s="356"/>
      <c r="G1091" s="356"/>
      <c r="I1091" s="48">
        <v>0</v>
      </c>
      <c r="K1091" s="48">
        <v>0</v>
      </c>
      <c r="M1091" s="40">
        <f t="shared" si="64"/>
        <v>0</v>
      </c>
      <c r="O1091" s="40">
        <f t="shared" si="65"/>
        <v>0</v>
      </c>
      <c r="Q1091" s="293">
        <f t="shared" si="66"/>
        <v>0</v>
      </c>
      <c r="S1091" s="293">
        <f t="shared" si="67"/>
        <v>0</v>
      </c>
      <c r="U1091" s="356"/>
      <c r="V1091" s="356"/>
      <c r="W1091" s="356"/>
      <c r="X1091" s="356"/>
    </row>
    <row r="1092" spans="4:24" x14ac:dyDescent="0.3">
      <c r="D1092" s="356" t="s">
        <v>113</v>
      </c>
      <c r="E1092" s="356"/>
      <c r="F1092" s="356"/>
      <c r="G1092" s="356"/>
      <c r="I1092" s="48">
        <v>0</v>
      </c>
      <c r="K1092" s="48">
        <v>0</v>
      </c>
      <c r="M1092" s="40">
        <f t="shared" si="64"/>
        <v>0</v>
      </c>
      <c r="O1092" s="40">
        <f t="shared" si="65"/>
        <v>0</v>
      </c>
      <c r="Q1092" s="293">
        <f t="shared" si="66"/>
        <v>0</v>
      </c>
      <c r="S1092" s="293">
        <f t="shared" si="67"/>
        <v>0</v>
      </c>
      <c r="U1092" s="356"/>
      <c r="V1092" s="356"/>
      <c r="W1092" s="356"/>
      <c r="X1092" s="356"/>
    </row>
    <row r="1093" spans="4:24" x14ac:dyDescent="0.3">
      <c r="D1093" s="356" t="s">
        <v>114</v>
      </c>
      <c r="E1093" s="356"/>
      <c r="F1093" s="356"/>
      <c r="G1093" s="356"/>
      <c r="I1093" s="48">
        <v>0</v>
      </c>
      <c r="K1093" s="48">
        <v>0</v>
      </c>
      <c r="M1093" s="40">
        <f t="shared" si="64"/>
        <v>0</v>
      </c>
      <c r="O1093" s="40">
        <f t="shared" si="65"/>
        <v>0</v>
      </c>
      <c r="Q1093" s="293">
        <f t="shared" si="66"/>
        <v>0</v>
      </c>
      <c r="S1093" s="293">
        <f t="shared" si="67"/>
        <v>0</v>
      </c>
      <c r="U1093" s="356"/>
      <c r="V1093" s="356"/>
      <c r="W1093" s="356"/>
      <c r="X1093" s="356"/>
    </row>
    <row r="1094" spans="4:24" x14ac:dyDescent="0.3">
      <c r="D1094" s="356" t="s">
        <v>115</v>
      </c>
      <c r="E1094" s="356"/>
      <c r="F1094" s="356"/>
      <c r="G1094" s="356"/>
      <c r="I1094" s="48">
        <v>0</v>
      </c>
      <c r="K1094" s="48">
        <v>0</v>
      </c>
      <c r="M1094" s="40">
        <f t="shared" si="64"/>
        <v>0</v>
      </c>
      <c r="O1094" s="40">
        <f t="shared" si="65"/>
        <v>0</v>
      </c>
      <c r="Q1094" s="293">
        <f t="shared" si="66"/>
        <v>0</v>
      </c>
      <c r="S1094" s="293">
        <f t="shared" si="67"/>
        <v>0</v>
      </c>
      <c r="U1094" s="356"/>
      <c r="V1094" s="356"/>
      <c r="W1094" s="356"/>
      <c r="X1094" s="356"/>
    </row>
    <row r="1095" spans="4:24" x14ac:dyDescent="0.3">
      <c r="D1095" s="356" t="s">
        <v>116</v>
      </c>
      <c r="E1095" s="356"/>
      <c r="F1095" s="356"/>
      <c r="G1095" s="356"/>
      <c r="I1095" s="48">
        <v>0</v>
      </c>
      <c r="K1095" s="48">
        <v>0</v>
      </c>
      <c r="M1095" s="40">
        <f t="shared" si="64"/>
        <v>0</v>
      </c>
      <c r="O1095" s="40">
        <f t="shared" si="65"/>
        <v>0</v>
      </c>
      <c r="Q1095" s="293">
        <f t="shared" si="66"/>
        <v>0</v>
      </c>
      <c r="S1095" s="293">
        <f t="shared" si="67"/>
        <v>0</v>
      </c>
      <c r="U1095" s="356"/>
      <c r="V1095" s="356"/>
      <c r="W1095" s="356"/>
      <c r="X1095" s="356"/>
    </row>
    <row r="1096" spans="4:24" s="277" customFormat="1" x14ac:dyDescent="0.3">
      <c r="D1096" s="356" t="s">
        <v>838</v>
      </c>
      <c r="E1096" s="356"/>
      <c r="F1096" s="356"/>
      <c r="G1096" s="356"/>
      <c r="I1096" s="48">
        <v>0</v>
      </c>
      <c r="K1096" s="48">
        <v>0</v>
      </c>
      <c r="M1096" s="279">
        <f t="shared" si="64"/>
        <v>0</v>
      </c>
      <c r="O1096" s="279">
        <f t="shared" si="65"/>
        <v>0</v>
      </c>
      <c r="Q1096" s="293">
        <f t="shared" si="66"/>
        <v>0</v>
      </c>
      <c r="S1096" s="293">
        <f t="shared" si="67"/>
        <v>0</v>
      </c>
      <c r="U1096" s="385"/>
      <c r="V1096" s="385"/>
      <c r="W1096" s="385"/>
      <c r="X1096" s="385"/>
    </row>
    <row r="1097" spans="4:24" s="277" customFormat="1" x14ac:dyDescent="0.3">
      <c r="D1097" s="356" t="s">
        <v>839</v>
      </c>
      <c r="E1097" s="356"/>
      <c r="F1097" s="356"/>
      <c r="G1097" s="356"/>
      <c r="I1097" s="48">
        <v>0</v>
      </c>
      <c r="K1097" s="48">
        <v>0</v>
      </c>
      <c r="M1097" s="279">
        <f t="shared" si="64"/>
        <v>0</v>
      </c>
      <c r="O1097" s="279">
        <f t="shared" si="65"/>
        <v>0</v>
      </c>
      <c r="Q1097" s="293">
        <f t="shared" si="66"/>
        <v>0</v>
      </c>
      <c r="S1097" s="293">
        <f t="shared" si="67"/>
        <v>0</v>
      </c>
      <c r="U1097" s="385"/>
      <c r="V1097" s="385"/>
      <c r="W1097" s="385"/>
      <c r="X1097" s="385"/>
    </row>
    <row r="1098" spans="4:24" s="277" customFormat="1" x14ac:dyDescent="0.3">
      <c r="D1098" s="356" t="s">
        <v>840</v>
      </c>
      <c r="E1098" s="356"/>
      <c r="F1098" s="356"/>
      <c r="G1098" s="356"/>
      <c r="I1098" s="48">
        <v>0</v>
      </c>
      <c r="K1098" s="48">
        <v>0</v>
      </c>
      <c r="M1098" s="279">
        <f t="shared" si="64"/>
        <v>0</v>
      </c>
      <c r="O1098" s="279">
        <f t="shared" si="65"/>
        <v>0</v>
      </c>
      <c r="Q1098" s="293">
        <f t="shared" si="66"/>
        <v>0</v>
      </c>
      <c r="S1098" s="293">
        <f t="shared" si="67"/>
        <v>0</v>
      </c>
      <c r="U1098" s="385"/>
      <c r="V1098" s="385"/>
      <c r="W1098" s="385"/>
      <c r="X1098" s="385"/>
    </row>
    <row r="1099" spans="4:24" s="277" customFormat="1" x14ac:dyDescent="0.3">
      <c r="D1099" s="356" t="s">
        <v>841</v>
      </c>
      <c r="E1099" s="356"/>
      <c r="F1099" s="356"/>
      <c r="G1099" s="356"/>
      <c r="I1099" s="48">
        <v>0</v>
      </c>
      <c r="K1099" s="48">
        <v>0</v>
      </c>
      <c r="M1099" s="279">
        <f t="shared" si="64"/>
        <v>0</v>
      </c>
      <c r="O1099" s="279">
        <f t="shared" si="65"/>
        <v>0</v>
      </c>
      <c r="Q1099" s="293">
        <f t="shared" si="66"/>
        <v>0</v>
      </c>
      <c r="S1099" s="293">
        <f t="shared" si="67"/>
        <v>0</v>
      </c>
      <c r="U1099" s="385"/>
      <c r="V1099" s="385"/>
      <c r="W1099" s="385"/>
      <c r="X1099" s="385"/>
    </row>
    <row r="1100" spans="4:24" s="277" customFormat="1" x14ac:dyDescent="0.3">
      <c r="D1100" s="356" t="s">
        <v>842</v>
      </c>
      <c r="E1100" s="356"/>
      <c r="F1100" s="356"/>
      <c r="G1100" s="356"/>
      <c r="I1100" s="48">
        <v>0</v>
      </c>
      <c r="K1100" s="48">
        <v>0</v>
      </c>
      <c r="M1100" s="279">
        <f t="shared" si="64"/>
        <v>0</v>
      </c>
      <c r="O1100" s="279">
        <f t="shared" si="65"/>
        <v>0</v>
      </c>
      <c r="Q1100" s="293">
        <f t="shared" si="66"/>
        <v>0</v>
      </c>
      <c r="S1100" s="293">
        <f t="shared" si="67"/>
        <v>0</v>
      </c>
      <c r="U1100" s="385"/>
      <c r="V1100" s="385"/>
      <c r="W1100" s="385"/>
      <c r="X1100" s="385"/>
    </row>
    <row r="1101" spans="4:24" s="277" customFormat="1" x14ac:dyDescent="0.3">
      <c r="D1101" s="356" t="s">
        <v>843</v>
      </c>
      <c r="E1101" s="356"/>
      <c r="F1101" s="356"/>
      <c r="G1101" s="356"/>
      <c r="I1101" s="48">
        <v>0</v>
      </c>
      <c r="K1101" s="48">
        <v>0</v>
      </c>
      <c r="M1101" s="279">
        <f t="shared" si="64"/>
        <v>0</v>
      </c>
      <c r="O1101" s="279">
        <f t="shared" si="65"/>
        <v>0</v>
      </c>
      <c r="Q1101" s="293">
        <f t="shared" si="66"/>
        <v>0</v>
      </c>
      <c r="S1101" s="293">
        <f t="shared" si="67"/>
        <v>0</v>
      </c>
      <c r="U1101" s="385"/>
      <c r="V1101" s="385"/>
      <c r="W1101" s="385"/>
      <c r="X1101" s="385"/>
    </row>
    <row r="1102" spans="4:24" s="277" customFormat="1" x14ac:dyDescent="0.3">
      <c r="D1102" s="356" t="s">
        <v>844</v>
      </c>
      <c r="E1102" s="356"/>
      <c r="F1102" s="356"/>
      <c r="G1102" s="356"/>
      <c r="I1102" s="48">
        <v>0</v>
      </c>
      <c r="K1102" s="48">
        <v>0</v>
      </c>
      <c r="M1102" s="279">
        <f t="shared" si="64"/>
        <v>0</v>
      </c>
      <c r="O1102" s="279">
        <f t="shared" si="65"/>
        <v>0</v>
      </c>
      <c r="Q1102" s="293">
        <f t="shared" si="66"/>
        <v>0</v>
      </c>
      <c r="S1102" s="293">
        <f t="shared" si="67"/>
        <v>0</v>
      </c>
      <c r="U1102" s="385"/>
      <c r="V1102" s="385"/>
      <c r="W1102" s="385"/>
      <c r="X1102" s="385"/>
    </row>
    <row r="1103" spans="4:24" s="277" customFormat="1" x14ac:dyDescent="0.3">
      <c r="D1103" s="356" t="s">
        <v>845</v>
      </c>
      <c r="E1103" s="356"/>
      <c r="F1103" s="356"/>
      <c r="G1103" s="356"/>
      <c r="I1103" s="48">
        <v>0</v>
      </c>
      <c r="K1103" s="48">
        <v>0</v>
      </c>
      <c r="M1103" s="279">
        <f t="shared" si="64"/>
        <v>0</v>
      </c>
      <c r="O1103" s="279">
        <f t="shared" si="65"/>
        <v>0</v>
      </c>
      <c r="Q1103" s="293">
        <f t="shared" si="66"/>
        <v>0</v>
      </c>
      <c r="S1103" s="293">
        <f t="shared" si="67"/>
        <v>0</v>
      </c>
      <c r="U1103" s="385"/>
      <c r="V1103" s="385"/>
      <c r="W1103" s="385"/>
      <c r="X1103" s="385"/>
    </row>
    <row r="1104" spans="4:24" s="277" customFormat="1" x14ac:dyDescent="0.3">
      <c r="D1104" s="356" t="s">
        <v>850</v>
      </c>
      <c r="E1104" s="356"/>
      <c r="F1104" s="356"/>
      <c r="G1104" s="356"/>
      <c r="I1104" s="48">
        <v>0</v>
      </c>
      <c r="K1104" s="48">
        <v>0</v>
      </c>
      <c r="M1104" s="279">
        <f t="shared" si="64"/>
        <v>0</v>
      </c>
      <c r="O1104" s="279">
        <f t="shared" si="65"/>
        <v>0</v>
      </c>
      <c r="Q1104" s="293">
        <f t="shared" si="66"/>
        <v>0</v>
      </c>
      <c r="S1104" s="293">
        <f t="shared" si="67"/>
        <v>0</v>
      </c>
      <c r="U1104" s="385"/>
      <c r="V1104" s="385"/>
      <c r="W1104" s="385"/>
      <c r="X1104" s="385"/>
    </row>
    <row r="1105" spans="3:24" s="277" customFormat="1" x14ac:dyDescent="0.3">
      <c r="D1105" s="356" t="s">
        <v>851</v>
      </c>
      <c r="E1105" s="356"/>
      <c r="F1105" s="356"/>
      <c r="G1105" s="356"/>
      <c r="I1105" s="48">
        <v>0</v>
      </c>
      <c r="K1105" s="48">
        <v>0</v>
      </c>
      <c r="M1105" s="279">
        <f t="shared" si="64"/>
        <v>0</v>
      </c>
      <c r="O1105" s="279">
        <f t="shared" si="65"/>
        <v>0</v>
      </c>
      <c r="Q1105" s="293">
        <f t="shared" si="66"/>
        <v>0</v>
      </c>
      <c r="S1105" s="293">
        <f t="shared" si="67"/>
        <v>0</v>
      </c>
      <c r="U1105" s="385"/>
      <c r="V1105" s="385"/>
      <c r="W1105" s="385"/>
      <c r="X1105" s="385"/>
    </row>
    <row r="1106" spans="3:24" s="277" customFormat="1" x14ac:dyDescent="0.3">
      <c r="D1106" s="356" t="s">
        <v>852</v>
      </c>
      <c r="E1106" s="356"/>
      <c r="F1106" s="356"/>
      <c r="G1106" s="356"/>
      <c r="I1106" s="48">
        <v>0</v>
      </c>
      <c r="K1106" s="48">
        <v>0</v>
      </c>
      <c r="M1106" s="279">
        <f t="shared" si="64"/>
        <v>0</v>
      </c>
      <c r="O1106" s="279">
        <f t="shared" si="65"/>
        <v>0</v>
      </c>
      <c r="Q1106" s="293">
        <f t="shared" si="66"/>
        <v>0</v>
      </c>
      <c r="S1106" s="293">
        <f t="shared" si="67"/>
        <v>0</v>
      </c>
      <c r="U1106" s="385"/>
      <c r="V1106" s="385"/>
      <c r="W1106" s="385"/>
      <c r="X1106" s="385"/>
    </row>
    <row r="1107" spans="3:24" s="277" customFormat="1" x14ac:dyDescent="0.3">
      <c r="D1107" s="356" t="s">
        <v>853</v>
      </c>
      <c r="E1107" s="356"/>
      <c r="F1107" s="356"/>
      <c r="G1107" s="356"/>
      <c r="I1107" s="48">
        <v>0</v>
      </c>
      <c r="K1107" s="48">
        <v>0</v>
      </c>
      <c r="M1107" s="279">
        <f t="shared" si="64"/>
        <v>0</v>
      </c>
      <c r="O1107" s="279">
        <f t="shared" si="65"/>
        <v>0</v>
      </c>
      <c r="Q1107" s="293">
        <f t="shared" si="66"/>
        <v>0</v>
      </c>
      <c r="S1107" s="293">
        <f t="shared" si="67"/>
        <v>0</v>
      </c>
      <c r="U1107" s="385"/>
      <c r="V1107" s="385"/>
      <c r="W1107" s="385"/>
      <c r="X1107" s="385"/>
    </row>
    <row r="1108" spans="3:24" s="277" customFormat="1" x14ac:dyDescent="0.3">
      <c r="D1108" s="356" t="s">
        <v>972</v>
      </c>
      <c r="E1108" s="356"/>
      <c r="F1108" s="356"/>
      <c r="G1108" s="356"/>
      <c r="I1108" s="48">
        <v>0</v>
      </c>
      <c r="K1108" s="48">
        <v>0</v>
      </c>
      <c r="M1108" s="279">
        <f t="shared" si="64"/>
        <v>0</v>
      </c>
      <c r="O1108" s="279">
        <f t="shared" si="65"/>
        <v>0</v>
      </c>
      <c r="Q1108" s="293">
        <f t="shared" si="66"/>
        <v>0</v>
      </c>
      <c r="S1108" s="293">
        <f t="shared" si="67"/>
        <v>0</v>
      </c>
      <c r="U1108" s="385"/>
      <c r="V1108" s="385"/>
      <c r="W1108" s="385"/>
      <c r="X1108" s="385"/>
    </row>
    <row r="1109" spans="3:24" s="277" customFormat="1" x14ac:dyDescent="0.3">
      <c r="D1109" s="356" t="s">
        <v>977</v>
      </c>
      <c r="E1109" s="356"/>
      <c r="F1109" s="356"/>
      <c r="G1109" s="356"/>
      <c r="I1109" s="48">
        <v>0</v>
      </c>
      <c r="K1109" s="48">
        <v>0</v>
      </c>
      <c r="M1109" s="279">
        <f t="shared" si="64"/>
        <v>0</v>
      </c>
      <c r="O1109" s="279">
        <f t="shared" si="65"/>
        <v>0</v>
      </c>
      <c r="Q1109" s="293">
        <f t="shared" si="66"/>
        <v>0</v>
      </c>
      <c r="S1109" s="293">
        <f t="shared" si="67"/>
        <v>0</v>
      </c>
      <c r="U1109" s="385"/>
      <c r="V1109" s="385"/>
      <c r="W1109" s="385"/>
      <c r="X1109" s="385"/>
    </row>
    <row r="1110" spans="3:24" s="277" customFormat="1" x14ac:dyDescent="0.3">
      <c r="D1110" s="356" t="s">
        <v>978</v>
      </c>
      <c r="E1110" s="356"/>
      <c r="F1110" s="356"/>
      <c r="G1110" s="356"/>
      <c r="I1110" s="48">
        <v>0</v>
      </c>
      <c r="K1110" s="48">
        <v>0</v>
      </c>
      <c r="M1110" s="279">
        <f t="shared" si="64"/>
        <v>0</v>
      </c>
      <c r="O1110" s="279">
        <f t="shared" si="65"/>
        <v>0</v>
      </c>
      <c r="Q1110" s="293">
        <f t="shared" si="66"/>
        <v>0</v>
      </c>
      <c r="S1110" s="293">
        <f t="shared" si="67"/>
        <v>0</v>
      </c>
      <c r="U1110" s="385"/>
      <c r="V1110" s="385"/>
      <c r="W1110" s="385"/>
      <c r="X1110" s="385"/>
    </row>
    <row r="1111" spans="3:24" s="277" customFormat="1" x14ac:dyDescent="0.3">
      <c r="D1111" s="356" t="s">
        <v>979</v>
      </c>
      <c r="E1111" s="356"/>
      <c r="F1111" s="356"/>
      <c r="G1111" s="356"/>
      <c r="I1111" s="48">
        <v>0</v>
      </c>
      <c r="K1111" s="48">
        <v>0</v>
      </c>
      <c r="M1111" s="279">
        <f t="shared" si="64"/>
        <v>0</v>
      </c>
      <c r="O1111" s="279">
        <f t="shared" si="65"/>
        <v>0</v>
      </c>
      <c r="Q1111" s="293">
        <f t="shared" si="66"/>
        <v>0</v>
      </c>
      <c r="S1111" s="293">
        <f t="shared" si="67"/>
        <v>0</v>
      </c>
      <c r="U1111" s="385"/>
      <c r="V1111" s="385"/>
      <c r="W1111" s="385"/>
      <c r="X1111" s="385"/>
    </row>
    <row r="1112" spans="3:24" s="277" customFormat="1" x14ac:dyDescent="0.3">
      <c r="D1112" s="356" t="s">
        <v>980</v>
      </c>
      <c r="E1112" s="356"/>
      <c r="F1112" s="356"/>
      <c r="G1112" s="356"/>
      <c r="I1112" s="48">
        <v>0</v>
      </c>
      <c r="K1112" s="48">
        <v>0</v>
      </c>
      <c r="M1112" s="279">
        <f t="shared" si="64"/>
        <v>0</v>
      </c>
      <c r="O1112" s="279">
        <f t="shared" si="65"/>
        <v>0</v>
      </c>
      <c r="Q1112" s="293">
        <f t="shared" si="66"/>
        <v>0</v>
      </c>
      <c r="S1112" s="293">
        <f t="shared" si="67"/>
        <v>0</v>
      </c>
      <c r="U1112" s="385"/>
      <c r="V1112" s="385"/>
      <c r="W1112" s="385"/>
      <c r="X1112" s="385"/>
    </row>
    <row r="1113" spans="3:24" ht="14.4" x14ac:dyDescent="0.3">
      <c r="D1113" s="420" t="s">
        <v>82</v>
      </c>
      <c r="E1113" s="421"/>
      <c r="F1113" s="421"/>
      <c r="G1113" s="421"/>
      <c r="I1113" s="43"/>
      <c r="K1113" s="43"/>
      <c r="M1113" s="43"/>
      <c r="O1113" s="43"/>
      <c r="Q1113" s="294">
        <f>SUM(Q1088:Q1112)</f>
        <v>0</v>
      </c>
      <c r="S1113" s="294">
        <f>SUM(S1088:S1112)</f>
        <v>0</v>
      </c>
    </row>
    <row r="1117" spans="3:24" ht="15.6" x14ac:dyDescent="0.3">
      <c r="C1117" s="92" t="s">
        <v>84</v>
      </c>
    </row>
    <row r="1118" spans="3:24" ht="27.6" x14ac:dyDescent="0.3">
      <c r="D1118" s="90" t="s">
        <v>102</v>
      </c>
      <c r="I1118" s="91" t="s">
        <v>87</v>
      </c>
      <c r="K1118" s="91" t="s">
        <v>432</v>
      </c>
      <c r="M1118" s="42" t="s">
        <v>107</v>
      </c>
      <c r="O1118" s="42" t="s">
        <v>108</v>
      </c>
      <c r="Q1118" s="42" t="s">
        <v>105</v>
      </c>
      <c r="S1118" s="42" t="s">
        <v>106</v>
      </c>
      <c r="U1118" s="350" t="s">
        <v>185</v>
      </c>
      <c r="V1118" s="351"/>
      <c r="W1118" s="351"/>
      <c r="X1118" s="351"/>
    </row>
    <row r="1119" spans="3:24" x14ac:dyDescent="0.3">
      <c r="D1119" s="356" t="s">
        <v>892</v>
      </c>
      <c r="E1119" s="356"/>
      <c r="F1119" s="356"/>
      <c r="G1119" s="356"/>
      <c r="I1119" s="48">
        <v>0</v>
      </c>
      <c r="K1119" s="48">
        <v>0</v>
      </c>
      <c r="M1119" s="40">
        <f t="shared" ref="M1119:M1143" si="68">IFERROR(IF(DD_ACT_13_Meet1_Curr=1,INDEX($M$1291:$M$1325,MATCH(D1119,LU_ACT_13_Supplies,0)),INDEX($Q$1291:$Q$1325,MATCH(D1119,LU_ACT_13_Supplies,0))),0)</f>
        <v>0</v>
      </c>
      <c r="O1119" s="40">
        <f t="shared" ref="O1119:O1143" si="69">IFERROR(IF(DD_ACT_13_Meet1_Curr=1,INDEX($O$1291:$O$1325,MATCH(D1119,LU_ACT_13_Supplies,0)),INDEX($S$1291:$S$1325,MATCH(D1119,LU_ACT_13_Supplies,0))),0)</f>
        <v>0</v>
      </c>
      <c r="Q1119" s="295">
        <f t="shared" ref="Q1119:Q1143" si="70">I1119*K1119*M1119</f>
        <v>0</v>
      </c>
      <c r="S1119" s="293">
        <f t="shared" ref="S1119:S1143" si="71">I1119*K1119*O1119</f>
        <v>0</v>
      </c>
      <c r="U1119" s="356"/>
      <c r="V1119" s="356"/>
      <c r="W1119" s="356"/>
      <c r="X1119" s="356"/>
    </row>
    <row r="1120" spans="3:24" x14ac:dyDescent="0.3">
      <c r="D1120" s="356" t="s">
        <v>893</v>
      </c>
      <c r="E1120" s="356"/>
      <c r="F1120" s="356"/>
      <c r="G1120" s="356"/>
      <c r="I1120" s="48">
        <v>0</v>
      </c>
      <c r="K1120" s="48">
        <v>0</v>
      </c>
      <c r="M1120" s="40">
        <f t="shared" si="68"/>
        <v>0</v>
      </c>
      <c r="O1120" s="40">
        <f t="shared" si="69"/>
        <v>0</v>
      </c>
      <c r="Q1120" s="295">
        <f t="shared" si="70"/>
        <v>0</v>
      </c>
      <c r="S1120" s="293">
        <f t="shared" si="71"/>
        <v>0</v>
      </c>
      <c r="U1120" s="356"/>
      <c r="V1120" s="356"/>
      <c r="W1120" s="356"/>
      <c r="X1120" s="356"/>
    </row>
    <row r="1121" spans="4:24" s="277" customFormat="1" x14ac:dyDescent="0.3">
      <c r="D1121" s="356" t="s">
        <v>854</v>
      </c>
      <c r="E1121" s="356"/>
      <c r="F1121" s="356"/>
      <c r="G1121" s="356"/>
      <c r="I1121" s="48">
        <v>0</v>
      </c>
      <c r="K1121" s="48">
        <v>0</v>
      </c>
      <c r="M1121" s="279">
        <f t="shared" si="68"/>
        <v>0</v>
      </c>
      <c r="O1121" s="279">
        <f t="shared" si="69"/>
        <v>0</v>
      </c>
      <c r="Q1121" s="295">
        <f t="shared" si="70"/>
        <v>0</v>
      </c>
      <c r="S1121" s="293">
        <f t="shared" si="71"/>
        <v>0</v>
      </c>
      <c r="U1121" s="385"/>
      <c r="V1121" s="385"/>
      <c r="W1121" s="385"/>
      <c r="X1121" s="385"/>
    </row>
    <row r="1122" spans="4:24" s="277" customFormat="1" x14ac:dyDescent="0.3">
      <c r="D1122" s="356" t="s">
        <v>855</v>
      </c>
      <c r="E1122" s="356"/>
      <c r="F1122" s="356"/>
      <c r="G1122" s="356"/>
      <c r="I1122" s="48">
        <v>0</v>
      </c>
      <c r="K1122" s="48">
        <v>0</v>
      </c>
      <c r="M1122" s="279">
        <f t="shared" si="68"/>
        <v>0</v>
      </c>
      <c r="O1122" s="279">
        <f t="shared" si="69"/>
        <v>0</v>
      </c>
      <c r="Q1122" s="295">
        <f t="shared" si="70"/>
        <v>0</v>
      </c>
      <c r="S1122" s="293">
        <f t="shared" si="71"/>
        <v>0</v>
      </c>
      <c r="U1122" s="385"/>
      <c r="V1122" s="385"/>
      <c r="W1122" s="385"/>
      <c r="X1122" s="385"/>
    </row>
    <row r="1123" spans="4:24" s="277" customFormat="1" x14ac:dyDescent="0.3">
      <c r="D1123" s="356" t="s">
        <v>856</v>
      </c>
      <c r="E1123" s="356"/>
      <c r="F1123" s="356"/>
      <c r="G1123" s="356"/>
      <c r="I1123" s="48">
        <v>0</v>
      </c>
      <c r="K1123" s="48">
        <v>0</v>
      </c>
      <c r="M1123" s="279">
        <f t="shared" si="68"/>
        <v>0</v>
      </c>
      <c r="O1123" s="279">
        <f t="shared" si="69"/>
        <v>0</v>
      </c>
      <c r="Q1123" s="295">
        <f t="shared" si="70"/>
        <v>0</v>
      </c>
      <c r="S1123" s="293">
        <f t="shared" si="71"/>
        <v>0</v>
      </c>
      <c r="U1123" s="385"/>
      <c r="V1123" s="385"/>
      <c r="W1123" s="385"/>
      <c r="X1123" s="385"/>
    </row>
    <row r="1124" spans="4:24" s="277" customFormat="1" x14ac:dyDescent="0.3">
      <c r="D1124" s="356" t="s">
        <v>857</v>
      </c>
      <c r="E1124" s="356"/>
      <c r="F1124" s="356"/>
      <c r="G1124" s="356"/>
      <c r="I1124" s="48">
        <v>0</v>
      </c>
      <c r="K1124" s="48">
        <v>0</v>
      </c>
      <c r="M1124" s="279">
        <f t="shared" si="68"/>
        <v>0</v>
      </c>
      <c r="O1124" s="279">
        <f t="shared" si="69"/>
        <v>0</v>
      </c>
      <c r="Q1124" s="295">
        <f t="shared" si="70"/>
        <v>0</v>
      </c>
      <c r="S1124" s="293">
        <f t="shared" si="71"/>
        <v>0</v>
      </c>
      <c r="U1124" s="385"/>
      <c r="V1124" s="385"/>
      <c r="W1124" s="385"/>
      <c r="X1124" s="385"/>
    </row>
    <row r="1125" spans="4:24" s="277" customFormat="1" x14ac:dyDescent="0.3">
      <c r="D1125" s="356" t="s">
        <v>858</v>
      </c>
      <c r="E1125" s="356"/>
      <c r="F1125" s="356"/>
      <c r="G1125" s="356"/>
      <c r="I1125" s="48">
        <v>0</v>
      </c>
      <c r="K1125" s="48">
        <v>0</v>
      </c>
      <c r="M1125" s="279">
        <f t="shared" si="68"/>
        <v>0</v>
      </c>
      <c r="O1125" s="279">
        <f t="shared" si="69"/>
        <v>0</v>
      </c>
      <c r="Q1125" s="295">
        <f t="shared" si="70"/>
        <v>0</v>
      </c>
      <c r="S1125" s="293">
        <f t="shared" si="71"/>
        <v>0</v>
      </c>
      <c r="U1125" s="385"/>
      <c r="V1125" s="385"/>
      <c r="W1125" s="385"/>
      <c r="X1125" s="385"/>
    </row>
    <row r="1126" spans="4:24" s="277" customFormat="1" x14ac:dyDescent="0.3">
      <c r="D1126" s="356" t="s">
        <v>859</v>
      </c>
      <c r="E1126" s="356"/>
      <c r="F1126" s="356"/>
      <c r="G1126" s="356"/>
      <c r="I1126" s="48">
        <v>0</v>
      </c>
      <c r="K1126" s="48">
        <v>0</v>
      </c>
      <c r="M1126" s="279">
        <f t="shared" si="68"/>
        <v>0</v>
      </c>
      <c r="O1126" s="279">
        <f t="shared" si="69"/>
        <v>0</v>
      </c>
      <c r="Q1126" s="295">
        <f t="shared" si="70"/>
        <v>0</v>
      </c>
      <c r="S1126" s="293">
        <f t="shared" si="71"/>
        <v>0</v>
      </c>
      <c r="U1126" s="385"/>
      <c r="V1126" s="385"/>
      <c r="W1126" s="385"/>
      <c r="X1126" s="385"/>
    </row>
    <row r="1127" spans="4:24" s="277" customFormat="1" x14ac:dyDescent="0.3">
      <c r="D1127" s="356" t="s">
        <v>860</v>
      </c>
      <c r="E1127" s="356"/>
      <c r="F1127" s="356"/>
      <c r="G1127" s="356"/>
      <c r="I1127" s="48">
        <v>0</v>
      </c>
      <c r="K1127" s="48">
        <v>0</v>
      </c>
      <c r="M1127" s="279">
        <f t="shared" si="68"/>
        <v>0</v>
      </c>
      <c r="O1127" s="279">
        <f t="shared" si="69"/>
        <v>0</v>
      </c>
      <c r="Q1127" s="295">
        <f t="shared" si="70"/>
        <v>0</v>
      </c>
      <c r="S1127" s="293">
        <f t="shared" si="71"/>
        <v>0</v>
      </c>
      <c r="U1127" s="385"/>
      <c r="V1127" s="385"/>
      <c r="W1127" s="385"/>
      <c r="X1127" s="385"/>
    </row>
    <row r="1128" spans="4:24" s="277" customFormat="1" x14ac:dyDescent="0.3">
      <c r="D1128" s="356" t="s">
        <v>861</v>
      </c>
      <c r="E1128" s="356"/>
      <c r="F1128" s="356"/>
      <c r="G1128" s="356"/>
      <c r="I1128" s="48">
        <v>0</v>
      </c>
      <c r="K1128" s="48">
        <v>0</v>
      </c>
      <c r="M1128" s="279">
        <f t="shared" si="68"/>
        <v>0</v>
      </c>
      <c r="O1128" s="279">
        <f t="shared" si="69"/>
        <v>0</v>
      </c>
      <c r="Q1128" s="295">
        <f t="shared" si="70"/>
        <v>0</v>
      </c>
      <c r="S1128" s="293">
        <f t="shared" si="71"/>
        <v>0</v>
      </c>
      <c r="U1128" s="385"/>
      <c r="V1128" s="385"/>
      <c r="W1128" s="385"/>
      <c r="X1128" s="385"/>
    </row>
    <row r="1129" spans="4:24" s="277" customFormat="1" x14ac:dyDescent="0.3">
      <c r="D1129" s="356" t="s">
        <v>862</v>
      </c>
      <c r="E1129" s="356"/>
      <c r="F1129" s="356"/>
      <c r="G1129" s="356"/>
      <c r="I1129" s="48">
        <v>0</v>
      </c>
      <c r="K1129" s="48">
        <v>0</v>
      </c>
      <c r="M1129" s="279">
        <f t="shared" si="68"/>
        <v>0</v>
      </c>
      <c r="O1129" s="279">
        <f t="shared" si="69"/>
        <v>0</v>
      </c>
      <c r="Q1129" s="295">
        <f t="shared" si="70"/>
        <v>0</v>
      </c>
      <c r="S1129" s="293">
        <f t="shared" si="71"/>
        <v>0</v>
      </c>
      <c r="U1129" s="385"/>
      <c r="V1129" s="385"/>
      <c r="W1129" s="385"/>
      <c r="X1129" s="385"/>
    </row>
    <row r="1130" spans="4:24" s="277" customFormat="1" x14ac:dyDescent="0.3">
      <c r="D1130" s="356" t="s">
        <v>863</v>
      </c>
      <c r="E1130" s="356"/>
      <c r="F1130" s="356"/>
      <c r="G1130" s="356"/>
      <c r="I1130" s="48">
        <v>0</v>
      </c>
      <c r="K1130" s="48">
        <v>0</v>
      </c>
      <c r="M1130" s="279">
        <f t="shared" si="68"/>
        <v>0</v>
      </c>
      <c r="O1130" s="279">
        <f t="shared" si="69"/>
        <v>0</v>
      </c>
      <c r="Q1130" s="295">
        <f t="shared" si="70"/>
        <v>0</v>
      </c>
      <c r="S1130" s="293">
        <f t="shared" si="71"/>
        <v>0</v>
      </c>
      <c r="U1130" s="385"/>
      <c r="V1130" s="385"/>
      <c r="W1130" s="385"/>
      <c r="X1130" s="385"/>
    </row>
    <row r="1131" spans="4:24" s="277" customFormat="1" x14ac:dyDescent="0.3">
      <c r="D1131" s="356" t="s">
        <v>864</v>
      </c>
      <c r="E1131" s="356"/>
      <c r="F1131" s="356"/>
      <c r="G1131" s="356"/>
      <c r="I1131" s="48">
        <v>0</v>
      </c>
      <c r="K1131" s="48">
        <v>0</v>
      </c>
      <c r="M1131" s="279">
        <f t="shared" si="68"/>
        <v>0</v>
      </c>
      <c r="O1131" s="279">
        <f t="shared" si="69"/>
        <v>0</v>
      </c>
      <c r="Q1131" s="295">
        <f t="shared" si="70"/>
        <v>0</v>
      </c>
      <c r="S1131" s="293">
        <f t="shared" si="71"/>
        <v>0</v>
      </c>
      <c r="U1131" s="385"/>
      <c r="V1131" s="385"/>
      <c r="W1131" s="385"/>
      <c r="X1131" s="385"/>
    </row>
    <row r="1132" spans="4:24" s="277" customFormat="1" x14ac:dyDescent="0.3">
      <c r="D1132" s="356" t="s">
        <v>865</v>
      </c>
      <c r="E1132" s="356"/>
      <c r="F1132" s="356"/>
      <c r="G1132" s="356"/>
      <c r="I1132" s="48">
        <v>0</v>
      </c>
      <c r="K1132" s="48">
        <v>0</v>
      </c>
      <c r="M1132" s="279">
        <f t="shared" si="68"/>
        <v>0</v>
      </c>
      <c r="O1132" s="279">
        <f t="shared" si="69"/>
        <v>0</v>
      </c>
      <c r="Q1132" s="295">
        <f t="shared" si="70"/>
        <v>0</v>
      </c>
      <c r="S1132" s="293">
        <f t="shared" si="71"/>
        <v>0</v>
      </c>
      <c r="U1132" s="385"/>
      <c r="V1132" s="385"/>
      <c r="W1132" s="385"/>
      <c r="X1132" s="385"/>
    </row>
    <row r="1133" spans="4:24" s="277" customFormat="1" x14ac:dyDescent="0.3">
      <c r="D1133" s="356" t="s">
        <v>866</v>
      </c>
      <c r="E1133" s="356"/>
      <c r="F1133" s="356"/>
      <c r="G1133" s="356"/>
      <c r="I1133" s="48">
        <v>0</v>
      </c>
      <c r="K1133" s="48">
        <v>0</v>
      </c>
      <c r="M1133" s="279">
        <f t="shared" si="68"/>
        <v>0</v>
      </c>
      <c r="O1133" s="279">
        <f t="shared" si="69"/>
        <v>0</v>
      </c>
      <c r="Q1133" s="295">
        <f t="shared" si="70"/>
        <v>0</v>
      </c>
      <c r="S1133" s="293">
        <f t="shared" si="71"/>
        <v>0</v>
      </c>
      <c r="U1133" s="385"/>
      <c r="V1133" s="385"/>
      <c r="W1133" s="385"/>
      <c r="X1133" s="385"/>
    </row>
    <row r="1134" spans="4:24" s="277" customFormat="1" x14ac:dyDescent="0.3">
      <c r="D1134" s="356" t="s">
        <v>867</v>
      </c>
      <c r="E1134" s="356"/>
      <c r="F1134" s="356"/>
      <c r="G1134" s="356"/>
      <c r="I1134" s="48">
        <v>0</v>
      </c>
      <c r="K1134" s="48">
        <v>0</v>
      </c>
      <c r="M1134" s="279">
        <f t="shared" si="68"/>
        <v>0</v>
      </c>
      <c r="O1134" s="279">
        <f t="shared" si="69"/>
        <v>0</v>
      </c>
      <c r="Q1134" s="295">
        <f t="shared" si="70"/>
        <v>0</v>
      </c>
      <c r="S1134" s="293">
        <f t="shared" si="71"/>
        <v>0</v>
      </c>
      <c r="U1134" s="385"/>
      <c r="V1134" s="385"/>
      <c r="W1134" s="385"/>
      <c r="X1134" s="385"/>
    </row>
    <row r="1135" spans="4:24" s="277" customFormat="1" x14ac:dyDescent="0.3">
      <c r="D1135" s="356" t="s">
        <v>868</v>
      </c>
      <c r="E1135" s="356"/>
      <c r="F1135" s="356"/>
      <c r="G1135" s="356"/>
      <c r="I1135" s="48">
        <v>0</v>
      </c>
      <c r="K1135" s="48">
        <v>0</v>
      </c>
      <c r="M1135" s="279">
        <f t="shared" si="68"/>
        <v>0</v>
      </c>
      <c r="O1135" s="279">
        <f t="shared" si="69"/>
        <v>0</v>
      </c>
      <c r="Q1135" s="295">
        <f t="shared" si="70"/>
        <v>0</v>
      </c>
      <c r="S1135" s="293">
        <f t="shared" si="71"/>
        <v>0</v>
      </c>
      <c r="U1135" s="385"/>
      <c r="V1135" s="385"/>
      <c r="W1135" s="385"/>
      <c r="X1135" s="385"/>
    </row>
    <row r="1136" spans="4:24" s="277" customFormat="1" x14ac:dyDescent="0.3">
      <c r="D1136" s="356" t="s">
        <v>869</v>
      </c>
      <c r="E1136" s="356"/>
      <c r="F1136" s="356"/>
      <c r="G1136" s="356"/>
      <c r="I1136" s="48">
        <v>0</v>
      </c>
      <c r="K1136" s="48">
        <v>0</v>
      </c>
      <c r="M1136" s="279">
        <f t="shared" si="68"/>
        <v>0</v>
      </c>
      <c r="O1136" s="279">
        <f t="shared" si="69"/>
        <v>0</v>
      </c>
      <c r="Q1136" s="295">
        <f t="shared" si="70"/>
        <v>0</v>
      </c>
      <c r="S1136" s="293">
        <f t="shared" si="71"/>
        <v>0</v>
      </c>
      <c r="U1136" s="385"/>
      <c r="V1136" s="385"/>
      <c r="W1136" s="385"/>
      <c r="X1136" s="385"/>
    </row>
    <row r="1137" spans="3:24" s="277" customFormat="1" x14ac:dyDescent="0.3">
      <c r="D1137" s="356" t="s">
        <v>870</v>
      </c>
      <c r="E1137" s="356"/>
      <c r="F1137" s="356"/>
      <c r="G1137" s="356"/>
      <c r="I1137" s="48">
        <v>0</v>
      </c>
      <c r="K1137" s="48">
        <v>0</v>
      </c>
      <c r="M1137" s="279">
        <f t="shared" si="68"/>
        <v>0</v>
      </c>
      <c r="O1137" s="279">
        <f t="shared" si="69"/>
        <v>0</v>
      </c>
      <c r="Q1137" s="295">
        <f t="shared" si="70"/>
        <v>0</v>
      </c>
      <c r="S1137" s="293">
        <f t="shared" si="71"/>
        <v>0</v>
      </c>
      <c r="U1137" s="385"/>
      <c r="V1137" s="385"/>
      <c r="W1137" s="385"/>
      <c r="X1137" s="385"/>
    </row>
    <row r="1138" spans="3:24" s="277" customFormat="1" x14ac:dyDescent="0.3">
      <c r="D1138" s="356" t="s">
        <v>871</v>
      </c>
      <c r="E1138" s="356"/>
      <c r="F1138" s="356"/>
      <c r="G1138" s="356"/>
      <c r="I1138" s="48">
        <v>0</v>
      </c>
      <c r="K1138" s="48">
        <v>0</v>
      </c>
      <c r="M1138" s="279">
        <f t="shared" si="68"/>
        <v>0</v>
      </c>
      <c r="O1138" s="279">
        <f t="shared" si="69"/>
        <v>0</v>
      </c>
      <c r="Q1138" s="295">
        <f t="shared" si="70"/>
        <v>0</v>
      </c>
      <c r="S1138" s="293">
        <f t="shared" si="71"/>
        <v>0</v>
      </c>
      <c r="U1138" s="385"/>
      <c r="V1138" s="385"/>
      <c r="W1138" s="385"/>
      <c r="X1138" s="385"/>
    </row>
    <row r="1139" spans="3:24" s="277" customFormat="1" x14ac:dyDescent="0.3">
      <c r="D1139" s="356" t="s">
        <v>981</v>
      </c>
      <c r="E1139" s="356"/>
      <c r="F1139" s="356"/>
      <c r="G1139" s="356"/>
      <c r="I1139" s="48">
        <v>0</v>
      </c>
      <c r="K1139" s="48">
        <v>0</v>
      </c>
      <c r="M1139" s="279">
        <f t="shared" si="68"/>
        <v>0</v>
      </c>
      <c r="O1139" s="279">
        <f t="shared" si="69"/>
        <v>0</v>
      </c>
      <c r="Q1139" s="295">
        <f t="shared" si="70"/>
        <v>0</v>
      </c>
      <c r="S1139" s="293">
        <f t="shared" si="71"/>
        <v>0</v>
      </c>
      <c r="U1139" s="385"/>
      <c r="V1139" s="385"/>
      <c r="W1139" s="385"/>
      <c r="X1139" s="385"/>
    </row>
    <row r="1140" spans="3:24" s="277" customFormat="1" x14ac:dyDescent="0.3">
      <c r="D1140" s="356" t="s">
        <v>982</v>
      </c>
      <c r="E1140" s="356"/>
      <c r="F1140" s="356"/>
      <c r="G1140" s="356"/>
      <c r="I1140" s="48">
        <v>0</v>
      </c>
      <c r="K1140" s="48">
        <v>0</v>
      </c>
      <c r="M1140" s="279">
        <f t="shared" si="68"/>
        <v>0</v>
      </c>
      <c r="O1140" s="279">
        <f t="shared" si="69"/>
        <v>0</v>
      </c>
      <c r="Q1140" s="295">
        <f t="shared" si="70"/>
        <v>0</v>
      </c>
      <c r="S1140" s="293">
        <f t="shared" si="71"/>
        <v>0</v>
      </c>
      <c r="U1140" s="385"/>
      <c r="V1140" s="385"/>
      <c r="W1140" s="385"/>
      <c r="X1140" s="385"/>
    </row>
    <row r="1141" spans="3:24" s="277" customFormat="1" x14ac:dyDescent="0.3">
      <c r="D1141" s="356" t="s">
        <v>983</v>
      </c>
      <c r="E1141" s="356"/>
      <c r="F1141" s="356"/>
      <c r="G1141" s="356"/>
      <c r="I1141" s="48">
        <v>0</v>
      </c>
      <c r="K1141" s="48">
        <v>0</v>
      </c>
      <c r="M1141" s="279">
        <f t="shared" si="68"/>
        <v>0</v>
      </c>
      <c r="O1141" s="279">
        <f t="shared" si="69"/>
        <v>0</v>
      </c>
      <c r="Q1141" s="295">
        <f t="shared" si="70"/>
        <v>0</v>
      </c>
      <c r="S1141" s="293">
        <f t="shared" si="71"/>
        <v>0</v>
      </c>
      <c r="U1141" s="385"/>
      <c r="V1141" s="385"/>
      <c r="W1141" s="385"/>
      <c r="X1141" s="385"/>
    </row>
    <row r="1142" spans="3:24" s="277" customFormat="1" x14ac:dyDescent="0.3">
      <c r="D1142" s="356" t="s">
        <v>984</v>
      </c>
      <c r="E1142" s="356"/>
      <c r="F1142" s="356"/>
      <c r="G1142" s="356"/>
      <c r="I1142" s="48">
        <v>0</v>
      </c>
      <c r="K1142" s="48">
        <v>0</v>
      </c>
      <c r="M1142" s="279">
        <f t="shared" si="68"/>
        <v>0</v>
      </c>
      <c r="O1142" s="279">
        <f t="shared" si="69"/>
        <v>0</v>
      </c>
      <c r="Q1142" s="295">
        <f t="shared" si="70"/>
        <v>0</v>
      </c>
      <c r="S1142" s="293">
        <f t="shared" si="71"/>
        <v>0</v>
      </c>
      <c r="U1142" s="385"/>
      <c r="V1142" s="385"/>
      <c r="W1142" s="385"/>
      <c r="X1142" s="385"/>
    </row>
    <row r="1143" spans="3:24" s="277" customFormat="1" x14ac:dyDescent="0.3">
      <c r="D1143" s="356" t="s">
        <v>985</v>
      </c>
      <c r="E1143" s="356"/>
      <c r="F1143" s="356"/>
      <c r="G1143" s="356"/>
      <c r="I1143" s="48">
        <v>0</v>
      </c>
      <c r="K1143" s="48">
        <v>0</v>
      </c>
      <c r="M1143" s="279">
        <f t="shared" si="68"/>
        <v>0</v>
      </c>
      <c r="O1143" s="279">
        <f t="shared" si="69"/>
        <v>0</v>
      </c>
      <c r="Q1143" s="295">
        <f t="shared" si="70"/>
        <v>0</v>
      </c>
      <c r="S1143" s="293">
        <f t="shared" si="71"/>
        <v>0</v>
      </c>
      <c r="U1143" s="385"/>
      <c r="V1143" s="385"/>
      <c r="W1143" s="385"/>
      <c r="X1143" s="385"/>
    </row>
    <row r="1144" spans="3:24" ht="14.4" x14ac:dyDescent="0.3">
      <c r="D1144" s="420" t="s">
        <v>85</v>
      </c>
      <c r="E1144" s="421"/>
      <c r="F1144" s="421"/>
      <c r="G1144" s="421"/>
      <c r="I1144" s="43"/>
      <c r="K1144" s="43"/>
      <c r="M1144" s="43"/>
      <c r="O1144" s="43"/>
      <c r="Q1144" s="296">
        <f>SUM(Q1119:Q1143)</f>
        <v>0</v>
      </c>
      <c r="S1144" s="294">
        <f>SUM(S1119:S1143)</f>
        <v>0</v>
      </c>
      <c r="U1144" s="43"/>
      <c r="V1144" s="43"/>
      <c r="W1144" s="43"/>
      <c r="X1144" s="43"/>
    </row>
    <row r="1146" spans="3:24" ht="27.6" x14ac:dyDescent="0.3">
      <c r="C1146" s="92" t="s">
        <v>130</v>
      </c>
      <c r="Q1146" s="44" t="str">
        <f>"FINANCIAL COST ("&amp;INDEX(LU_ACT_13_Meet_Curr,DD_ACT_13_Meet1_Curr)&amp;")"</f>
        <v>FINANCIAL COST (GOZ)</v>
      </c>
      <c r="S1146" s="44" t="str">
        <f>"ECONOMIC COST ("&amp;INDEX(LU_ACT_13_Meet_Curr,DD_ACT_13_Meet1_Curr)&amp;")"</f>
        <v>ECONOMIC COST (GOZ)</v>
      </c>
    </row>
    <row r="1147" spans="3:24" ht="14.4" x14ac:dyDescent="0.3">
      <c r="D1147" s="90" t="s">
        <v>86</v>
      </c>
      <c r="I1147" s="91" t="s">
        <v>186</v>
      </c>
      <c r="M1147" s="91" t="s">
        <v>81</v>
      </c>
      <c r="O1147" s="91" t="s">
        <v>83</v>
      </c>
      <c r="U1147" s="350" t="s">
        <v>185</v>
      </c>
      <c r="V1147" s="351"/>
      <c r="W1147" s="351"/>
      <c r="X1147" s="351"/>
    </row>
    <row r="1148" spans="3:24" x14ac:dyDescent="0.3">
      <c r="D1148" s="356" t="s">
        <v>70</v>
      </c>
      <c r="E1148" s="356"/>
      <c r="F1148" s="356"/>
      <c r="G1148" s="356"/>
      <c r="I1148" s="48">
        <v>0</v>
      </c>
      <c r="M1148" s="40">
        <f t="shared" ref="M1148:M1172" si="72">IFERROR(IF(DD_ACT_13_Meet1_Curr=1,INDEX($M$1328:$M$1362,MATCH(D1148,LU_ACT_13_Equipment,0)),INDEX($Q$1328:$Q$1362,MATCH(D1148,LU_ACT_13_Equipment,0))),0)</f>
        <v>0</v>
      </c>
      <c r="O1148" s="40">
        <f t="shared" ref="O1148:O1172" si="73">IFERROR(IF(DD_ACT_13_Meet1_Curr=1,INDEX($O$1328:$O$1362,MATCH(D1148,LU_ACT_13_Equipment,0)),INDEX($S$1328:$S$1362,MATCH(D1148,LU_ACT_13_Equipment,0))),0)</f>
        <v>0</v>
      </c>
      <c r="Q1148" s="279">
        <f t="shared" ref="Q1148:Q1172" si="74">I1148*M1148</f>
        <v>0</v>
      </c>
      <c r="S1148" s="279">
        <f t="shared" ref="S1148:S1172" si="75">I1148*O1148</f>
        <v>0</v>
      </c>
      <c r="U1148" s="356"/>
      <c r="V1148" s="356"/>
      <c r="W1148" s="356"/>
      <c r="X1148" s="356"/>
    </row>
    <row r="1149" spans="3:24" x14ac:dyDescent="0.3">
      <c r="D1149" s="356" t="s">
        <v>122</v>
      </c>
      <c r="E1149" s="356"/>
      <c r="F1149" s="356"/>
      <c r="G1149" s="356"/>
      <c r="I1149" s="48">
        <v>0</v>
      </c>
      <c r="M1149" s="40">
        <f t="shared" si="72"/>
        <v>0</v>
      </c>
      <c r="O1149" s="40">
        <f t="shared" si="73"/>
        <v>0</v>
      </c>
      <c r="Q1149" s="279">
        <f t="shared" si="74"/>
        <v>0</v>
      </c>
      <c r="S1149" s="279">
        <f t="shared" si="75"/>
        <v>0</v>
      </c>
      <c r="U1149" s="356"/>
      <c r="V1149" s="356"/>
      <c r="W1149" s="356"/>
      <c r="X1149" s="356"/>
    </row>
    <row r="1150" spans="3:24" s="277" customFormat="1" x14ac:dyDescent="0.3">
      <c r="D1150" s="356" t="s">
        <v>872</v>
      </c>
      <c r="E1150" s="356"/>
      <c r="F1150" s="356"/>
      <c r="G1150" s="356"/>
      <c r="I1150" s="48">
        <v>0</v>
      </c>
      <c r="M1150" s="279">
        <f t="shared" si="72"/>
        <v>0</v>
      </c>
      <c r="O1150" s="279">
        <f t="shared" si="73"/>
        <v>0</v>
      </c>
      <c r="Q1150" s="279">
        <f t="shared" si="74"/>
        <v>0</v>
      </c>
      <c r="S1150" s="279">
        <f t="shared" si="75"/>
        <v>0</v>
      </c>
      <c r="U1150" s="385"/>
      <c r="V1150" s="385"/>
      <c r="W1150" s="385"/>
      <c r="X1150" s="385"/>
    </row>
    <row r="1151" spans="3:24" s="277" customFormat="1" x14ac:dyDescent="0.3">
      <c r="D1151" s="356" t="s">
        <v>873</v>
      </c>
      <c r="E1151" s="356"/>
      <c r="F1151" s="356"/>
      <c r="G1151" s="356"/>
      <c r="I1151" s="48">
        <v>0</v>
      </c>
      <c r="M1151" s="279">
        <f t="shared" si="72"/>
        <v>0</v>
      </c>
      <c r="O1151" s="279">
        <f t="shared" si="73"/>
        <v>0</v>
      </c>
      <c r="Q1151" s="279">
        <f t="shared" si="74"/>
        <v>0</v>
      </c>
      <c r="S1151" s="279">
        <f t="shared" si="75"/>
        <v>0</v>
      </c>
      <c r="U1151" s="385"/>
      <c r="V1151" s="385"/>
      <c r="W1151" s="385"/>
      <c r="X1151" s="385"/>
    </row>
    <row r="1152" spans="3:24" s="277" customFormat="1" x14ac:dyDescent="0.3">
      <c r="D1152" s="356" t="s">
        <v>874</v>
      </c>
      <c r="E1152" s="356"/>
      <c r="F1152" s="356"/>
      <c r="G1152" s="356"/>
      <c r="I1152" s="48">
        <v>0</v>
      </c>
      <c r="M1152" s="279">
        <f t="shared" si="72"/>
        <v>0</v>
      </c>
      <c r="O1152" s="279">
        <f t="shared" si="73"/>
        <v>0</v>
      </c>
      <c r="Q1152" s="279">
        <f t="shared" si="74"/>
        <v>0</v>
      </c>
      <c r="S1152" s="279">
        <f t="shared" si="75"/>
        <v>0</v>
      </c>
      <c r="U1152" s="385"/>
      <c r="V1152" s="385"/>
      <c r="W1152" s="385"/>
      <c r="X1152" s="385"/>
    </row>
    <row r="1153" spans="4:24" s="277" customFormat="1" x14ac:dyDescent="0.3">
      <c r="D1153" s="356" t="s">
        <v>875</v>
      </c>
      <c r="E1153" s="356"/>
      <c r="F1153" s="356"/>
      <c r="G1153" s="356"/>
      <c r="I1153" s="48">
        <v>0</v>
      </c>
      <c r="M1153" s="279">
        <f t="shared" si="72"/>
        <v>0</v>
      </c>
      <c r="O1153" s="279">
        <f t="shared" si="73"/>
        <v>0</v>
      </c>
      <c r="Q1153" s="279">
        <f t="shared" si="74"/>
        <v>0</v>
      </c>
      <c r="S1153" s="279">
        <f t="shared" si="75"/>
        <v>0</v>
      </c>
      <c r="U1153" s="385"/>
      <c r="V1153" s="385"/>
      <c r="W1153" s="385"/>
      <c r="X1153" s="385"/>
    </row>
    <row r="1154" spans="4:24" s="277" customFormat="1" x14ac:dyDescent="0.3">
      <c r="D1154" s="356" t="s">
        <v>778</v>
      </c>
      <c r="E1154" s="356"/>
      <c r="F1154" s="356"/>
      <c r="G1154" s="356"/>
      <c r="I1154" s="48">
        <v>0</v>
      </c>
      <c r="M1154" s="279">
        <f t="shared" si="72"/>
        <v>0</v>
      </c>
      <c r="O1154" s="279">
        <f t="shared" si="73"/>
        <v>0</v>
      </c>
      <c r="Q1154" s="279">
        <f t="shared" si="74"/>
        <v>0</v>
      </c>
      <c r="S1154" s="279">
        <f t="shared" si="75"/>
        <v>0</v>
      </c>
      <c r="U1154" s="385"/>
      <c r="V1154" s="385"/>
      <c r="W1154" s="385"/>
      <c r="X1154" s="385"/>
    </row>
    <row r="1155" spans="4:24" s="277" customFormat="1" x14ac:dyDescent="0.3">
      <c r="D1155" s="356" t="s">
        <v>779</v>
      </c>
      <c r="E1155" s="356"/>
      <c r="F1155" s="356"/>
      <c r="G1155" s="356"/>
      <c r="I1155" s="48">
        <v>0</v>
      </c>
      <c r="M1155" s="279">
        <f t="shared" si="72"/>
        <v>0</v>
      </c>
      <c r="O1155" s="279">
        <f t="shared" si="73"/>
        <v>0</v>
      </c>
      <c r="Q1155" s="279">
        <f t="shared" si="74"/>
        <v>0</v>
      </c>
      <c r="S1155" s="279">
        <f t="shared" si="75"/>
        <v>0</v>
      </c>
      <c r="U1155" s="385"/>
      <c r="V1155" s="385"/>
      <c r="W1155" s="385"/>
      <c r="X1155" s="385"/>
    </row>
    <row r="1156" spans="4:24" s="277" customFormat="1" x14ac:dyDescent="0.3">
      <c r="D1156" s="356" t="s">
        <v>780</v>
      </c>
      <c r="E1156" s="356"/>
      <c r="F1156" s="356"/>
      <c r="G1156" s="356"/>
      <c r="I1156" s="48">
        <v>0</v>
      </c>
      <c r="M1156" s="279">
        <f t="shared" si="72"/>
        <v>0</v>
      </c>
      <c r="O1156" s="279">
        <f t="shared" si="73"/>
        <v>0</v>
      </c>
      <c r="Q1156" s="279">
        <f t="shared" si="74"/>
        <v>0</v>
      </c>
      <c r="S1156" s="279">
        <f t="shared" si="75"/>
        <v>0</v>
      </c>
      <c r="U1156" s="385"/>
      <c r="V1156" s="385"/>
      <c r="W1156" s="385"/>
      <c r="X1156" s="385"/>
    </row>
    <row r="1157" spans="4:24" s="277" customFormat="1" x14ac:dyDescent="0.3">
      <c r="D1157" s="356" t="s">
        <v>781</v>
      </c>
      <c r="E1157" s="356"/>
      <c r="F1157" s="356"/>
      <c r="G1157" s="356"/>
      <c r="I1157" s="48">
        <v>0</v>
      </c>
      <c r="M1157" s="279">
        <f t="shared" si="72"/>
        <v>0</v>
      </c>
      <c r="O1157" s="279">
        <f t="shared" si="73"/>
        <v>0</v>
      </c>
      <c r="Q1157" s="279">
        <f t="shared" si="74"/>
        <v>0</v>
      </c>
      <c r="S1157" s="279">
        <f t="shared" si="75"/>
        <v>0</v>
      </c>
      <c r="U1157" s="385"/>
      <c r="V1157" s="385"/>
      <c r="W1157" s="385"/>
      <c r="X1157" s="385"/>
    </row>
    <row r="1158" spans="4:24" s="277" customFormat="1" x14ac:dyDescent="0.3">
      <c r="D1158" s="356" t="s">
        <v>782</v>
      </c>
      <c r="E1158" s="356"/>
      <c r="F1158" s="356"/>
      <c r="G1158" s="356"/>
      <c r="I1158" s="48">
        <v>0</v>
      </c>
      <c r="M1158" s="279">
        <f t="shared" si="72"/>
        <v>0</v>
      </c>
      <c r="O1158" s="279">
        <f t="shared" si="73"/>
        <v>0</v>
      </c>
      <c r="Q1158" s="279">
        <f t="shared" si="74"/>
        <v>0</v>
      </c>
      <c r="S1158" s="279">
        <f t="shared" si="75"/>
        <v>0</v>
      </c>
      <c r="U1158" s="385"/>
      <c r="V1158" s="385"/>
      <c r="W1158" s="385"/>
      <c r="X1158" s="385"/>
    </row>
    <row r="1159" spans="4:24" s="277" customFormat="1" x14ac:dyDescent="0.3">
      <c r="D1159" s="356" t="s">
        <v>783</v>
      </c>
      <c r="E1159" s="356"/>
      <c r="F1159" s="356"/>
      <c r="G1159" s="356"/>
      <c r="I1159" s="48">
        <v>0</v>
      </c>
      <c r="M1159" s="279">
        <f t="shared" si="72"/>
        <v>0</v>
      </c>
      <c r="O1159" s="279">
        <f t="shared" si="73"/>
        <v>0</v>
      </c>
      <c r="Q1159" s="279">
        <f t="shared" si="74"/>
        <v>0</v>
      </c>
      <c r="S1159" s="279">
        <f t="shared" si="75"/>
        <v>0</v>
      </c>
      <c r="U1159" s="385"/>
      <c r="V1159" s="385"/>
      <c r="W1159" s="385"/>
      <c r="X1159" s="385"/>
    </row>
    <row r="1160" spans="4:24" s="277" customFormat="1" x14ac:dyDescent="0.3">
      <c r="D1160" s="356" t="s">
        <v>784</v>
      </c>
      <c r="E1160" s="356"/>
      <c r="F1160" s="356"/>
      <c r="G1160" s="356"/>
      <c r="I1160" s="48">
        <v>0</v>
      </c>
      <c r="M1160" s="279">
        <f t="shared" si="72"/>
        <v>0</v>
      </c>
      <c r="O1160" s="279">
        <f t="shared" si="73"/>
        <v>0</v>
      </c>
      <c r="Q1160" s="279">
        <f t="shared" si="74"/>
        <v>0</v>
      </c>
      <c r="S1160" s="279">
        <f t="shared" si="75"/>
        <v>0</v>
      </c>
      <c r="U1160" s="385"/>
      <c r="V1160" s="385"/>
      <c r="W1160" s="385"/>
      <c r="X1160" s="385"/>
    </row>
    <row r="1161" spans="4:24" s="277" customFormat="1" x14ac:dyDescent="0.3">
      <c r="D1161" s="356" t="s">
        <v>785</v>
      </c>
      <c r="E1161" s="356"/>
      <c r="F1161" s="356"/>
      <c r="G1161" s="356"/>
      <c r="I1161" s="48">
        <v>0</v>
      </c>
      <c r="M1161" s="279">
        <f t="shared" si="72"/>
        <v>0</v>
      </c>
      <c r="O1161" s="279">
        <f t="shared" si="73"/>
        <v>0</v>
      </c>
      <c r="Q1161" s="279">
        <f t="shared" si="74"/>
        <v>0</v>
      </c>
      <c r="S1161" s="279">
        <f t="shared" si="75"/>
        <v>0</v>
      </c>
      <c r="U1161" s="385"/>
      <c r="V1161" s="385"/>
      <c r="W1161" s="385"/>
      <c r="X1161" s="385"/>
    </row>
    <row r="1162" spans="4:24" s="277" customFormat="1" x14ac:dyDescent="0.3">
      <c r="D1162" s="356" t="s">
        <v>786</v>
      </c>
      <c r="E1162" s="356"/>
      <c r="F1162" s="356"/>
      <c r="G1162" s="356"/>
      <c r="I1162" s="48">
        <v>0</v>
      </c>
      <c r="M1162" s="279">
        <f t="shared" si="72"/>
        <v>0</v>
      </c>
      <c r="O1162" s="279">
        <f t="shared" si="73"/>
        <v>0</v>
      </c>
      <c r="Q1162" s="279">
        <f t="shared" si="74"/>
        <v>0</v>
      </c>
      <c r="S1162" s="279">
        <f t="shared" si="75"/>
        <v>0</v>
      </c>
      <c r="U1162" s="385"/>
      <c r="V1162" s="385"/>
      <c r="W1162" s="385"/>
      <c r="X1162" s="385"/>
    </row>
    <row r="1163" spans="4:24" s="277" customFormat="1" x14ac:dyDescent="0.3">
      <c r="D1163" s="356" t="s">
        <v>787</v>
      </c>
      <c r="E1163" s="356"/>
      <c r="F1163" s="356"/>
      <c r="G1163" s="356"/>
      <c r="I1163" s="48">
        <v>0</v>
      </c>
      <c r="M1163" s="279">
        <f t="shared" si="72"/>
        <v>0</v>
      </c>
      <c r="O1163" s="279">
        <f t="shared" si="73"/>
        <v>0</v>
      </c>
      <c r="Q1163" s="279">
        <f t="shared" si="74"/>
        <v>0</v>
      </c>
      <c r="S1163" s="279">
        <f t="shared" si="75"/>
        <v>0</v>
      </c>
      <c r="U1163" s="385"/>
      <c r="V1163" s="385"/>
      <c r="W1163" s="385"/>
      <c r="X1163" s="385"/>
    </row>
    <row r="1164" spans="4:24" s="277" customFormat="1" x14ac:dyDescent="0.3">
      <c r="D1164" s="356" t="s">
        <v>788</v>
      </c>
      <c r="E1164" s="356"/>
      <c r="F1164" s="356"/>
      <c r="G1164" s="356"/>
      <c r="I1164" s="48">
        <v>0</v>
      </c>
      <c r="M1164" s="279">
        <f t="shared" si="72"/>
        <v>0</v>
      </c>
      <c r="O1164" s="279">
        <f t="shared" si="73"/>
        <v>0</v>
      </c>
      <c r="Q1164" s="279">
        <f t="shared" si="74"/>
        <v>0</v>
      </c>
      <c r="S1164" s="279">
        <f t="shared" si="75"/>
        <v>0</v>
      </c>
      <c r="U1164" s="385"/>
      <c r="V1164" s="385"/>
      <c r="W1164" s="385"/>
      <c r="X1164" s="385"/>
    </row>
    <row r="1165" spans="4:24" s="277" customFormat="1" x14ac:dyDescent="0.3">
      <c r="D1165" s="356" t="s">
        <v>789</v>
      </c>
      <c r="E1165" s="356"/>
      <c r="F1165" s="356"/>
      <c r="G1165" s="356"/>
      <c r="I1165" s="48">
        <v>0</v>
      </c>
      <c r="M1165" s="279">
        <f t="shared" si="72"/>
        <v>0</v>
      </c>
      <c r="O1165" s="279">
        <f t="shared" si="73"/>
        <v>0</v>
      </c>
      <c r="Q1165" s="279">
        <f t="shared" si="74"/>
        <v>0</v>
      </c>
      <c r="S1165" s="279">
        <f t="shared" si="75"/>
        <v>0</v>
      </c>
      <c r="U1165" s="385"/>
      <c r="V1165" s="385"/>
      <c r="W1165" s="385"/>
      <c r="X1165" s="385"/>
    </row>
    <row r="1166" spans="4:24" s="277" customFormat="1" x14ac:dyDescent="0.3">
      <c r="D1166" s="356" t="s">
        <v>790</v>
      </c>
      <c r="E1166" s="356"/>
      <c r="F1166" s="356"/>
      <c r="G1166" s="356"/>
      <c r="I1166" s="48">
        <v>0</v>
      </c>
      <c r="M1166" s="279">
        <f t="shared" si="72"/>
        <v>0</v>
      </c>
      <c r="O1166" s="279">
        <f t="shared" si="73"/>
        <v>0</v>
      </c>
      <c r="Q1166" s="279">
        <f t="shared" si="74"/>
        <v>0</v>
      </c>
      <c r="S1166" s="279">
        <f t="shared" si="75"/>
        <v>0</v>
      </c>
      <c r="U1166" s="385"/>
      <c r="V1166" s="385"/>
      <c r="W1166" s="385"/>
      <c r="X1166" s="385"/>
    </row>
    <row r="1167" spans="4:24" s="277" customFormat="1" x14ac:dyDescent="0.3">
      <c r="D1167" s="356" t="s">
        <v>791</v>
      </c>
      <c r="E1167" s="356"/>
      <c r="F1167" s="356"/>
      <c r="G1167" s="356"/>
      <c r="I1167" s="48">
        <v>0</v>
      </c>
      <c r="M1167" s="279">
        <f t="shared" si="72"/>
        <v>0</v>
      </c>
      <c r="O1167" s="279">
        <f t="shared" si="73"/>
        <v>0</v>
      </c>
      <c r="Q1167" s="279">
        <f t="shared" si="74"/>
        <v>0</v>
      </c>
      <c r="S1167" s="279">
        <f t="shared" si="75"/>
        <v>0</v>
      </c>
      <c r="U1167" s="385"/>
      <c r="V1167" s="385"/>
      <c r="W1167" s="385"/>
      <c r="X1167" s="385"/>
    </row>
    <row r="1168" spans="4:24" s="277" customFormat="1" x14ac:dyDescent="0.3">
      <c r="D1168" s="356" t="s">
        <v>792</v>
      </c>
      <c r="E1168" s="356"/>
      <c r="F1168" s="356"/>
      <c r="G1168" s="356"/>
      <c r="I1168" s="48">
        <v>0</v>
      </c>
      <c r="M1168" s="279">
        <f t="shared" si="72"/>
        <v>0</v>
      </c>
      <c r="O1168" s="279">
        <f t="shared" si="73"/>
        <v>0</v>
      </c>
      <c r="Q1168" s="279">
        <f t="shared" si="74"/>
        <v>0</v>
      </c>
      <c r="S1168" s="279">
        <f t="shared" si="75"/>
        <v>0</v>
      </c>
      <c r="U1168" s="385"/>
      <c r="V1168" s="385"/>
      <c r="W1168" s="385"/>
      <c r="X1168" s="385"/>
    </row>
    <row r="1169" spans="3:24" s="277" customFormat="1" x14ac:dyDescent="0.3">
      <c r="D1169" s="356" t="s">
        <v>793</v>
      </c>
      <c r="E1169" s="356"/>
      <c r="F1169" s="356"/>
      <c r="G1169" s="356"/>
      <c r="I1169" s="48">
        <v>0</v>
      </c>
      <c r="M1169" s="279">
        <f t="shared" si="72"/>
        <v>0</v>
      </c>
      <c r="O1169" s="279">
        <f t="shared" si="73"/>
        <v>0</v>
      </c>
      <c r="Q1169" s="279">
        <f t="shared" si="74"/>
        <v>0</v>
      </c>
      <c r="S1169" s="279">
        <f t="shared" si="75"/>
        <v>0</v>
      </c>
      <c r="U1169" s="385"/>
      <c r="V1169" s="385"/>
      <c r="W1169" s="385"/>
      <c r="X1169" s="385"/>
    </row>
    <row r="1170" spans="3:24" s="277" customFormat="1" x14ac:dyDescent="0.3">
      <c r="D1170" s="356" t="s">
        <v>794</v>
      </c>
      <c r="E1170" s="356"/>
      <c r="F1170" s="356"/>
      <c r="G1170" s="356"/>
      <c r="I1170" s="48">
        <v>0</v>
      </c>
      <c r="M1170" s="279">
        <f t="shared" si="72"/>
        <v>0</v>
      </c>
      <c r="O1170" s="279">
        <f t="shared" si="73"/>
        <v>0</v>
      </c>
      <c r="Q1170" s="279">
        <f t="shared" si="74"/>
        <v>0</v>
      </c>
      <c r="S1170" s="279">
        <f t="shared" si="75"/>
        <v>0</v>
      </c>
      <c r="U1170" s="385"/>
      <c r="V1170" s="385"/>
      <c r="W1170" s="385"/>
      <c r="X1170" s="385"/>
    </row>
    <row r="1171" spans="3:24" s="277" customFormat="1" x14ac:dyDescent="0.3">
      <c r="D1171" s="356" t="s">
        <v>795</v>
      </c>
      <c r="E1171" s="356"/>
      <c r="F1171" s="356"/>
      <c r="G1171" s="356"/>
      <c r="I1171" s="48">
        <v>0</v>
      </c>
      <c r="M1171" s="279">
        <f t="shared" si="72"/>
        <v>0</v>
      </c>
      <c r="O1171" s="279">
        <f t="shared" si="73"/>
        <v>0</v>
      </c>
      <c r="Q1171" s="279">
        <f t="shared" si="74"/>
        <v>0</v>
      </c>
      <c r="S1171" s="279">
        <f t="shared" si="75"/>
        <v>0</v>
      </c>
      <c r="U1171" s="385"/>
      <c r="V1171" s="385"/>
      <c r="W1171" s="385"/>
      <c r="X1171" s="385"/>
    </row>
    <row r="1172" spans="3:24" s="277" customFormat="1" x14ac:dyDescent="0.3">
      <c r="D1172" s="356" t="s">
        <v>796</v>
      </c>
      <c r="E1172" s="356"/>
      <c r="F1172" s="356"/>
      <c r="G1172" s="356"/>
      <c r="I1172" s="48">
        <v>0</v>
      </c>
      <c r="M1172" s="279">
        <f t="shared" si="72"/>
        <v>0</v>
      </c>
      <c r="O1172" s="279">
        <f t="shared" si="73"/>
        <v>0</v>
      </c>
      <c r="Q1172" s="279">
        <f t="shared" si="74"/>
        <v>0</v>
      </c>
      <c r="S1172" s="279">
        <f t="shared" si="75"/>
        <v>0</v>
      </c>
      <c r="U1172" s="385"/>
      <c r="V1172" s="385"/>
      <c r="W1172" s="385"/>
      <c r="X1172" s="385"/>
    </row>
    <row r="1173" spans="3:24" ht="14.4" x14ac:dyDescent="0.3">
      <c r="D1173" s="420" t="s">
        <v>88</v>
      </c>
      <c r="E1173" s="421"/>
      <c r="F1173" s="421"/>
      <c r="G1173" s="421"/>
      <c r="I1173" s="40"/>
      <c r="M1173" s="40"/>
      <c r="O1173" s="40"/>
      <c r="Q1173" s="294">
        <f>SUM(Q1148:Q1172)</f>
        <v>0</v>
      </c>
      <c r="S1173" s="294">
        <f>SUM(S1148:S1172)</f>
        <v>0</v>
      </c>
    </row>
    <row r="1175" spans="3:24" ht="15.6" x14ac:dyDescent="0.3">
      <c r="C1175" s="92" t="s">
        <v>89</v>
      </c>
    </row>
    <row r="1176" spans="3:24" ht="27.6" x14ac:dyDescent="0.3">
      <c r="Q1176" s="44" t="str">
        <f>"FINANCIAL COST ("&amp;INDEX(LU_ACT_13_Meet_Curr,DD_ACT_13_Meet1_Curr)&amp;")"</f>
        <v>FINANCIAL COST (GOZ)</v>
      </c>
      <c r="S1176" s="44" t="str">
        <f>"ECONOMIC COST ("&amp;INDEX(LU_ACT_13_Meet_Curr,DD_ACT_13_Meet1_Curr)&amp;")"</f>
        <v>ECONOMIC COST (GOZ)</v>
      </c>
    </row>
    <row r="1177" spans="3:24" ht="27.6" x14ac:dyDescent="0.3">
      <c r="D1177" s="90" t="s">
        <v>86</v>
      </c>
      <c r="I1177" s="91" t="s">
        <v>186</v>
      </c>
      <c r="K1177" s="91" t="s">
        <v>432</v>
      </c>
      <c r="M1177" s="42" t="s">
        <v>81</v>
      </c>
      <c r="O1177" s="42" t="s">
        <v>83</v>
      </c>
      <c r="U1177" s="350" t="s">
        <v>185</v>
      </c>
      <c r="V1177" s="351"/>
      <c r="W1177" s="351"/>
      <c r="X1177" s="351"/>
    </row>
    <row r="1178" spans="3:24" x14ac:dyDescent="0.3">
      <c r="D1178" s="356" t="s">
        <v>71</v>
      </c>
      <c r="E1178" s="356"/>
      <c r="F1178" s="356"/>
      <c r="G1178" s="356"/>
      <c r="I1178" s="48">
        <v>0</v>
      </c>
      <c r="K1178" s="48">
        <v>0</v>
      </c>
      <c r="M1178" s="40">
        <f t="shared" ref="M1178:M1202" si="76">IFERROR(IF(DD_ACT_13_Meet1_Curr=1,INDEX($M$1366:$M$1400,MATCH(D1178,LU_ACT_13_ODCS,0)),INDEX($Q$1366:$Q$1400,MATCH(D1178,LU_ACT_13_ODCS,0))),0)</f>
        <v>0</v>
      </c>
      <c r="O1178" s="40">
        <f t="shared" ref="O1178:O1202" si="77">IFERROR(IF(DD_ACT_13_Meet1_Curr=1,INDEX($O$1366:$O$1400,MATCH(D1178,LU_ACT_13_ODCS,0)),INDEX($S$1366:$S$1400,MATCH(D1178,LU_ACT_13_ODCS,0))),0)</f>
        <v>0</v>
      </c>
      <c r="Q1178" s="279">
        <f t="shared" ref="Q1178:Q1202" si="78">I1178*K1178*M1178</f>
        <v>0</v>
      </c>
      <c r="S1178" s="279">
        <f t="shared" ref="S1178:S1202" si="79">I1178*K1178*O1178</f>
        <v>0</v>
      </c>
      <c r="U1178" s="356"/>
      <c r="V1178" s="356"/>
      <c r="W1178" s="356"/>
      <c r="X1178" s="356"/>
    </row>
    <row r="1179" spans="3:24" x14ac:dyDescent="0.3">
      <c r="D1179" s="356" t="s">
        <v>72</v>
      </c>
      <c r="E1179" s="356"/>
      <c r="F1179" s="356"/>
      <c r="G1179" s="356"/>
      <c r="I1179" s="48">
        <v>0</v>
      </c>
      <c r="K1179" s="48">
        <v>0</v>
      </c>
      <c r="M1179" s="40">
        <f t="shared" si="76"/>
        <v>0</v>
      </c>
      <c r="O1179" s="40">
        <f t="shared" si="77"/>
        <v>0</v>
      </c>
      <c r="Q1179" s="279">
        <f t="shared" si="78"/>
        <v>0</v>
      </c>
      <c r="S1179" s="279">
        <f t="shared" si="79"/>
        <v>0</v>
      </c>
      <c r="U1179" s="356"/>
      <c r="V1179" s="356"/>
      <c r="W1179" s="356"/>
      <c r="X1179" s="356"/>
    </row>
    <row r="1180" spans="3:24" x14ac:dyDescent="0.3">
      <c r="D1180" s="356" t="s">
        <v>73</v>
      </c>
      <c r="E1180" s="356"/>
      <c r="F1180" s="356"/>
      <c r="G1180" s="356"/>
      <c r="I1180" s="48">
        <v>0</v>
      </c>
      <c r="K1180" s="48">
        <v>0</v>
      </c>
      <c r="M1180" s="40">
        <f t="shared" si="76"/>
        <v>0</v>
      </c>
      <c r="O1180" s="40">
        <f t="shared" si="77"/>
        <v>0</v>
      </c>
      <c r="Q1180" s="279">
        <f t="shared" si="78"/>
        <v>0</v>
      </c>
      <c r="S1180" s="279">
        <f t="shared" si="79"/>
        <v>0</v>
      </c>
      <c r="U1180" s="356"/>
      <c r="V1180" s="356"/>
      <c r="W1180" s="356"/>
      <c r="X1180" s="356"/>
    </row>
    <row r="1181" spans="3:24" x14ac:dyDescent="0.3">
      <c r="D1181" s="356" t="s">
        <v>74</v>
      </c>
      <c r="E1181" s="356"/>
      <c r="F1181" s="356"/>
      <c r="G1181" s="356"/>
      <c r="I1181" s="48">
        <v>0</v>
      </c>
      <c r="K1181" s="48">
        <v>0</v>
      </c>
      <c r="M1181" s="40">
        <f t="shared" si="76"/>
        <v>0</v>
      </c>
      <c r="O1181" s="40">
        <f t="shared" si="77"/>
        <v>0</v>
      </c>
      <c r="Q1181" s="279">
        <f t="shared" si="78"/>
        <v>0</v>
      </c>
      <c r="S1181" s="279">
        <f t="shared" si="79"/>
        <v>0</v>
      </c>
      <c r="U1181" s="356"/>
      <c r="V1181" s="356"/>
      <c r="W1181" s="356"/>
      <c r="X1181" s="356"/>
    </row>
    <row r="1182" spans="3:24" x14ac:dyDescent="0.3">
      <c r="D1182" s="356" t="s">
        <v>75</v>
      </c>
      <c r="E1182" s="356"/>
      <c r="F1182" s="356"/>
      <c r="G1182" s="356"/>
      <c r="I1182" s="48">
        <v>0</v>
      </c>
      <c r="K1182" s="48">
        <v>0</v>
      </c>
      <c r="M1182" s="40">
        <f t="shared" si="76"/>
        <v>0</v>
      </c>
      <c r="O1182" s="40">
        <f t="shared" si="77"/>
        <v>0</v>
      </c>
      <c r="Q1182" s="279">
        <f t="shared" si="78"/>
        <v>0</v>
      </c>
      <c r="S1182" s="279">
        <f t="shared" si="79"/>
        <v>0</v>
      </c>
      <c r="U1182" s="356"/>
      <c r="V1182" s="356"/>
      <c r="W1182" s="356"/>
      <c r="X1182" s="356"/>
    </row>
    <row r="1183" spans="3:24" s="277" customFormat="1" x14ac:dyDescent="0.3">
      <c r="D1183" s="356" t="s">
        <v>876</v>
      </c>
      <c r="E1183" s="356"/>
      <c r="F1183" s="356"/>
      <c r="G1183" s="356"/>
      <c r="I1183" s="48">
        <v>0</v>
      </c>
      <c r="K1183" s="48">
        <v>0</v>
      </c>
      <c r="M1183" s="279">
        <f t="shared" si="76"/>
        <v>0</v>
      </c>
      <c r="O1183" s="279">
        <f t="shared" si="77"/>
        <v>0</v>
      </c>
      <c r="Q1183" s="279">
        <f t="shared" si="78"/>
        <v>0</v>
      </c>
      <c r="S1183" s="279">
        <f t="shared" si="79"/>
        <v>0</v>
      </c>
      <c r="U1183" s="385"/>
      <c r="V1183" s="385"/>
      <c r="W1183" s="385"/>
      <c r="X1183" s="385"/>
    </row>
    <row r="1184" spans="3:24" s="277" customFormat="1" x14ac:dyDescent="0.3">
      <c r="D1184" s="356" t="s">
        <v>877</v>
      </c>
      <c r="E1184" s="356"/>
      <c r="F1184" s="356"/>
      <c r="G1184" s="356"/>
      <c r="I1184" s="48">
        <v>0</v>
      </c>
      <c r="K1184" s="48">
        <v>0</v>
      </c>
      <c r="M1184" s="279">
        <f t="shared" si="76"/>
        <v>0</v>
      </c>
      <c r="O1184" s="279">
        <f t="shared" si="77"/>
        <v>0</v>
      </c>
      <c r="Q1184" s="279">
        <f t="shared" si="78"/>
        <v>0</v>
      </c>
      <c r="S1184" s="279">
        <f t="shared" si="79"/>
        <v>0</v>
      </c>
      <c r="U1184" s="385"/>
      <c r="V1184" s="385"/>
      <c r="W1184" s="385"/>
      <c r="X1184" s="385"/>
    </row>
    <row r="1185" spans="4:24" s="277" customFormat="1" x14ac:dyDescent="0.3">
      <c r="D1185" s="356" t="s">
        <v>878</v>
      </c>
      <c r="E1185" s="356"/>
      <c r="F1185" s="356"/>
      <c r="G1185" s="356"/>
      <c r="I1185" s="48">
        <v>0</v>
      </c>
      <c r="K1185" s="48">
        <v>0</v>
      </c>
      <c r="M1185" s="279">
        <f t="shared" si="76"/>
        <v>0</v>
      </c>
      <c r="O1185" s="279">
        <f t="shared" si="77"/>
        <v>0</v>
      </c>
      <c r="Q1185" s="279">
        <f t="shared" si="78"/>
        <v>0</v>
      </c>
      <c r="S1185" s="279">
        <f t="shared" si="79"/>
        <v>0</v>
      </c>
      <c r="U1185" s="385"/>
      <c r="V1185" s="385"/>
      <c r="W1185" s="385"/>
      <c r="X1185" s="385"/>
    </row>
    <row r="1186" spans="4:24" s="277" customFormat="1" x14ac:dyDescent="0.3">
      <c r="D1186" s="356" t="s">
        <v>879</v>
      </c>
      <c r="E1186" s="356"/>
      <c r="F1186" s="356"/>
      <c r="G1186" s="356"/>
      <c r="I1186" s="48">
        <v>0</v>
      </c>
      <c r="K1186" s="48">
        <v>0</v>
      </c>
      <c r="M1186" s="279">
        <f t="shared" si="76"/>
        <v>0</v>
      </c>
      <c r="O1186" s="279">
        <f t="shared" si="77"/>
        <v>0</v>
      </c>
      <c r="Q1186" s="279">
        <f t="shared" si="78"/>
        <v>0</v>
      </c>
      <c r="S1186" s="279">
        <f t="shared" si="79"/>
        <v>0</v>
      </c>
      <c r="U1186" s="385"/>
      <c r="V1186" s="385"/>
      <c r="W1186" s="385"/>
      <c r="X1186" s="385"/>
    </row>
    <row r="1187" spans="4:24" s="277" customFormat="1" x14ac:dyDescent="0.3">
      <c r="D1187" s="356" t="s">
        <v>880</v>
      </c>
      <c r="E1187" s="356"/>
      <c r="F1187" s="356"/>
      <c r="G1187" s="356"/>
      <c r="I1187" s="48">
        <v>0</v>
      </c>
      <c r="K1187" s="48">
        <v>0</v>
      </c>
      <c r="M1187" s="279">
        <f t="shared" si="76"/>
        <v>0</v>
      </c>
      <c r="O1187" s="279">
        <f t="shared" si="77"/>
        <v>0</v>
      </c>
      <c r="Q1187" s="279">
        <f t="shared" si="78"/>
        <v>0</v>
      </c>
      <c r="S1187" s="279">
        <f t="shared" si="79"/>
        <v>0</v>
      </c>
      <c r="U1187" s="385"/>
      <c r="V1187" s="385"/>
      <c r="W1187" s="385"/>
      <c r="X1187" s="385"/>
    </row>
    <row r="1188" spans="4:24" s="277" customFormat="1" x14ac:dyDescent="0.3">
      <c r="D1188" s="356" t="s">
        <v>881</v>
      </c>
      <c r="E1188" s="356"/>
      <c r="F1188" s="356"/>
      <c r="G1188" s="356"/>
      <c r="I1188" s="48">
        <v>0</v>
      </c>
      <c r="K1188" s="48">
        <v>0</v>
      </c>
      <c r="M1188" s="279">
        <f t="shared" si="76"/>
        <v>0</v>
      </c>
      <c r="O1188" s="279">
        <f t="shared" si="77"/>
        <v>0</v>
      </c>
      <c r="Q1188" s="279">
        <f t="shared" si="78"/>
        <v>0</v>
      </c>
      <c r="S1188" s="279">
        <f t="shared" si="79"/>
        <v>0</v>
      </c>
      <c r="U1188" s="385"/>
      <c r="V1188" s="385"/>
      <c r="W1188" s="385"/>
      <c r="X1188" s="385"/>
    </row>
    <row r="1189" spans="4:24" s="277" customFormat="1" x14ac:dyDescent="0.3">
      <c r="D1189" s="356" t="s">
        <v>882</v>
      </c>
      <c r="E1189" s="356"/>
      <c r="F1189" s="356"/>
      <c r="G1189" s="356"/>
      <c r="I1189" s="48">
        <v>0</v>
      </c>
      <c r="K1189" s="48">
        <v>0</v>
      </c>
      <c r="M1189" s="279">
        <f t="shared" si="76"/>
        <v>0</v>
      </c>
      <c r="O1189" s="279">
        <f t="shared" si="77"/>
        <v>0</v>
      </c>
      <c r="Q1189" s="279">
        <f t="shared" si="78"/>
        <v>0</v>
      </c>
      <c r="S1189" s="279">
        <f t="shared" si="79"/>
        <v>0</v>
      </c>
      <c r="U1189" s="385"/>
      <c r="V1189" s="385"/>
      <c r="W1189" s="385"/>
      <c r="X1189" s="385"/>
    </row>
    <row r="1190" spans="4:24" s="277" customFormat="1" x14ac:dyDescent="0.3">
      <c r="D1190" s="356" t="s">
        <v>883</v>
      </c>
      <c r="E1190" s="356"/>
      <c r="F1190" s="356"/>
      <c r="G1190" s="356"/>
      <c r="I1190" s="48">
        <v>0</v>
      </c>
      <c r="K1190" s="48">
        <v>0</v>
      </c>
      <c r="M1190" s="279">
        <f t="shared" si="76"/>
        <v>0</v>
      </c>
      <c r="O1190" s="279">
        <f t="shared" si="77"/>
        <v>0</v>
      </c>
      <c r="Q1190" s="279">
        <f t="shared" si="78"/>
        <v>0</v>
      </c>
      <c r="S1190" s="279">
        <f t="shared" si="79"/>
        <v>0</v>
      </c>
      <c r="U1190" s="385"/>
      <c r="V1190" s="385"/>
      <c r="W1190" s="385"/>
      <c r="X1190" s="385"/>
    </row>
    <row r="1191" spans="4:24" s="277" customFormat="1" x14ac:dyDescent="0.3">
      <c r="D1191" s="356" t="s">
        <v>884</v>
      </c>
      <c r="E1191" s="356"/>
      <c r="F1191" s="356"/>
      <c r="G1191" s="356"/>
      <c r="I1191" s="48">
        <v>0</v>
      </c>
      <c r="K1191" s="48">
        <v>0</v>
      </c>
      <c r="M1191" s="279">
        <f t="shared" si="76"/>
        <v>0</v>
      </c>
      <c r="O1191" s="279">
        <f t="shared" si="77"/>
        <v>0</v>
      </c>
      <c r="Q1191" s="279">
        <f t="shared" si="78"/>
        <v>0</v>
      </c>
      <c r="S1191" s="279">
        <f t="shared" si="79"/>
        <v>0</v>
      </c>
      <c r="U1191" s="385"/>
      <c r="V1191" s="385"/>
      <c r="W1191" s="385"/>
      <c r="X1191" s="385"/>
    </row>
    <row r="1192" spans="4:24" s="277" customFormat="1" x14ac:dyDescent="0.3">
      <c r="D1192" s="356" t="s">
        <v>885</v>
      </c>
      <c r="E1192" s="356"/>
      <c r="F1192" s="356"/>
      <c r="G1192" s="356"/>
      <c r="I1192" s="48">
        <v>0</v>
      </c>
      <c r="K1192" s="48">
        <v>0</v>
      </c>
      <c r="M1192" s="279">
        <f t="shared" si="76"/>
        <v>0</v>
      </c>
      <c r="O1192" s="279">
        <f t="shared" si="77"/>
        <v>0</v>
      </c>
      <c r="Q1192" s="279">
        <f t="shared" si="78"/>
        <v>0</v>
      </c>
      <c r="S1192" s="279">
        <f t="shared" si="79"/>
        <v>0</v>
      </c>
      <c r="U1192" s="385"/>
      <c r="V1192" s="385"/>
      <c r="W1192" s="385"/>
      <c r="X1192" s="385"/>
    </row>
    <row r="1193" spans="4:24" s="277" customFormat="1" x14ac:dyDescent="0.3">
      <c r="D1193" s="356" t="s">
        <v>886</v>
      </c>
      <c r="E1193" s="356"/>
      <c r="F1193" s="356"/>
      <c r="G1193" s="356"/>
      <c r="I1193" s="48">
        <v>0</v>
      </c>
      <c r="K1193" s="48">
        <v>0</v>
      </c>
      <c r="M1193" s="279">
        <f t="shared" si="76"/>
        <v>0</v>
      </c>
      <c r="O1193" s="279">
        <f t="shared" si="77"/>
        <v>0</v>
      </c>
      <c r="Q1193" s="279">
        <f t="shared" si="78"/>
        <v>0</v>
      </c>
      <c r="S1193" s="279">
        <f t="shared" si="79"/>
        <v>0</v>
      </c>
      <c r="U1193" s="385"/>
      <c r="V1193" s="385"/>
      <c r="W1193" s="385"/>
      <c r="X1193" s="385"/>
    </row>
    <row r="1194" spans="4:24" s="277" customFormat="1" x14ac:dyDescent="0.3">
      <c r="D1194" s="356" t="s">
        <v>887</v>
      </c>
      <c r="E1194" s="356"/>
      <c r="F1194" s="356"/>
      <c r="G1194" s="356"/>
      <c r="I1194" s="48">
        <v>0</v>
      </c>
      <c r="K1194" s="48">
        <v>0</v>
      </c>
      <c r="M1194" s="279">
        <f t="shared" si="76"/>
        <v>0</v>
      </c>
      <c r="O1194" s="279">
        <f t="shared" si="77"/>
        <v>0</v>
      </c>
      <c r="Q1194" s="279">
        <f t="shared" si="78"/>
        <v>0</v>
      </c>
      <c r="S1194" s="279">
        <f t="shared" si="79"/>
        <v>0</v>
      </c>
      <c r="U1194" s="385"/>
      <c r="V1194" s="385"/>
      <c r="W1194" s="385"/>
      <c r="X1194" s="385"/>
    </row>
    <row r="1195" spans="4:24" s="277" customFormat="1" x14ac:dyDescent="0.3">
      <c r="D1195" s="356" t="s">
        <v>888</v>
      </c>
      <c r="E1195" s="356"/>
      <c r="F1195" s="356"/>
      <c r="G1195" s="356"/>
      <c r="I1195" s="48">
        <v>0</v>
      </c>
      <c r="K1195" s="48">
        <v>0</v>
      </c>
      <c r="M1195" s="279">
        <f t="shared" si="76"/>
        <v>0</v>
      </c>
      <c r="O1195" s="279">
        <f t="shared" si="77"/>
        <v>0</v>
      </c>
      <c r="Q1195" s="279">
        <f t="shared" si="78"/>
        <v>0</v>
      </c>
      <c r="S1195" s="279">
        <f t="shared" si="79"/>
        <v>0</v>
      </c>
      <c r="U1195" s="385"/>
      <c r="V1195" s="385"/>
      <c r="W1195" s="385"/>
      <c r="X1195" s="385"/>
    </row>
    <row r="1196" spans="4:24" s="277" customFormat="1" x14ac:dyDescent="0.3">
      <c r="D1196" s="356" t="s">
        <v>889</v>
      </c>
      <c r="E1196" s="356"/>
      <c r="F1196" s="356"/>
      <c r="G1196" s="356"/>
      <c r="I1196" s="48">
        <v>0</v>
      </c>
      <c r="K1196" s="48">
        <v>0</v>
      </c>
      <c r="M1196" s="279">
        <f t="shared" si="76"/>
        <v>0</v>
      </c>
      <c r="O1196" s="279">
        <f t="shared" si="77"/>
        <v>0</v>
      </c>
      <c r="Q1196" s="279">
        <f t="shared" si="78"/>
        <v>0</v>
      </c>
      <c r="S1196" s="279">
        <f t="shared" si="79"/>
        <v>0</v>
      </c>
      <c r="U1196" s="385"/>
      <c r="V1196" s="385"/>
      <c r="W1196" s="385"/>
      <c r="X1196" s="385"/>
    </row>
    <row r="1197" spans="4:24" s="277" customFormat="1" x14ac:dyDescent="0.3">
      <c r="D1197" s="356" t="s">
        <v>890</v>
      </c>
      <c r="E1197" s="356"/>
      <c r="F1197" s="356"/>
      <c r="G1197" s="356"/>
      <c r="I1197" s="48">
        <v>0</v>
      </c>
      <c r="K1197" s="48">
        <v>0</v>
      </c>
      <c r="M1197" s="279">
        <f t="shared" si="76"/>
        <v>0</v>
      </c>
      <c r="O1197" s="279">
        <f t="shared" si="77"/>
        <v>0</v>
      </c>
      <c r="Q1197" s="279">
        <f t="shared" si="78"/>
        <v>0</v>
      </c>
      <c r="S1197" s="279">
        <f t="shared" si="79"/>
        <v>0</v>
      </c>
      <c r="U1197" s="385"/>
      <c r="V1197" s="385"/>
      <c r="W1197" s="385"/>
      <c r="X1197" s="385"/>
    </row>
    <row r="1198" spans="4:24" s="277" customFormat="1" x14ac:dyDescent="0.3">
      <c r="D1198" s="356" t="s">
        <v>986</v>
      </c>
      <c r="E1198" s="356"/>
      <c r="F1198" s="356"/>
      <c r="G1198" s="356"/>
      <c r="I1198" s="48">
        <v>0</v>
      </c>
      <c r="K1198" s="48">
        <v>0</v>
      </c>
      <c r="M1198" s="279">
        <f t="shared" si="76"/>
        <v>0</v>
      </c>
      <c r="O1198" s="279">
        <f t="shared" si="77"/>
        <v>0</v>
      </c>
      <c r="Q1198" s="279">
        <f t="shared" si="78"/>
        <v>0</v>
      </c>
      <c r="S1198" s="279">
        <f t="shared" si="79"/>
        <v>0</v>
      </c>
      <c r="U1198" s="385"/>
      <c r="V1198" s="385"/>
      <c r="W1198" s="385"/>
      <c r="X1198" s="385"/>
    </row>
    <row r="1199" spans="4:24" s="277" customFormat="1" x14ac:dyDescent="0.3">
      <c r="D1199" s="356" t="s">
        <v>987</v>
      </c>
      <c r="E1199" s="356"/>
      <c r="F1199" s="356"/>
      <c r="G1199" s="356"/>
      <c r="I1199" s="48">
        <v>0</v>
      </c>
      <c r="K1199" s="48">
        <v>0</v>
      </c>
      <c r="M1199" s="279">
        <f t="shared" si="76"/>
        <v>0</v>
      </c>
      <c r="O1199" s="279">
        <f t="shared" si="77"/>
        <v>0</v>
      </c>
      <c r="Q1199" s="279">
        <f t="shared" si="78"/>
        <v>0</v>
      </c>
      <c r="S1199" s="279">
        <f t="shared" si="79"/>
        <v>0</v>
      </c>
      <c r="U1199" s="385"/>
      <c r="V1199" s="385"/>
      <c r="W1199" s="385"/>
      <c r="X1199" s="385"/>
    </row>
    <row r="1200" spans="4:24" s="277" customFormat="1" x14ac:dyDescent="0.3">
      <c r="D1200" s="356" t="s">
        <v>988</v>
      </c>
      <c r="E1200" s="356"/>
      <c r="F1200" s="356"/>
      <c r="G1200" s="356"/>
      <c r="I1200" s="48">
        <v>0</v>
      </c>
      <c r="K1200" s="48">
        <v>0</v>
      </c>
      <c r="M1200" s="279">
        <f t="shared" si="76"/>
        <v>0</v>
      </c>
      <c r="O1200" s="279">
        <f t="shared" si="77"/>
        <v>0</v>
      </c>
      <c r="Q1200" s="279">
        <f t="shared" si="78"/>
        <v>0</v>
      </c>
      <c r="S1200" s="279">
        <f t="shared" si="79"/>
        <v>0</v>
      </c>
      <c r="U1200" s="385"/>
      <c r="V1200" s="385"/>
      <c r="W1200" s="385"/>
      <c r="X1200" s="385"/>
    </row>
    <row r="1201" spans="2:24" s="277" customFormat="1" x14ac:dyDescent="0.3">
      <c r="D1201" s="356" t="s">
        <v>989</v>
      </c>
      <c r="E1201" s="356"/>
      <c r="F1201" s="356"/>
      <c r="G1201" s="356"/>
      <c r="I1201" s="48">
        <v>0</v>
      </c>
      <c r="K1201" s="48">
        <v>0</v>
      </c>
      <c r="M1201" s="279">
        <f t="shared" si="76"/>
        <v>0</v>
      </c>
      <c r="O1201" s="279">
        <f t="shared" si="77"/>
        <v>0</v>
      </c>
      <c r="Q1201" s="279">
        <f t="shared" si="78"/>
        <v>0</v>
      </c>
      <c r="S1201" s="279">
        <f t="shared" si="79"/>
        <v>0</v>
      </c>
      <c r="U1201" s="385"/>
      <c r="V1201" s="385"/>
      <c r="W1201" s="385"/>
      <c r="X1201" s="385"/>
    </row>
    <row r="1202" spans="2:24" s="277" customFormat="1" x14ac:dyDescent="0.3">
      <c r="D1202" s="356" t="s">
        <v>990</v>
      </c>
      <c r="E1202" s="356"/>
      <c r="F1202" s="356"/>
      <c r="G1202" s="356"/>
      <c r="I1202" s="48">
        <v>0</v>
      </c>
      <c r="K1202" s="48">
        <v>0</v>
      </c>
      <c r="M1202" s="279">
        <f t="shared" si="76"/>
        <v>0</v>
      </c>
      <c r="O1202" s="279">
        <f t="shared" si="77"/>
        <v>0</v>
      </c>
      <c r="Q1202" s="279">
        <f t="shared" si="78"/>
        <v>0</v>
      </c>
      <c r="S1202" s="279">
        <f t="shared" si="79"/>
        <v>0</v>
      </c>
      <c r="U1202" s="385"/>
      <c r="V1202" s="385"/>
      <c r="W1202" s="385"/>
      <c r="X1202" s="385"/>
    </row>
    <row r="1203" spans="2:24" ht="14.4" x14ac:dyDescent="0.3">
      <c r="D1203" s="420" t="s">
        <v>90</v>
      </c>
      <c r="E1203" s="421"/>
      <c r="F1203" s="421"/>
      <c r="G1203" s="421"/>
      <c r="I1203" s="40"/>
      <c r="K1203" s="40">
        <f>SUM(K1178:K1202)</f>
        <v>0</v>
      </c>
      <c r="M1203" s="40"/>
      <c r="O1203" s="40"/>
      <c r="Q1203" s="294">
        <f>SUM(Q1178:Q1202)</f>
        <v>0</v>
      </c>
      <c r="S1203" s="294">
        <f>SUM(S1178:S1202)</f>
        <v>0</v>
      </c>
    </row>
    <row r="1205" spans="2:24" ht="27.6" x14ac:dyDescent="0.3">
      <c r="Q1205" s="44" t="str">
        <f>"FINANCIAL COST ("&amp;INDEX(LU_ACT_13_Meet_Curr,DD_ACT_13_Meet1_Curr)&amp;")"</f>
        <v>FINANCIAL COST (GOZ)</v>
      </c>
      <c r="S1205" s="44" t="str">
        <f>"ECONOMIC COST ("&amp;INDEX(LU_ACT_13_Meet_Curr,DD_ACT_13_Meet1_Curr)&amp;")"</f>
        <v>ECONOMIC COST (GOZ)</v>
      </c>
      <c r="U1205" s="44" t="str">
        <f>"FINANCIAL COST ("&amp;IF(DD_ACT_13_Meet1_Curr=2,$D$1210,$D$1211)&amp;")"</f>
        <v>FINANCIAL COST (USD)</v>
      </c>
      <c r="W1205" s="44" t="str">
        <f>"ECONOMIC COST ("&amp;IF(DD_ACT_13_Meet1_Curr=2,$D$1210,$D$1211)&amp;")"</f>
        <v>ECONOMIC COST (USD)</v>
      </c>
    </row>
    <row r="1206" spans="2:24" ht="18.600000000000001" thickBot="1" x14ac:dyDescent="0.35">
      <c r="B1206" s="99" t="s">
        <v>91</v>
      </c>
      <c r="Q1206" s="46">
        <f>SUM(Q1084,Q1113,Q1144,Q1173,Q1203)</f>
        <v>0</v>
      </c>
      <c r="S1206" s="46">
        <f>SUM(S1084,S1113,S1144,S1173,S1203)</f>
        <v>0</v>
      </c>
      <c r="U1206" s="47">
        <f>IFERROR(IF(DD_ACT_13_Meet1_Curr=2,$Q1206/$I$1211,$Q1206*$I$1211), 0)</f>
        <v>0</v>
      </c>
      <c r="W1206" s="47">
        <f>IFERROR(IF(DD_ACT_13_Meet1_Curr=2,$S1206/$I$1211,$S1206*$I$1211), 0)</f>
        <v>0</v>
      </c>
    </row>
    <row r="1207" spans="2:24" ht="14.4" thickTop="1" x14ac:dyDescent="0.3"/>
    <row r="1208" spans="2:24" x14ac:dyDescent="0.3">
      <c r="C1208" s="91" t="s">
        <v>584</v>
      </c>
    </row>
    <row r="1209" spans="2:24" hidden="1" outlineLevel="1" x14ac:dyDescent="0.3"/>
    <row r="1210" spans="2:24" ht="12.9" hidden="1" customHeight="1" outlineLevel="1" x14ac:dyDescent="0.3">
      <c r="D1210" s="422" t="str">
        <f>CURR_TA!D13</f>
        <v>USD</v>
      </c>
      <c r="E1210" s="423"/>
      <c r="F1210" s="423"/>
      <c r="G1210" s="423"/>
      <c r="I1210" s="279">
        <f>CURR_TA!J13</f>
        <v>1</v>
      </c>
      <c r="J1210" s="279">
        <f>CURR_TA!K13</f>
        <v>0</v>
      </c>
      <c r="K1210" s="279">
        <f>CURR_TA!L13</f>
        <v>0</v>
      </c>
      <c r="L1210" s="279">
        <f>CURR_TA!M13</f>
        <v>0</v>
      </c>
    </row>
    <row r="1211" spans="2:24" ht="12.9" hidden="1" customHeight="1" outlineLevel="1" x14ac:dyDescent="0.3">
      <c r="D1211" s="422" t="str">
        <f>CURR_TA!D14</f>
        <v>GOZ</v>
      </c>
      <c r="E1211" s="423"/>
      <c r="F1211" s="423"/>
      <c r="G1211" s="423"/>
      <c r="I1211" s="279">
        <f>CURR_TA!J14</f>
        <v>0</v>
      </c>
      <c r="J1211" s="279">
        <f>CURR_TA!K14</f>
        <v>0</v>
      </c>
      <c r="K1211" s="279">
        <f>CURR_TA!L14</f>
        <v>0</v>
      </c>
      <c r="L1211" s="279">
        <f>CURR_TA!M14</f>
        <v>0</v>
      </c>
    </row>
    <row r="1212" spans="2:24" collapsed="1" x14ac:dyDescent="0.3"/>
    <row r="1214" spans="2:24" x14ac:dyDescent="0.3">
      <c r="C1214" s="91" t="s">
        <v>590</v>
      </c>
    </row>
    <row r="1215" spans="2:24" hidden="1" outlineLevel="1" x14ac:dyDescent="0.3">
      <c r="M1215" s="40" t="str">
        <f>$D$1210</f>
        <v>USD</v>
      </c>
      <c r="O1215" s="40" t="str">
        <f>$D$1210</f>
        <v>USD</v>
      </c>
      <c r="Q1215" s="40" t="str">
        <f>$D$1211</f>
        <v>GOZ</v>
      </c>
      <c r="S1215" s="40" t="str">
        <f>$D$1211</f>
        <v>GOZ</v>
      </c>
    </row>
    <row r="1216" spans="2:24" hidden="1" outlineLevel="1" x14ac:dyDescent="0.3">
      <c r="C1216" s="89" t="str">
        <f>RES_BA!D14</f>
        <v>Personnel Cadre - Other 1</v>
      </c>
      <c r="M1216" s="40">
        <f>RES_BA!R14</f>
        <v>0</v>
      </c>
      <c r="O1216" s="40">
        <f>RES_BA!S14</f>
        <v>0</v>
      </c>
      <c r="Q1216" s="40">
        <f>RES_BA!T14</f>
        <v>0</v>
      </c>
      <c r="S1216" s="40">
        <f>RES_BA!U14</f>
        <v>0</v>
      </c>
    </row>
    <row r="1217" spans="3:19" hidden="1" outlineLevel="1" x14ac:dyDescent="0.3">
      <c r="C1217" s="89" t="str">
        <f>RES_BA!D15</f>
        <v>Personnel Cadre - Other 2</v>
      </c>
      <c r="M1217" s="40">
        <f>RES_BA!R15</f>
        <v>0</v>
      </c>
      <c r="O1217" s="40">
        <f>RES_BA!S15</f>
        <v>0</v>
      </c>
      <c r="Q1217" s="40">
        <f>RES_BA!T15</f>
        <v>0</v>
      </c>
      <c r="S1217" s="40">
        <f>RES_BA!U15</f>
        <v>0</v>
      </c>
    </row>
    <row r="1218" spans="3:19" hidden="1" outlineLevel="1" x14ac:dyDescent="0.3">
      <c r="C1218" s="89" t="str">
        <f>RES_BA!D16</f>
        <v>Personnel Cadre - Other 3</v>
      </c>
      <c r="M1218" s="40">
        <f>RES_BA!R16</f>
        <v>0</v>
      </c>
      <c r="O1218" s="40">
        <f>RES_BA!S16</f>
        <v>0</v>
      </c>
      <c r="Q1218" s="40">
        <f>RES_BA!T16</f>
        <v>0</v>
      </c>
      <c r="S1218" s="40">
        <f>RES_BA!U16</f>
        <v>0</v>
      </c>
    </row>
    <row r="1219" spans="3:19" hidden="1" outlineLevel="1" x14ac:dyDescent="0.3">
      <c r="C1219" s="89" t="str">
        <f>RES_BA!D17</f>
        <v>Personnel Cadre - Other 4</v>
      </c>
      <c r="M1219" s="40">
        <f>RES_BA!R17</f>
        <v>0</v>
      </c>
      <c r="O1219" s="40">
        <f>RES_BA!S17</f>
        <v>0</v>
      </c>
      <c r="Q1219" s="40">
        <f>RES_BA!T17</f>
        <v>0</v>
      </c>
      <c r="S1219" s="40">
        <f>RES_BA!U17</f>
        <v>0</v>
      </c>
    </row>
    <row r="1220" spans="3:19" hidden="1" outlineLevel="1" x14ac:dyDescent="0.3">
      <c r="C1220" s="89" t="str">
        <f>RES_BA!D18</f>
        <v>Personnel Cadre - Other 5</v>
      </c>
      <c r="M1220" s="40">
        <f>RES_BA!R18</f>
        <v>0</v>
      </c>
      <c r="O1220" s="40">
        <f>RES_BA!S18</f>
        <v>0</v>
      </c>
      <c r="Q1220" s="40">
        <f>RES_BA!T18</f>
        <v>0</v>
      </c>
      <c r="S1220" s="40">
        <f>RES_BA!U18</f>
        <v>0</v>
      </c>
    </row>
    <row r="1221" spans="3:19" hidden="1" outlineLevel="1" x14ac:dyDescent="0.3">
      <c r="C1221" s="89" t="str">
        <f>RES_BA!D19</f>
        <v>Personnel Cadre - Other 6</v>
      </c>
      <c r="M1221" s="40">
        <f>RES_BA!R19</f>
        <v>0</v>
      </c>
      <c r="O1221" s="40">
        <f>RES_BA!S19</f>
        <v>0</v>
      </c>
      <c r="Q1221" s="40">
        <f>RES_BA!T19</f>
        <v>0</v>
      </c>
      <c r="S1221" s="40">
        <f>RES_BA!U19</f>
        <v>0</v>
      </c>
    </row>
    <row r="1222" spans="3:19" hidden="1" outlineLevel="1" x14ac:dyDescent="0.3">
      <c r="C1222" s="89" t="str">
        <f>RES_BA!D20</f>
        <v>Personnel Cadre - Other 7</v>
      </c>
      <c r="M1222" s="40">
        <f>RES_BA!R20</f>
        <v>0</v>
      </c>
      <c r="O1222" s="40">
        <f>RES_BA!S20</f>
        <v>0</v>
      </c>
      <c r="Q1222" s="40">
        <f>RES_BA!T20</f>
        <v>0</v>
      </c>
      <c r="S1222" s="40">
        <f>RES_BA!U20</f>
        <v>0</v>
      </c>
    </row>
    <row r="1223" spans="3:19" hidden="1" outlineLevel="1" x14ac:dyDescent="0.3">
      <c r="C1223" s="89" t="str">
        <f>RES_BA!D21</f>
        <v>Personnel Cadre - Other 8</v>
      </c>
      <c r="M1223" s="40">
        <f>RES_BA!R21</f>
        <v>0</v>
      </c>
      <c r="O1223" s="40">
        <f>RES_BA!S21</f>
        <v>0</v>
      </c>
      <c r="Q1223" s="40">
        <f>RES_BA!T21</f>
        <v>0</v>
      </c>
      <c r="S1223" s="40">
        <f>RES_BA!U21</f>
        <v>0</v>
      </c>
    </row>
    <row r="1224" spans="3:19" hidden="1" outlineLevel="1" x14ac:dyDescent="0.3">
      <c r="C1224" s="89" t="str">
        <f>RES_BA!D22</f>
        <v>Personnel Cadre - Other 9</v>
      </c>
      <c r="M1224" s="40">
        <f>RES_BA!R22</f>
        <v>0</v>
      </c>
      <c r="O1224" s="40">
        <f>RES_BA!S22</f>
        <v>0</v>
      </c>
      <c r="Q1224" s="40">
        <f>RES_BA!T22</f>
        <v>0</v>
      </c>
      <c r="S1224" s="40">
        <f>RES_BA!U22</f>
        <v>0</v>
      </c>
    </row>
    <row r="1225" spans="3:19" hidden="1" outlineLevel="1" x14ac:dyDescent="0.3">
      <c r="C1225" s="89" t="str">
        <f>RES_BA!D23</f>
        <v>Personnel Cadre - Other 10</v>
      </c>
      <c r="M1225" s="40">
        <f>RES_BA!R23</f>
        <v>0</v>
      </c>
      <c r="O1225" s="40">
        <f>RES_BA!S23</f>
        <v>0</v>
      </c>
      <c r="Q1225" s="40">
        <f>RES_BA!T23</f>
        <v>0</v>
      </c>
      <c r="S1225" s="40">
        <f>RES_BA!U23</f>
        <v>0</v>
      </c>
    </row>
    <row r="1226" spans="3:19" hidden="1" outlineLevel="1" x14ac:dyDescent="0.3">
      <c r="C1226" s="89" t="str">
        <f>RES_BA!D24</f>
        <v>Personnel Cadre - Other 11</v>
      </c>
      <c r="M1226" s="40">
        <f>RES_BA!R24</f>
        <v>0</v>
      </c>
      <c r="O1226" s="40">
        <f>RES_BA!S24</f>
        <v>0</v>
      </c>
      <c r="Q1226" s="40">
        <f>RES_BA!T24</f>
        <v>0</v>
      </c>
      <c r="S1226" s="40">
        <f>RES_BA!U24</f>
        <v>0</v>
      </c>
    </row>
    <row r="1227" spans="3:19" hidden="1" outlineLevel="1" x14ac:dyDescent="0.3">
      <c r="C1227" s="89" t="str">
        <f>RES_BA!D25</f>
        <v>Personnel Cadre - Other 12</v>
      </c>
      <c r="M1227" s="40">
        <f>RES_BA!R25</f>
        <v>0</v>
      </c>
      <c r="O1227" s="40">
        <f>RES_BA!S25</f>
        <v>0</v>
      </c>
      <c r="Q1227" s="40">
        <f>RES_BA!T25</f>
        <v>0</v>
      </c>
      <c r="S1227" s="40">
        <f>RES_BA!U25</f>
        <v>0</v>
      </c>
    </row>
    <row r="1228" spans="3:19" hidden="1" outlineLevel="1" x14ac:dyDescent="0.3">
      <c r="C1228" s="89" t="str">
        <f>RES_BA!D26</f>
        <v>Personnel Cadre - Other 13</v>
      </c>
      <c r="M1228" s="40">
        <f>RES_BA!R26</f>
        <v>0</v>
      </c>
      <c r="O1228" s="40">
        <f>RES_BA!S26</f>
        <v>0</v>
      </c>
      <c r="Q1228" s="40">
        <f>RES_BA!T26</f>
        <v>0</v>
      </c>
      <c r="S1228" s="40">
        <f>RES_BA!U26</f>
        <v>0</v>
      </c>
    </row>
    <row r="1229" spans="3:19" hidden="1" outlineLevel="1" x14ac:dyDescent="0.3">
      <c r="C1229" s="89" t="str">
        <f>RES_BA!D27</f>
        <v>Personnel Cadre - Other 14</v>
      </c>
      <c r="M1229" s="40">
        <f>RES_BA!R27</f>
        <v>0</v>
      </c>
      <c r="O1229" s="40">
        <f>RES_BA!S27</f>
        <v>0</v>
      </c>
      <c r="Q1229" s="40">
        <f>RES_BA!T27</f>
        <v>0</v>
      </c>
      <c r="S1229" s="40">
        <f>RES_BA!U27</f>
        <v>0</v>
      </c>
    </row>
    <row r="1230" spans="3:19" hidden="1" outlineLevel="1" x14ac:dyDescent="0.3">
      <c r="C1230" s="89" t="str">
        <f>RES_BA!D28</f>
        <v>Personnel Cadre - Other 15</v>
      </c>
      <c r="M1230" s="40">
        <f>RES_BA!R28</f>
        <v>0</v>
      </c>
      <c r="O1230" s="40">
        <f>RES_BA!S28</f>
        <v>0</v>
      </c>
      <c r="Q1230" s="40">
        <f>RES_BA!T28</f>
        <v>0</v>
      </c>
      <c r="S1230" s="40">
        <f>RES_BA!U28</f>
        <v>0</v>
      </c>
    </row>
    <row r="1231" spans="3:19" s="277" customFormat="1" hidden="1" outlineLevel="1" collapsed="1" x14ac:dyDescent="0.3">
      <c r="C1231" s="283" t="str">
        <f>RES_BA!D29</f>
        <v>Personnel Cadre - Other 16</v>
      </c>
      <c r="M1231" s="279">
        <f>RES_BA!R29</f>
        <v>0</v>
      </c>
      <c r="O1231" s="279">
        <f>RES_BA!S29</f>
        <v>0</v>
      </c>
      <c r="Q1231" s="279">
        <f>RES_BA!T29</f>
        <v>0</v>
      </c>
      <c r="S1231" s="279">
        <f>RES_BA!U29</f>
        <v>0</v>
      </c>
    </row>
    <row r="1232" spans="3:19" s="277" customFormat="1" hidden="1" outlineLevel="1" collapsed="1" x14ac:dyDescent="0.3">
      <c r="C1232" s="283" t="str">
        <f>RES_BA!D30</f>
        <v>Personnel Cadre - Other 17</v>
      </c>
      <c r="M1232" s="279">
        <f>RES_BA!R30</f>
        <v>0</v>
      </c>
      <c r="O1232" s="279">
        <f>RES_BA!S30</f>
        <v>0</v>
      </c>
      <c r="Q1232" s="279">
        <f>RES_BA!T30</f>
        <v>0</v>
      </c>
      <c r="S1232" s="279">
        <f>RES_BA!U30</f>
        <v>0</v>
      </c>
    </row>
    <row r="1233" spans="3:19" s="277" customFormat="1" hidden="1" outlineLevel="1" collapsed="1" x14ac:dyDescent="0.3">
      <c r="C1233" s="283" t="str">
        <f>RES_BA!D31</f>
        <v>Personnel Cadre - Other 18</v>
      </c>
      <c r="M1233" s="279">
        <f>RES_BA!R31</f>
        <v>0</v>
      </c>
      <c r="O1233" s="279">
        <f>RES_BA!S31</f>
        <v>0</v>
      </c>
      <c r="Q1233" s="279">
        <f>RES_BA!T31</f>
        <v>0</v>
      </c>
      <c r="S1233" s="279">
        <f>RES_BA!U31</f>
        <v>0</v>
      </c>
    </row>
    <row r="1234" spans="3:19" s="277" customFormat="1" hidden="1" outlineLevel="1" x14ac:dyDescent="0.3">
      <c r="C1234" s="283" t="str">
        <f>RES_BA!D32</f>
        <v>Personnel Cadre - Other 19</v>
      </c>
      <c r="M1234" s="279">
        <f>RES_BA!R32</f>
        <v>0</v>
      </c>
      <c r="O1234" s="279">
        <f>RES_BA!S32</f>
        <v>0</v>
      </c>
      <c r="Q1234" s="279">
        <f>RES_BA!T32</f>
        <v>0</v>
      </c>
      <c r="S1234" s="279">
        <f>RES_BA!U32</f>
        <v>0</v>
      </c>
    </row>
    <row r="1235" spans="3:19" s="277" customFormat="1" hidden="1" outlineLevel="1" x14ac:dyDescent="0.3">
      <c r="C1235" s="283" t="str">
        <f>RES_BA!D33</f>
        <v>Personnel Cadre - Other 20</v>
      </c>
      <c r="M1235" s="279">
        <f>RES_BA!R33</f>
        <v>0</v>
      </c>
      <c r="O1235" s="279">
        <f>RES_BA!S33</f>
        <v>0</v>
      </c>
      <c r="Q1235" s="279">
        <f>RES_BA!T33</f>
        <v>0</v>
      </c>
      <c r="S1235" s="279">
        <f>RES_BA!U33</f>
        <v>0</v>
      </c>
    </row>
    <row r="1236" spans="3:19" s="277" customFormat="1" hidden="1" outlineLevel="1" collapsed="1" x14ac:dyDescent="0.3">
      <c r="C1236" s="283" t="str">
        <f>RES_BA!D34</f>
        <v>Personnel Cadre - Other 21</v>
      </c>
      <c r="M1236" s="279">
        <f>RES_BA!R34</f>
        <v>0</v>
      </c>
      <c r="O1236" s="279">
        <f>RES_BA!S34</f>
        <v>0</v>
      </c>
      <c r="Q1236" s="279">
        <f>RES_BA!T34</f>
        <v>0</v>
      </c>
      <c r="S1236" s="279">
        <f>RES_BA!U34</f>
        <v>0</v>
      </c>
    </row>
    <row r="1237" spans="3:19" s="277" customFormat="1" hidden="1" outlineLevel="1" x14ac:dyDescent="0.3">
      <c r="C1237" s="283" t="str">
        <f>RES_BA!D35</f>
        <v>Personnel Cadre - Other 22</v>
      </c>
      <c r="M1237" s="279">
        <f>RES_BA!R35</f>
        <v>0</v>
      </c>
      <c r="O1237" s="279">
        <f>RES_BA!S35</f>
        <v>0</v>
      </c>
      <c r="Q1237" s="279">
        <f>RES_BA!T35</f>
        <v>0</v>
      </c>
      <c r="S1237" s="279">
        <f>RES_BA!U35</f>
        <v>0</v>
      </c>
    </row>
    <row r="1238" spans="3:19" s="277" customFormat="1" hidden="1" outlineLevel="1" x14ac:dyDescent="0.3">
      <c r="C1238" s="283" t="str">
        <f>RES_BA!D36</f>
        <v>Personnel Cadre - Other 23</v>
      </c>
      <c r="M1238" s="279">
        <f>RES_BA!R36</f>
        <v>0</v>
      </c>
      <c r="O1238" s="279">
        <f>RES_BA!S36</f>
        <v>0</v>
      </c>
      <c r="Q1238" s="279">
        <f>RES_BA!T36</f>
        <v>0</v>
      </c>
      <c r="S1238" s="279">
        <f>RES_BA!U36</f>
        <v>0</v>
      </c>
    </row>
    <row r="1239" spans="3:19" s="277" customFormat="1" hidden="1" outlineLevel="1" x14ac:dyDescent="0.3">
      <c r="C1239" s="283" t="str">
        <f>RES_BA!D37</f>
        <v>Personnel Cadre - Other 24</v>
      </c>
      <c r="M1239" s="279">
        <f>RES_BA!R37</f>
        <v>0</v>
      </c>
      <c r="O1239" s="279">
        <f>RES_BA!S37</f>
        <v>0</v>
      </c>
      <c r="Q1239" s="279">
        <f>RES_BA!T37</f>
        <v>0</v>
      </c>
      <c r="S1239" s="279">
        <f>RES_BA!U37</f>
        <v>0</v>
      </c>
    </row>
    <row r="1240" spans="3:19" s="277" customFormat="1" hidden="1" outlineLevel="1" x14ac:dyDescent="0.3">
      <c r="C1240" s="283" t="str">
        <f>RES_BA!D38</f>
        <v>Personnel Cadre - Other 25</v>
      </c>
      <c r="M1240" s="279">
        <f>RES_BA!R38</f>
        <v>0</v>
      </c>
      <c r="O1240" s="279">
        <f>RES_BA!S38</f>
        <v>0</v>
      </c>
      <c r="Q1240" s="279">
        <f>RES_BA!T38</f>
        <v>0</v>
      </c>
      <c r="S1240" s="279">
        <f>RES_BA!U38</f>
        <v>0</v>
      </c>
    </row>
    <row r="1241" spans="3:19" s="277" customFormat="1" hidden="1" outlineLevel="1" x14ac:dyDescent="0.3">
      <c r="C1241" s="283" t="str">
        <f>RES_BA!D39</f>
        <v>Personnel Cadre - Other 26</v>
      </c>
      <c r="M1241" s="279">
        <f>RES_BA!R39</f>
        <v>0</v>
      </c>
      <c r="O1241" s="279">
        <f>RES_BA!S39</f>
        <v>0</v>
      </c>
      <c r="Q1241" s="279">
        <f>RES_BA!T39</f>
        <v>0</v>
      </c>
      <c r="S1241" s="279">
        <f>RES_BA!U39</f>
        <v>0</v>
      </c>
    </row>
    <row r="1242" spans="3:19" s="277" customFormat="1" hidden="1" outlineLevel="1" x14ac:dyDescent="0.3">
      <c r="C1242" s="283" t="str">
        <f>RES_BA!D40</f>
        <v>Personnel Cadre - Other 27</v>
      </c>
      <c r="M1242" s="279">
        <f>RES_BA!R40</f>
        <v>0</v>
      </c>
      <c r="O1242" s="279">
        <f>RES_BA!S40</f>
        <v>0</v>
      </c>
      <c r="Q1242" s="279">
        <f>RES_BA!T40</f>
        <v>0</v>
      </c>
      <c r="S1242" s="279">
        <f>RES_BA!U40</f>
        <v>0</v>
      </c>
    </row>
    <row r="1243" spans="3:19" s="277" customFormat="1" hidden="1" outlineLevel="1" x14ac:dyDescent="0.3">
      <c r="C1243" s="283" t="str">
        <f>RES_BA!D41</f>
        <v>Personnel Cadre - Other 28</v>
      </c>
      <c r="M1243" s="279">
        <f>RES_BA!R41</f>
        <v>0</v>
      </c>
      <c r="O1243" s="279">
        <f>RES_BA!S41</f>
        <v>0</v>
      </c>
      <c r="Q1243" s="279">
        <f>RES_BA!T41</f>
        <v>0</v>
      </c>
      <c r="S1243" s="279">
        <f>RES_BA!U41</f>
        <v>0</v>
      </c>
    </row>
    <row r="1244" spans="3:19" s="277" customFormat="1" hidden="1" outlineLevel="1" x14ac:dyDescent="0.3">
      <c r="C1244" s="283" t="str">
        <f>RES_BA!D42</f>
        <v>Personnel Cadre - Other 29</v>
      </c>
      <c r="M1244" s="279">
        <f>RES_BA!R42</f>
        <v>0</v>
      </c>
      <c r="O1244" s="279">
        <f>RES_BA!S42</f>
        <v>0</v>
      </c>
      <c r="Q1244" s="279">
        <f>RES_BA!T42</f>
        <v>0</v>
      </c>
      <c r="S1244" s="279">
        <f>RES_BA!U42</f>
        <v>0</v>
      </c>
    </row>
    <row r="1245" spans="3:19" s="277" customFormat="1" hidden="1" outlineLevel="1" x14ac:dyDescent="0.3">
      <c r="C1245" s="283" t="str">
        <f>RES_BA!D43</f>
        <v>Personnel Cadre - Other 30</v>
      </c>
      <c r="M1245" s="279">
        <f>RES_BA!R43</f>
        <v>0</v>
      </c>
      <c r="O1245" s="279">
        <f>RES_BA!S43</f>
        <v>0</v>
      </c>
      <c r="Q1245" s="279">
        <f>RES_BA!T43</f>
        <v>0</v>
      </c>
      <c r="S1245" s="279">
        <f>RES_BA!U43</f>
        <v>0</v>
      </c>
    </row>
    <row r="1246" spans="3:19" s="277" customFormat="1" hidden="1" outlineLevel="1" x14ac:dyDescent="0.3">
      <c r="C1246" s="283" t="str">
        <f>RES_BA!D44</f>
        <v>Personnel Cadre - Other 31</v>
      </c>
      <c r="M1246" s="279">
        <f>RES_BA!R44</f>
        <v>0</v>
      </c>
      <c r="O1246" s="279">
        <f>RES_BA!S44</f>
        <v>0</v>
      </c>
      <c r="Q1246" s="279">
        <f>RES_BA!T44</f>
        <v>0</v>
      </c>
      <c r="S1246" s="279">
        <f>RES_BA!U44</f>
        <v>0</v>
      </c>
    </row>
    <row r="1247" spans="3:19" s="277" customFormat="1" hidden="1" outlineLevel="1" x14ac:dyDescent="0.3">
      <c r="C1247" s="283" t="str">
        <f>RES_BA!D45</f>
        <v>Personnel Cadre - Other 32</v>
      </c>
      <c r="M1247" s="279">
        <f>RES_BA!R45</f>
        <v>0</v>
      </c>
      <c r="O1247" s="279">
        <f>RES_BA!S45</f>
        <v>0</v>
      </c>
      <c r="Q1247" s="279">
        <f>RES_BA!T45</f>
        <v>0</v>
      </c>
      <c r="S1247" s="279">
        <f>RES_BA!U45</f>
        <v>0</v>
      </c>
    </row>
    <row r="1248" spans="3:19" s="277" customFormat="1" hidden="1" outlineLevel="1" x14ac:dyDescent="0.3">
      <c r="C1248" s="283" t="str">
        <f>RES_BA!D46</f>
        <v>Personnel Cadre - Other 33</v>
      </c>
      <c r="M1248" s="279">
        <f>RES_BA!R46</f>
        <v>0</v>
      </c>
      <c r="O1248" s="279">
        <f>RES_BA!S46</f>
        <v>0</v>
      </c>
      <c r="Q1248" s="279">
        <f>RES_BA!T46</f>
        <v>0</v>
      </c>
      <c r="S1248" s="279">
        <f>RES_BA!U46</f>
        <v>0</v>
      </c>
    </row>
    <row r="1249" spans="3:19" s="277" customFormat="1" hidden="1" outlineLevel="1" x14ac:dyDescent="0.3">
      <c r="C1249" s="283" t="str">
        <f>RES_BA!D47</f>
        <v>Personnel Cadre - Other 34</v>
      </c>
      <c r="M1249" s="279">
        <f>RES_BA!R47</f>
        <v>0</v>
      </c>
      <c r="O1249" s="279">
        <f>RES_BA!S47</f>
        <v>0</v>
      </c>
      <c r="Q1249" s="279">
        <f>RES_BA!T47</f>
        <v>0</v>
      </c>
      <c r="S1249" s="279">
        <f>RES_BA!U47</f>
        <v>0</v>
      </c>
    </row>
    <row r="1250" spans="3:19" s="277" customFormat="1" hidden="1" outlineLevel="1" x14ac:dyDescent="0.3">
      <c r="C1250" s="283" t="str">
        <f>RES_BA!D48</f>
        <v>Personnel Cadre - Other 35</v>
      </c>
      <c r="M1250" s="279">
        <f>RES_BA!R48</f>
        <v>0</v>
      </c>
      <c r="O1250" s="279">
        <f>RES_BA!S48</f>
        <v>0</v>
      </c>
      <c r="Q1250" s="279">
        <f>RES_BA!T48</f>
        <v>0</v>
      </c>
      <c r="S1250" s="279">
        <f>RES_BA!U48</f>
        <v>0</v>
      </c>
    </row>
    <row r="1251" spans="3:19" hidden="1" outlineLevel="1" x14ac:dyDescent="0.3"/>
    <row r="1252" spans="3:19" hidden="1" outlineLevel="1" x14ac:dyDescent="0.3">
      <c r="M1252" s="40" t="str">
        <f>$D$1210</f>
        <v>USD</v>
      </c>
      <c r="O1252" s="40" t="str">
        <f>$D$1210</f>
        <v>USD</v>
      </c>
      <c r="Q1252" s="40" t="str">
        <f>$D$1211</f>
        <v>GOZ</v>
      </c>
      <c r="S1252" s="40" t="str">
        <f>$D$1211</f>
        <v>GOZ</v>
      </c>
    </row>
    <row r="1253" spans="3:19" hidden="1" outlineLevel="1" x14ac:dyDescent="0.3">
      <c r="C1253" s="89" t="str">
        <f>RES_BA!D53</f>
        <v>Allowances Category 1</v>
      </c>
      <c r="M1253" s="40">
        <f>RES_BA!R53</f>
        <v>0</v>
      </c>
      <c r="O1253" s="40">
        <f>RES_BA!S53</f>
        <v>0</v>
      </c>
      <c r="Q1253" s="40">
        <f>RES_BA!T53</f>
        <v>0</v>
      </c>
      <c r="S1253" s="40">
        <f>RES_BA!U53</f>
        <v>0</v>
      </c>
    </row>
    <row r="1254" spans="3:19" hidden="1" outlineLevel="1" x14ac:dyDescent="0.3">
      <c r="C1254" s="89" t="str">
        <f>RES_BA!D54</f>
        <v>Allowances Category 2</v>
      </c>
      <c r="M1254" s="40">
        <f>RES_BA!R54</f>
        <v>0</v>
      </c>
      <c r="O1254" s="40">
        <f>RES_BA!S54</f>
        <v>0</v>
      </c>
      <c r="Q1254" s="40">
        <f>RES_BA!T54</f>
        <v>0</v>
      </c>
      <c r="S1254" s="40">
        <f>RES_BA!U54</f>
        <v>0</v>
      </c>
    </row>
    <row r="1255" spans="3:19" hidden="1" outlineLevel="1" x14ac:dyDescent="0.3">
      <c r="C1255" s="89" t="str">
        <f>RES_BA!D55</f>
        <v>Allowances Category 3</v>
      </c>
      <c r="M1255" s="40">
        <f>RES_BA!R55</f>
        <v>0</v>
      </c>
      <c r="O1255" s="40">
        <f>RES_BA!S55</f>
        <v>0</v>
      </c>
      <c r="Q1255" s="40">
        <f>RES_BA!T55</f>
        <v>0</v>
      </c>
      <c r="S1255" s="40">
        <f>RES_BA!U55</f>
        <v>0</v>
      </c>
    </row>
    <row r="1256" spans="3:19" hidden="1" outlineLevel="1" x14ac:dyDescent="0.3">
      <c r="C1256" s="89" t="str">
        <f>RES_BA!D56</f>
        <v>Allowances Category 4</v>
      </c>
      <c r="M1256" s="40">
        <f>RES_BA!R56</f>
        <v>0</v>
      </c>
      <c r="O1256" s="40">
        <f>RES_BA!S56</f>
        <v>0</v>
      </c>
      <c r="Q1256" s="40">
        <f>RES_BA!T56</f>
        <v>0</v>
      </c>
      <c r="S1256" s="40">
        <f>RES_BA!U56</f>
        <v>0</v>
      </c>
    </row>
    <row r="1257" spans="3:19" hidden="1" outlineLevel="1" x14ac:dyDescent="0.3">
      <c r="C1257" s="89" t="str">
        <f>RES_BA!D57</f>
        <v>Allowances Category 5</v>
      </c>
      <c r="M1257" s="40">
        <f>RES_BA!R57</f>
        <v>0</v>
      </c>
      <c r="O1257" s="40">
        <f>RES_BA!S57</f>
        <v>0</v>
      </c>
      <c r="Q1257" s="40">
        <f>RES_BA!T57</f>
        <v>0</v>
      </c>
      <c r="S1257" s="40">
        <f>RES_BA!U57</f>
        <v>0</v>
      </c>
    </row>
    <row r="1258" spans="3:19" s="277" customFormat="1" hidden="1" outlineLevel="1" collapsed="1" x14ac:dyDescent="0.3">
      <c r="C1258" s="283" t="str">
        <f>RES_BA!D58</f>
        <v>Allowances Category 6</v>
      </c>
      <c r="M1258" s="279">
        <f>RES_BA!R58</f>
        <v>0</v>
      </c>
      <c r="O1258" s="279">
        <f>RES_BA!S58</f>
        <v>0</v>
      </c>
      <c r="Q1258" s="279">
        <f>RES_BA!T58</f>
        <v>0</v>
      </c>
      <c r="S1258" s="279">
        <f>RES_BA!U58</f>
        <v>0</v>
      </c>
    </row>
    <row r="1259" spans="3:19" s="277" customFormat="1" hidden="1" outlineLevel="1" x14ac:dyDescent="0.3">
      <c r="C1259" s="283" t="str">
        <f>RES_BA!D59</f>
        <v>Allowances Category 7</v>
      </c>
      <c r="M1259" s="279">
        <f>RES_BA!R59</f>
        <v>0</v>
      </c>
      <c r="O1259" s="279">
        <f>RES_BA!S59</f>
        <v>0</v>
      </c>
      <c r="Q1259" s="279">
        <f>RES_BA!T59</f>
        <v>0</v>
      </c>
      <c r="S1259" s="279">
        <f>RES_BA!U59</f>
        <v>0</v>
      </c>
    </row>
    <row r="1260" spans="3:19" s="277" customFormat="1" hidden="1" outlineLevel="1" x14ac:dyDescent="0.3">
      <c r="C1260" s="283" t="str">
        <f>RES_BA!D60</f>
        <v>Allowances Category 8</v>
      </c>
      <c r="M1260" s="279">
        <f>RES_BA!R60</f>
        <v>0</v>
      </c>
      <c r="O1260" s="279">
        <f>RES_BA!S60</f>
        <v>0</v>
      </c>
      <c r="Q1260" s="279">
        <f>RES_BA!T60</f>
        <v>0</v>
      </c>
      <c r="S1260" s="279">
        <f>RES_BA!U60</f>
        <v>0</v>
      </c>
    </row>
    <row r="1261" spans="3:19" s="277" customFormat="1" hidden="1" outlineLevel="1" x14ac:dyDescent="0.3">
      <c r="C1261" s="283" t="str">
        <f>RES_BA!D61</f>
        <v>Allowances Category 9</v>
      </c>
      <c r="M1261" s="279">
        <f>RES_BA!R61</f>
        <v>0</v>
      </c>
      <c r="O1261" s="279">
        <f>RES_BA!S61</f>
        <v>0</v>
      </c>
      <c r="Q1261" s="279">
        <f>RES_BA!T61</f>
        <v>0</v>
      </c>
      <c r="S1261" s="279">
        <f>RES_BA!U61</f>
        <v>0</v>
      </c>
    </row>
    <row r="1262" spans="3:19" s="277" customFormat="1" hidden="1" outlineLevel="1" x14ac:dyDescent="0.3">
      <c r="C1262" s="283" t="str">
        <f>RES_BA!D62</f>
        <v>Allowances Category 10</v>
      </c>
      <c r="M1262" s="279">
        <f>RES_BA!R62</f>
        <v>0</v>
      </c>
      <c r="O1262" s="279">
        <f>RES_BA!S62</f>
        <v>0</v>
      </c>
      <c r="Q1262" s="279">
        <f>RES_BA!T62</f>
        <v>0</v>
      </c>
      <c r="S1262" s="279">
        <f>RES_BA!U62</f>
        <v>0</v>
      </c>
    </row>
    <row r="1263" spans="3:19" s="277" customFormat="1" hidden="1" outlineLevel="1" x14ac:dyDescent="0.3">
      <c r="C1263" s="283" t="str">
        <f>RES_BA!D63</f>
        <v>Allowances Category 11</v>
      </c>
      <c r="M1263" s="279">
        <f>RES_BA!R63</f>
        <v>0</v>
      </c>
      <c r="O1263" s="279">
        <f>RES_BA!S63</f>
        <v>0</v>
      </c>
      <c r="Q1263" s="279">
        <f>RES_BA!T63</f>
        <v>0</v>
      </c>
      <c r="S1263" s="279">
        <f>RES_BA!U63</f>
        <v>0</v>
      </c>
    </row>
    <row r="1264" spans="3:19" s="277" customFormat="1" hidden="1" outlineLevel="1" x14ac:dyDescent="0.3">
      <c r="C1264" s="283" t="str">
        <f>RES_BA!D64</f>
        <v>Allowances Category 12</v>
      </c>
      <c r="M1264" s="279">
        <f>RES_BA!R64</f>
        <v>0</v>
      </c>
      <c r="O1264" s="279">
        <f>RES_BA!S64</f>
        <v>0</v>
      </c>
      <c r="Q1264" s="279">
        <f>RES_BA!T64</f>
        <v>0</v>
      </c>
      <c r="S1264" s="279">
        <f>RES_BA!U64</f>
        <v>0</v>
      </c>
    </row>
    <row r="1265" spans="3:19" s="277" customFormat="1" hidden="1" outlineLevel="1" x14ac:dyDescent="0.3">
      <c r="C1265" s="283" t="str">
        <f>RES_BA!D65</f>
        <v>Allowances Category 13</v>
      </c>
      <c r="M1265" s="279">
        <f>RES_BA!R65</f>
        <v>0</v>
      </c>
      <c r="O1265" s="279">
        <f>RES_BA!S65</f>
        <v>0</v>
      </c>
      <c r="Q1265" s="279">
        <f>RES_BA!T65</f>
        <v>0</v>
      </c>
      <c r="S1265" s="279">
        <f>RES_BA!U65</f>
        <v>0</v>
      </c>
    </row>
    <row r="1266" spans="3:19" s="277" customFormat="1" hidden="1" outlineLevel="1" x14ac:dyDescent="0.3">
      <c r="C1266" s="283" t="str">
        <f>RES_BA!D66</f>
        <v>Allowances Category 14</v>
      </c>
      <c r="M1266" s="279">
        <f>RES_BA!R66</f>
        <v>0</v>
      </c>
      <c r="O1266" s="279">
        <f>RES_BA!S66</f>
        <v>0</v>
      </c>
      <c r="Q1266" s="279">
        <f>RES_BA!T66</f>
        <v>0</v>
      </c>
      <c r="S1266" s="279">
        <f>RES_BA!U66</f>
        <v>0</v>
      </c>
    </row>
    <row r="1267" spans="3:19" s="277" customFormat="1" hidden="1" outlineLevel="1" x14ac:dyDescent="0.3">
      <c r="C1267" s="283" t="str">
        <f>RES_BA!D67</f>
        <v>Allowances Category 15</v>
      </c>
      <c r="M1267" s="279">
        <f>RES_BA!R67</f>
        <v>0</v>
      </c>
      <c r="O1267" s="279">
        <f>RES_BA!S67</f>
        <v>0</v>
      </c>
      <c r="Q1267" s="279">
        <f>RES_BA!T67</f>
        <v>0</v>
      </c>
      <c r="S1267" s="279">
        <f>RES_BA!U67</f>
        <v>0</v>
      </c>
    </row>
    <row r="1268" spans="3:19" s="277" customFormat="1" hidden="1" outlineLevel="1" x14ac:dyDescent="0.3">
      <c r="C1268" s="283" t="str">
        <f>RES_BA!D68</f>
        <v>Allowances Category 16</v>
      </c>
      <c r="M1268" s="279">
        <f>RES_BA!R68</f>
        <v>0</v>
      </c>
      <c r="O1268" s="279">
        <f>RES_BA!S68</f>
        <v>0</v>
      </c>
      <c r="Q1268" s="279">
        <f>RES_BA!T68</f>
        <v>0</v>
      </c>
      <c r="S1268" s="279">
        <f>RES_BA!U68</f>
        <v>0</v>
      </c>
    </row>
    <row r="1269" spans="3:19" hidden="1" outlineLevel="1" x14ac:dyDescent="0.3">
      <c r="C1269" s="89" t="str">
        <f>RES_BA!D69</f>
        <v>Allowances Category 17</v>
      </c>
      <c r="M1269" s="40">
        <f>RES_BA!R69</f>
        <v>0</v>
      </c>
      <c r="O1269" s="40">
        <f>RES_BA!S69</f>
        <v>0</v>
      </c>
      <c r="Q1269" s="40">
        <f>RES_BA!T69</f>
        <v>0</v>
      </c>
      <c r="S1269" s="40">
        <f>RES_BA!U69</f>
        <v>0</v>
      </c>
    </row>
    <row r="1270" spans="3:19" hidden="1" outlineLevel="1" x14ac:dyDescent="0.3">
      <c r="C1270" s="89" t="str">
        <f>RES_BA!D70</f>
        <v>Allowances Category 18</v>
      </c>
      <c r="M1270" s="40">
        <f>RES_BA!R70</f>
        <v>0</v>
      </c>
      <c r="O1270" s="40">
        <f>RES_BA!S70</f>
        <v>0</v>
      </c>
      <c r="Q1270" s="40">
        <f>RES_BA!T70</f>
        <v>0</v>
      </c>
      <c r="S1270" s="40">
        <f>RES_BA!U70</f>
        <v>0</v>
      </c>
    </row>
    <row r="1271" spans="3:19" hidden="1" outlineLevel="1" x14ac:dyDescent="0.3">
      <c r="C1271" s="89" t="str">
        <f>RES_BA!D71</f>
        <v>Allowances Category 19</v>
      </c>
      <c r="M1271" s="40">
        <f>RES_BA!R71</f>
        <v>0</v>
      </c>
      <c r="O1271" s="40">
        <f>RES_BA!S71</f>
        <v>0</v>
      </c>
      <c r="Q1271" s="40">
        <f>RES_BA!T71</f>
        <v>0</v>
      </c>
      <c r="S1271" s="40">
        <f>RES_BA!U71</f>
        <v>0</v>
      </c>
    </row>
    <row r="1272" spans="3:19" hidden="1" outlineLevel="1" x14ac:dyDescent="0.3">
      <c r="C1272" s="89" t="str">
        <f>RES_BA!D72</f>
        <v>Allowances Category 20</v>
      </c>
      <c r="M1272" s="40">
        <f>RES_BA!R72</f>
        <v>0</v>
      </c>
      <c r="O1272" s="40">
        <f>RES_BA!S72</f>
        <v>0</v>
      </c>
      <c r="Q1272" s="40">
        <f>RES_BA!T72</f>
        <v>0</v>
      </c>
      <c r="S1272" s="40">
        <f>RES_BA!U72</f>
        <v>0</v>
      </c>
    </row>
    <row r="1273" spans="3:19" hidden="1" outlineLevel="1" x14ac:dyDescent="0.3">
      <c r="C1273" s="89" t="str">
        <f>RES_BA!D73</f>
        <v>Allowances Category 21</v>
      </c>
      <c r="M1273" s="40">
        <f>RES_BA!R73</f>
        <v>0</v>
      </c>
      <c r="O1273" s="40">
        <f>RES_BA!S73</f>
        <v>0</v>
      </c>
      <c r="Q1273" s="40">
        <f>RES_BA!T73</f>
        <v>0</v>
      </c>
      <c r="S1273" s="40">
        <f>RES_BA!U73</f>
        <v>0</v>
      </c>
    </row>
    <row r="1274" spans="3:19" hidden="1" outlineLevel="1" x14ac:dyDescent="0.3">
      <c r="C1274" s="89" t="str">
        <f>RES_BA!D74</f>
        <v>Allowances Category 22</v>
      </c>
      <c r="M1274" s="40">
        <f>RES_BA!R74</f>
        <v>0</v>
      </c>
      <c r="O1274" s="40">
        <f>RES_BA!S74</f>
        <v>0</v>
      </c>
      <c r="Q1274" s="40">
        <f>RES_BA!T74</f>
        <v>0</v>
      </c>
      <c r="S1274" s="40">
        <f>RES_BA!U74</f>
        <v>0</v>
      </c>
    </row>
    <row r="1275" spans="3:19" hidden="1" outlineLevel="1" x14ac:dyDescent="0.3">
      <c r="C1275" s="89" t="str">
        <f>RES_BA!D75</f>
        <v>Allowances Category 23</v>
      </c>
      <c r="M1275" s="40">
        <f>RES_BA!R75</f>
        <v>0</v>
      </c>
      <c r="O1275" s="40">
        <f>RES_BA!S75</f>
        <v>0</v>
      </c>
      <c r="Q1275" s="40">
        <f>RES_BA!T75</f>
        <v>0</v>
      </c>
      <c r="S1275" s="40">
        <f>RES_BA!U75</f>
        <v>0</v>
      </c>
    </row>
    <row r="1276" spans="3:19" s="277" customFormat="1" hidden="1" outlineLevel="1" collapsed="1" x14ac:dyDescent="0.3">
      <c r="C1276" s="283" t="str">
        <f>RES_BA!D76</f>
        <v>Allowances Category 24</v>
      </c>
      <c r="M1276" s="279">
        <f>RES_BA!R76</f>
        <v>0</v>
      </c>
      <c r="O1276" s="279">
        <f>RES_BA!S76</f>
        <v>0</v>
      </c>
      <c r="Q1276" s="279">
        <f>RES_BA!T76</f>
        <v>0</v>
      </c>
      <c r="S1276" s="279">
        <f>RES_BA!U76</f>
        <v>0</v>
      </c>
    </row>
    <row r="1277" spans="3:19" s="277" customFormat="1" hidden="1" outlineLevel="1" x14ac:dyDescent="0.3">
      <c r="C1277" s="283" t="str">
        <f>RES_BA!D77</f>
        <v>Allowances Category 25</v>
      </c>
      <c r="M1277" s="279">
        <f>RES_BA!R77</f>
        <v>0</v>
      </c>
      <c r="O1277" s="279">
        <f>RES_BA!S77</f>
        <v>0</v>
      </c>
      <c r="Q1277" s="279">
        <f>RES_BA!T77</f>
        <v>0</v>
      </c>
      <c r="S1277" s="279">
        <f>RES_BA!U77</f>
        <v>0</v>
      </c>
    </row>
    <row r="1278" spans="3:19" s="277" customFormat="1" hidden="1" outlineLevel="1" x14ac:dyDescent="0.3">
      <c r="C1278" s="283" t="str">
        <f>RES_BA!D78</f>
        <v>Allowances Category 26</v>
      </c>
      <c r="M1278" s="279">
        <f>RES_BA!R78</f>
        <v>0</v>
      </c>
      <c r="O1278" s="279">
        <f>RES_BA!S78</f>
        <v>0</v>
      </c>
      <c r="Q1278" s="279">
        <f>RES_BA!T78</f>
        <v>0</v>
      </c>
      <c r="S1278" s="279">
        <f>RES_BA!U78</f>
        <v>0</v>
      </c>
    </row>
    <row r="1279" spans="3:19" s="277" customFormat="1" hidden="1" outlineLevel="1" x14ac:dyDescent="0.3">
      <c r="C1279" s="283" t="str">
        <f>RES_BA!D79</f>
        <v>Allowances Category 27</v>
      </c>
      <c r="M1279" s="279">
        <f>RES_BA!R79</f>
        <v>0</v>
      </c>
      <c r="O1279" s="279">
        <f>RES_BA!S79</f>
        <v>0</v>
      </c>
      <c r="Q1279" s="279">
        <f>RES_BA!T79</f>
        <v>0</v>
      </c>
      <c r="S1279" s="279">
        <f>RES_BA!U79</f>
        <v>0</v>
      </c>
    </row>
    <row r="1280" spans="3:19" s="277" customFormat="1" hidden="1" outlineLevel="1" x14ac:dyDescent="0.3">
      <c r="C1280" s="283" t="str">
        <f>RES_BA!D80</f>
        <v>Allowances Category 28</v>
      </c>
      <c r="M1280" s="279">
        <f>RES_BA!R80</f>
        <v>0</v>
      </c>
      <c r="O1280" s="279">
        <f>RES_BA!S80</f>
        <v>0</v>
      </c>
      <c r="Q1280" s="279">
        <f>RES_BA!T80</f>
        <v>0</v>
      </c>
      <c r="S1280" s="279">
        <f>RES_BA!U80</f>
        <v>0</v>
      </c>
    </row>
    <row r="1281" spans="3:19" s="277" customFormat="1" hidden="1" outlineLevel="1" x14ac:dyDescent="0.3">
      <c r="C1281" s="283" t="str">
        <f>RES_BA!D81</f>
        <v>Allowances Category 29</v>
      </c>
      <c r="M1281" s="279">
        <f>RES_BA!R81</f>
        <v>0</v>
      </c>
      <c r="O1281" s="279">
        <f>RES_BA!S81</f>
        <v>0</v>
      </c>
      <c r="Q1281" s="279">
        <f>RES_BA!T81</f>
        <v>0</v>
      </c>
      <c r="S1281" s="279">
        <f>RES_BA!U81</f>
        <v>0</v>
      </c>
    </row>
    <row r="1282" spans="3:19" s="277" customFormat="1" hidden="1" outlineLevel="1" x14ac:dyDescent="0.3">
      <c r="C1282" s="283" t="str">
        <f>RES_BA!D82</f>
        <v>Allowances Category 30</v>
      </c>
      <c r="M1282" s="279">
        <f>RES_BA!R82</f>
        <v>0</v>
      </c>
      <c r="O1282" s="279">
        <f>RES_BA!S82</f>
        <v>0</v>
      </c>
      <c r="Q1282" s="279">
        <f>RES_BA!T82</f>
        <v>0</v>
      </c>
      <c r="S1282" s="279">
        <f>RES_BA!U82</f>
        <v>0</v>
      </c>
    </row>
    <row r="1283" spans="3:19" hidden="1" outlineLevel="1" x14ac:dyDescent="0.3">
      <c r="C1283" s="89" t="str">
        <f>RES_BA!D83</f>
        <v>Allowances Category 31</v>
      </c>
      <c r="M1283" s="40">
        <f>RES_BA!R83</f>
        <v>0</v>
      </c>
      <c r="O1283" s="40">
        <f>RES_BA!S83</f>
        <v>0</v>
      </c>
      <c r="Q1283" s="40">
        <f>RES_BA!T83</f>
        <v>0</v>
      </c>
      <c r="S1283" s="40">
        <f>RES_BA!U83</f>
        <v>0</v>
      </c>
    </row>
    <row r="1284" spans="3:19" hidden="1" outlineLevel="1" x14ac:dyDescent="0.3">
      <c r="C1284" s="89" t="str">
        <f>RES_BA!D84</f>
        <v>Allowances Category 32</v>
      </c>
      <c r="M1284" s="40">
        <f>RES_BA!R84</f>
        <v>0</v>
      </c>
      <c r="O1284" s="40">
        <f>RES_BA!S84</f>
        <v>0</v>
      </c>
      <c r="Q1284" s="40">
        <f>RES_BA!T84</f>
        <v>0</v>
      </c>
      <c r="S1284" s="40">
        <f>RES_BA!U84</f>
        <v>0</v>
      </c>
    </row>
    <row r="1285" spans="3:19" hidden="1" outlineLevel="1" x14ac:dyDescent="0.3">
      <c r="C1285" s="89" t="str">
        <f>RES_BA!D85</f>
        <v>Allowances Category 33</v>
      </c>
      <c r="M1285" s="40">
        <f>RES_BA!R85</f>
        <v>0</v>
      </c>
      <c r="O1285" s="40">
        <f>RES_BA!S85</f>
        <v>0</v>
      </c>
      <c r="Q1285" s="40">
        <f>RES_BA!T85</f>
        <v>0</v>
      </c>
      <c r="S1285" s="40">
        <f>RES_BA!U85</f>
        <v>0</v>
      </c>
    </row>
    <row r="1286" spans="3:19" hidden="1" outlineLevel="1" x14ac:dyDescent="0.3">
      <c r="C1286" s="89" t="str">
        <f>RES_BA!D86</f>
        <v>Allowances Category 34</v>
      </c>
      <c r="M1286" s="40">
        <f>RES_BA!R86</f>
        <v>0</v>
      </c>
      <c r="O1286" s="40">
        <f>RES_BA!S86</f>
        <v>0</v>
      </c>
      <c r="Q1286" s="40">
        <f>RES_BA!T86</f>
        <v>0</v>
      </c>
      <c r="S1286" s="40">
        <f>RES_BA!U86</f>
        <v>0</v>
      </c>
    </row>
    <row r="1287" spans="3:19" hidden="1" outlineLevel="1" x14ac:dyDescent="0.3">
      <c r="C1287" s="89" t="str">
        <f>RES_BA!D87</f>
        <v>Allowances Category 35</v>
      </c>
      <c r="M1287" s="40">
        <f>RES_BA!R87</f>
        <v>0</v>
      </c>
      <c r="O1287" s="40">
        <f>RES_BA!S87</f>
        <v>0</v>
      </c>
      <c r="Q1287" s="40">
        <f>RES_BA!T87</f>
        <v>0</v>
      </c>
      <c r="S1287" s="40">
        <f>RES_BA!U87</f>
        <v>0</v>
      </c>
    </row>
    <row r="1288" spans="3:19" hidden="1" outlineLevel="1" x14ac:dyDescent="0.3"/>
    <row r="1289" spans="3:19" hidden="1" outlineLevel="1" x14ac:dyDescent="0.3"/>
    <row r="1290" spans="3:19" hidden="1" outlineLevel="1" x14ac:dyDescent="0.3">
      <c r="M1290" s="40" t="str">
        <f>$D$1210</f>
        <v>USD</v>
      </c>
      <c r="O1290" s="40" t="str">
        <f>$D$1210</f>
        <v>USD</v>
      </c>
      <c r="Q1290" s="40" t="str">
        <f>$D$1211</f>
        <v>GOZ</v>
      </c>
      <c r="S1290" s="40" t="str">
        <f>$D$1211</f>
        <v>GOZ</v>
      </c>
    </row>
    <row r="1291" spans="3:19" hidden="1" outlineLevel="1" x14ac:dyDescent="0.3">
      <c r="C1291" s="89" t="str">
        <f>RES_BA!D91</f>
        <v>Supplies Category 1</v>
      </c>
      <c r="M1291" s="40">
        <f>RES_BA!R91</f>
        <v>0</v>
      </c>
      <c r="O1291" s="40">
        <f>RES_BA!S91</f>
        <v>0</v>
      </c>
      <c r="Q1291" s="40">
        <f>RES_BA!T91</f>
        <v>0</v>
      </c>
      <c r="S1291" s="40">
        <f>RES_BA!U91</f>
        <v>0</v>
      </c>
    </row>
    <row r="1292" spans="3:19" hidden="1" outlineLevel="1" x14ac:dyDescent="0.3">
      <c r="C1292" s="89" t="str">
        <f>RES_BA!D92</f>
        <v>Supplies Category 2</v>
      </c>
      <c r="M1292" s="40">
        <f>RES_BA!R92</f>
        <v>0</v>
      </c>
      <c r="O1292" s="40">
        <f>RES_BA!S92</f>
        <v>0</v>
      </c>
      <c r="Q1292" s="40">
        <f>RES_BA!T92</f>
        <v>0</v>
      </c>
      <c r="S1292" s="40">
        <f>RES_BA!U92</f>
        <v>0</v>
      </c>
    </row>
    <row r="1293" spans="3:19" hidden="1" outlineLevel="1" x14ac:dyDescent="0.3">
      <c r="C1293" s="89" t="str">
        <f>RES_BA!D93</f>
        <v>Supplies Category 3</v>
      </c>
      <c r="M1293" s="40">
        <f>RES_BA!R93</f>
        <v>0</v>
      </c>
      <c r="O1293" s="40">
        <f>RES_BA!S93</f>
        <v>0</v>
      </c>
      <c r="Q1293" s="40">
        <f>RES_BA!T93</f>
        <v>0</v>
      </c>
      <c r="S1293" s="40">
        <f>RES_BA!U93</f>
        <v>0</v>
      </c>
    </row>
    <row r="1294" spans="3:19" hidden="1" outlineLevel="1" x14ac:dyDescent="0.3">
      <c r="C1294" s="89" t="str">
        <f>RES_BA!D94</f>
        <v>Supplies Category 4</v>
      </c>
      <c r="M1294" s="40">
        <f>RES_BA!R94</f>
        <v>0</v>
      </c>
      <c r="O1294" s="40">
        <f>RES_BA!S94</f>
        <v>0</v>
      </c>
      <c r="Q1294" s="40">
        <f>RES_BA!T94</f>
        <v>0</v>
      </c>
      <c r="S1294" s="40">
        <f>RES_BA!U94</f>
        <v>0</v>
      </c>
    </row>
    <row r="1295" spans="3:19" hidden="1" outlineLevel="1" x14ac:dyDescent="0.3">
      <c r="C1295" s="89" t="str">
        <f>RES_BA!D95</f>
        <v>Supplies Category 5</v>
      </c>
      <c r="M1295" s="40">
        <f>RES_BA!R95</f>
        <v>0</v>
      </c>
      <c r="O1295" s="40">
        <f>RES_BA!S95</f>
        <v>0</v>
      </c>
      <c r="Q1295" s="40">
        <f>RES_BA!T95</f>
        <v>0</v>
      </c>
      <c r="S1295" s="40">
        <f>RES_BA!U95</f>
        <v>0</v>
      </c>
    </row>
    <row r="1296" spans="3:19" hidden="1" outlineLevel="1" x14ac:dyDescent="0.3">
      <c r="C1296" s="89" t="str">
        <f>RES_BA!D96</f>
        <v>Supplies Category 6</v>
      </c>
      <c r="M1296" s="40">
        <f>RES_BA!R96</f>
        <v>0</v>
      </c>
      <c r="O1296" s="40">
        <f>RES_BA!S96</f>
        <v>0</v>
      </c>
      <c r="Q1296" s="40">
        <f>RES_BA!T96</f>
        <v>0</v>
      </c>
      <c r="S1296" s="40">
        <f>RES_BA!U96</f>
        <v>0</v>
      </c>
    </row>
    <row r="1297" spans="3:19" hidden="1" outlineLevel="1" x14ac:dyDescent="0.3">
      <c r="C1297" s="89" t="str">
        <f>RES_BA!D97</f>
        <v>Supplies Category 7</v>
      </c>
      <c r="M1297" s="40">
        <f>RES_BA!R97</f>
        <v>0</v>
      </c>
      <c r="O1297" s="40">
        <f>RES_BA!S97</f>
        <v>0</v>
      </c>
      <c r="Q1297" s="40">
        <f>RES_BA!T97</f>
        <v>0</v>
      </c>
      <c r="S1297" s="40">
        <f>RES_BA!U97</f>
        <v>0</v>
      </c>
    </row>
    <row r="1298" spans="3:19" hidden="1" outlineLevel="1" x14ac:dyDescent="0.3">
      <c r="C1298" s="89" t="str">
        <f>RES_BA!D98</f>
        <v>Supplies Category 8</v>
      </c>
      <c r="M1298" s="40">
        <f>RES_BA!R98</f>
        <v>0</v>
      </c>
      <c r="O1298" s="40">
        <f>RES_BA!S98</f>
        <v>0</v>
      </c>
      <c r="Q1298" s="40">
        <f>RES_BA!T98</f>
        <v>0</v>
      </c>
      <c r="S1298" s="40">
        <f>RES_BA!U98</f>
        <v>0</v>
      </c>
    </row>
    <row r="1299" spans="3:19" hidden="1" outlineLevel="1" x14ac:dyDescent="0.3">
      <c r="C1299" s="89" t="str">
        <f>RES_BA!D99</f>
        <v>Supplies Category 9</v>
      </c>
      <c r="M1299" s="40">
        <f>RES_BA!R99</f>
        <v>0</v>
      </c>
      <c r="O1299" s="40">
        <f>RES_BA!S99</f>
        <v>0</v>
      </c>
      <c r="Q1299" s="40">
        <f>RES_BA!T99</f>
        <v>0</v>
      </c>
      <c r="S1299" s="40">
        <f>RES_BA!U99</f>
        <v>0</v>
      </c>
    </row>
    <row r="1300" spans="3:19" hidden="1" outlineLevel="1" x14ac:dyDescent="0.3">
      <c r="C1300" s="89" t="str">
        <f>RES_BA!D100</f>
        <v>Supplies Category 10</v>
      </c>
      <c r="M1300" s="40">
        <f>RES_BA!R100</f>
        <v>0</v>
      </c>
      <c r="O1300" s="40">
        <f>RES_BA!S100</f>
        <v>0</v>
      </c>
      <c r="Q1300" s="40">
        <f>RES_BA!T100</f>
        <v>0</v>
      </c>
      <c r="S1300" s="40">
        <f>RES_BA!U100</f>
        <v>0</v>
      </c>
    </row>
    <row r="1301" spans="3:19" hidden="1" outlineLevel="1" x14ac:dyDescent="0.3">
      <c r="C1301" s="89" t="str">
        <f>RES_BA!D101</f>
        <v>Supplies Category 11</v>
      </c>
      <c r="M1301" s="40">
        <f>RES_BA!R101</f>
        <v>0</v>
      </c>
      <c r="O1301" s="40">
        <f>RES_BA!S101</f>
        <v>0</v>
      </c>
      <c r="Q1301" s="40">
        <f>RES_BA!T101</f>
        <v>0</v>
      </c>
      <c r="S1301" s="40">
        <f>RES_BA!U101</f>
        <v>0</v>
      </c>
    </row>
    <row r="1302" spans="3:19" hidden="1" outlineLevel="1" x14ac:dyDescent="0.3">
      <c r="C1302" s="89" t="str">
        <f>RES_BA!D102</f>
        <v>Supplies Category 12</v>
      </c>
      <c r="M1302" s="40">
        <f>RES_BA!R102</f>
        <v>0</v>
      </c>
      <c r="O1302" s="40">
        <f>RES_BA!S102</f>
        <v>0</v>
      </c>
      <c r="Q1302" s="40">
        <f>RES_BA!T102</f>
        <v>0</v>
      </c>
      <c r="S1302" s="40">
        <f>RES_BA!U102</f>
        <v>0</v>
      </c>
    </row>
    <row r="1303" spans="3:19" hidden="1" outlineLevel="1" x14ac:dyDescent="0.3">
      <c r="C1303" s="89" t="str">
        <f>RES_BA!D103</f>
        <v>Supplies Category 13</v>
      </c>
      <c r="M1303" s="40">
        <f>RES_BA!R103</f>
        <v>0</v>
      </c>
      <c r="O1303" s="40">
        <f>RES_BA!S103</f>
        <v>0</v>
      </c>
      <c r="Q1303" s="40">
        <f>RES_BA!T103</f>
        <v>0</v>
      </c>
      <c r="S1303" s="40">
        <f>RES_BA!U103</f>
        <v>0</v>
      </c>
    </row>
    <row r="1304" spans="3:19" hidden="1" outlineLevel="1" x14ac:dyDescent="0.3">
      <c r="C1304" s="89" t="str">
        <f>RES_BA!D104</f>
        <v>Supplies Category 14</v>
      </c>
      <c r="M1304" s="40">
        <f>RES_BA!R104</f>
        <v>0</v>
      </c>
      <c r="O1304" s="40">
        <f>RES_BA!S104</f>
        <v>0</v>
      </c>
      <c r="Q1304" s="40">
        <f>RES_BA!T104</f>
        <v>0</v>
      </c>
      <c r="S1304" s="40">
        <f>RES_BA!U104</f>
        <v>0</v>
      </c>
    </row>
    <row r="1305" spans="3:19" hidden="1" outlineLevel="1" x14ac:dyDescent="0.3">
      <c r="C1305" s="89" t="str">
        <f>RES_BA!D105</f>
        <v>Supplies Category 15</v>
      </c>
      <c r="M1305" s="40">
        <f>RES_BA!R105</f>
        <v>0</v>
      </c>
      <c r="O1305" s="40">
        <f>RES_BA!S105</f>
        <v>0</v>
      </c>
      <c r="Q1305" s="40">
        <f>RES_BA!T105</f>
        <v>0</v>
      </c>
      <c r="S1305" s="40">
        <f>RES_BA!U105</f>
        <v>0</v>
      </c>
    </row>
    <row r="1306" spans="3:19" hidden="1" outlineLevel="1" x14ac:dyDescent="0.3">
      <c r="C1306" s="89" t="str">
        <f>RES_BA!D106</f>
        <v>Supplies Category 16</v>
      </c>
      <c r="M1306" s="40">
        <f>RES_BA!R106</f>
        <v>0</v>
      </c>
      <c r="O1306" s="40">
        <f>RES_BA!S106</f>
        <v>0</v>
      </c>
      <c r="Q1306" s="40">
        <f>RES_BA!T106</f>
        <v>0</v>
      </c>
      <c r="S1306" s="40">
        <f>RES_BA!U106</f>
        <v>0</v>
      </c>
    </row>
    <row r="1307" spans="3:19" s="277" customFormat="1" hidden="1" outlineLevel="1" collapsed="1" x14ac:dyDescent="0.3">
      <c r="C1307" s="283" t="str">
        <f>RES_BA!D107</f>
        <v>Supplies Category 17</v>
      </c>
      <c r="M1307" s="279">
        <f>RES_BA!R107</f>
        <v>0</v>
      </c>
      <c r="O1307" s="279">
        <f>RES_BA!S107</f>
        <v>0</v>
      </c>
      <c r="Q1307" s="279">
        <f>RES_BA!T107</f>
        <v>0</v>
      </c>
      <c r="S1307" s="279">
        <f>RES_BA!U107</f>
        <v>0</v>
      </c>
    </row>
    <row r="1308" spans="3:19" s="277" customFormat="1" hidden="1" outlineLevel="1" x14ac:dyDescent="0.3">
      <c r="C1308" s="283" t="str">
        <f>RES_BA!D108</f>
        <v>Supplies Category 18</v>
      </c>
      <c r="M1308" s="279">
        <f>RES_BA!R108</f>
        <v>0</v>
      </c>
      <c r="O1308" s="279">
        <f>RES_BA!S108</f>
        <v>0</v>
      </c>
      <c r="Q1308" s="279">
        <f>RES_BA!T108</f>
        <v>0</v>
      </c>
      <c r="S1308" s="279">
        <f>RES_BA!U108</f>
        <v>0</v>
      </c>
    </row>
    <row r="1309" spans="3:19" s="277" customFormat="1" hidden="1" outlineLevel="1" x14ac:dyDescent="0.3">
      <c r="C1309" s="283" t="str">
        <f>RES_BA!D109</f>
        <v>Supplies Category 19</v>
      </c>
      <c r="M1309" s="279">
        <f>RES_BA!R109</f>
        <v>0</v>
      </c>
      <c r="O1309" s="279">
        <f>RES_BA!S109</f>
        <v>0</v>
      </c>
      <c r="Q1309" s="279">
        <f>RES_BA!T109</f>
        <v>0</v>
      </c>
      <c r="S1309" s="279">
        <f>RES_BA!U109</f>
        <v>0</v>
      </c>
    </row>
    <row r="1310" spans="3:19" s="277" customFormat="1" hidden="1" outlineLevel="1" x14ac:dyDescent="0.3">
      <c r="C1310" s="283" t="str">
        <f>RES_BA!D110</f>
        <v>Supplies Category 20</v>
      </c>
      <c r="M1310" s="279">
        <f>RES_BA!R110</f>
        <v>0</v>
      </c>
      <c r="O1310" s="279">
        <f>RES_BA!S110</f>
        <v>0</v>
      </c>
      <c r="Q1310" s="279">
        <f>RES_BA!T110</f>
        <v>0</v>
      </c>
      <c r="S1310" s="279">
        <f>RES_BA!U110</f>
        <v>0</v>
      </c>
    </row>
    <row r="1311" spans="3:19" s="277" customFormat="1" hidden="1" outlineLevel="1" x14ac:dyDescent="0.3">
      <c r="C1311" s="283" t="str">
        <f>RES_BA!D111</f>
        <v>Supplies Category 21</v>
      </c>
      <c r="M1311" s="279">
        <f>RES_BA!R111</f>
        <v>0</v>
      </c>
      <c r="O1311" s="279">
        <f>RES_BA!S111</f>
        <v>0</v>
      </c>
      <c r="Q1311" s="279">
        <f>RES_BA!T111</f>
        <v>0</v>
      </c>
      <c r="S1311" s="279">
        <f>RES_BA!U111</f>
        <v>0</v>
      </c>
    </row>
    <row r="1312" spans="3:19" s="277" customFormat="1" hidden="1" outlineLevel="1" x14ac:dyDescent="0.3">
      <c r="C1312" s="283" t="str">
        <f>RES_BA!D112</f>
        <v>Supplies Category 22</v>
      </c>
      <c r="M1312" s="279">
        <f>RES_BA!R112</f>
        <v>0</v>
      </c>
      <c r="O1312" s="279">
        <f>RES_BA!S112</f>
        <v>0</v>
      </c>
      <c r="Q1312" s="279">
        <f>RES_BA!T112</f>
        <v>0</v>
      </c>
      <c r="S1312" s="279">
        <f>RES_BA!U112</f>
        <v>0</v>
      </c>
    </row>
    <row r="1313" spans="3:19" s="277" customFormat="1" hidden="1" outlineLevel="1" x14ac:dyDescent="0.3">
      <c r="C1313" s="283" t="str">
        <f>RES_BA!D113</f>
        <v>Supplies Category 23</v>
      </c>
      <c r="M1313" s="279">
        <f>RES_BA!R113</f>
        <v>0</v>
      </c>
      <c r="O1313" s="279">
        <f>RES_BA!S113</f>
        <v>0</v>
      </c>
      <c r="Q1313" s="279">
        <f>RES_BA!T113</f>
        <v>0</v>
      </c>
      <c r="S1313" s="279">
        <f>RES_BA!U113</f>
        <v>0</v>
      </c>
    </row>
    <row r="1314" spans="3:19" s="277" customFormat="1" hidden="1" outlineLevel="1" x14ac:dyDescent="0.3">
      <c r="C1314" s="283" t="str">
        <f>RES_BA!D114</f>
        <v>Supplies Category 24</v>
      </c>
      <c r="M1314" s="279">
        <f>RES_BA!R114</f>
        <v>0</v>
      </c>
      <c r="O1314" s="279">
        <f>RES_BA!S114</f>
        <v>0</v>
      </c>
      <c r="Q1314" s="279">
        <f>RES_BA!T114</f>
        <v>0</v>
      </c>
      <c r="S1314" s="279">
        <f>RES_BA!U114</f>
        <v>0</v>
      </c>
    </row>
    <row r="1315" spans="3:19" s="277" customFormat="1" hidden="1" outlineLevel="1" x14ac:dyDescent="0.3">
      <c r="C1315" s="283" t="str">
        <f>RES_BA!D115</f>
        <v>Supplies Category 25</v>
      </c>
      <c r="M1315" s="279">
        <f>RES_BA!R115</f>
        <v>0</v>
      </c>
      <c r="O1315" s="279">
        <f>RES_BA!S115</f>
        <v>0</v>
      </c>
      <c r="Q1315" s="279">
        <f>RES_BA!T115</f>
        <v>0</v>
      </c>
      <c r="S1315" s="279">
        <f>RES_BA!U115</f>
        <v>0</v>
      </c>
    </row>
    <row r="1316" spans="3:19" s="277" customFormat="1" hidden="1" outlineLevel="1" x14ac:dyDescent="0.3">
      <c r="C1316" s="283" t="str">
        <f>RES_BA!D116</f>
        <v>Supplies Category 26</v>
      </c>
      <c r="M1316" s="279">
        <f>RES_BA!R116</f>
        <v>0</v>
      </c>
      <c r="O1316" s="279">
        <f>RES_BA!S116</f>
        <v>0</v>
      </c>
      <c r="Q1316" s="279">
        <f>RES_BA!T116</f>
        <v>0</v>
      </c>
      <c r="S1316" s="279">
        <f>RES_BA!U116</f>
        <v>0</v>
      </c>
    </row>
    <row r="1317" spans="3:19" s="277" customFormat="1" hidden="1" outlineLevel="1" x14ac:dyDescent="0.3">
      <c r="C1317" s="283" t="str">
        <f>RES_BA!D117</f>
        <v>Supplies Category 27</v>
      </c>
      <c r="M1317" s="279">
        <f>RES_BA!R117</f>
        <v>0</v>
      </c>
      <c r="O1317" s="279">
        <f>RES_BA!S117</f>
        <v>0</v>
      </c>
      <c r="Q1317" s="279">
        <f>RES_BA!T117</f>
        <v>0</v>
      </c>
      <c r="S1317" s="279">
        <f>RES_BA!U117</f>
        <v>0</v>
      </c>
    </row>
    <row r="1318" spans="3:19" s="277" customFormat="1" hidden="1" outlineLevel="1" x14ac:dyDescent="0.3">
      <c r="C1318" s="283" t="str">
        <f>RES_BA!D118</f>
        <v>Supplies Category 28</v>
      </c>
      <c r="M1318" s="279">
        <f>RES_BA!R118</f>
        <v>0</v>
      </c>
      <c r="O1318" s="279">
        <f>RES_BA!S118</f>
        <v>0</v>
      </c>
      <c r="Q1318" s="279">
        <f>RES_BA!T118</f>
        <v>0</v>
      </c>
      <c r="S1318" s="279">
        <f>RES_BA!U118</f>
        <v>0</v>
      </c>
    </row>
    <row r="1319" spans="3:19" s="277" customFormat="1" hidden="1" outlineLevel="1" x14ac:dyDescent="0.3">
      <c r="C1319" s="283" t="str">
        <f>RES_BA!D119</f>
        <v>Supplies Category 29</v>
      </c>
      <c r="M1319" s="279">
        <f>RES_BA!R119</f>
        <v>0</v>
      </c>
      <c r="O1319" s="279">
        <f>RES_BA!S119</f>
        <v>0</v>
      </c>
      <c r="Q1319" s="279">
        <f>RES_BA!T119</f>
        <v>0</v>
      </c>
      <c r="S1319" s="279">
        <f>RES_BA!U119</f>
        <v>0</v>
      </c>
    </row>
    <row r="1320" spans="3:19" s="277" customFormat="1" hidden="1" outlineLevel="1" collapsed="1" x14ac:dyDescent="0.3">
      <c r="C1320" s="283" t="str">
        <f>RES_BA!D120</f>
        <v>Supplies Category 30</v>
      </c>
      <c r="M1320" s="279">
        <f>RES_BA!R120</f>
        <v>0</v>
      </c>
      <c r="O1320" s="279">
        <f>RES_BA!S120</f>
        <v>0</v>
      </c>
      <c r="Q1320" s="279">
        <f>RES_BA!T120</f>
        <v>0</v>
      </c>
      <c r="S1320" s="279">
        <f>RES_BA!U120</f>
        <v>0</v>
      </c>
    </row>
    <row r="1321" spans="3:19" s="277" customFormat="1" hidden="1" outlineLevel="1" x14ac:dyDescent="0.3">
      <c r="C1321" s="283" t="str">
        <f>RES_BA!D121</f>
        <v>Supplies Category 31</v>
      </c>
      <c r="M1321" s="279">
        <f>RES_BA!R121</f>
        <v>0</v>
      </c>
      <c r="O1321" s="279">
        <f>RES_BA!S121</f>
        <v>0</v>
      </c>
      <c r="Q1321" s="279">
        <f>RES_BA!T121</f>
        <v>0</v>
      </c>
      <c r="S1321" s="279">
        <f>RES_BA!U121</f>
        <v>0</v>
      </c>
    </row>
    <row r="1322" spans="3:19" s="277" customFormat="1" hidden="1" outlineLevel="1" x14ac:dyDescent="0.3">
      <c r="C1322" s="283" t="str">
        <f>RES_BA!D122</f>
        <v>Supplies Category 32</v>
      </c>
      <c r="M1322" s="279">
        <f>RES_BA!R122</f>
        <v>0</v>
      </c>
      <c r="O1322" s="279">
        <f>RES_BA!S122</f>
        <v>0</v>
      </c>
      <c r="Q1322" s="279">
        <f>RES_BA!T122</f>
        <v>0</v>
      </c>
      <c r="S1322" s="279">
        <f>RES_BA!U122</f>
        <v>0</v>
      </c>
    </row>
    <row r="1323" spans="3:19" s="277" customFormat="1" hidden="1" outlineLevel="1" x14ac:dyDescent="0.3">
      <c r="C1323" s="283" t="str">
        <f>RES_BA!D123</f>
        <v>Supplies Category 33</v>
      </c>
      <c r="M1323" s="279">
        <f>RES_BA!R123</f>
        <v>0</v>
      </c>
      <c r="O1323" s="279">
        <f>RES_BA!S123</f>
        <v>0</v>
      </c>
      <c r="Q1323" s="279">
        <f>RES_BA!T123</f>
        <v>0</v>
      </c>
      <c r="S1323" s="279">
        <f>RES_BA!U123</f>
        <v>0</v>
      </c>
    </row>
    <row r="1324" spans="3:19" s="277" customFormat="1" hidden="1" outlineLevel="1" x14ac:dyDescent="0.3">
      <c r="C1324" s="283" t="str">
        <f>RES_BA!D124</f>
        <v>Supplies Category 34</v>
      </c>
      <c r="M1324" s="279">
        <f>RES_BA!R124</f>
        <v>0</v>
      </c>
      <c r="O1324" s="279">
        <f>RES_BA!S124</f>
        <v>0</v>
      </c>
      <c r="Q1324" s="279">
        <f>RES_BA!T124</f>
        <v>0</v>
      </c>
      <c r="S1324" s="279">
        <f>RES_BA!U124</f>
        <v>0</v>
      </c>
    </row>
    <row r="1325" spans="3:19" s="277" customFormat="1" hidden="1" outlineLevel="1" x14ac:dyDescent="0.3">
      <c r="C1325" s="283" t="str">
        <f>RES_BA!D125</f>
        <v>Supplies Category 35</v>
      </c>
      <c r="M1325" s="279">
        <f>RES_BA!R125</f>
        <v>0</v>
      </c>
      <c r="O1325" s="279">
        <f>RES_BA!S125</f>
        <v>0</v>
      </c>
      <c r="Q1325" s="279">
        <f>RES_BA!T125</f>
        <v>0</v>
      </c>
      <c r="S1325" s="279">
        <f>RES_BA!U125</f>
        <v>0</v>
      </c>
    </row>
    <row r="1326" spans="3:19" hidden="1" outlineLevel="1" x14ac:dyDescent="0.3"/>
    <row r="1327" spans="3:19" hidden="1" outlineLevel="1" x14ac:dyDescent="0.3">
      <c r="M1327" s="40" t="str">
        <f>$D$1210</f>
        <v>USD</v>
      </c>
      <c r="O1327" s="40" t="str">
        <f>$D$1210</f>
        <v>USD</v>
      </c>
      <c r="Q1327" s="40" t="str">
        <f>$D$1211</f>
        <v>GOZ</v>
      </c>
      <c r="S1327" s="40" t="str">
        <f>$D$1211</f>
        <v>GOZ</v>
      </c>
    </row>
    <row r="1328" spans="3:19" hidden="1" outlineLevel="1" x14ac:dyDescent="0.3">
      <c r="C1328" s="89" t="str">
        <f>RES_BA!D130</f>
        <v>Equipment Category 1</v>
      </c>
      <c r="M1328" s="40">
        <f>RES_BA!R130</f>
        <v>0</v>
      </c>
      <c r="O1328" s="40">
        <f>RES_BA!S130</f>
        <v>0</v>
      </c>
      <c r="Q1328" s="40">
        <f>RES_BA!T130</f>
        <v>0</v>
      </c>
      <c r="S1328" s="40">
        <f>RES_BA!U130</f>
        <v>0</v>
      </c>
    </row>
    <row r="1329" spans="3:19" hidden="1" outlineLevel="1" x14ac:dyDescent="0.3">
      <c r="C1329" s="89" t="str">
        <f>RES_BA!D131</f>
        <v>Equipment Category 2</v>
      </c>
      <c r="M1329" s="40">
        <f>RES_BA!R131</f>
        <v>0</v>
      </c>
      <c r="O1329" s="40">
        <f>RES_BA!S131</f>
        <v>0</v>
      </c>
      <c r="Q1329" s="40">
        <f>RES_BA!T131</f>
        <v>0</v>
      </c>
      <c r="S1329" s="40">
        <f>RES_BA!U131</f>
        <v>0</v>
      </c>
    </row>
    <row r="1330" spans="3:19" hidden="1" outlineLevel="1" x14ac:dyDescent="0.3">
      <c r="C1330" s="89" t="str">
        <f>RES_BA!D132</f>
        <v>Equipment Category 3</v>
      </c>
      <c r="M1330" s="40">
        <f>RES_BA!R132</f>
        <v>0</v>
      </c>
      <c r="O1330" s="40">
        <f>RES_BA!S132</f>
        <v>0</v>
      </c>
      <c r="Q1330" s="40">
        <f>RES_BA!T132</f>
        <v>0</v>
      </c>
      <c r="S1330" s="40">
        <f>RES_BA!U132</f>
        <v>0</v>
      </c>
    </row>
    <row r="1331" spans="3:19" hidden="1" outlineLevel="1" x14ac:dyDescent="0.3">
      <c r="C1331" s="89" t="str">
        <f>RES_BA!D133</f>
        <v>Equipment Category 4</v>
      </c>
      <c r="M1331" s="40">
        <f>RES_BA!R133</f>
        <v>0</v>
      </c>
      <c r="O1331" s="40">
        <f>RES_BA!S133</f>
        <v>0</v>
      </c>
      <c r="Q1331" s="40">
        <f>RES_BA!T133</f>
        <v>0</v>
      </c>
      <c r="S1331" s="40">
        <f>RES_BA!U133</f>
        <v>0</v>
      </c>
    </row>
    <row r="1332" spans="3:19" hidden="1" outlineLevel="1" x14ac:dyDescent="0.3">
      <c r="C1332" s="89" t="str">
        <f>RES_BA!D134</f>
        <v>Equipment Category 5</v>
      </c>
      <c r="M1332" s="40">
        <f>RES_BA!R134</f>
        <v>0</v>
      </c>
      <c r="O1332" s="40">
        <f>RES_BA!S134</f>
        <v>0</v>
      </c>
      <c r="Q1332" s="40">
        <f>RES_BA!T134</f>
        <v>0</v>
      </c>
      <c r="S1332" s="40">
        <f>RES_BA!U134</f>
        <v>0</v>
      </c>
    </row>
    <row r="1333" spans="3:19" hidden="1" outlineLevel="1" x14ac:dyDescent="0.3">
      <c r="C1333" s="89" t="str">
        <f>RES_BA!D135</f>
        <v>Equipment Category 6</v>
      </c>
      <c r="M1333" s="40">
        <f>RES_BA!R135</f>
        <v>0</v>
      </c>
      <c r="O1333" s="40">
        <f>RES_BA!S135</f>
        <v>0</v>
      </c>
      <c r="Q1333" s="40">
        <f>RES_BA!T135</f>
        <v>0</v>
      </c>
      <c r="S1333" s="40">
        <f>RES_BA!U135</f>
        <v>0</v>
      </c>
    </row>
    <row r="1334" spans="3:19" s="277" customFormat="1" hidden="1" outlineLevel="1" collapsed="1" x14ac:dyDescent="0.3">
      <c r="C1334" s="283" t="str">
        <f>RES_BA!D136</f>
        <v>Equipment Category 7</v>
      </c>
      <c r="M1334" s="279">
        <f>RES_BA!R136</f>
        <v>0</v>
      </c>
      <c r="O1334" s="279">
        <f>RES_BA!S136</f>
        <v>0</v>
      </c>
      <c r="Q1334" s="279">
        <f>RES_BA!T136</f>
        <v>0</v>
      </c>
      <c r="S1334" s="279">
        <f>RES_BA!U136</f>
        <v>0</v>
      </c>
    </row>
    <row r="1335" spans="3:19" s="277" customFormat="1" hidden="1" outlineLevel="1" x14ac:dyDescent="0.3">
      <c r="C1335" s="283" t="str">
        <f>RES_BA!D137</f>
        <v>Equipment Category 8</v>
      </c>
      <c r="M1335" s="279">
        <f>RES_BA!R137</f>
        <v>0</v>
      </c>
      <c r="O1335" s="279">
        <f>RES_BA!S137</f>
        <v>0</v>
      </c>
      <c r="Q1335" s="279">
        <f>RES_BA!T137</f>
        <v>0</v>
      </c>
      <c r="S1335" s="279">
        <f>RES_BA!U137</f>
        <v>0</v>
      </c>
    </row>
    <row r="1336" spans="3:19" s="277" customFormat="1" hidden="1" outlineLevel="1" x14ac:dyDescent="0.3">
      <c r="C1336" s="283" t="str">
        <f>RES_BA!D138</f>
        <v>Equipment Category 9</v>
      </c>
      <c r="M1336" s="279">
        <f>RES_BA!R138</f>
        <v>0</v>
      </c>
      <c r="O1336" s="279">
        <f>RES_BA!S138</f>
        <v>0</v>
      </c>
      <c r="Q1336" s="279">
        <f>RES_BA!T138</f>
        <v>0</v>
      </c>
      <c r="S1336" s="279">
        <f>RES_BA!U138</f>
        <v>0</v>
      </c>
    </row>
    <row r="1337" spans="3:19" s="277" customFormat="1" hidden="1" outlineLevel="1" x14ac:dyDescent="0.3">
      <c r="C1337" s="283" t="str">
        <f>RES_BA!D139</f>
        <v>Equipment Category 10</v>
      </c>
      <c r="M1337" s="279">
        <f>RES_BA!R139</f>
        <v>0</v>
      </c>
      <c r="O1337" s="279">
        <f>RES_BA!S139</f>
        <v>0</v>
      </c>
      <c r="Q1337" s="279">
        <f>RES_BA!T139</f>
        <v>0</v>
      </c>
      <c r="S1337" s="279">
        <f>RES_BA!U139</f>
        <v>0</v>
      </c>
    </row>
    <row r="1338" spans="3:19" s="277" customFormat="1" hidden="1" outlineLevel="1" x14ac:dyDescent="0.3">
      <c r="C1338" s="283" t="str">
        <f>RES_BA!D140</f>
        <v>Equipment Category 11</v>
      </c>
      <c r="M1338" s="279">
        <f>RES_BA!R140</f>
        <v>0</v>
      </c>
      <c r="O1338" s="279">
        <f>RES_BA!S140</f>
        <v>0</v>
      </c>
      <c r="Q1338" s="279">
        <f>RES_BA!T140</f>
        <v>0</v>
      </c>
      <c r="S1338" s="279">
        <f>RES_BA!U140</f>
        <v>0</v>
      </c>
    </row>
    <row r="1339" spans="3:19" s="277" customFormat="1" hidden="1" outlineLevel="1" x14ac:dyDescent="0.3">
      <c r="C1339" s="283" t="str">
        <f>RES_BA!D141</f>
        <v>Equipment Category 12</v>
      </c>
      <c r="M1339" s="279">
        <f>RES_BA!R141</f>
        <v>0</v>
      </c>
      <c r="O1339" s="279">
        <f>RES_BA!S141</f>
        <v>0</v>
      </c>
      <c r="Q1339" s="279">
        <f>RES_BA!T141</f>
        <v>0</v>
      </c>
      <c r="S1339" s="279">
        <f>RES_BA!U141</f>
        <v>0</v>
      </c>
    </row>
    <row r="1340" spans="3:19" s="277" customFormat="1" hidden="1" outlineLevel="1" collapsed="1" x14ac:dyDescent="0.3">
      <c r="C1340" s="283" t="str">
        <f>RES_BA!D142</f>
        <v>Equipment Category 13</v>
      </c>
      <c r="M1340" s="279">
        <f>RES_BA!R142</f>
        <v>0</v>
      </c>
      <c r="O1340" s="279">
        <f>RES_BA!S142</f>
        <v>0</v>
      </c>
      <c r="Q1340" s="279">
        <f>RES_BA!T142</f>
        <v>0</v>
      </c>
      <c r="S1340" s="279">
        <f>RES_BA!U142</f>
        <v>0</v>
      </c>
    </row>
    <row r="1341" spans="3:19" s="277" customFormat="1" hidden="1" outlineLevel="1" x14ac:dyDescent="0.3">
      <c r="C1341" s="283" t="str">
        <f>RES_BA!D143</f>
        <v>Equipment Category 14</v>
      </c>
      <c r="M1341" s="279">
        <f>RES_BA!R143</f>
        <v>0</v>
      </c>
      <c r="O1341" s="279">
        <f>RES_BA!S143</f>
        <v>0</v>
      </c>
      <c r="Q1341" s="279">
        <f>RES_BA!T143</f>
        <v>0</v>
      </c>
      <c r="S1341" s="279">
        <f>RES_BA!U143</f>
        <v>0</v>
      </c>
    </row>
    <row r="1342" spans="3:19" s="277" customFormat="1" hidden="1" outlineLevel="1" x14ac:dyDescent="0.3">
      <c r="C1342" s="283" t="str">
        <f>RES_BA!D144</f>
        <v>Equipment Category 15</v>
      </c>
      <c r="M1342" s="279">
        <f>RES_BA!R144</f>
        <v>0</v>
      </c>
      <c r="O1342" s="279">
        <f>RES_BA!S144</f>
        <v>0</v>
      </c>
      <c r="Q1342" s="279">
        <f>RES_BA!T144</f>
        <v>0</v>
      </c>
      <c r="S1342" s="279">
        <f>RES_BA!U144</f>
        <v>0</v>
      </c>
    </row>
    <row r="1343" spans="3:19" s="277" customFormat="1" hidden="1" outlineLevel="1" x14ac:dyDescent="0.3">
      <c r="C1343" s="283" t="str">
        <f>RES_BA!D145</f>
        <v>Equipment Category 16</v>
      </c>
      <c r="M1343" s="279">
        <f>RES_BA!R145</f>
        <v>0</v>
      </c>
      <c r="O1343" s="279">
        <f>RES_BA!S145</f>
        <v>0</v>
      </c>
      <c r="Q1343" s="279">
        <f>RES_BA!T145</f>
        <v>0</v>
      </c>
      <c r="S1343" s="279">
        <f>RES_BA!U145</f>
        <v>0</v>
      </c>
    </row>
    <row r="1344" spans="3:19" s="277" customFormat="1" hidden="1" outlineLevel="1" x14ac:dyDescent="0.3">
      <c r="C1344" s="283" t="str">
        <f>RES_BA!D146</f>
        <v>Equipment Category 17</v>
      </c>
      <c r="M1344" s="279">
        <f>RES_BA!R146</f>
        <v>0</v>
      </c>
      <c r="O1344" s="279">
        <f>RES_BA!S146</f>
        <v>0</v>
      </c>
      <c r="Q1344" s="279">
        <f>RES_BA!T146</f>
        <v>0</v>
      </c>
      <c r="S1344" s="279">
        <f>RES_BA!U146</f>
        <v>0</v>
      </c>
    </row>
    <row r="1345" spans="3:19" s="277" customFormat="1" hidden="1" outlineLevel="1" x14ac:dyDescent="0.3">
      <c r="C1345" s="283" t="str">
        <f>RES_BA!D147</f>
        <v>Equipment Category 18</v>
      </c>
      <c r="M1345" s="279">
        <f>RES_BA!R147</f>
        <v>0</v>
      </c>
      <c r="O1345" s="279">
        <f>RES_BA!S147</f>
        <v>0</v>
      </c>
      <c r="Q1345" s="279">
        <f>RES_BA!T147</f>
        <v>0</v>
      </c>
      <c r="S1345" s="279">
        <f>RES_BA!U147</f>
        <v>0</v>
      </c>
    </row>
    <row r="1346" spans="3:19" s="277" customFormat="1" hidden="1" outlineLevel="1" x14ac:dyDescent="0.3">
      <c r="C1346" s="283" t="str">
        <f>RES_BA!D148</f>
        <v>Equipment Category 19</v>
      </c>
      <c r="M1346" s="279">
        <f>RES_BA!R148</f>
        <v>0</v>
      </c>
      <c r="O1346" s="279">
        <f>RES_BA!S148</f>
        <v>0</v>
      </c>
      <c r="Q1346" s="279">
        <f>RES_BA!T148</f>
        <v>0</v>
      </c>
      <c r="S1346" s="279">
        <f>RES_BA!U148</f>
        <v>0</v>
      </c>
    </row>
    <row r="1347" spans="3:19" s="277" customFormat="1" hidden="1" outlineLevel="1" x14ac:dyDescent="0.3">
      <c r="C1347" s="283" t="str">
        <f>RES_BA!D149</f>
        <v>Equipment Category 20</v>
      </c>
      <c r="M1347" s="279">
        <f>RES_BA!R149</f>
        <v>0</v>
      </c>
      <c r="O1347" s="279">
        <f>RES_BA!S149</f>
        <v>0</v>
      </c>
      <c r="Q1347" s="279">
        <f>RES_BA!T149</f>
        <v>0</v>
      </c>
      <c r="S1347" s="279">
        <f>RES_BA!U149</f>
        <v>0</v>
      </c>
    </row>
    <row r="1348" spans="3:19" s="277" customFormat="1" hidden="1" outlineLevel="1" x14ac:dyDescent="0.3">
      <c r="C1348" s="283" t="str">
        <f>RES_BA!D150</f>
        <v>Equipment Category 21</v>
      </c>
      <c r="M1348" s="279">
        <f>RES_BA!R150</f>
        <v>0</v>
      </c>
      <c r="O1348" s="279">
        <f>RES_BA!S150</f>
        <v>0</v>
      </c>
      <c r="Q1348" s="279">
        <f>RES_BA!T150</f>
        <v>0</v>
      </c>
      <c r="S1348" s="279">
        <f>RES_BA!U150</f>
        <v>0</v>
      </c>
    </row>
    <row r="1349" spans="3:19" s="277" customFormat="1" hidden="1" outlineLevel="1" x14ac:dyDescent="0.3">
      <c r="C1349" s="283" t="str">
        <f>RES_BA!D151</f>
        <v>Equipment Category 22</v>
      </c>
      <c r="M1349" s="279">
        <f>RES_BA!R151</f>
        <v>0</v>
      </c>
      <c r="O1349" s="279">
        <f>RES_BA!S151</f>
        <v>0</v>
      </c>
      <c r="Q1349" s="279">
        <f>RES_BA!T151</f>
        <v>0</v>
      </c>
      <c r="S1349" s="279">
        <f>RES_BA!U151</f>
        <v>0</v>
      </c>
    </row>
    <row r="1350" spans="3:19" s="277" customFormat="1" hidden="1" outlineLevel="1" x14ac:dyDescent="0.3">
      <c r="C1350" s="283" t="str">
        <f>RES_BA!D152</f>
        <v>Equipment Category 23</v>
      </c>
      <c r="M1350" s="279">
        <f>RES_BA!R152</f>
        <v>0</v>
      </c>
      <c r="O1350" s="279">
        <f>RES_BA!S152</f>
        <v>0</v>
      </c>
      <c r="Q1350" s="279">
        <f>RES_BA!T152</f>
        <v>0</v>
      </c>
      <c r="S1350" s="279">
        <f>RES_BA!U152</f>
        <v>0</v>
      </c>
    </row>
    <row r="1351" spans="3:19" s="277" customFormat="1" hidden="1" outlineLevel="1" collapsed="1" x14ac:dyDescent="0.3">
      <c r="C1351" s="283" t="str">
        <f>RES_BA!D153</f>
        <v>Equipment Category 24</v>
      </c>
      <c r="M1351" s="279">
        <f>RES_BA!R153</f>
        <v>0</v>
      </c>
      <c r="O1351" s="279">
        <f>RES_BA!S153</f>
        <v>0</v>
      </c>
      <c r="Q1351" s="279">
        <f>RES_BA!T153</f>
        <v>0</v>
      </c>
      <c r="S1351" s="279">
        <f>RES_BA!U153</f>
        <v>0</v>
      </c>
    </row>
    <row r="1352" spans="3:19" s="277" customFormat="1" hidden="1" outlineLevel="1" x14ac:dyDescent="0.3">
      <c r="C1352" s="283" t="str">
        <f>RES_BA!D154</f>
        <v>Equipment Category 25</v>
      </c>
      <c r="M1352" s="279">
        <f>RES_BA!R154</f>
        <v>0</v>
      </c>
      <c r="O1352" s="279">
        <f>RES_BA!S154</f>
        <v>0</v>
      </c>
      <c r="Q1352" s="279">
        <f>RES_BA!T154</f>
        <v>0</v>
      </c>
      <c r="S1352" s="279">
        <f>RES_BA!U154</f>
        <v>0</v>
      </c>
    </row>
    <row r="1353" spans="3:19" s="277" customFormat="1" hidden="1" outlineLevel="1" x14ac:dyDescent="0.3">
      <c r="C1353" s="283" t="str">
        <f>RES_BA!D155</f>
        <v>Equipment Category 26</v>
      </c>
      <c r="M1353" s="279">
        <f>RES_BA!R155</f>
        <v>0</v>
      </c>
      <c r="O1353" s="279">
        <f>RES_BA!S155</f>
        <v>0</v>
      </c>
      <c r="Q1353" s="279">
        <f>RES_BA!T155</f>
        <v>0</v>
      </c>
      <c r="S1353" s="279">
        <f>RES_BA!U155</f>
        <v>0</v>
      </c>
    </row>
    <row r="1354" spans="3:19" s="277" customFormat="1" hidden="1" outlineLevel="1" x14ac:dyDescent="0.3">
      <c r="C1354" s="283" t="str">
        <f>RES_BA!D156</f>
        <v>Equipment Category 27</v>
      </c>
      <c r="M1354" s="279">
        <f>RES_BA!R156</f>
        <v>0</v>
      </c>
      <c r="O1354" s="279">
        <f>RES_BA!S156</f>
        <v>0</v>
      </c>
      <c r="Q1354" s="279">
        <f>RES_BA!T156</f>
        <v>0</v>
      </c>
      <c r="S1354" s="279">
        <f>RES_BA!U156</f>
        <v>0</v>
      </c>
    </row>
    <row r="1355" spans="3:19" s="277" customFormat="1" hidden="1" outlineLevel="1" x14ac:dyDescent="0.3">
      <c r="C1355" s="283" t="str">
        <f>RES_BA!D157</f>
        <v>Equipment Category 28</v>
      </c>
      <c r="M1355" s="279">
        <f>RES_BA!R157</f>
        <v>0</v>
      </c>
      <c r="O1355" s="279">
        <f>RES_BA!S157</f>
        <v>0</v>
      </c>
      <c r="Q1355" s="279">
        <f>RES_BA!T157</f>
        <v>0</v>
      </c>
      <c r="S1355" s="279">
        <f>RES_BA!U157</f>
        <v>0</v>
      </c>
    </row>
    <row r="1356" spans="3:19" s="277" customFormat="1" hidden="1" outlineLevel="1" x14ac:dyDescent="0.3">
      <c r="C1356" s="283" t="str">
        <f>RES_BA!D158</f>
        <v>Equipment Category 29</v>
      </c>
      <c r="M1356" s="279">
        <f>RES_BA!R158</f>
        <v>0</v>
      </c>
      <c r="O1356" s="279">
        <f>RES_BA!S158</f>
        <v>0</v>
      </c>
      <c r="Q1356" s="279">
        <f>RES_BA!T158</f>
        <v>0</v>
      </c>
      <c r="S1356" s="279">
        <f>RES_BA!U158</f>
        <v>0</v>
      </c>
    </row>
    <row r="1357" spans="3:19" s="277" customFormat="1" hidden="1" outlineLevel="1" x14ac:dyDescent="0.3">
      <c r="C1357" s="283" t="str">
        <f>RES_BA!D159</f>
        <v>Equipment Category 30</v>
      </c>
      <c r="M1357" s="279">
        <f>RES_BA!R159</f>
        <v>0</v>
      </c>
      <c r="O1357" s="279">
        <f>RES_BA!S159</f>
        <v>0</v>
      </c>
      <c r="Q1357" s="279">
        <f>RES_BA!T159</f>
        <v>0</v>
      </c>
      <c r="S1357" s="279">
        <f>RES_BA!U159</f>
        <v>0</v>
      </c>
    </row>
    <row r="1358" spans="3:19" s="277" customFormat="1" hidden="1" outlineLevel="1" x14ac:dyDescent="0.3">
      <c r="C1358" s="283" t="str">
        <f>RES_BA!D160</f>
        <v>Equipment Category 31</v>
      </c>
      <c r="M1358" s="279">
        <f>RES_BA!R160</f>
        <v>0</v>
      </c>
      <c r="O1358" s="279">
        <f>RES_BA!S160</f>
        <v>0</v>
      </c>
      <c r="Q1358" s="279">
        <f>RES_BA!T160</f>
        <v>0</v>
      </c>
      <c r="S1358" s="279">
        <f>RES_BA!U160</f>
        <v>0</v>
      </c>
    </row>
    <row r="1359" spans="3:19" s="277" customFormat="1" hidden="1" outlineLevel="1" x14ac:dyDescent="0.3">
      <c r="C1359" s="283" t="str">
        <f>RES_BA!D161</f>
        <v>Equipment Category 32</v>
      </c>
      <c r="M1359" s="279">
        <f>RES_BA!R161</f>
        <v>0</v>
      </c>
      <c r="O1359" s="279">
        <f>RES_BA!S161</f>
        <v>0</v>
      </c>
      <c r="Q1359" s="279">
        <f>RES_BA!T161</f>
        <v>0</v>
      </c>
      <c r="S1359" s="279">
        <f>RES_BA!U161</f>
        <v>0</v>
      </c>
    </row>
    <row r="1360" spans="3:19" s="277" customFormat="1" hidden="1" outlineLevel="1" x14ac:dyDescent="0.3">
      <c r="C1360" s="283" t="str">
        <f>RES_BA!D162</f>
        <v>Equipment Category 33</v>
      </c>
      <c r="M1360" s="279">
        <f>RES_BA!R162</f>
        <v>0</v>
      </c>
      <c r="O1360" s="279">
        <f>RES_BA!S162</f>
        <v>0</v>
      </c>
      <c r="Q1360" s="279">
        <f>RES_BA!T162</f>
        <v>0</v>
      </c>
      <c r="S1360" s="279">
        <f>RES_BA!U162</f>
        <v>0</v>
      </c>
    </row>
    <row r="1361" spans="3:19" s="277" customFormat="1" hidden="1" outlineLevel="1" collapsed="1" x14ac:dyDescent="0.3">
      <c r="C1361" s="283" t="str">
        <f>RES_BA!D163</f>
        <v>Equipment Category 34</v>
      </c>
      <c r="M1361" s="279">
        <f>RES_BA!R163</f>
        <v>0</v>
      </c>
      <c r="O1361" s="279">
        <f>RES_BA!S163</f>
        <v>0</v>
      </c>
      <c r="Q1361" s="279">
        <f>RES_BA!T163</f>
        <v>0</v>
      </c>
      <c r="S1361" s="279">
        <f>RES_BA!U163</f>
        <v>0</v>
      </c>
    </row>
    <row r="1362" spans="3:19" s="277" customFormat="1" hidden="1" outlineLevel="1" x14ac:dyDescent="0.3">
      <c r="C1362" s="283" t="str">
        <f>RES_BA!D164</f>
        <v>Equipment Category 35</v>
      </c>
      <c r="M1362" s="279">
        <f>RES_BA!R164</f>
        <v>0</v>
      </c>
      <c r="O1362" s="279">
        <f>RES_BA!S164</f>
        <v>0</v>
      </c>
      <c r="Q1362" s="279">
        <f>RES_BA!T164</f>
        <v>0</v>
      </c>
      <c r="S1362" s="279">
        <f>RES_BA!U164</f>
        <v>0</v>
      </c>
    </row>
    <row r="1363" spans="3:19" hidden="1" outlineLevel="1" x14ac:dyDescent="0.3"/>
    <row r="1364" spans="3:19" hidden="1" outlineLevel="1" x14ac:dyDescent="0.3"/>
    <row r="1365" spans="3:19" hidden="1" outlineLevel="1" x14ac:dyDescent="0.3">
      <c r="M1365" s="40" t="str">
        <f>$D$1210</f>
        <v>USD</v>
      </c>
      <c r="O1365" s="40" t="str">
        <f>$D$1210</f>
        <v>USD</v>
      </c>
      <c r="Q1365" s="40" t="str">
        <f>$D$1211</f>
        <v>GOZ</v>
      </c>
      <c r="S1365" s="40" t="str">
        <f>$D$1211</f>
        <v>GOZ</v>
      </c>
    </row>
    <row r="1366" spans="3:19" hidden="1" outlineLevel="1" x14ac:dyDescent="0.3">
      <c r="C1366" s="89" t="str">
        <f>RES_BA!D169</f>
        <v>Other Direct Costs Category 1</v>
      </c>
      <c r="M1366" s="40">
        <f>RES_BA!R169</f>
        <v>0</v>
      </c>
      <c r="O1366" s="40">
        <f>RES_BA!S169</f>
        <v>0</v>
      </c>
      <c r="Q1366" s="40">
        <f>RES_BA!T169</f>
        <v>0</v>
      </c>
      <c r="S1366" s="40">
        <f>RES_BA!U169</f>
        <v>0</v>
      </c>
    </row>
    <row r="1367" spans="3:19" hidden="1" outlineLevel="1" x14ac:dyDescent="0.3">
      <c r="C1367" s="89" t="str">
        <f>RES_BA!D170</f>
        <v>Other Direct Costs Category 2</v>
      </c>
      <c r="M1367" s="40">
        <f>RES_BA!R170</f>
        <v>0</v>
      </c>
      <c r="O1367" s="40">
        <f>RES_BA!S170</f>
        <v>0</v>
      </c>
      <c r="Q1367" s="40">
        <f>RES_BA!T170</f>
        <v>0</v>
      </c>
      <c r="S1367" s="40">
        <f>RES_BA!U170</f>
        <v>0</v>
      </c>
    </row>
    <row r="1368" spans="3:19" hidden="1" outlineLevel="1" x14ac:dyDescent="0.3">
      <c r="C1368" s="89" t="str">
        <f>RES_BA!D171</f>
        <v>Other Direct Costs Category 3</v>
      </c>
      <c r="M1368" s="40">
        <f>RES_BA!R171</f>
        <v>0</v>
      </c>
      <c r="O1368" s="40">
        <f>RES_BA!S171</f>
        <v>0</v>
      </c>
      <c r="Q1368" s="40">
        <f>RES_BA!T171</f>
        <v>0</v>
      </c>
      <c r="S1368" s="40">
        <f>RES_BA!U171</f>
        <v>0</v>
      </c>
    </row>
    <row r="1369" spans="3:19" s="277" customFormat="1" hidden="1" outlineLevel="1" collapsed="1" x14ac:dyDescent="0.3">
      <c r="C1369" s="283" t="str">
        <f>RES_BA!D172</f>
        <v>Other Direct Costs Category 4</v>
      </c>
      <c r="M1369" s="279">
        <f>RES_BA!R172</f>
        <v>0</v>
      </c>
      <c r="O1369" s="279">
        <f>RES_BA!S172</f>
        <v>0</v>
      </c>
      <c r="Q1369" s="279">
        <f>RES_BA!T172</f>
        <v>0</v>
      </c>
      <c r="S1369" s="279">
        <f>RES_BA!U172</f>
        <v>0</v>
      </c>
    </row>
    <row r="1370" spans="3:19" s="277" customFormat="1" hidden="1" outlineLevel="1" x14ac:dyDescent="0.3">
      <c r="C1370" s="283" t="str">
        <f>RES_BA!D173</f>
        <v>Other Direct Costs Category 5</v>
      </c>
      <c r="M1370" s="279">
        <f>RES_BA!R173</f>
        <v>0</v>
      </c>
      <c r="O1370" s="279">
        <f>RES_BA!S173</f>
        <v>0</v>
      </c>
      <c r="Q1370" s="279">
        <f>RES_BA!T173</f>
        <v>0</v>
      </c>
      <c r="S1370" s="279">
        <f>RES_BA!U173</f>
        <v>0</v>
      </c>
    </row>
    <row r="1371" spans="3:19" s="277" customFormat="1" hidden="1" outlineLevel="1" x14ac:dyDescent="0.3">
      <c r="C1371" s="283" t="str">
        <f>RES_BA!D174</f>
        <v>Other Direct Costs Category 6</v>
      </c>
      <c r="M1371" s="279">
        <f>RES_BA!R174</f>
        <v>0</v>
      </c>
      <c r="O1371" s="279">
        <f>RES_BA!S174</f>
        <v>0</v>
      </c>
      <c r="Q1371" s="279">
        <f>RES_BA!T174</f>
        <v>0</v>
      </c>
      <c r="S1371" s="279">
        <f>RES_BA!U174</f>
        <v>0</v>
      </c>
    </row>
    <row r="1372" spans="3:19" s="277" customFormat="1" hidden="1" outlineLevel="1" x14ac:dyDescent="0.3">
      <c r="C1372" s="283" t="str">
        <f>RES_BA!D175</f>
        <v>Other Direct Costs Category 7</v>
      </c>
      <c r="M1372" s="279">
        <f>RES_BA!R175</f>
        <v>0</v>
      </c>
      <c r="O1372" s="279">
        <f>RES_BA!S175</f>
        <v>0</v>
      </c>
      <c r="Q1372" s="279">
        <f>RES_BA!T175</f>
        <v>0</v>
      </c>
      <c r="S1372" s="279">
        <f>RES_BA!U175</f>
        <v>0</v>
      </c>
    </row>
    <row r="1373" spans="3:19" s="277" customFormat="1" hidden="1" outlineLevel="1" x14ac:dyDescent="0.3">
      <c r="C1373" s="283" t="str">
        <f>RES_BA!D176</f>
        <v>Other Direct Costs Category 8</v>
      </c>
      <c r="M1373" s="279">
        <f>RES_BA!R176</f>
        <v>0</v>
      </c>
      <c r="O1373" s="279">
        <f>RES_BA!S176</f>
        <v>0</v>
      </c>
      <c r="Q1373" s="279">
        <f>RES_BA!T176</f>
        <v>0</v>
      </c>
      <c r="S1373" s="279">
        <f>RES_BA!U176</f>
        <v>0</v>
      </c>
    </row>
    <row r="1374" spans="3:19" s="277" customFormat="1" hidden="1" outlineLevel="1" x14ac:dyDescent="0.3">
      <c r="C1374" s="283" t="str">
        <f>RES_BA!D177</f>
        <v>Other Direct Costs Category 9</v>
      </c>
      <c r="M1374" s="279">
        <f>RES_BA!R177</f>
        <v>0</v>
      </c>
      <c r="O1374" s="279">
        <f>RES_BA!S177</f>
        <v>0</v>
      </c>
      <c r="Q1374" s="279">
        <f>RES_BA!T177</f>
        <v>0</v>
      </c>
      <c r="S1374" s="279">
        <f>RES_BA!U177</f>
        <v>0</v>
      </c>
    </row>
    <row r="1375" spans="3:19" s="277" customFormat="1" hidden="1" outlineLevel="1" x14ac:dyDescent="0.3">
      <c r="C1375" s="283" t="str">
        <f>RES_BA!D178</f>
        <v>Other Direct Costs Category 10</v>
      </c>
      <c r="M1375" s="279">
        <f>RES_BA!R178</f>
        <v>0</v>
      </c>
      <c r="O1375" s="279">
        <f>RES_BA!S178</f>
        <v>0</v>
      </c>
      <c r="Q1375" s="279">
        <f>RES_BA!T178</f>
        <v>0</v>
      </c>
      <c r="S1375" s="279">
        <f>RES_BA!U178</f>
        <v>0</v>
      </c>
    </row>
    <row r="1376" spans="3:19" s="277" customFormat="1" hidden="1" outlineLevel="1" x14ac:dyDescent="0.3">
      <c r="C1376" s="283" t="str">
        <f>RES_BA!D179</f>
        <v>Other Direct Costs Category 11</v>
      </c>
      <c r="M1376" s="279">
        <f>RES_BA!R179</f>
        <v>0</v>
      </c>
      <c r="O1376" s="279">
        <f>RES_BA!S179</f>
        <v>0</v>
      </c>
      <c r="Q1376" s="279">
        <f>RES_BA!T179</f>
        <v>0</v>
      </c>
      <c r="S1376" s="279">
        <f>RES_BA!U179</f>
        <v>0</v>
      </c>
    </row>
    <row r="1377" spans="3:19" s="277" customFormat="1" hidden="1" outlineLevel="1" collapsed="1" x14ac:dyDescent="0.3">
      <c r="C1377" s="283" t="str">
        <f>RES_BA!D180</f>
        <v>Other Direct Costs Category 12</v>
      </c>
      <c r="M1377" s="279">
        <f>RES_BA!R180</f>
        <v>0</v>
      </c>
      <c r="O1377" s="279">
        <f>RES_BA!S180</f>
        <v>0</v>
      </c>
      <c r="Q1377" s="279">
        <f>RES_BA!T180</f>
        <v>0</v>
      </c>
      <c r="S1377" s="279">
        <f>RES_BA!U180</f>
        <v>0</v>
      </c>
    </row>
    <row r="1378" spans="3:19" s="277" customFormat="1" hidden="1" outlineLevel="1" x14ac:dyDescent="0.3">
      <c r="C1378" s="283" t="str">
        <f>RES_BA!D181</f>
        <v>Other Direct Costs Category 13</v>
      </c>
      <c r="M1378" s="279">
        <f>RES_BA!R181</f>
        <v>0</v>
      </c>
      <c r="O1378" s="279">
        <f>RES_BA!S181</f>
        <v>0</v>
      </c>
      <c r="Q1378" s="279">
        <f>RES_BA!T181</f>
        <v>0</v>
      </c>
      <c r="S1378" s="279">
        <f>RES_BA!U181</f>
        <v>0</v>
      </c>
    </row>
    <row r="1379" spans="3:19" s="277" customFormat="1" hidden="1" outlineLevel="1" x14ac:dyDescent="0.3">
      <c r="C1379" s="283" t="str">
        <f>RES_BA!D182</f>
        <v>Other Direct Costs Category 14</v>
      </c>
      <c r="M1379" s="279">
        <f>RES_BA!R182</f>
        <v>0</v>
      </c>
      <c r="O1379" s="279">
        <f>RES_BA!S182</f>
        <v>0</v>
      </c>
      <c r="Q1379" s="279">
        <f>RES_BA!T182</f>
        <v>0</v>
      </c>
      <c r="S1379" s="279">
        <f>RES_BA!U182</f>
        <v>0</v>
      </c>
    </row>
    <row r="1380" spans="3:19" s="277" customFormat="1" hidden="1" outlineLevel="1" x14ac:dyDescent="0.3">
      <c r="C1380" s="283" t="str">
        <f>RES_BA!D183</f>
        <v>Other Direct Costs Category 15</v>
      </c>
      <c r="M1380" s="279">
        <f>RES_BA!R183</f>
        <v>0</v>
      </c>
      <c r="O1380" s="279">
        <f>RES_BA!S183</f>
        <v>0</v>
      </c>
      <c r="Q1380" s="279">
        <f>RES_BA!T183</f>
        <v>0</v>
      </c>
      <c r="S1380" s="279">
        <f>RES_BA!U183</f>
        <v>0</v>
      </c>
    </row>
    <row r="1381" spans="3:19" s="277" customFormat="1" hidden="1" outlineLevel="1" x14ac:dyDescent="0.3">
      <c r="C1381" s="283" t="str">
        <f>RES_BA!D184</f>
        <v>Other Direct Costs Category 16</v>
      </c>
      <c r="M1381" s="279">
        <f>RES_BA!R184</f>
        <v>0</v>
      </c>
      <c r="O1381" s="279">
        <f>RES_BA!S184</f>
        <v>0</v>
      </c>
      <c r="Q1381" s="279">
        <f>RES_BA!T184</f>
        <v>0</v>
      </c>
      <c r="S1381" s="279">
        <f>RES_BA!U184</f>
        <v>0</v>
      </c>
    </row>
    <row r="1382" spans="3:19" s="277" customFormat="1" hidden="1" outlineLevel="1" x14ac:dyDescent="0.3">
      <c r="C1382" s="283" t="str">
        <f>RES_BA!D185</f>
        <v>Other Direct Costs Category 17</v>
      </c>
      <c r="M1382" s="279">
        <f>RES_BA!R185</f>
        <v>0</v>
      </c>
      <c r="O1382" s="279">
        <f>RES_BA!S185</f>
        <v>0</v>
      </c>
      <c r="Q1382" s="279">
        <f>RES_BA!T185</f>
        <v>0</v>
      </c>
      <c r="S1382" s="279">
        <f>RES_BA!U185</f>
        <v>0</v>
      </c>
    </row>
    <row r="1383" spans="3:19" s="277" customFormat="1" hidden="1" outlineLevel="1" x14ac:dyDescent="0.3">
      <c r="C1383" s="283" t="str">
        <f>RES_BA!D186</f>
        <v>Other Direct Costs Category 18</v>
      </c>
      <c r="M1383" s="279">
        <f>RES_BA!R186</f>
        <v>0</v>
      </c>
      <c r="O1383" s="279">
        <f>RES_BA!S186</f>
        <v>0</v>
      </c>
      <c r="Q1383" s="279">
        <f>RES_BA!T186</f>
        <v>0</v>
      </c>
      <c r="S1383" s="279">
        <f>RES_BA!U186</f>
        <v>0</v>
      </c>
    </row>
    <row r="1384" spans="3:19" s="277" customFormat="1" hidden="1" outlineLevel="1" x14ac:dyDescent="0.3">
      <c r="C1384" s="283" t="str">
        <f>RES_BA!D187</f>
        <v>Other Direct Costs Category 19</v>
      </c>
      <c r="M1384" s="279">
        <f>RES_BA!R187</f>
        <v>0</v>
      </c>
      <c r="O1384" s="279">
        <f>RES_BA!S187</f>
        <v>0</v>
      </c>
      <c r="Q1384" s="279">
        <f>RES_BA!T187</f>
        <v>0</v>
      </c>
      <c r="S1384" s="279">
        <f>RES_BA!U187</f>
        <v>0</v>
      </c>
    </row>
    <row r="1385" spans="3:19" s="277" customFormat="1" hidden="1" outlineLevel="1" x14ac:dyDescent="0.3">
      <c r="C1385" s="283" t="str">
        <f>RES_BA!D188</f>
        <v>Other Direct Costs Category 20</v>
      </c>
      <c r="M1385" s="279">
        <f>RES_BA!R188</f>
        <v>0</v>
      </c>
      <c r="O1385" s="279">
        <f>RES_BA!S188</f>
        <v>0</v>
      </c>
      <c r="Q1385" s="279">
        <f>RES_BA!T188</f>
        <v>0</v>
      </c>
      <c r="S1385" s="279">
        <f>RES_BA!U188</f>
        <v>0</v>
      </c>
    </row>
    <row r="1386" spans="3:19" s="277" customFormat="1" hidden="1" outlineLevel="1" x14ac:dyDescent="0.3">
      <c r="C1386" s="283" t="str">
        <f>RES_BA!D189</f>
        <v>Other Direct Costs Category 21</v>
      </c>
      <c r="M1386" s="279">
        <f>RES_BA!R189</f>
        <v>0</v>
      </c>
      <c r="O1386" s="279">
        <f>RES_BA!S189</f>
        <v>0</v>
      </c>
      <c r="Q1386" s="279">
        <f>RES_BA!T189</f>
        <v>0</v>
      </c>
      <c r="S1386" s="279">
        <f>RES_BA!U189</f>
        <v>0</v>
      </c>
    </row>
    <row r="1387" spans="3:19" s="277" customFormat="1" hidden="1" outlineLevel="1" x14ac:dyDescent="0.3">
      <c r="C1387" s="283" t="str">
        <f>RES_BA!D190</f>
        <v>Other Direct Costs Category 22</v>
      </c>
      <c r="M1387" s="279">
        <f>RES_BA!R190</f>
        <v>0</v>
      </c>
      <c r="O1387" s="279">
        <f>RES_BA!S190</f>
        <v>0</v>
      </c>
      <c r="Q1387" s="279">
        <f>RES_BA!T190</f>
        <v>0</v>
      </c>
      <c r="S1387" s="279">
        <f>RES_BA!U190</f>
        <v>0</v>
      </c>
    </row>
    <row r="1388" spans="3:19" s="277" customFormat="1" hidden="1" outlineLevel="1" x14ac:dyDescent="0.3">
      <c r="C1388" s="283" t="str">
        <f>RES_BA!D191</f>
        <v>Other Direct Costs Category 23</v>
      </c>
      <c r="M1388" s="279">
        <f>RES_BA!R191</f>
        <v>0</v>
      </c>
      <c r="O1388" s="279">
        <f>RES_BA!S191</f>
        <v>0</v>
      </c>
      <c r="Q1388" s="279">
        <f>RES_BA!T191</f>
        <v>0</v>
      </c>
      <c r="S1388" s="279">
        <f>RES_BA!U191</f>
        <v>0</v>
      </c>
    </row>
    <row r="1389" spans="3:19" s="277" customFormat="1" hidden="1" outlineLevel="1" collapsed="1" x14ac:dyDescent="0.3">
      <c r="C1389" s="283" t="str">
        <f>RES_BA!D192</f>
        <v>Other Direct Costs Category 24</v>
      </c>
      <c r="M1389" s="279">
        <f>RES_BA!R192</f>
        <v>0</v>
      </c>
      <c r="O1389" s="279">
        <f>RES_BA!S192</f>
        <v>0</v>
      </c>
      <c r="Q1389" s="279">
        <f>RES_BA!T192</f>
        <v>0</v>
      </c>
      <c r="S1389" s="279">
        <f>RES_BA!U192</f>
        <v>0</v>
      </c>
    </row>
    <row r="1390" spans="3:19" s="277" customFormat="1" hidden="1" outlineLevel="1" x14ac:dyDescent="0.3">
      <c r="C1390" s="283" t="str">
        <f>RES_BA!D193</f>
        <v>Other Direct Costs Category 25</v>
      </c>
      <c r="M1390" s="279">
        <f>RES_BA!R193</f>
        <v>0</v>
      </c>
      <c r="O1390" s="279">
        <f>RES_BA!S193</f>
        <v>0</v>
      </c>
      <c r="Q1390" s="279">
        <f>RES_BA!T193</f>
        <v>0</v>
      </c>
      <c r="S1390" s="279">
        <f>RES_BA!U193</f>
        <v>0</v>
      </c>
    </row>
    <row r="1391" spans="3:19" s="277" customFormat="1" hidden="1" outlineLevel="1" x14ac:dyDescent="0.3">
      <c r="C1391" s="283" t="str">
        <f>RES_BA!D194</f>
        <v>Other Direct Costs Category 26</v>
      </c>
      <c r="M1391" s="279">
        <f>RES_BA!R194</f>
        <v>0</v>
      </c>
      <c r="O1391" s="279">
        <f>RES_BA!S194</f>
        <v>0</v>
      </c>
      <c r="Q1391" s="279">
        <f>RES_BA!T194</f>
        <v>0</v>
      </c>
      <c r="S1391" s="279">
        <f>RES_BA!U194</f>
        <v>0</v>
      </c>
    </row>
    <row r="1392" spans="3:19" s="277" customFormat="1" hidden="1" outlineLevel="1" x14ac:dyDescent="0.3">
      <c r="C1392" s="283" t="str">
        <f>RES_BA!D195</f>
        <v>Other Direct Costs Category 27</v>
      </c>
      <c r="M1392" s="279">
        <f>RES_BA!R195</f>
        <v>0</v>
      </c>
      <c r="O1392" s="279">
        <f>RES_BA!S195</f>
        <v>0</v>
      </c>
      <c r="Q1392" s="279">
        <f>RES_BA!T195</f>
        <v>0</v>
      </c>
      <c r="S1392" s="279">
        <f>RES_BA!U195</f>
        <v>0</v>
      </c>
    </row>
    <row r="1393" spans="2:24" s="277" customFormat="1" hidden="1" outlineLevel="1" x14ac:dyDescent="0.3">
      <c r="C1393" s="283" t="str">
        <f>RES_BA!D196</f>
        <v>Other Direct Costs Category 28</v>
      </c>
      <c r="M1393" s="279">
        <f>RES_BA!R196</f>
        <v>0</v>
      </c>
      <c r="O1393" s="279">
        <f>RES_BA!S196</f>
        <v>0</v>
      </c>
      <c r="Q1393" s="279">
        <f>RES_BA!T196</f>
        <v>0</v>
      </c>
      <c r="S1393" s="279">
        <f>RES_BA!U196</f>
        <v>0</v>
      </c>
    </row>
    <row r="1394" spans="2:24" s="277" customFormat="1" hidden="1" outlineLevel="1" x14ac:dyDescent="0.3">
      <c r="C1394" s="283" t="str">
        <f>RES_BA!D197</f>
        <v>Other Direct Costs Category 29</v>
      </c>
      <c r="M1394" s="279">
        <f>RES_BA!R197</f>
        <v>0</v>
      </c>
      <c r="O1394" s="279">
        <f>RES_BA!S197</f>
        <v>0</v>
      </c>
      <c r="Q1394" s="279">
        <f>RES_BA!T197</f>
        <v>0</v>
      </c>
      <c r="S1394" s="279">
        <f>RES_BA!U197</f>
        <v>0</v>
      </c>
    </row>
    <row r="1395" spans="2:24" s="277" customFormat="1" hidden="1" outlineLevel="1" x14ac:dyDescent="0.3">
      <c r="C1395" s="283" t="str">
        <f>RES_BA!D198</f>
        <v>Other Direct Costs Category 30</v>
      </c>
      <c r="M1395" s="279">
        <f>RES_BA!R198</f>
        <v>0</v>
      </c>
      <c r="O1395" s="279">
        <f>RES_BA!S198</f>
        <v>0</v>
      </c>
      <c r="Q1395" s="279">
        <f>RES_BA!T198</f>
        <v>0</v>
      </c>
      <c r="S1395" s="279">
        <f>RES_BA!U198</f>
        <v>0</v>
      </c>
    </row>
    <row r="1396" spans="2:24" s="277" customFormat="1" hidden="1" outlineLevel="1" x14ac:dyDescent="0.3">
      <c r="C1396" s="283" t="str">
        <f>RES_BA!D199</f>
        <v>Other Direct Costs Category 31</v>
      </c>
      <c r="M1396" s="279">
        <f>RES_BA!R199</f>
        <v>0</v>
      </c>
      <c r="O1396" s="279">
        <f>RES_BA!S199</f>
        <v>0</v>
      </c>
      <c r="Q1396" s="279">
        <f>RES_BA!T199</f>
        <v>0</v>
      </c>
      <c r="S1396" s="279">
        <f>RES_BA!U199</f>
        <v>0</v>
      </c>
    </row>
    <row r="1397" spans="2:24" s="277" customFormat="1" hidden="1" outlineLevel="1" x14ac:dyDescent="0.3">
      <c r="C1397" s="283" t="str">
        <f>RES_BA!D200</f>
        <v>Other Direct Costs Category 32</v>
      </c>
      <c r="M1397" s="279">
        <f>RES_BA!R200</f>
        <v>0</v>
      </c>
      <c r="O1397" s="279">
        <f>RES_BA!S200</f>
        <v>0</v>
      </c>
      <c r="Q1397" s="279">
        <f>RES_BA!T200</f>
        <v>0</v>
      </c>
      <c r="S1397" s="279">
        <f>RES_BA!U200</f>
        <v>0</v>
      </c>
    </row>
    <row r="1398" spans="2:24" s="277" customFormat="1" hidden="1" outlineLevel="1" x14ac:dyDescent="0.3">
      <c r="C1398" s="283" t="str">
        <f>RES_BA!D201</f>
        <v>Other Direct Costs Category 33</v>
      </c>
      <c r="M1398" s="279">
        <f>RES_BA!R201</f>
        <v>0</v>
      </c>
      <c r="O1398" s="279">
        <f>RES_BA!S201</f>
        <v>0</v>
      </c>
      <c r="Q1398" s="279">
        <f>RES_BA!T201</f>
        <v>0</v>
      </c>
      <c r="S1398" s="279">
        <f>RES_BA!U201</f>
        <v>0</v>
      </c>
    </row>
    <row r="1399" spans="2:24" s="277" customFormat="1" hidden="1" outlineLevel="1" x14ac:dyDescent="0.3">
      <c r="C1399" s="283" t="str">
        <f>RES_BA!D202</f>
        <v>Other Direct Costs Category 34</v>
      </c>
      <c r="M1399" s="279">
        <f>RES_BA!R202</f>
        <v>0</v>
      </c>
      <c r="O1399" s="279">
        <f>RES_BA!S202</f>
        <v>0</v>
      </c>
      <c r="Q1399" s="279">
        <f>RES_BA!T202</f>
        <v>0</v>
      </c>
      <c r="S1399" s="279">
        <f>RES_BA!U202</f>
        <v>0</v>
      </c>
    </row>
    <row r="1400" spans="2:24" s="277" customFormat="1" hidden="1" outlineLevel="1" x14ac:dyDescent="0.3">
      <c r="C1400" s="283" t="str">
        <f>RES_BA!D203</f>
        <v>Other Direct Costs Category 35</v>
      </c>
      <c r="M1400" s="279">
        <f>RES_BA!R203</f>
        <v>0</v>
      </c>
      <c r="O1400" s="279">
        <f>RES_BA!S203</f>
        <v>0</v>
      </c>
      <c r="Q1400" s="279">
        <f>RES_BA!T203</f>
        <v>0</v>
      </c>
      <c r="S1400" s="279">
        <f>RES_BA!U203</f>
        <v>0</v>
      </c>
    </row>
    <row r="1401" spans="2:24" collapsed="1" x14ac:dyDescent="0.3"/>
    <row r="1403" spans="2:24" ht="18" x14ac:dyDescent="0.3">
      <c r="B1403" s="31" t="str">
        <f>I1404</f>
        <v>Round 1 - Vacciination Activity #5 [not in use]</v>
      </c>
    </row>
    <row r="1404" spans="2:24" x14ac:dyDescent="0.3">
      <c r="G1404" s="41" t="s">
        <v>119</v>
      </c>
      <c r="I1404" s="356" t="s">
        <v>1009</v>
      </c>
      <c r="J1404" s="356"/>
      <c r="K1404" s="356"/>
      <c r="L1404" s="356"/>
      <c r="M1404" s="356"/>
    </row>
    <row r="1405" spans="2:24" ht="10.5" customHeight="1" x14ac:dyDescent="0.3">
      <c r="G1405" s="41" t="s">
        <v>644</v>
      </c>
      <c r="I1405" s="32">
        <v>2</v>
      </c>
    </row>
    <row r="1406" spans="2:24" ht="15.6" x14ac:dyDescent="0.3">
      <c r="C1406" s="92" t="s">
        <v>77</v>
      </c>
      <c r="M1406" s="40" t="str">
        <f>IF(DD_ACT_23_Meet1_Curr=1,$D$1559,$D$1560)</f>
        <v>GOZ</v>
      </c>
      <c r="O1406" s="40" t="str">
        <f>IF(DD_ACT_23_Meet1_Curr=1,$D$1559,$D$1560)</f>
        <v>GOZ</v>
      </c>
      <c r="Q1406" s="40" t="str">
        <f>IF(DD_ACT_23_Meet1_Curr=1,$D$1559,$D$1560)</f>
        <v>GOZ</v>
      </c>
      <c r="S1406" s="40" t="str">
        <f>IF(DD_ACT_23_Meet1_Curr=1,$D$1559,$D$1560)</f>
        <v>GOZ</v>
      </c>
    </row>
    <row r="1407" spans="2:24" ht="27.6" x14ac:dyDescent="0.3">
      <c r="D1407" s="90" t="s">
        <v>77</v>
      </c>
      <c r="I1407" s="88" t="s">
        <v>80</v>
      </c>
      <c r="K1407" s="91" t="s">
        <v>432</v>
      </c>
      <c r="M1407" s="42" t="s">
        <v>107</v>
      </c>
      <c r="O1407" s="42" t="s">
        <v>108</v>
      </c>
      <c r="Q1407" s="42" t="s">
        <v>105</v>
      </c>
      <c r="S1407" s="42" t="s">
        <v>106</v>
      </c>
      <c r="U1407" s="350" t="s">
        <v>185</v>
      </c>
      <c r="V1407" s="351"/>
      <c r="W1407" s="351"/>
      <c r="X1407" s="351"/>
    </row>
    <row r="1408" spans="2:24" x14ac:dyDescent="0.3">
      <c r="D1408" s="356" t="s">
        <v>188</v>
      </c>
      <c r="E1408" s="356"/>
      <c r="F1408" s="356"/>
      <c r="G1408" s="356"/>
      <c r="I1408" s="48">
        <v>0</v>
      </c>
      <c r="K1408" s="48">
        <v>0</v>
      </c>
      <c r="M1408" s="40">
        <f t="shared" ref="M1408:M1432" si="80">IFERROR(IF(DD_ACT_23_Meet1_Curr=1,INDEX($M$1565:$M$1599,MATCH(D1408,LU_ACT_23_Pers_Res,0)),INDEX($Q$1565:$Q$1599,MATCH(D1408,LU_ACT_23_Pers_Res,0))),0)</f>
        <v>0</v>
      </c>
      <c r="O1408" s="40">
        <f t="shared" ref="O1408:O1432" si="81">IFERROR(IF(DD_ACT_23_Meet1_Curr=1,INDEX($O$1565:$O$1599,MATCH(D1408,LU_ACT_23_Pers_Res,0)),INDEX($S$1565:$S$1599,MATCH(D1408,LU_ACT_23_Pers_Res,0))),0)</f>
        <v>0</v>
      </c>
      <c r="Q1408" s="293">
        <f t="shared" ref="Q1408:Q1432" si="82">I1408*K1408*M1408</f>
        <v>0</v>
      </c>
      <c r="S1408" s="293">
        <f t="shared" ref="S1408:S1432" si="83">I1408*K1408*O1408</f>
        <v>0</v>
      </c>
      <c r="U1408" s="356"/>
      <c r="V1408" s="356"/>
      <c r="W1408" s="356"/>
      <c r="X1408" s="356"/>
    </row>
    <row r="1409" spans="4:24" x14ac:dyDescent="0.3">
      <c r="D1409" s="356" t="s">
        <v>189</v>
      </c>
      <c r="E1409" s="356"/>
      <c r="F1409" s="356"/>
      <c r="G1409" s="356"/>
      <c r="I1409" s="48">
        <v>0</v>
      </c>
      <c r="K1409" s="48">
        <v>0</v>
      </c>
      <c r="M1409" s="40">
        <f t="shared" si="80"/>
        <v>0</v>
      </c>
      <c r="O1409" s="40">
        <f t="shared" si="81"/>
        <v>0</v>
      </c>
      <c r="Q1409" s="293">
        <f t="shared" si="82"/>
        <v>0</v>
      </c>
      <c r="S1409" s="293">
        <f t="shared" si="83"/>
        <v>0</v>
      </c>
      <c r="U1409" s="356"/>
      <c r="V1409" s="356"/>
      <c r="W1409" s="356"/>
      <c r="X1409" s="356"/>
    </row>
    <row r="1410" spans="4:24" x14ac:dyDescent="0.3">
      <c r="D1410" s="356" t="s">
        <v>190</v>
      </c>
      <c r="E1410" s="356"/>
      <c r="F1410" s="356"/>
      <c r="G1410" s="356"/>
      <c r="I1410" s="48">
        <v>0</v>
      </c>
      <c r="K1410" s="48">
        <v>0</v>
      </c>
      <c r="M1410" s="40">
        <f t="shared" si="80"/>
        <v>0</v>
      </c>
      <c r="O1410" s="40">
        <f t="shared" si="81"/>
        <v>0</v>
      </c>
      <c r="Q1410" s="293">
        <f t="shared" si="82"/>
        <v>0</v>
      </c>
      <c r="S1410" s="293">
        <f t="shared" si="83"/>
        <v>0</v>
      </c>
      <c r="U1410" s="356"/>
      <c r="V1410" s="356"/>
      <c r="W1410" s="356"/>
      <c r="X1410" s="356"/>
    </row>
    <row r="1411" spans="4:24" x14ac:dyDescent="0.3">
      <c r="D1411" s="356" t="s">
        <v>191</v>
      </c>
      <c r="E1411" s="356"/>
      <c r="F1411" s="356"/>
      <c r="G1411" s="356"/>
      <c r="I1411" s="48">
        <v>0</v>
      </c>
      <c r="K1411" s="48">
        <v>0</v>
      </c>
      <c r="M1411" s="40">
        <f t="shared" si="80"/>
        <v>0</v>
      </c>
      <c r="O1411" s="40">
        <f t="shared" si="81"/>
        <v>0</v>
      </c>
      <c r="Q1411" s="293">
        <f t="shared" si="82"/>
        <v>0</v>
      </c>
      <c r="S1411" s="293">
        <f t="shared" si="83"/>
        <v>0</v>
      </c>
      <c r="U1411" s="356"/>
      <c r="V1411" s="356"/>
      <c r="W1411" s="356"/>
      <c r="X1411" s="356"/>
    </row>
    <row r="1412" spans="4:24" x14ac:dyDescent="0.3">
      <c r="D1412" s="356" t="s">
        <v>192</v>
      </c>
      <c r="E1412" s="356"/>
      <c r="F1412" s="356"/>
      <c r="G1412" s="356"/>
      <c r="I1412" s="48">
        <v>0</v>
      </c>
      <c r="K1412" s="48">
        <v>0</v>
      </c>
      <c r="M1412" s="40">
        <f t="shared" si="80"/>
        <v>0</v>
      </c>
      <c r="O1412" s="40">
        <f t="shared" si="81"/>
        <v>0</v>
      </c>
      <c r="Q1412" s="293">
        <f t="shared" si="82"/>
        <v>0</v>
      </c>
      <c r="S1412" s="293">
        <f t="shared" si="83"/>
        <v>0</v>
      </c>
      <c r="U1412" s="356"/>
      <c r="V1412" s="356"/>
      <c r="W1412" s="356"/>
      <c r="X1412" s="356"/>
    </row>
    <row r="1413" spans="4:24" x14ac:dyDescent="0.3">
      <c r="D1413" s="356" t="s">
        <v>193</v>
      </c>
      <c r="E1413" s="356"/>
      <c r="F1413" s="356"/>
      <c r="G1413" s="356"/>
      <c r="I1413" s="48">
        <v>0</v>
      </c>
      <c r="K1413" s="48">
        <v>0</v>
      </c>
      <c r="M1413" s="40">
        <f t="shared" si="80"/>
        <v>0</v>
      </c>
      <c r="O1413" s="40">
        <f t="shared" si="81"/>
        <v>0</v>
      </c>
      <c r="Q1413" s="293">
        <f t="shared" si="82"/>
        <v>0</v>
      </c>
      <c r="S1413" s="293">
        <f t="shared" si="83"/>
        <v>0</v>
      </c>
      <c r="U1413" s="356"/>
      <c r="V1413" s="356"/>
      <c r="W1413" s="356"/>
      <c r="X1413" s="356"/>
    </row>
    <row r="1414" spans="4:24" x14ac:dyDescent="0.3">
      <c r="D1414" s="356" t="s">
        <v>120</v>
      </c>
      <c r="E1414" s="356"/>
      <c r="F1414" s="356"/>
      <c r="G1414" s="356"/>
      <c r="I1414" s="48">
        <v>0</v>
      </c>
      <c r="K1414" s="48">
        <v>0</v>
      </c>
      <c r="M1414" s="40">
        <f t="shared" si="80"/>
        <v>0</v>
      </c>
      <c r="O1414" s="40">
        <f t="shared" si="81"/>
        <v>0</v>
      </c>
      <c r="Q1414" s="293">
        <f t="shared" si="82"/>
        <v>0</v>
      </c>
      <c r="S1414" s="293">
        <f t="shared" si="83"/>
        <v>0</v>
      </c>
      <c r="U1414" s="356"/>
      <c r="V1414" s="356"/>
      <c r="W1414" s="356"/>
      <c r="X1414" s="356"/>
    </row>
    <row r="1415" spans="4:24" x14ac:dyDescent="0.3">
      <c r="D1415" s="356" t="s">
        <v>121</v>
      </c>
      <c r="E1415" s="356"/>
      <c r="F1415" s="356"/>
      <c r="G1415" s="356"/>
      <c r="I1415" s="48">
        <v>0</v>
      </c>
      <c r="K1415" s="48">
        <v>0</v>
      </c>
      <c r="M1415" s="40">
        <f t="shared" si="80"/>
        <v>0</v>
      </c>
      <c r="O1415" s="40">
        <f t="shared" si="81"/>
        <v>0</v>
      </c>
      <c r="Q1415" s="293">
        <f t="shared" si="82"/>
        <v>0</v>
      </c>
      <c r="S1415" s="293">
        <f t="shared" si="83"/>
        <v>0</v>
      </c>
      <c r="U1415" s="356"/>
      <c r="V1415" s="356"/>
      <c r="W1415" s="356"/>
      <c r="X1415" s="356"/>
    </row>
    <row r="1416" spans="4:24" s="277" customFormat="1" x14ac:dyDescent="0.3">
      <c r="D1416" s="356" t="s">
        <v>830</v>
      </c>
      <c r="E1416" s="356"/>
      <c r="F1416" s="356"/>
      <c r="G1416" s="356"/>
      <c r="I1416" s="48">
        <v>0</v>
      </c>
      <c r="K1416" s="48">
        <v>0</v>
      </c>
      <c r="M1416" s="279">
        <f t="shared" si="80"/>
        <v>0</v>
      </c>
      <c r="O1416" s="279">
        <f t="shared" si="81"/>
        <v>0</v>
      </c>
      <c r="Q1416" s="293">
        <f t="shared" si="82"/>
        <v>0</v>
      </c>
      <c r="S1416" s="293">
        <f t="shared" si="83"/>
        <v>0</v>
      </c>
      <c r="U1416" s="385"/>
      <c r="V1416" s="385"/>
      <c r="W1416" s="385"/>
      <c r="X1416" s="385"/>
    </row>
    <row r="1417" spans="4:24" s="277" customFormat="1" x14ac:dyDescent="0.3">
      <c r="D1417" s="356" t="s">
        <v>831</v>
      </c>
      <c r="E1417" s="356"/>
      <c r="F1417" s="356"/>
      <c r="G1417" s="356"/>
      <c r="I1417" s="48">
        <v>0</v>
      </c>
      <c r="K1417" s="48">
        <v>0</v>
      </c>
      <c r="M1417" s="279">
        <f t="shared" si="80"/>
        <v>0</v>
      </c>
      <c r="O1417" s="279">
        <f t="shared" si="81"/>
        <v>0</v>
      </c>
      <c r="Q1417" s="293">
        <f t="shared" si="82"/>
        <v>0</v>
      </c>
      <c r="S1417" s="293">
        <f t="shared" si="83"/>
        <v>0</v>
      </c>
      <c r="U1417" s="385"/>
      <c r="V1417" s="385"/>
      <c r="W1417" s="385"/>
      <c r="X1417" s="385"/>
    </row>
    <row r="1418" spans="4:24" s="277" customFormat="1" x14ac:dyDescent="0.3">
      <c r="D1418" s="356" t="s">
        <v>832</v>
      </c>
      <c r="E1418" s="356"/>
      <c r="F1418" s="356"/>
      <c r="G1418" s="356"/>
      <c r="I1418" s="48">
        <v>0</v>
      </c>
      <c r="K1418" s="48">
        <v>0</v>
      </c>
      <c r="M1418" s="279">
        <f t="shared" si="80"/>
        <v>0</v>
      </c>
      <c r="O1418" s="279">
        <f t="shared" si="81"/>
        <v>0</v>
      </c>
      <c r="Q1418" s="293">
        <f t="shared" si="82"/>
        <v>0</v>
      </c>
      <c r="S1418" s="293">
        <f t="shared" si="83"/>
        <v>0</v>
      </c>
      <c r="U1418" s="385"/>
      <c r="V1418" s="385"/>
      <c r="W1418" s="385"/>
      <c r="X1418" s="385"/>
    </row>
    <row r="1419" spans="4:24" s="277" customFormat="1" x14ac:dyDescent="0.3">
      <c r="D1419" s="356" t="s">
        <v>833</v>
      </c>
      <c r="E1419" s="356"/>
      <c r="F1419" s="356"/>
      <c r="G1419" s="356"/>
      <c r="I1419" s="48">
        <v>0</v>
      </c>
      <c r="K1419" s="48">
        <v>0</v>
      </c>
      <c r="M1419" s="279">
        <f t="shared" si="80"/>
        <v>0</v>
      </c>
      <c r="O1419" s="279">
        <f t="shared" si="81"/>
        <v>0</v>
      </c>
      <c r="Q1419" s="293">
        <f t="shared" si="82"/>
        <v>0</v>
      </c>
      <c r="S1419" s="293">
        <f t="shared" si="83"/>
        <v>0</v>
      </c>
      <c r="U1419" s="385"/>
      <c r="V1419" s="385"/>
      <c r="W1419" s="385"/>
      <c r="X1419" s="385"/>
    </row>
    <row r="1420" spans="4:24" s="277" customFormat="1" x14ac:dyDescent="0.3">
      <c r="D1420" s="356" t="s">
        <v>834</v>
      </c>
      <c r="E1420" s="356"/>
      <c r="F1420" s="356"/>
      <c r="G1420" s="356"/>
      <c r="I1420" s="48">
        <v>0</v>
      </c>
      <c r="K1420" s="48">
        <v>0</v>
      </c>
      <c r="M1420" s="279">
        <f t="shared" si="80"/>
        <v>0</v>
      </c>
      <c r="O1420" s="279">
        <f t="shared" si="81"/>
        <v>0</v>
      </c>
      <c r="Q1420" s="293">
        <f t="shared" si="82"/>
        <v>0</v>
      </c>
      <c r="S1420" s="293">
        <f t="shared" si="83"/>
        <v>0</v>
      </c>
      <c r="U1420" s="385"/>
      <c r="V1420" s="385"/>
      <c r="W1420" s="385"/>
      <c r="X1420" s="385"/>
    </row>
    <row r="1421" spans="4:24" s="277" customFormat="1" x14ac:dyDescent="0.3">
      <c r="D1421" s="356" t="s">
        <v>835</v>
      </c>
      <c r="E1421" s="356"/>
      <c r="F1421" s="356"/>
      <c r="G1421" s="356"/>
      <c r="I1421" s="48">
        <v>0</v>
      </c>
      <c r="K1421" s="48">
        <v>0</v>
      </c>
      <c r="M1421" s="279">
        <f t="shared" si="80"/>
        <v>0</v>
      </c>
      <c r="O1421" s="279">
        <f t="shared" si="81"/>
        <v>0</v>
      </c>
      <c r="Q1421" s="293">
        <f t="shared" si="82"/>
        <v>0</v>
      </c>
      <c r="S1421" s="293">
        <f t="shared" si="83"/>
        <v>0</v>
      </c>
      <c r="U1421" s="385"/>
      <c r="V1421" s="385"/>
      <c r="W1421" s="385"/>
      <c r="X1421" s="385"/>
    </row>
    <row r="1422" spans="4:24" s="277" customFormat="1" x14ac:dyDescent="0.3">
      <c r="D1422" s="356" t="s">
        <v>836</v>
      </c>
      <c r="E1422" s="356"/>
      <c r="F1422" s="356"/>
      <c r="G1422" s="356"/>
      <c r="I1422" s="48">
        <v>0</v>
      </c>
      <c r="K1422" s="48">
        <v>0</v>
      </c>
      <c r="M1422" s="279">
        <f t="shared" si="80"/>
        <v>0</v>
      </c>
      <c r="O1422" s="279">
        <f t="shared" si="81"/>
        <v>0</v>
      </c>
      <c r="Q1422" s="293">
        <f t="shared" si="82"/>
        <v>0</v>
      </c>
      <c r="S1422" s="293">
        <f t="shared" si="83"/>
        <v>0</v>
      </c>
      <c r="U1422" s="385"/>
      <c r="V1422" s="385"/>
      <c r="W1422" s="385"/>
      <c r="X1422" s="385"/>
    </row>
    <row r="1423" spans="4:24" s="277" customFormat="1" x14ac:dyDescent="0.3">
      <c r="D1423" s="356" t="s">
        <v>837</v>
      </c>
      <c r="E1423" s="356"/>
      <c r="F1423" s="356"/>
      <c r="G1423" s="356"/>
      <c r="I1423" s="48">
        <v>0</v>
      </c>
      <c r="K1423" s="48">
        <v>0</v>
      </c>
      <c r="M1423" s="279">
        <f t="shared" si="80"/>
        <v>0</v>
      </c>
      <c r="O1423" s="279">
        <f t="shared" si="81"/>
        <v>0</v>
      </c>
      <c r="Q1423" s="293">
        <f t="shared" si="82"/>
        <v>0</v>
      </c>
      <c r="S1423" s="293">
        <f t="shared" si="83"/>
        <v>0</v>
      </c>
      <c r="U1423" s="385"/>
      <c r="V1423" s="385"/>
      <c r="W1423" s="385"/>
      <c r="X1423" s="385"/>
    </row>
    <row r="1424" spans="4:24" s="277" customFormat="1" x14ac:dyDescent="0.3">
      <c r="D1424" s="356" t="s">
        <v>846</v>
      </c>
      <c r="E1424" s="356"/>
      <c r="F1424" s="356"/>
      <c r="G1424" s="356"/>
      <c r="I1424" s="48">
        <v>0</v>
      </c>
      <c r="K1424" s="48">
        <v>0</v>
      </c>
      <c r="M1424" s="279">
        <f t="shared" si="80"/>
        <v>0</v>
      </c>
      <c r="O1424" s="279">
        <f t="shared" si="81"/>
        <v>0</v>
      </c>
      <c r="Q1424" s="293">
        <f t="shared" si="82"/>
        <v>0</v>
      </c>
      <c r="S1424" s="293">
        <f t="shared" si="83"/>
        <v>0</v>
      </c>
      <c r="U1424" s="385"/>
      <c r="V1424" s="385"/>
      <c r="W1424" s="385"/>
      <c r="X1424" s="385"/>
    </row>
    <row r="1425" spans="3:24" s="277" customFormat="1" x14ac:dyDescent="0.3">
      <c r="D1425" s="356" t="s">
        <v>847</v>
      </c>
      <c r="E1425" s="356"/>
      <c r="F1425" s="356"/>
      <c r="G1425" s="356"/>
      <c r="I1425" s="48">
        <v>0</v>
      </c>
      <c r="K1425" s="48">
        <v>0</v>
      </c>
      <c r="M1425" s="279">
        <f t="shared" si="80"/>
        <v>0</v>
      </c>
      <c r="O1425" s="279">
        <f t="shared" si="81"/>
        <v>0</v>
      </c>
      <c r="Q1425" s="293">
        <f t="shared" si="82"/>
        <v>0</v>
      </c>
      <c r="S1425" s="293">
        <f t="shared" si="83"/>
        <v>0</v>
      </c>
      <c r="U1425" s="385"/>
      <c r="V1425" s="385"/>
      <c r="W1425" s="385"/>
      <c r="X1425" s="385"/>
    </row>
    <row r="1426" spans="3:24" s="277" customFormat="1" x14ac:dyDescent="0.3">
      <c r="D1426" s="356" t="s">
        <v>848</v>
      </c>
      <c r="E1426" s="356"/>
      <c r="F1426" s="356"/>
      <c r="G1426" s="356"/>
      <c r="I1426" s="48">
        <v>0</v>
      </c>
      <c r="K1426" s="48">
        <v>0</v>
      </c>
      <c r="M1426" s="279">
        <f t="shared" si="80"/>
        <v>0</v>
      </c>
      <c r="O1426" s="279">
        <f t="shared" si="81"/>
        <v>0</v>
      </c>
      <c r="Q1426" s="293">
        <f t="shared" si="82"/>
        <v>0</v>
      </c>
      <c r="S1426" s="293">
        <f t="shared" si="83"/>
        <v>0</v>
      </c>
      <c r="U1426" s="385"/>
      <c r="V1426" s="385"/>
      <c r="W1426" s="385"/>
      <c r="X1426" s="385"/>
    </row>
    <row r="1427" spans="3:24" s="277" customFormat="1" x14ac:dyDescent="0.3">
      <c r="D1427" s="356" t="s">
        <v>849</v>
      </c>
      <c r="E1427" s="356"/>
      <c r="F1427" s="356"/>
      <c r="G1427" s="356"/>
      <c r="I1427" s="48">
        <v>0</v>
      </c>
      <c r="K1427" s="48">
        <v>0</v>
      </c>
      <c r="M1427" s="279">
        <f t="shared" si="80"/>
        <v>0</v>
      </c>
      <c r="O1427" s="279">
        <f t="shared" si="81"/>
        <v>0</v>
      </c>
      <c r="Q1427" s="293">
        <f t="shared" si="82"/>
        <v>0</v>
      </c>
      <c r="S1427" s="293">
        <f t="shared" si="83"/>
        <v>0</v>
      </c>
      <c r="U1427" s="385"/>
      <c r="V1427" s="385"/>
      <c r="W1427" s="385"/>
      <c r="X1427" s="385"/>
    </row>
    <row r="1428" spans="3:24" s="277" customFormat="1" x14ac:dyDescent="0.3">
      <c r="D1428" s="356" t="s">
        <v>971</v>
      </c>
      <c r="E1428" s="356"/>
      <c r="F1428" s="356"/>
      <c r="G1428" s="356"/>
      <c r="I1428" s="48">
        <v>0</v>
      </c>
      <c r="K1428" s="48">
        <v>0</v>
      </c>
      <c r="M1428" s="279">
        <f t="shared" si="80"/>
        <v>0</v>
      </c>
      <c r="O1428" s="279">
        <f t="shared" si="81"/>
        <v>0</v>
      </c>
      <c r="Q1428" s="293">
        <f t="shared" si="82"/>
        <v>0</v>
      </c>
      <c r="S1428" s="293">
        <f t="shared" si="83"/>
        <v>0</v>
      </c>
      <c r="U1428" s="385"/>
      <c r="V1428" s="385"/>
      <c r="W1428" s="385"/>
      <c r="X1428" s="385"/>
    </row>
    <row r="1429" spans="3:24" s="277" customFormat="1" x14ac:dyDescent="0.3">
      <c r="D1429" s="356" t="s">
        <v>973</v>
      </c>
      <c r="E1429" s="356"/>
      <c r="F1429" s="356"/>
      <c r="G1429" s="356"/>
      <c r="I1429" s="48">
        <v>0</v>
      </c>
      <c r="K1429" s="48">
        <v>0</v>
      </c>
      <c r="M1429" s="279">
        <f t="shared" si="80"/>
        <v>0</v>
      </c>
      <c r="O1429" s="279">
        <f t="shared" si="81"/>
        <v>0</v>
      </c>
      <c r="Q1429" s="293">
        <f t="shared" si="82"/>
        <v>0</v>
      </c>
      <c r="S1429" s="293">
        <f t="shared" si="83"/>
        <v>0</v>
      </c>
      <c r="U1429" s="385"/>
      <c r="V1429" s="385"/>
      <c r="W1429" s="385"/>
      <c r="X1429" s="385"/>
    </row>
    <row r="1430" spans="3:24" s="277" customFormat="1" x14ac:dyDescent="0.3">
      <c r="D1430" s="356" t="s">
        <v>974</v>
      </c>
      <c r="E1430" s="356"/>
      <c r="F1430" s="356"/>
      <c r="G1430" s="356"/>
      <c r="I1430" s="48">
        <v>0</v>
      </c>
      <c r="K1430" s="48">
        <v>0</v>
      </c>
      <c r="M1430" s="279">
        <f t="shared" si="80"/>
        <v>0</v>
      </c>
      <c r="O1430" s="279">
        <f t="shared" si="81"/>
        <v>0</v>
      </c>
      <c r="Q1430" s="293">
        <f t="shared" si="82"/>
        <v>0</v>
      </c>
      <c r="S1430" s="293">
        <f t="shared" si="83"/>
        <v>0</v>
      </c>
      <c r="U1430" s="385"/>
      <c r="V1430" s="385"/>
      <c r="W1430" s="385"/>
      <c r="X1430" s="385"/>
    </row>
    <row r="1431" spans="3:24" s="277" customFormat="1" x14ac:dyDescent="0.3">
      <c r="D1431" s="356" t="s">
        <v>975</v>
      </c>
      <c r="E1431" s="356"/>
      <c r="F1431" s="356"/>
      <c r="G1431" s="356"/>
      <c r="I1431" s="48">
        <v>0</v>
      </c>
      <c r="K1431" s="48">
        <v>0</v>
      </c>
      <c r="M1431" s="279">
        <f t="shared" si="80"/>
        <v>0</v>
      </c>
      <c r="O1431" s="279">
        <f t="shared" si="81"/>
        <v>0</v>
      </c>
      <c r="Q1431" s="293">
        <f t="shared" si="82"/>
        <v>0</v>
      </c>
      <c r="S1431" s="293">
        <f t="shared" si="83"/>
        <v>0</v>
      </c>
      <c r="U1431" s="385"/>
      <c r="V1431" s="385"/>
      <c r="W1431" s="385"/>
      <c r="X1431" s="385"/>
    </row>
    <row r="1432" spans="3:24" s="277" customFormat="1" x14ac:dyDescent="0.3">
      <c r="D1432" s="356" t="s">
        <v>976</v>
      </c>
      <c r="E1432" s="356"/>
      <c r="F1432" s="356"/>
      <c r="G1432" s="356"/>
      <c r="I1432" s="48">
        <v>0</v>
      </c>
      <c r="K1432" s="48">
        <v>0</v>
      </c>
      <c r="M1432" s="279">
        <f t="shared" si="80"/>
        <v>0</v>
      </c>
      <c r="O1432" s="279">
        <f t="shared" si="81"/>
        <v>0</v>
      </c>
      <c r="Q1432" s="293">
        <f t="shared" si="82"/>
        <v>0</v>
      </c>
      <c r="S1432" s="293">
        <f t="shared" si="83"/>
        <v>0</v>
      </c>
      <c r="U1432" s="385"/>
      <c r="V1432" s="385"/>
      <c r="W1432" s="385"/>
      <c r="X1432" s="385"/>
    </row>
    <row r="1433" spans="3:24" ht="14.4" x14ac:dyDescent="0.3">
      <c r="D1433" s="420" t="s">
        <v>79</v>
      </c>
      <c r="E1433" s="421"/>
      <c r="F1433" s="421"/>
      <c r="G1433" s="421"/>
      <c r="I1433" s="43"/>
      <c r="K1433" s="43"/>
      <c r="M1433" s="43"/>
      <c r="O1433" s="43"/>
      <c r="Q1433" s="294">
        <f>SUM(Q1408:Q1432)</f>
        <v>0</v>
      </c>
      <c r="S1433" s="294">
        <f>SUM(S1408:S1432)</f>
        <v>0</v>
      </c>
    </row>
    <row r="1435" spans="3:24" ht="15.6" x14ac:dyDescent="0.3">
      <c r="C1435" s="92" t="s">
        <v>164</v>
      </c>
    </row>
    <row r="1436" spans="3:24" ht="27.6" x14ac:dyDescent="0.3">
      <c r="D1436" s="90" t="s">
        <v>102</v>
      </c>
      <c r="I1436" s="91" t="s">
        <v>80</v>
      </c>
      <c r="K1436" s="91" t="s">
        <v>432</v>
      </c>
      <c r="M1436" s="42" t="s">
        <v>107</v>
      </c>
      <c r="O1436" s="42" t="s">
        <v>108</v>
      </c>
      <c r="Q1436" s="42" t="s">
        <v>105</v>
      </c>
      <c r="S1436" s="42" t="s">
        <v>106</v>
      </c>
      <c r="U1436" s="350" t="s">
        <v>185</v>
      </c>
      <c r="V1436" s="351"/>
      <c r="W1436" s="351"/>
      <c r="X1436" s="351"/>
    </row>
    <row r="1437" spans="3:24" x14ac:dyDescent="0.3">
      <c r="D1437" s="356" t="s">
        <v>109</v>
      </c>
      <c r="E1437" s="356"/>
      <c r="F1437" s="356"/>
      <c r="G1437" s="356"/>
      <c r="I1437" s="48">
        <v>0</v>
      </c>
      <c r="K1437" s="48">
        <v>0</v>
      </c>
      <c r="M1437" s="40">
        <f t="shared" ref="M1437:M1461" si="84">IFERROR(IF(DD_ACT_23_Meet1_Curr=1,INDEX($M$1602:$M$1636,MATCH(D1437,LU_ACT_23_Allowances,0)),INDEX($Q$1602:$Q$1636,MATCH(D1437,LU_ACT_23_Allowances,0))),0)</f>
        <v>0</v>
      </c>
      <c r="O1437" s="40">
        <f t="shared" ref="O1437:O1461" si="85">IFERROR(IF(DD_ACT_23_Meet1_Curr=1,INDEX($O$1602:$O$1636,MATCH(D1437,LU_ACT_23_Allowances,0)),INDEX($S$1602:$S$1636,MATCH(D1437,LU_ACT_23_Allowances,0))),0)</f>
        <v>0</v>
      </c>
      <c r="Q1437" s="293">
        <f t="shared" ref="Q1437:Q1461" si="86">I1437*K1437*M1437</f>
        <v>0</v>
      </c>
      <c r="S1437" s="293">
        <f t="shared" ref="S1437:S1461" si="87">I1437*K1437*O1437</f>
        <v>0</v>
      </c>
      <c r="U1437" s="356"/>
      <c r="V1437" s="356"/>
      <c r="W1437" s="356"/>
      <c r="X1437" s="356"/>
    </row>
    <row r="1438" spans="3:24" x14ac:dyDescent="0.3">
      <c r="D1438" s="356" t="s">
        <v>110</v>
      </c>
      <c r="E1438" s="356"/>
      <c r="F1438" s="356"/>
      <c r="G1438" s="356"/>
      <c r="I1438" s="48">
        <v>0</v>
      </c>
      <c r="K1438" s="48">
        <v>0</v>
      </c>
      <c r="M1438" s="40">
        <f t="shared" si="84"/>
        <v>0</v>
      </c>
      <c r="O1438" s="40">
        <f t="shared" si="85"/>
        <v>0</v>
      </c>
      <c r="Q1438" s="293">
        <f t="shared" si="86"/>
        <v>0</v>
      </c>
      <c r="S1438" s="293">
        <f t="shared" si="87"/>
        <v>0</v>
      </c>
      <c r="U1438" s="356"/>
      <c r="V1438" s="356"/>
      <c r="W1438" s="356"/>
      <c r="X1438" s="356"/>
    </row>
    <row r="1439" spans="3:24" x14ac:dyDescent="0.3">
      <c r="D1439" s="356" t="s">
        <v>111</v>
      </c>
      <c r="E1439" s="356"/>
      <c r="F1439" s="356"/>
      <c r="G1439" s="356"/>
      <c r="I1439" s="48">
        <v>0</v>
      </c>
      <c r="K1439" s="48">
        <v>0</v>
      </c>
      <c r="M1439" s="40">
        <f t="shared" si="84"/>
        <v>0</v>
      </c>
      <c r="O1439" s="40">
        <f t="shared" si="85"/>
        <v>0</v>
      </c>
      <c r="Q1439" s="293">
        <f t="shared" si="86"/>
        <v>0</v>
      </c>
      <c r="S1439" s="293">
        <f t="shared" si="87"/>
        <v>0</v>
      </c>
      <c r="U1439" s="356"/>
      <c r="V1439" s="356"/>
      <c r="W1439" s="356"/>
      <c r="X1439" s="356"/>
    </row>
    <row r="1440" spans="3:24" x14ac:dyDescent="0.3">
      <c r="D1440" s="356" t="s">
        <v>112</v>
      </c>
      <c r="E1440" s="356"/>
      <c r="F1440" s="356"/>
      <c r="G1440" s="356"/>
      <c r="I1440" s="48">
        <v>0</v>
      </c>
      <c r="K1440" s="48">
        <v>0</v>
      </c>
      <c r="M1440" s="40">
        <f t="shared" si="84"/>
        <v>0</v>
      </c>
      <c r="O1440" s="40">
        <f t="shared" si="85"/>
        <v>0</v>
      </c>
      <c r="Q1440" s="293">
        <f t="shared" si="86"/>
        <v>0</v>
      </c>
      <c r="S1440" s="293">
        <f t="shared" si="87"/>
        <v>0</v>
      </c>
      <c r="U1440" s="356"/>
      <c r="V1440" s="356"/>
      <c r="W1440" s="356"/>
      <c r="X1440" s="356"/>
    </row>
    <row r="1441" spans="4:24" x14ac:dyDescent="0.3">
      <c r="D1441" s="356" t="s">
        <v>113</v>
      </c>
      <c r="E1441" s="356"/>
      <c r="F1441" s="356"/>
      <c r="G1441" s="356"/>
      <c r="I1441" s="48">
        <v>0</v>
      </c>
      <c r="K1441" s="48">
        <v>0</v>
      </c>
      <c r="M1441" s="40">
        <f t="shared" si="84"/>
        <v>0</v>
      </c>
      <c r="O1441" s="40">
        <f t="shared" si="85"/>
        <v>0</v>
      </c>
      <c r="Q1441" s="293">
        <f t="shared" si="86"/>
        <v>0</v>
      </c>
      <c r="S1441" s="293">
        <f t="shared" si="87"/>
        <v>0</v>
      </c>
      <c r="U1441" s="356"/>
      <c r="V1441" s="356"/>
      <c r="W1441" s="356"/>
      <c r="X1441" s="356"/>
    </row>
    <row r="1442" spans="4:24" x14ac:dyDescent="0.3">
      <c r="D1442" s="356" t="s">
        <v>114</v>
      </c>
      <c r="E1442" s="356"/>
      <c r="F1442" s="356"/>
      <c r="G1442" s="356"/>
      <c r="I1442" s="48">
        <v>0</v>
      </c>
      <c r="K1442" s="48">
        <v>0</v>
      </c>
      <c r="M1442" s="40">
        <f t="shared" si="84"/>
        <v>0</v>
      </c>
      <c r="O1442" s="40">
        <f t="shared" si="85"/>
        <v>0</v>
      </c>
      <c r="Q1442" s="293">
        <f t="shared" si="86"/>
        <v>0</v>
      </c>
      <c r="S1442" s="293">
        <f t="shared" si="87"/>
        <v>0</v>
      </c>
      <c r="U1442" s="356"/>
      <c r="V1442" s="356"/>
      <c r="W1442" s="356"/>
      <c r="X1442" s="356"/>
    </row>
    <row r="1443" spans="4:24" x14ac:dyDescent="0.3">
      <c r="D1443" s="356" t="s">
        <v>115</v>
      </c>
      <c r="E1443" s="356"/>
      <c r="F1443" s="356"/>
      <c r="G1443" s="356"/>
      <c r="I1443" s="48">
        <v>0</v>
      </c>
      <c r="K1443" s="48">
        <v>0</v>
      </c>
      <c r="M1443" s="40">
        <f t="shared" si="84"/>
        <v>0</v>
      </c>
      <c r="O1443" s="40">
        <f t="shared" si="85"/>
        <v>0</v>
      </c>
      <c r="Q1443" s="293">
        <f t="shared" si="86"/>
        <v>0</v>
      </c>
      <c r="S1443" s="293">
        <f t="shared" si="87"/>
        <v>0</v>
      </c>
      <c r="U1443" s="356"/>
      <c r="V1443" s="356"/>
      <c r="W1443" s="356"/>
      <c r="X1443" s="356"/>
    </row>
    <row r="1444" spans="4:24" x14ac:dyDescent="0.3">
      <c r="D1444" s="356" t="s">
        <v>116</v>
      </c>
      <c r="E1444" s="356"/>
      <c r="F1444" s="356"/>
      <c r="G1444" s="356"/>
      <c r="I1444" s="48">
        <v>0</v>
      </c>
      <c r="K1444" s="48">
        <v>0</v>
      </c>
      <c r="M1444" s="40">
        <f t="shared" si="84"/>
        <v>0</v>
      </c>
      <c r="O1444" s="40">
        <f t="shared" si="85"/>
        <v>0</v>
      </c>
      <c r="Q1444" s="293">
        <f t="shared" si="86"/>
        <v>0</v>
      </c>
      <c r="S1444" s="293">
        <f t="shared" si="87"/>
        <v>0</v>
      </c>
      <c r="U1444" s="356"/>
      <c r="V1444" s="356"/>
      <c r="W1444" s="356"/>
      <c r="X1444" s="356"/>
    </row>
    <row r="1445" spans="4:24" s="277" customFormat="1" x14ac:dyDescent="0.3">
      <c r="D1445" s="356" t="s">
        <v>838</v>
      </c>
      <c r="E1445" s="356"/>
      <c r="F1445" s="356"/>
      <c r="G1445" s="356"/>
      <c r="I1445" s="48">
        <v>0</v>
      </c>
      <c r="K1445" s="48">
        <v>0</v>
      </c>
      <c r="M1445" s="279">
        <f t="shared" si="84"/>
        <v>0</v>
      </c>
      <c r="O1445" s="279">
        <f t="shared" si="85"/>
        <v>0</v>
      </c>
      <c r="Q1445" s="293">
        <f t="shared" si="86"/>
        <v>0</v>
      </c>
      <c r="S1445" s="293">
        <f t="shared" si="87"/>
        <v>0</v>
      </c>
      <c r="U1445" s="385"/>
      <c r="V1445" s="385"/>
      <c r="W1445" s="385"/>
      <c r="X1445" s="385"/>
    </row>
    <row r="1446" spans="4:24" s="277" customFormat="1" x14ac:dyDescent="0.3">
      <c r="D1446" s="356" t="s">
        <v>839</v>
      </c>
      <c r="E1446" s="356"/>
      <c r="F1446" s="356"/>
      <c r="G1446" s="356"/>
      <c r="I1446" s="48">
        <v>0</v>
      </c>
      <c r="K1446" s="48">
        <v>0</v>
      </c>
      <c r="M1446" s="279">
        <f t="shared" si="84"/>
        <v>0</v>
      </c>
      <c r="O1446" s="279">
        <f t="shared" si="85"/>
        <v>0</v>
      </c>
      <c r="Q1446" s="293">
        <f t="shared" si="86"/>
        <v>0</v>
      </c>
      <c r="S1446" s="293">
        <f t="shared" si="87"/>
        <v>0</v>
      </c>
      <c r="U1446" s="385"/>
      <c r="V1446" s="385"/>
      <c r="W1446" s="385"/>
      <c r="X1446" s="385"/>
    </row>
    <row r="1447" spans="4:24" s="277" customFormat="1" x14ac:dyDescent="0.3">
      <c r="D1447" s="356" t="s">
        <v>840</v>
      </c>
      <c r="E1447" s="356"/>
      <c r="F1447" s="356"/>
      <c r="G1447" s="356"/>
      <c r="I1447" s="48">
        <v>0</v>
      </c>
      <c r="K1447" s="48">
        <v>0</v>
      </c>
      <c r="M1447" s="279">
        <f t="shared" si="84"/>
        <v>0</v>
      </c>
      <c r="O1447" s="279">
        <f t="shared" si="85"/>
        <v>0</v>
      </c>
      <c r="Q1447" s="293">
        <f t="shared" si="86"/>
        <v>0</v>
      </c>
      <c r="S1447" s="293">
        <f t="shared" si="87"/>
        <v>0</v>
      </c>
      <c r="U1447" s="385"/>
      <c r="V1447" s="385"/>
      <c r="W1447" s="385"/>
      <c r="X1447" s="385"/>
    </row>
    <row r="1448" spans="4:24" s="277" customFormat="1" x14ac:dyDescent="0.3">
      <c r="D1448" s="356" t="s">
        <v>841</v>
      </c>
      <c r="E1448" s="356"/>
      <c r="F1448" s="356"/>
      <c r="G1448" s="356"/>
      <c r="I1448" s="48">
        <v>0</v>
      </c>
      <c r="K1448" s="48">
        <v>0</v>
      </c>
      <c r="M1448" s="279">
        <f t="shared" si="84"/>
        <v>0</v>
      </c>
      <c r="O1448" s="279">
        <f t="shared" si="85"/>
        <v>0</v>
      </c>
      <c r="Q1448" s="293">
        <f t="shared" si="86"/>
        <v>0</v>
      </c>
      <c r="S1448" s="293">
        <f t="shared" si="87"/>
        <v>0</v>
      </c>
      <c r="U1448" s="385"/>
      <c r="V1448" s="385"/>
      <c r="W1448" s="385"/>
      <c r="X1448" s="385"/>
    </row>
    <row r="1449" spans="4:24" s="277" customFormat="1" x14ac:dyDescent="0.3">
      <c r="D1449" s="356" t="s">
        <v>842</v>
      </c>
      <c r="E1449" s="356"/>
      <c r="F1449" s="356"/>
      <c r="G1449" s="356"/>
      <c r="I1449" s="48">
        <v>0</v>
      </c>
      <c r="K1449" s="48">
        <v>0</v>
      </c>
      <c r="M1449" s="279">
        <f t="shared" si="84"/>
        <v>0</v>
      </c>
      <c r="O1449" s="279">
        <f t="shared" si="85"/>
        <v>0</v>
      </c>
      <c r="Q1449" s="293">
        <f t="shared" si="86"/>
        <v>0</v>
      </c>
      <c r="S1449" s="293">
        <f t="shared" si="87"/>
        <v>0</v>
      </c>
      <c r="U1449" s="385"/>
      <c r="V1449" s="385"/>
      <c r="W1449" s="385"/>
      <c r="X1449" s="385"/>
    </row>
    <row r="1450" spans="4:24" s="277" customFormat="1" x14ac:dyDescent="0.3">
      <c r="D1450" s="356" t="s">
        <v>843</v>
      </c>
      <c r="E1450" s="356"/>
      <c r="F1450" s="356"/>
      <c r="G1450" s="356"/>
      <c r="I1450" s="48">
        <v>0</v>
      </c>
      <c r="K1450" s="48">
        <v>0</v>
      </c>
      <c r="M1450" s="279">
        <f t="shared" si="84"/>
        <v>0</v>
      </c>
      <c r="O1450" s="279">
        <f t="shared" si="85"/>
        <v>0</v>
      </c>
      <c r="Q1450" s="293">
        <f t="shared" si="86"/>
        <v>0</v>
      </c>
      <c r="S1450" s="293">
        <f t="shared" si="87"/>
        <v>0</v>
      </c>
      <c r="U1450" s="385"/>
      <c r="V1450" s="385"/>
      <c r="W1450" s="385"/>
      <c r="X1450" s="385"/>
    </row>
    <row r="1451" spans="4:24" s="277" customFormat="1" x14ac:dyDescent="0.3">
      <c r="D1451" s="356" t="s">
        <v>844</v>
      </c>
      <c r="E1451" s="356"/>
      <c r="F1451" s="356"/>
      <c r="G1451" s="356"/>
      <c r="I1451" s="48">
        <v>0</v>
      </c>
      <c r="K1451" s="48">
        <v>0</v>
      </c>
      <c r="M1451" s="279">
        <f t="shared" si="84"/>
        <v>0</v>
      </c>
      <c r="O1451" s="279">
        <f t="shared" si="85"/>
        <v>0</v>
      </c>
      <c r="Q1451" s="293">
        <f t="shared" si="86"/>
        <v>0</v>
      </c>
      <c r="S1451" s="293">
        <f t="shared" si="87"/>
        <v>0</v>
      </c>
      <c r="U1451" s="385"/>
      <c r="V1451" s="385"/>
      <c r="W1451" s="385"/>
      <c r="X1451" s="385"/>
    </row>
    <row r="1452" spans="4:24" s="277" customFormat="1" x14ac:dyDescent="0.3">
      <c r="D1452" s="356" t="s">
        <v>845</v>
      </c>
      <c r="E1452" s="356"/>
      <c r="F1452" s="356"/>
      <c r="G1452" s="356"/>
      <c r="I1452" s="48">
        <v>0</v>
      </c>
      <c r="K1452" s="48">
        <v>0</v>
      </c>
      <c r="M1452" s="279">
        <f t="shared" si="84"/>
        <v>0</v>
      </c>
      <c r="O1452" s="279">
        <f t="shared" si="85"/>
        <v>0</v>
      </c>
      <c r="Q1452" s="293">
        <f t="shared" si="86"/>
        <v>0</v>
      </c>
      <c r="S1452" s="293">
        <f t="shared" si="87"/>
        <v>0</v>
      </c>
      <c r="U1452" s="385"/>
      <c r="V1452" s="385"/>
      <c r="W1452" s="385"/>
      <c r="X1452" s="385"/>
    </row>
    <row r="1453" spans="4:24" s="277" customFormat="1" x14ac:dyDescent="0.3">
      <c r="D1453" s="356" t="s">
        <v>850</v>
      </c>
      <c r="E1453" s="356"/>
      <c r="F1453" s="356"/>
      <c r="G1453" s="356"/>
      <c r="I1453" s="48">
        <v>0</v>
      </c>
      <c r="K1453" s="48">
        <v>0</v>
      </c>
      <c r="M1453" s="279">
        <f t="shared" si="84"/>
        <v>0</v>
      </c>
      <c r="O1453" s="279">
        <f t="shared" si="85"/>
        <v>0</v>
      </c>
      <c r="Q1453" s="293">
        <f t="shared" si="86"/>
        <v>0</v>
      </c>
      <c r="S1453" s="293">
        <f t="shared" si="87"/>
        <v>0</v>
      </c>
      <c r="U1453" s="385"/>
      <c r="V1453" s="385"/>
      <c r="W1453" s="385"/>
      <c r="X1453" s="385"/>
    </row>
    <row r="1454" spans="4:24" s="277" customFormat="1" x14ac:dyDescent="0.3">
      <c r="D1454" s="356" t="s">
        <v>851</v>
      </c>
      <c r="E1454" s="356"/>
      <c r="F1454" s="356"/>
      <c r="G1454" s="356"/>
      <c r="I1454" s="48">
        <v>0</v>
      </c>
      <c r="K1454" s="48">
        <v>0</v>
      </c>
      <c r="M1454" s="279">
        <f t="shared" si="84"/>
        <v>0</v>
      </c>
      <c r="O1454" s="279">
        <f t="shared" si="85"/>
        <v>0</v>
      </c>
      <c r="Q1454" s="293">
        <f t="shared" si="86"/>
        <v>0</v>
      </c>
      <c r="S1454" s="293">
        <f t="shared" si="87"/>
        <v>0</v>
      </c>
      <c r="U1454" s="385"/>
      <c r="V1454" s="385"/>
      <c r="W1454" s="385"/>
      <c r="X1454" s="385"/>
    </row>
    <row r="1455" spans="4:24" s="277" customFormat="1" x14ac:dyDescent="0.3">
      <c r="D1455" s="356" t="s">
        <v>852</v>
      </c>
      <c r="E1455" s="356"/>
      <c r="F1455" s="356"/>
      <c r="G1455" s="356"/>
      <c r="I1455" s="48">
        <v>0</v>
      </c>
      <c r="K1455" s="48">
        <v>0</v>
      </c>
      <c r="M1455" s="279">
        <f t="shared" si="84"/>
        <v>0</v>
      </c>
      <c r="O1455" s="279">
        <f t="shared" si="85"/>
        <v>0</v>
      </c>
      <c r="Q1455" s="293">
        <f t="shared" si="86"/>
        <v>0</v>
      </c>
      <c r="S1455" s="293">
        <f t="shared" si="87"/>
        <v>0</v>
      </c>
      <c r="U1455" s="385"/>
      <c r="V1455" s="385"/>
      <c r="W1455" s="385"/>
      <c r="X1455" s="385"/>
    </row>
    <row r="1456" spans="4:24" s="277" customFormat="1" x14ac:dyDescent="0.3">
      <c r="D1456" s="356" t="s">
        <v>853</v>
      </c>
      <c r="E1456" s="356"/>
      <c r="F1456" s="356"/>
      <c r="G1456" s="356"/>
      <c r="I1456" s="48">
        <v>0</v>
      </c>
      <c r="K1456" s="48">
        <v>0</v>
      </c>
      <c r="M1456" s="279">
        <f t="shared" si="84"/>
        <v>0</v>
      </c>
      <c r="O1456" s="279">
        <f t="shared" si="85"/>
        <v>0</v>
      </c>
      <c r="Q1456" s="293">
        <f t="shared" si="86"/>
        <v>0</v>
      </c>
      <c r="S1456" s="293">
        <f t="shared" si="87"/>
        <v>0</v>
      </c>
      <c r="U1456" s="385"/>
      <c r="V1456" s="385"/>
      <c r="W1456" s="385"/>
      <c r="X1456" s="385"/>
    </row>
    <row r="1457" spans="3:24" s="277" customFormat="1" x14ac:dyDescent="0.3">
      <c r="D1457" s="356" t="s">
        <v>972</v>
      </c>
      <c r="E1457" s="356"/>
      <c r="F1457" s="356"/>
      <c r="G1457" s="356"/>
      <c r="I1457" s="48">
        <v>0</v>
      </c>
      <c r="K1457" s="48">
        <v>0</v>
      </c>
      <c r="M1457" s="279">
        <f t="shared" si="84"/>
        <v>0</v>
      </c>
      <c r="O1457" s="279">
        <f t="shared" si="85"/>
        <v>0</v>
      </c>
      <c r="Q1457" s="293">
        <f t="shared" si="86"/>
        <v>0</v>
      </c>
      <c r="S1457" s="293">
        <f t="shared" si="87"/>
        <v>0</v>
      </c>
      <c r="U1457" s="385"/>
      <c r="V1457" s="385"/>
      <c r="W1457" s="385"/>
      <c r="X1457" s="385"/>
    </row>
    <row r="1458" spans="3:24" s="277" customFormat="1" x14ac:dyDescent="0.3">
      <c r="D1458" s="356" t="s">
        <v>977</v>
      </c>
      <c r="E1458" s="356"/>
      <c r="F1458" s="356"/>
      <c r="G1458" s="356"/>
      <c r="I1458" s="48">
        <v>0</v>
      </c>
      <c r="K1458" s="48">
        <v>0</v>
      </c>
      <c r="M1458" s="279">
        <f t="shared" si="84"/>
        <v>0</v>
      </c>
      <c r="O1458" s="279">
        <f t="shared" si="85"/>
        <v>0</v>
      </c>
      <c r="Q1458" s="293">
        <f t="shared" si="86"/>
        <v>0</v>
      </c>
      <c r="S1458" s="293">
        <f t="shared" si="87"/>
        <v>0</v>
      </c>
      <c r="U1458" s="385"/>
      <c r="V1458" s="385"/>
      <c r="W1458" s="385"/>
      <c r="X1458" s="385"/>
    </row>
    <row r="1459" spans="3:24" s="277" customFormat="1" x14ac:dyDescent="0.3">
      <c r="D1459" s="356" t="s">
        <v>978</v>
      </c>
      <c r="E1459" s="356"/>
      <c r="F1459" s="356"/>
      <c r="G1459" s="356"/>
      <c r="I1459" s="48">
        <v>0</v>
      </c>
      <c r="K1459" s="48">
        <v>0</v>
      </c>
      <c r="M1459" s="279">
        <f t="shared" si="84"/>
        <v>0</v>
      </c>
      <c r="O1459" s="279">
        <f t="shared" si="85"/>
        <v>0</v>
      </c>
      <c r="Q1459" s="293">
        <f t="shared" si="86"/>
        <v>0</v>
      </c>
      <c r="S1459" s="293">
        <f t="shared" si="87"/>
        <v>0</v>
      </c>
      <c r="U1459" s="385"/>
      <c r="V1459" s="385"/>
      <c r="W1459" s="385"/>
      <c r="X1459" s="385"/>
    </row>
    <row r="1460" spans="3:24" s="277" customFormat="1" x14ac:dyDescent="0.3">
      <c r="D1460" s="356" t="s">
        <v>979</v>
      </c>
      <c r="E1460" s="356"/>
      <c r="F1460" s="356"/>
      <c r="G1460" s="356"/>
      <c r="I1460" s="48">
        <v>0</v>
      </c>
      <c r="K1460" s="48">
        <v>0</v>
      </c>
      <c r="M1460" s="279">
        <f t="shared" si="84"/>
        <v>0</v>
      </c>
      <c r="O1460" s="279">
        <f t="shared" si="85"/>
        <v>0</v>
      </c>
      <c r="Q1460" s="293">
        <f t="shared" si="86"/>
        <v>0</v>
      </c>
      <c r="S1460" s="293">
        <f t="shared" si="87"/>
        <v>0</v>
      </c>
      <c r="U1460" s="385"/>
      <c r="V1460" s="385"/>
      <c r="W1460" s="385"/>
      <c r="X1460" s="385"/>
    </row>
    <row r="1461" spans="3:24" s="277" customFormat="1" x14ac:dyDescent="0.3">
      <c r="D1461" s="356" t="s">
        <v>980</v>
      </c>
      <c r="E1461" s="356"/>
      <c r="F1461" s="356"/>
      <c r="G1461" s="356"/>
      <c r="I1461" s="48">
        <v>0</v>
      </c>
      <c r="K1461" s="48">
        <v>0</v>
      </c>
      <c r="M1461" s="279">
        <f t="shared" si="84"/>
        <v>0</v>
      </c>
      <c r="O1461" s="279">
        <f t="shared" si="85"/>
        <v>0</v>
      </c>
      <c r="Q1461" s="293">
        <f t="shared" si="86"/>
        <v>0</v>
      </c>
      <c r="S1461" s="293">
        <f t="shared" si="87"/>
        <v>0</v>
      </c>
      <c r="U1461" s="385"/>
      <c r="V1461" s="385"/>
      <c r="W1461" s="385"/>
      <c r="X1461" s="385"/>
    </row>
    <row r="1462" spans="3:24" ht="14.4" x14ac:dyDescent="0.3">
      <c r="D1462" s="420" t="s">
        <v>82</v>
      </c>
      <c r="E1462" s="421"/>
      <c r="F1462" s="421"/>
      <c r="G1462" s="421"/>
      <c r="I1462" s="43"/>
      <c r="K1462" s="43"/>
      <c r="M1462" s="43"/>
      <c r="O1462" s="43"/>
      <c r="Q1462" s="294">
        <f>SUM(Q1437:Q1461)</f>
        <v>0</v>
      </c>
      <c r="S1462" s="294">
        <f>SUM(S1437:S1461)</f>
        <v>0</v>
      </c>
    </row>
    <row r="1466" spans="3:24" ht="15.6" x14ac:dyDescent="0.3">
      <c r="C1466" s="92" t="s">
        <v>84</v>
      </c>
    </row>
    <row r="1467" spans="3:24" ht="27.6" x14ac:dyDescent="0.3">
      <c r="D1467" s="90" t="s">
        <v>102</v>
      </c>
      <c r="I1467" s="91" t="s">
        <v>87</v>
      </c>
      <c r="K1467" s="91" t="s">
        <v>432</v>
      </c>
      <c r="M1467" s="42" t="s">
        <v>107</v>
      </c>
      <c r="O1467" s="42" t="s">
        <v>108</v>
      </c>
      <c r="Q1467" s="42" t="s">
        <v>105</v>
      </c>
      <c r="S1467" s="42" t="s">
        <v>106</v>
      </c>
      <c r="U1467" s="350" t="s">
        <v>185</v>
      </c>
      <c r="V1467" s="351"/>
      <c r="W1467" s="351"/>
      <c r="X1467" s="351"/>
    </row>
    <row r="1468" spans="3:24" x14ac:dyDescent="0.3">
      <c r="D1468" s="356" t="s">
        <v>892</v>
      </c>
      <c r="E1468" s="356"/>
      <c r="F1468" s="356"/>
      <c r="G1468" s="356"/>
      <c r="I1468" s="48">
        <v>0</v>
      </c>
      <c r="K1468" s="48">
        <v>0</v>
      </c>
      <c r="M1468" s="40">
        <f t="shared" ref="M1468:M1492" si="88">IFERROR(IF(DD_ACT_23_Meet1_Curr=1,INDEX($M$1640:$M$1674,MATCH(D1468,LU_ACT_23_Supplies,0)),INDEX($Q$1640:$Q$1674,MATCH(D1468,LU_ACT_23_Supplies,0))),0)</f>
        <v>0</v>
      </c>
      <c r="O1468" s="40">
        <f t="shared" ref="O1468:O1492" si="89">IFERROR(IF(DD_ACT_23_Meet1_Curr=1,INDEX($O$1640:$O$1674,MATCH(D1468,LU_ACT_23_Supplies,0)),INDEX($S$1640:$S$1674,MATCH(D1468,LU_ACT_23_Supplies,0))),0)</f>
        <v>0</v>
      </c>
      <c r="Q1468" s="295">
        <f t="shared" ref="Q1468:Q1492" si="90">I1468*K1468*M1468</f>
        <v>0</v>
      </c>
      <c r="S1468" s="293">
        <f t="shared" ref="S1468:S1492" si="91">I1468*K1468*O1468</f>
        <v>0</v>
      </c>
      <c r="U1468" s="356"/>
      <c r="V1468" s="356"/>
      <c r="W1468" s="356"/>
      <c r="X1468" s="356"/>
    </row>
    <row r="1469" spans="3:24" x14ac:dyDescent="0.3">
      <c r="D1469" s="356" t="s">
        <v>893</v>
      </c>
      <c r="E1469" s="356"/>
      <c r="F1469" s="356"/>
      <c r="G1469" s="356"/>
      <c r="I1469" s="48">
        <v>0</v>
      </c>
      <c r="K1469" s="48">
        <v>0</v>
      </c>
      <c r="M1469" s="40">
        <f t="shared" si="88"/>
        <v>0</v>
      </c>
      <c r="O1469" s="40">
        <f t="shared" si="89"/>
        <v>0</v>
      </c>
      <c r="Q1469" s="295">
        <f t="shared" si="90"/>
        <v>0</v>
      </c>
      <c r="S1469" s="293">
        <f t="shared" si="91"/>
        <v>0</v>
      </c>
      <c r="U1469" s="356"/>
      <c r="V1469" s="356"/>
      <c r="W1469" s="356"/>
      <c r="X1469" s="356"/>
    </row>
    <row r="1470" spans="3:24" s="277" customFormat="1" x14ac:dyDescent="0.3">
      <c r="D1470" s="356" t="s">
        <v>854</v>
      </c>
      <c r="E1470" s="356"/>
      <c r="F1470" s="356"/>
      <c r="G1470" s="356"/>
      <c r="I1470" s="48">
        <v>0</v>
      </c>
      <c r="K1470" s="48">
        <v>0</v>
      </c>
      <c r="M1470" s="279">
        <f t="shared" si="88"/>
        <v>0</v>
      </c>
      <c r="O1470" s="279">
        <f t="shared" si="89"/>
        <v>0</v>
      </c>
      <c r="Q1470" s="295">
        <f t="shared" si="90"/>
        <v>0</v>
      </c>
      <c r="S1470" s="293">
        <f t="shared" si="91"/>
        <v>0</v>
      </c>
      <c r="U1470" s="385"/>
      <c r="V1470" s="385"/>
      <c r="W1470" s="385"/>
      <c r="X1470" s="385"/>
    </row>
    <row r="1471" spans="3:24" s="277" customFormat="1" x14ac:dyDescent="0.3">
      <c r="D1471" s="356" t="s">
        <v>855</v>
      </c>
      <c r="E1471" s="356"/>
      <c r="F1471" s="356"/>
      <c r="G1471" s="356"/>
      <c r="I1471" s="48">
        <v>0</v>
      </c>
      <c r="K1471" s="48">
        <v>0</v>
      </c>
      <c r="M1471" s="279">
        <f t="shared" si="88"/>
        <v>0</v>
      </c>
      <c r="O1471" s="279">
        <f t="shared" si="89"/>
        <v>0</v>
      </c>
      <c r="Q1471" s="295">
        <f t="shared" si="90"/>
        <v>0</v>
      </c>
      <c r="S1471" s="293">
        <f t="shared" si="91"/>
        <v>0</v>
      </c>
      <c r="U1471" s="385"/>
      <c r="V1471" s="385"/>
      <c r="W1471" s="385"/>
      <c r="X1471" s="385"/>
    </row>
    <row r="1472" spans="3:24" s="277" customFormat="1" x14ac:dyDescent="0.3">
      <c r="D1472" s="356" t="s">
        <v>856</v>
      </c>
      <c r="E1472" s="356"/>
      <c r="F1472" s="356"/>
      <c r="G1472" s="356"/>
      <c r="I1472" s="48">
        <v>0</v>
      </c>
      <c r="K1472" s="48">
        <v>0</v>
      </c>
      <c r="M1472" s="279">
        <f t="shared" si="88"/>
        <v>0</v>
      </c>
      <c r="O1472" s="279">
        <f t="shared" si="89"/>
        <v>0</v>
      </c>
      <c r="Q1472" s="295">
        <f t="shared" si="90"/>
        <v>0</v>
      </c>
      <c r="S1472" s="293">
        <f t="shared" si="91"/>
        <v>0</v>
      </c>
      <c r="U1472" s="385"/>
      <c r="V1472" s="385"/>
      <c r="W1472" s="385"/>
      <c r="X1472" s="385"/>
    </row>
    <row r="1473" spans="4:24" s="277" customFormat="1" x14ac:dyDescent="0.3">
      <c r="D1473" s="356" t="s">
        <v>857</v>
      </c>
      <c r="E1473" s="356"/>
      <c r="F1473" s="356"/>
      <c r="G1473" s="356"/>
      <c r="I1473" s="48">
        <v>0</v>
      </c>
      <c r="K1473" s="48">
        <v>0</v>
      </c>
      <c r="M1473" s="279">
        <f t="shared" si="88"/>
        <v>0</v>
      </c>
      <c r="O1473" s="279">
        <f t="shared" si="89"/>
        <v>0</v>
      </c>
      <c r="Q1473" s="295">
        <f t="shared" si="90"/>
        <v>0</v>
      </c>
      <c r="S1473" s="293">
        <f t="shared" si="91"/>
        <v>0</v>
      </c>
      <c r="U1473" s="385"/>
      <c r="V1473" s="385"/>
      <c r="W1473" s="385"/>
      <c r="X1473" s="385"/>
    </row>
    <row r="1474" spans="4:24" s="277" customFormat="1" x14ac:dyDescent="0.3">
      <c r="D1474" s="356" t="s">
        <v>858</v>
      </c>
      <c r="E1474" s="356"/>
      <c r="F1474" s="356"/>
      <c r="G1474" s="356"/>
      <c r="I1474" s="48">
        <v>0</v>
      </c>
      <c r="K1474" s="48">
        <v>0</v>
      </c>
      <c r="M1474" s="279">
        <f t="shared" si="88"/>
        <v>0</v>
      </c>
      <c r="O1474" s="279">
        <f t="shared" si="89"/>
        <v>0</v>
      </c>
      <c r="Q1474" s="295">
        <f t="shared" si="90"/>
        <v>0</v>
      </c>
      <c r="S1474" s="293">
        <f t="shared" si="91"/>
        <v>0</v>
      </c>
      <c r="U1474" s="385"/>
      <c r="V1474" s="385"/>
      <c r="W1474" s="385"/>
      <c r="X1474" s="385"/>
    </row>
    <row r="1475" spans="4:24" s="277" customFormat="1" x14ac:dyDescent="0.3">
      <c r="D1475" s="356" t="s">
        <v>859</v>
      </c>
      <c r="E1475" s="356"/>
      <c r="F1475" s="356"/>
      <c r="G1475" s="356"/>
      <c r="I1475" s="48">
        <v>0</v>
      </c>
      <c r="K1475" s="48">
        <v>0</v>
      </c>
      <c r="M1475" s="279">
        <f t="shared" si="88"/>
        <v>0</v>
      </c>
      <c r="O1475" s="279">
        <f t="shared" si="89"/>
        <v>0</v>
      </c>
      <c r="Q1475" s="295">
        <f t="shared" si="90"/>
        <v>0</v>
      </c>
      <c r="S1475" s="293">
        <f t="shared" si="91"/>
        <v>0</v>
      </c>
      <c r="U1475" s="385"/>
      <c r="V1475" s="385"/>
      <c r="W1475" s="385"/>
      <c r="X1475" s="385"/>
    </row>
    <row r="1476" spans="4:24" s="277" customFormat="1" x14ac:dyDescent="0.3">
      <c r="D1476" s="356" t="s">
        <v>860</v>
      </c>
      <c r="E1476" s="356"/>
      <c r="F1476" s="356"/>
      <c r="G1476" s="356"/>
      <c r="I1476" s="48">
        <v>0</v>
      </c>
      <c r="K1476" s="48">
        <v>0</v>
      </c>
      <c r="M1476" s="279">
        <f t="shared" si="88"/>
        <v>0</v>
      </c>
      <c r="O1476" s="279">
        <f t="shared" si="89"/>
        <v>0</v>
      </c>
      <c r="Q1476" s="295">
        <f t="shared" si="90"/>
        <v>0</v>
      </c>
      <c r="S1476" s="293">
        <f t="shared" si="91"/>
        <v>0</v>
      </c>
      <c r="U1476" s="385"/>
      <c r="V1476" s="385"/>
      <c r="W1476" s="385"/>
      <c r="X1476" s="385"/>
    </row>
    <row r="1477" spans="4:24" s="277" customFormat="1" x14ac:dyDescent="0.3">
      <c r="D1477" s="356" t="s">
        <v>861</v>
      </c>
      <c r="E1477" s="356"/>
      <c r="F1477" s="356"/>
      <c r="G1477" s="356"/>
      <c r="I1477" s="48">
        <v>0</v>
      </c>
      <c r="K1477" s="48">
        <v>0</v>
      </c>
      <c r="M1477" s="279">
        <f t="shared" si="88"/>
        <v>0</v>
      </c>
      <c r="O1477" s="279">
        <f t="shared" si="89"/>
        <v>0</v>
      </c>
      <c r="Q1477" s="295">
        <f t="shared" si="90"/>
        <v>0</v>
      </c>
      <c r="S1477" s="293">
        <f t="shared" si="91"/>
        <v>0</v>
      </c>
      <c r="U1477" s="385"/>
      <c r="V1477" s="385"/>
      <c r="W1477" s="385"/>
      <c r="X1477" s="385"/>
    </row>
    <row r="1478" spans="4:24" s="277" customFormat="1" x14ac:dyDescent="0.3">
      <c r="D1478" s="356" t="s">
        <v>862</v>
      </c>
      <c r="E1478" s="356"/>
      <c r="F1478" s="356"/>
      <c r="G1478" s="356"/>
      <c r="I1478" s="48">
        <v>0</v>
      </c>
      <c r="K1478" s="48">
        <v>0</v>
      </c>
      <c r="M1478" s="279">
        <f t="shared" si="88"/>
        <v>0</v>
      </c>
      <c r="O1478" s="279">
        <f t="shared" si="89"/>
        <v>0</v>
      </c>
      <c r="Q1478" s="295">
        <f t="shared" si="90"/>
        <v>0</v>
      </c>
      <c r="S1478" s="293">
        <f t="shared" si="91"/>
        <v>0</v>
      </c>
      <c r="U1478" s="385"/>
      <c r="V1478" s="385"/>
      <c r="W1478" s="385"/>
      <c r="X1478" s="385"/>
    </row>
    <row r="1479" spans="4:24" s="277" customFormat="1" x14ac:dyDescent="0.3">
      <c r="D1479" s="356" t="s">
        <v>863</v>
      </c>
      <c r="E1479" s="356"/>
      <c r="F1479" s="356"/>
      <c r="G1479" s="356"/>
      <c r="I1479" s="48">
        <v>0</v>
      </c>
      <c r="K1479" s="48">
        <v>0</v>
      </c>
      <c r="M1479" s="279">
        <f t="shared" si="88"/>
        <v>0</v>
      </c>
      <c r="O1479" s="279">
        <f t="shared" si="89"/>
        <v>0</v>
      </c>
      <c r="Q1479" s="295">
        <f t="shared" si="90"/>
        <v>0</v>
      </c>
      <c r="S1479" s="293">
        <f t="shared" si="91"/>
        <v>0</v>
      </c>
      <c r="U1479" s="385"/>
      <c r="V1479" s="385"/>
      <c r="W1479" s="385"/>
      <c r="X1479" s="385"/>
    </row>
    <row r="1480" spans="4:24" s="277" customFormat="1" x14ac:dyDescent="0.3">
      <c r="D1480" s="356" t="s">
        <v>864</v>
      </c>
      <c r="E1480" s="356"/>
      <c r="F1480" s="356"/>
      <c r="G1480" s="356"/>
      <c r="I1480" s="48">
        <v>0</v>
      </c>
      <c r="K1480" s="48">
        <v>0</v>
      </c>
      <c r="M1480" s="279">
        <f t="shared" si="88"/>
        <v>0</v>
      </c>
      <c r="O1480" s="279">
        <f t="shared" si="89"/>
        <v>0</v>
      </c>
      <c r="Q1480" s="295">
        <f t="shared" si="90"/>
        <v>0</v>
      </c>
      <c r="S1480" s="293">
        <f t="shared" si="91"/>
        <v>0</v>
      </c>
      <c r="U1480" s="385"/>
      <c r="V1480" s="385"/>
      <c r="W1480" s="385"/>
      <c r="X1480" s="385"/>
    </row>
    <row r="1481" spans="4:24" s="277" customFormat="1" x14ac:dyDescent="0.3">
      <c r="D1481" s="356" t="s">
        <v>865</v>
      </c>
      <c r="E1481" s="356"/>
      <c r="F1481" s="356"/>
      <c r="G1481" s="356"/>
      <c r="I1481" s="48">
        <v>0</v>
      </c>
      <c r="K1481" s="48">
        <v>0</v>
      </c>
      <c r="M1481" s="279">
        <f t="shared" si="88"/>
        <v>0</v>
      </c>
      <c r="O1481" s="279">
        <f t="shared" si="89"/>
        <v>0</v>
      </c>
      <c r="Q1481" s="295">
        <f t="shared" si="90"/>
        <v>0</v>
      </c>
      <c r="S1481" s="293">
        <f t="shared" si="91"/>
        <v>0</v>
      </c>
      <c r="U1481" s="385"/>
      <c r="V1481" s="385"/>
      <c r="W1481" s="385"/>
      <c r="X1481" s="385"/>
    </row>
    <row r="1482" spans="4:24" s="277" customFormat="1" x14ac:dyDescent="0.3">
      <c r="D1482" s="356" t="s">
        <v>866</v>
      </c>
      <c r="E1482" s="356"/>
      <c r="F1482" s="356"/>
      <c r="G1482" s="356"/>
      <c r="I1482" s="48">
        <v>0</v>
      </c>
      <c r="K1482" s="48">
        <v>0</v>
      </c>
      <c r="M1482" s="279">
        <f t="shared" si="88"/>
        <v>0</v>
      </c>
      <c r="O1482" s="279">
        <f t="shared" si="89"/>
        <v>0</v>
      </c>
      <c r="Q1482" s="295">
        <f t="shared" si="90"/>
        <v>0</v>
      </c>
      <c r="S1482" s="293">
        <f t="shared" si="91"/>
        <v>0</v>
      </c>
      <c r="U1482" s="385"/>
      <c r="V1482" s="385"/>
      <c r="W1482" s="385"/>
      <c r="X1482" s="385"/>
    </row>
    <row r="1483" spans="4:24" s="277" customFormat="1" x14ac:dyDescent="0.3">
      <c r="D1483" s="356" t="s">
        <v>867</v>
      </c>
      <c r="E1483" s="356"/>
      <c r="F1483" s="356"/>
      <c r="G1483" s="356"/>
      <c r="I1483" s="48">
        <v>0</v>
      </c>
      <c r="K1483" s="48">
        <v>0</v>
      </c>
      <c r="M1483" s="279">
        <f t="shared" si="88"/>
        <v>0</v>
      </c>
      <c r="O1483" s="279">
        <f t="shared" si="89"/>
        <v>0</v>
      </c>
      <c r="Q1483" s="295">
        <f t="shared" si="90"/>
        <v>0</v>
      </c>
      <c r="S1483" s="293">
        <f t="shared" si="91"/>
        <v>0</v>
      </c>
      <c r="U1483" s="385"/>
      <c r="V1483" s="385"/>
      <c r="W1483" s="385"/>
      <c r="X1483" s="385"/>
    </row>
    <row r="1484" spans="4:24" s="277" customFormat="1" x14ac:dyDescent="0.3">
      <c r="D1484" s="356" t="s">
        <v>868</v>
      </c>
      <c r="E1484" s="356"/>
      <c r="F1484" s="356"/>
      <c r="G1484" s="356"/>
      <c r="I1484" s="48">
        <v>0</v>
      </c>
      <c r="K1484" s="48">
        <v>0</v>
      </c>
      <c r="M1484" s="279">
        <f t="shared" si="88"/>
        <v>0</v>
      </c>
      <c r="O1484" s="279">
        <f t="shared" si="89"/>
        <v>0</v>
      </c>
      <c r="Q1484" s="295">
        <f t="shared" si="90"/>
        <v>0</v>
      </c>
      <c r="S1484" s="293">
        <f t="shared" si="91"/>
        <v>0</v>
      </c>
      <c r="U1484" s="385"/>
      <c r="V1484" s="385"/>
      <c r="W1484" s="385"/>
      <c r="X1484" s="385"/>
    </row>
    <row r="1485" spans="4:24" s="277" customFormat="1" x14ac:dyDescent="0.3">
      <c r="D1485" s="356" t="s">
        <v>869</v>
      </c>
      <c r="E1485" s="356"/>
      <c r="F1485" s="356"/>
      <c r="G1485" s="356"/>
      <c r="I1485" s="48">
        <v>0</v>
      </c>
      <c r="K1485" s="48">
        <v>0</v>
      </c>
      <c r="M1485" s="279">
        <f t="shared" si="88"/>
        <v>0</v>
      </c>
      <c r="O1485" s="279">
        <f t="shared" si="89"/>
        <v>0</v>
      </c>
      <c r="Q1485" s="295">
        <f t="shared" si="90"/>
        <v>0</v>
      </c>
      <c r="S1485" s="293">
        <f t="shared" si="91"/>
        <v>0</v>
      </c>
      <c r="U1485" s="385"/>
      <c r="V1485" s="385"/>
      <c r="W1485" s="385"/>
      <c r="X1485" s="385"/>
    </row>
    <row r="1486" spans="4:24" s="277" customFormat="1" x14ac:dyDescent="0.3">
      <c r="D1486" s="356" t="s">
        <v>870</v>
      </c>
      <c r="E1486" s="356"/>
      <c r="F1486" s="356"/>
      <c r="G1486" s="356"/>
      <c r="I1486" s="48">
        <v>0</v>
      </c>
      <c r="K1486" s="48">
        <v>0</v>
      </c>
      <c r="M1486" s="279">
        <f t="shared" si="88"/>
        <v>0</v>
      </c>
      <c r="O1486" s="279">
        <f t="shared" si="89"/>
        <v>0</v>
      </c>
      <c r="Q1486" s="295">
        <f t="shared" si="90"/>
        <v>0</v>
      </c>
      <c r="S1486" s="293">
        <f t="shared" si="91"/>
        <v>0</v>
      </c>
      <c r="U1486" s="385"/>
      <c r="V1486" s="385"/>
      <c r="W1486" s="385"/>
      <c r="X1486" s="385"/>
    </row>
    <row r="1487" spans="4:24" s="277" customFormat="1" x14ac:dyDescent="0.3">
      <c r="D1487" s="356" t="s">
        <v>871</v>
      </c>
      <c r="E1487" s="356"/>
      <c r="F1487" s="356"/>
      <c r="G1487" s="356"/>
      <c r="I1487" s="48">
        <v>0</v>
      </c>
      <c r="K1487" s="48">
        <v>0</v>
      </c>
      <c r="M1487" s="279">
        <f t="shared" si="88"/>
        <v>0</v>
      </c>
      <c r="O1487" s="279">
        <f t="shared" si="89"/>
        <v>0</v>
      </c>
      <c r="Q1487" s="295">
        <f t="shared" si="90"/>
        <v>0</v>
      </c>
      <c r="S1487" s="293">
        <f t="shared" si="91"/>
        <v>0</v>
      </c>
      <c r="U1487" s="385"/>
      <c r="V1487" s="385"/>
      <c r="W1487" s="385"/>
      <c r="X1487" s="385"/>
    </row>
    <row r="1488" spans="4:24" s="277" customFormat="1" x14ac:dyDescent="0.3">
      <c r="D1488" s="356" t="s">
        <v>981</v>
      </c>
      <c r="E1488" s="356"/>
      <c r="F1488" s="356"/>
      <c r="G1488" s="356"/>
      <c r="I1488" s="48">
        <v>0</v>
      </c>
      <c r="K1488" s="48">
        <v>0</v>
      </c>
      <c r="M1488" s="279">
        <f t="shared" si="88"/>
        <v>0</v>
      </c>
      <c r="O1488" s="279">
        <f t="shared" si="89"/>
        <v>0</v>
      </c>
      <c r="Q1488" s="295">
        <f t="shared" si="90"/>
        <v>0</v>
      </c>
      <c r="S1488" s="293">
        <f t="shared" si="91"/>
        <v>0</v>
      </c>
      <c r="U1488" s="385"/>
      <c r="V1488" s="385"/>
      <c r="W1488" s="385"/>
      <c r="X1488" s="385"/>
    </row>
    <row r="1489" spans="3:24" s="277" customFormat="1" x14ac:dyDescent="0.3">
      <c r="D1489" s="356" t="s">
        <v>982</v>
      </c>
      <c r="E1489" s="356"/>
      <c r="F1489" s="356"/>
      <c r="G1489" s="356"/>
      <c r="I1489" s="48">
        <v>0</v>
      </c>
      <c r="K1489" s="48">
        <v>0</v>
      </c>
      <c r="M1489" s="279">
        <f t="shared" si="88"/>
        <v>0</v>
      </c>
      <c r="O1489" s="279">
        <f t="shared" si="89"/>
        <v>0</v>
      </c>
      <c r="Q1489" s="295">
        <f t="shared" si="90"/>
        <v>0</v>
      </c>
      <c r="S1489" s="293">
        <f t="shared" si="91"/>
        <v>0</v>
      </c>
      <c r="U1489" s="385"/>
      <c r="V1489" s="385"/>
      <c r="W1489" s="385"/>
      <c r="X1489" s="385"/>
    </row>
    <row r="1490" spans="3:24" s="277" customFormat="1" x14ac:dyDescent="0.3">
      <c r="D1490" s="356" t="s">
        <v>983</v>
      </c>
      <c r="E1490" s="356"/>
      <c r="F1490" s="356"/>
      <c r="G1490" s="356"/>
      <c r="I1490" s="48">
        <v>0</v>
      </c>
      <c r="K1490" s="48">
        <v>0</v>
      </c>
      <c r="M1490" s="279">
        <f t="shared" si="88"/>
        <v>0</v>
      </c>
      <c r="O1490" s="279">
        <f t="shared" si="89"/>
        <v>0</v>
      </c>
      <c r="Q1490" s="295">
        <f t="shared" si="90"/>
        <v>0</v>
      </c>
      <c r="S1490" s="293">
        <f t="shared" si="91"/>
        <v>0</v>
      </c>
      <c r="U1490" s="385"/>
      <c r="V1490" s="385"/>
      <c r="W1490" s="385"/>
      <c r="X1490" s="385"/>
    </row>
    <row r="1491" spans="3:24" s="277" customFormat="1" x14ac:dyDescent="0.3">
      <c r="D1491" s="356" t="s">
        <v>984</v>
      </c>
      <c r="E1491" s="356"/>
      <c r="F1491" s="356"/>
      <c r="G1491" s="356"/>
      <c r="I1491" s="48">
        <v>0</v>
      </c>
      <c r="K1491" s="48">
        <v>0</v>
      </c>
      <c r="M1491" s="279">
        <f t="shared" si="88"/>
        <v>0</v>
      </c>
      <c r="O1491" s="279">
        <f t="shared" si="89"/>
        <v>0</v>
      </c>
      <c r="Q1491" s="295">
        <f t="shared" si="90"/>
        <v>0</v>
      </c>
      <c r="S1491" s="293">
        <f t="shared" si="91"/>
        <v>0</v>
      </c>
      <c r="U1491" s="385"/>
      <c r="V1491" s="385"/>
      <c r="W1491" s="385"/>
      <c r="X1491" s="385"/>
    </row>
    <row r="1492" spans="3:24" s="277" customFormat="1" x14ac:dyDescent="0.3">
      <c r="D1492" s="356" t="s">
        <v>985</v>
      </c>
      <c r="E1492" s="356"/>
      <c r="F1492" s="356"/>
      <c r="G1492" s="356"/>
      <c r="I1492" s="48">
        <v>0</v>
      </c>
      <c r="K1492" s="48">
        <v>0</v>
      </c>
      <c r="M1492" s="279">
        <f t="shared" si="88"/>
        <v>0</v>
      </c>
      <c r="O1492" s="279">
        <f t="shared" si="89"/>
        <v>0</v>
      </c>
      <c r="Q1492" s="295">
        <f t="shared" si="90"/>
        <v>0</v>
      </c>
      <c r="S1492" s="293">
        <f t="shared" si="91"/>
        <v>0</v>
      </c>
      <c r="U1492" s="385"/>
      <c r="V1492" s="385"/>
      <c r="W1492" s="385"/>
      <c r="X1492" s="385"/>
    </row>
    <row r="1493" spans="3:24" ht="14.4" x14ac:dyDescent="0.3">
      <c r="D1493" s="420" t="s">
        <v>85</v>
      </c>
      <c r="E1493" s="421"/>
      <c r="F1493" s="421"/>
      <c r="G1493" s="421"/>
      <c r="I1493" s="43"/>
      <c r="K1493" s="43"/>
      <c r="M1493" s="43"/>
      <c r="O1493" s="43"/>
      <c r="Q1493" s="296">
        <f>SUM(Q1468:Q1492)</f>
        <v>0</v>
      </c>
      <c r="S1493" s="294">
        <f>SUM(S1468:S1492)</f>
        <v>0</v>
      </c>
      <c r="U1493" s="43"/>
      <c r="V1493" s="43"/>
      <c r="W1493" s="43"/>
      <c r="X1493" s="43"/>
    </row>
    <row r="1495" spans="3:24" ht="27.6" x14ac:dyDescent="0.3">
      <c r="C1495" s="92" t="s">
        <v>130</v>
      </c>
      <c r="Q1495" s="44" t="str">
        <f>"FINANCIAL COST ("&amp;INDEX(LU_ACT_23_Meet_Curr,DD_ACT_23_Meet1_Curr)&amp;")"</f>
        <v>FINANCIAL COST (GOZ)</v>
      </c>
      <c r="S1495" s="44" t="str">
        <f>"ECONOMIC COST ("&amp;INDEX(LU_ACT_23_Meet_Curr,DD_ACT_23_Meet1_Curr)&amp;")"</f>
        <v>ECONOMIC COST (GOZ)</v>
      </c>
    </row>
    <row r="1496" spans="3:24" ht="14.4" x14ac:dyDescent="0.3">
      <c r="D1496" s="90" t="s">
        <v>86</v>
      </c>
      <c r="I1496" s="91" t="s">
        <v>186</v>
      </c>
      <c r="M1496" s="91" t="s">
        <v>81</v>
      </c>
      <c r="O1496" s="91" t="s">
        <v>83</v>
      </c>
      <c r="U1496" s="350" t="s">
        <v>185</v>
      </c>
      <c r="V1496" s="351"/>
      <c r="W1496" s="351"/>
      <c r="X1496" s="351"/>
    </row>
    <row r="1497" spans="3:24" x14ac:dyDescent="0.3">
      <c r="D1497" s="356" t="s">
        <v>70</v>
      </c>
      <c r="E1497" s="356"/>
      <c r="F1497" s="356"/>
      <c r="G1497" s="356"/>
      <c r="I1497" s="48">
        <v>0</v>
      </c>
      <c r="M1497" s="40">
        <f t="shared" ref="M1497:M1521" si="92">IFERROR(IF(DD_ACT_23_Meet1_Curr=1,INDEX($M$1677:$M$1711,MATCH(D1497,LU_ACT_23_Equipment,0)),INDEX($Q$1677:$Q$1711,MATCH(D1497,LU_ACT_23_Equipment,0))),0)</f>
        <v>0</v>
      </c>
      <c r="O1497" s="40">
        <f t="shared" ref="O1497:O1521" si="93">IFERROR(IF(DD_ACT_23_Meet1_Curr=1,INDEX($O$1677:$O$1711,MATCH(D1497,LU_ACT_23_Equipment,0)),INDEX($S$1677:$S$1711,MATCH(D1497,LU_ACT_23_Equipment,0))),0)</f>
        <v>0</v>
      </c>
      <c r="Q1497" s="279">
        <f t="shared" ref="Q1497:Q1521" si="94">I1497*M1497</f>
        <v>0</v>
      </c>
      <c r="S1497" s="279">
        <f t="shared" ref="S1497:S1521" si="95">I1497*O1497</f>
        <v>0</v>
      </c>
      <c r="U1497" s="356"/>
      <c r="V1497" s="356"/>
      <c r="W1497" s="356"/>
      <c r="X1497" s="356"/>
    </row>
    <row r="1498" spans="3:24" x14ac:dyDescent="0.3">
      <c r="D1498" s="356" t="s">
        <v>122</v>
      </c>
      <c r="E1498" s="356"/>
      <c r="F1498" s="356"/>
      <c r="G1498" s="356"/>
      <c r="I1498" s="48">
        <v>0</v>
      </c>
      <c r="M1498" s="40">
        <f t="shared" si="92"/>
        <v>0</v>
      </c>
      <c r="O1498" s="40">
        <f t="shared" si="93"/>
        <v>0</v>
      </c>
      <c r="Q1498" s="279">
        <f t="shared" si="94"/>
        <v>0</v>
      </c>
      <c r="S1498" s="279">
        <f t="shared" si="95"/>
        <v>0</v>
      </c>
      <c r="U1498" s="356"/>
      <c r="V1498" s="356"/>
      <c r="W1498" s="356"/>
      <c r="X1498" s="356"/>
    </row>
    <row r="1499" spans="3:24" s="277" customFormat="1" x14ac:dyDescent="0.3">
      <c r="D1499" s="356" t="s">
        <v>872</v>
      </c>
      <c r="E1499" s="356"/>
      <c r="F1499" s="356"/>
      <c r="G1499" s="356"/>
      <c r="I1499" s="48">
        <v>0</v>
      </c>
      <c r="M1499" s="279">
        <f t="shared" si="92"/>
        <v>0</v>
      </c>
      <c r="O1499" s="279">
        <f t="shared" si="93"/>
        <v>0</v>
      </c>
      <c r="Q1499" s="279">
        <f t="shared" si="94"/>
        <v>0</v>
      </c>
      <c r="S1499" s="279">
        <f t="shared" si="95"/>
        <v>0</v>
      </c>
      <c r="U1499" s="385"/>
      <c r="V1499" s="385"/>
      <c r="W1499" s="385"/>
      <c r="X1499" s="385"/>
    </row>
    <row r="1500" spans="3:24" s="277" customFormat="1" x14ac:dyDescent="0.3">
      <c r="D1500" s="356" t="s">
        <v>873</v>
      </c>
      <c r="E1500" s="356"/>
      <c r="F1500" s="356"/>
      <c r="G1500" s="356"/>
      <c r="I1500" s="48">
        <v>0</v>
      </c>
      <c r="M1500" s="279">
        <f t="shared" si="92"/>
        <v>0</v>
      </c>
      <c r="O1500" s="279">
        <f t="shared" si="93"/>
        <v>0</v>
      </c>
      <c r="Q1500" s="279">
        <f t="shared" si="94"/>
        <v>0</v>
      </c>
      <c r="S1500" s="279">
        <f t="shared" si="95"/>
        <v>0</v>
      </c>
      <c r="U1500" s="385"/>
      <c r="V1500" s="385"/>
      <c r="W1500" s="385"/>
      <c r="X1500" s="385"/>
    </row>
    <row r="1501" spans="3:24" s="277" customFormat="1" x14ac:dyDescent="0.3">
      <c r="D1501" s="356" t="s">
        <v>874</v>
      </c>
      <c r="E1501" s="356"/>
      <c r="F1501" s="356"/>
      <c r="G1501" s="356"/>
      <c r="I1501" s="48">
        <v>0</v>
      </c>
      <c r="M1501" s="279">
        <f t="shared" si="92"/>
        <v>0</v>
      </c>
      <c r="O1501" s="279">
        <f t="shared" si="93"/>
        <v>0</v>
      </c>
      <c r="Q1501" s="279">
        <f t="shared" si="94"/>
        <v>0</v>
      </c>
      <c r="S1501" s="279">
        <f t="shared" si="95"/>
        <v>0</v>
      </c>
      <c r="U1501" s="385"/>
      <c r="V1501" s="385"/>
      <c r="W1501" s="385"/>
      <c r="X1501" s="385"/>
    </row>
    <row r="1502" spans="3:24" s="277" customFormat="1" x14ac:dyDescent="0.3">
      <c r="D1502" s="356" t="s">
        <v>875</v>
      </c>
      <c r="E1502" s="356"/>
      <c r="F1502" s="356"/>
      <c r="G1502" s="356"/>
      <c r="I1502" s="48">
        <v>0</v>
      </c>
      <c r="M1502" s="279">
        <f t="shared" si="92"/>
        <v>0</v>
      </c>
      <c r="O1502" s="279">
        <f t="shared" si="93"/>
        <v>0</v>
      </c>
      <c r="Q1502" s="279">
        <f t="shared" si="94"/>
        <v>0</v>
      </c>
      <c r="S1502" s="279">
        <f t="shared" si="95"/>
        <v>0</v>
      </c>
      <c r="U1502" s="385"/>
      <c r="V1502" s="385"/>
      <c r="W1502" s="385"/>
      <c r="X1502" s="385"/>
    </row>
    <row r="1503" spans="3:24" s="277" customFormat="1" x14ac:dyDescent="0.3">
      <c r="D1503" s="356" t="s">
        <v>778</v>
      </c>
      <c r="E1503" s="356"/>
      <c r="F1503" s="356"/>
      <c r="G1503" s="356"/>
      <c r="I1503" s="48">
        <v>0</v>
      </c>
      <c r="M1503" s="279">
        <f t="shared" si="92"/>
        <v>0</v>
      </c>
      <c r="O1503" s="279">
        <f t="shared" si="93"/>
        <v>0</v>
      </c>
      <c r="Q1503" s="279">
        <f t="shared" si="94"/>
        <v>0</v>
      </c>
      <c r="S1503" s="279">
        <f t="shared" si="95"/>
        <v>0</v>
      </c>
      <c r="U1503" s="385"/>
      <c r="V1503" s="385"/>
      <c r="W1503" s="385"/>
      <c r="X1503" s="385"/>
    </row>
    <row r="1504" spans="3:24" s="277" customFormat="1" x14ac:dyDescent="0.3">
      <c r="D1504" s="356" t="s">
        <v>779</v>
      </c>
      <c r="E1504" s="356"/>
      <c r="F1504" s="356"/>
      <c r="G1504" s="356"/>
      <c r="I1504" s="48">
        <v>0</v>
      </c>
      <c r="M1504" s="279">
        <f t="shared" si="92"/>
        <v>0</v>
      </c>
      <c r="O1504" s="279">
        <f t="shared" si="93"/>
        <v>0</v>
      </c>
      <c r="Q1504" s="279">
        <f t="shared" si="94"/>
        <v>0</v>
      </c>
      <c r="S1504" s="279">
        <f t="shared" si="95"/>
        <v>0</v>
      </c>
      <c r="U1504" s="385"/>
      <c r="V1504" s="385"/>
      <c r="W1504" s="385"/>
      <c r="X1504" s="385"/>
    </row>
    <row r="1505" spans="4:24" s="277" customFormat="1" x14ac:dyDescent="0.3">
      <c r="D1505" s="356" t="s">
        <v>780</v>
      </c>
      <c r="E1505" s="356"/>
      <c r="F1505" s="356"/>
      <c r="G1505" s="356"/>
      <c r="I1505" s="48">
        <v>0</v>
      </c>
      <c r="M1505" s="279">
        <f t="shared" si="92"/>
        <v>0</v>
      </c>
      <c r="O1505" s="279">
        <f t="shared" si="93"/>
        <v>0</v>
      </c>
      <c r="Q1505" s="279">
        <f t="shared" si="94"/>
        <v>0</v>
      </c>
      <c r="S1505" s="279">
        <f t="shared" si="95"/>
        <v>0</v>
      </c>
      <c r="U1505" s="385"/>
      <c r="V1505" s="385"/>
      <c r="W1505" s="385"/>
      <c r="X1505" s="385"/>
    </row>
    <row r="1506" spans="4:24" s="277" customFormat="1" x14ac:dyDescent="0.3">
      <c r="D1506" s="356" t="s">
        <v>781</v>
      </c>
      <c r="E1506" s="356"/>
      <c r="F1506" s="356"/>
      <c r="G1506" s="356"/>
      <c r="I1506" s="48">
        <v>0</v>
      </c>
      <c r="M1506" s="279">
        <f t="shared" si="92"/>
        <v>0</v>
      </c>
      <c r="O1506" s="279">
        <f t="shared" si="93"/>
        <v>0</v>
      </c>
      <c r="Q1506" s="279">
        <f t="shared" si="94"/>
        <v>0</v>
      </c>
      <c r="S1506" s="279">
        <f t="shared" si="95"/>
        <v>0</v>
      </c>
      <c r="U1506" s="385"/>
      <c r="V1506" s="385"/>
      <c r="W1506" s="385"/>
      <c r="X1506" s="385"/>
    </row>
    <row r="1507" spans="4:24" s="277" customFormat="1" x14ac:dyDescent="0.3">
      <c r="D1507" s="356" t="s">
        <v>782</v>
      </c>
      <c r="E1507" s="356"/>
      <c r="F1507" s="356"/>
      <c r="G1507" s="356"/>
      <c r="I1507" s="48">
        <v>0</v>
      </c>
      <c r="M1507" s="279">
        <f t="shared" si="92"/>
        <v>0</v>
      </c>
      <c r="O1507" s="279">
        <f t="shared" si="93"/>
        <v>0</v>
      </c>
      <c r="Q1507" s="279">
        <f t="shared" si="94"/>
        <v>0</v>
      </c>
      <c r="S1507" s="279">
        <f t="shared" si="95"/>
        <v>0</v>
      </c>
      <c r="U1507" s="385"/>
      <c r="V1507" s="385"/>
      <c r="W1507" s="385"/>
      <c r="X1507" s="385"/>
    </row>
    <row r="1508" spans="4:24" s="277" customFormat="1" x14ac:dyDescent="0.3">
      <c r="D1508" s="356" t="s">
        <v>783</v>
      </c>
      <c r="E1508" s="356"/>
      <c r="F1508" s="356"/>
      <c r="G1508" s="356"/>
      <c r="I1508" s="48">
        <v>0</v>
      </c>
      <c r="M1508" s="279">
        <f t="shared" si="92"/>
        <v>0</v>
      </c>
      <c r="O1508" s="279">
        <f t="shared" si="93"/>
        <v>0</v>
      </c>
      <c r="Q1508" s="279">
        <f t="shared" si="94"/>
        <v>0</v>
      </c>
      <c r="S1508" s="279">
        <f t="shared" si="95"/>
        <v>0</v>
      </c>
      <c r="U1508" s="385"/>
      <c r="V1508" s="385"/>
      <c r="W1508" s="385"/>
      <c r="X1508" s="385"/>
    </row>
    <row r="1509" spans="4:24" s="277" customFormat="1" x14ac:dyDescent="0.3">
      <c r="D1509" s="356" t="s">
        <v>784</v>
      </c>
      <c r="E1509" s="356"/>
      <c r="F1509" s="356"/>
      <c r="G1509" s="356"/>
      <c r="I1509" s="48">
        <v>0</v>
      </c>
      <c r="M1509" s="279">
        <f t="shared" si="92"/>
        <v>0</v>
      </c>
      <c r="O1509" s="279">
        <f t="shared" si="93"/>
        <v>0</v>
      </c>
      <c r="Q1509" s="279">
        <f t="shared" si="94"/>
        <v>0</v>
      </c>
      <c r="S1509" s="279">
        <f t="shared" si="95"/>
        <v>0</v>
      </c>
      <c r="U1509" s="385"/>
      <c r="V1509" s="385"/>
      <c r="W1509" s="385"/>
      <c r="X1509" s="385"/>
    </row>
    <row r="1510" spans="4:24" s="277" customFormat="1" x14ac:dyDescent="0.3">
      <c r="D1510" s="356" t="s">
        <v>785</v>
      </c>
      <c r="E1510" s="356"/>
      <c r="F1510" s="356"/>
      <c r="G1510" s="356"/>
      <c r="I1510" s="48">
        <v>0</v>
      </c>
      <c r="M1510" s="279">
        <f t="shared" si="92"/>
        <v>0</v>
      </c>
      <c r="O1510" s="279">
        <f t="shared" si="93"/>
        <v>0</v>
      </c>
      <c r="Q1510" s="279">
        <f t="shared" si="94"/>
        <v>0</v>
      </c>
      <c r="S1510" s="279">
        <f t="shared" si="95"/>
        <v>0</v>
      </c>
      <c r="U1510" s="385"/>
      <c r="V1510" s="385"/>
      <c r="W1510" s="385"/>
      <c r="X1510" s="385"/>
    </row>
    <row r="1511" spans="4:24" s="277" customFormat="1" x14ac:dyDescent="0.3">
      <c r="D1511" s="356" t="s">
        <v>786</v>
      </c>
      <c r="E1511" s="356"/>
      <c r="F1511" s="356"/>
      <c r="G1511" s="356"/>
      <c r="I1511" s="48">
        <v>0</v>
      </c>
      <c r="M1511" s="279">
        <f t="shared" si="92"/>
        <v>0</v>
      </c>
      <c r="O1511" s="279">
        <f t="shared" si="93"/>
        <v>0</v>
      </c>
      <c r="Q1511" s="279">
        <f t="shared" si="94"/>
        <v>0</v>
      </c>
      <c r="S1511" s="279">
        <f t="shared" si="95"/>
        <v>0</v>
      </c>
      <c r="U1511" s="385"/>
      <c r="V1511" s="385"/>
      <c r="W1511" s="385"/>
      <c r="X1511" s="385"/>
    </row>
    <row r="1512" spans="4:24" s="277" customFormat="1" x14ac:dyDescent="0.3">
      <c r="D1512" s="356" t="s">
        <v>787</v>
      </c>
      <c r="E1512" s="356"/>
      <c r="F1512" s="356"/>
      <c r="G1512" s="356"/>
      <c r="I1512" s="48">
        <v>0</v>
      </c>
      <c r="M1512" s="279">
        <f t="shared" si="92"/>
        <v>0</v>
      </c>
      <c r="O1512" s="279">
        <f t="shared" si="93"/>
        <v>0</v>
      </c>
      <c r="Q1512" s="279">
        <f t="shared" si="94"/>
        <v>0</v>
      </c>
      <c r="S1512" s="279">
        <f t="shared" si="95"/>
        <v>0</v>
      </c>
      <c r="U1512" s="385"/>
      <c r="V1512" s="385"/>
      <c r="W1512" s="385"/>
      <c r="X1512" s="385"/>
    </row>
    <row r="1513" spans="4:24" s="277" customFormat="1" x14ac:dyDescent="0.3">
      <c r="D1513" s="356" t="s">
        <v>788</v>
      </c>
      <c r="E1513" s="356"/>
      <c r="F1513" s="356"/>
      <c r="G1513" s="356"/>
      <c r="I1513" s="48">
        <v>0</v>
      </c>
      <c r="M1513" s="279">
        <f t="shared" si="92"/>
        <v>0</v>
      </c>
      <c r="O1513" s="279">
        <f t="shared" si="93"/>
        <v>0</v>
      </c>
      <c r="Q1513" s="279">
        <f t="shared" si="94"/>
        <v>0</v>
      </c>
      <c r="S1513" s="279">
        <f t="shared" si="95"/>
        <v>0</v>
      </c>
      <c r="U1513" s="385"/>
      <c r="V1513" s="385"/>
      <c r="W1513" s="385"/>
      <c r="X1513" s="385"/>
    </row>
    <row r="1514" spans="4:24" s="277" customFormat="1" x14ac:dyDescent="0.3">
      <c r="D1514" s="356" t="s">
        <v>789</v>
      </c>
      <c r="E1514" s="356"/>
      <c r="F1514" s="356"/>
      <c r="G1514" s="356"/>
      <c r="I1514" s="48">
        <v>0</v>
      </c>
      <c r="M1514" s="279">
        <f t="shared" si="92"/>
        <v>0</v>
      </c>
      <c r="O1514" s="279">
        <f t="shared" si="93"/>
        <v>0</v>
      </c>
      <c r="Q1514" s="279">
        <f t="shared" si="94"/>
        <v>0</v>
      </c>
      <c r="S1514" s="279">
        <f t="shared" si="95"/>
        <v>0</v>
      </c>
      <c r="U1514" s="385"/>
      <c r="V1514" s="385"/>
      <c r="W1514" s="385"/>
      <c r="X1514" s="385"/>
    </row>
    <row r="1515" spans="4:24" s="277" customFormat="1" x14ac:dyDescent="0.3">
      <c r="D1515" s="356" t="s">
        <v>790</v>
      </c>
      <c r="E1515" s="356"/>
      <c r="F1515" s="356"/>
      <c r="G1515" s="356"/>
      <c r="I1515" s="48">
        <v>0</v>
      </c>
      <c r="M1515" s="279">
        <f t="shared" si="92"/>
        <v>0</v>
      </c>
      <c r="O1515" s="279">
        <f t="shared" si="93"/>
        <v>0</v>
      </c>
      <c r="Q1515" s="279">
        <f t="shared" si="94"/>
        <v>0</v>
      </c>
      <c r="S1515" s="279">
        <f t="shared" si="95"/>
        <v>0</v>
      </c>
      <c r="U1515" s="385"/>
      <c r="V1515" s="385"/>
      <c r="W1515" s="385"/>
      <c r="X1515" s="385"/>
    </row>
    <row r="1516" spans="4:24" s="277" customFormat="1" x14ac:dyDescent="0.3">
      <c r="D1516" s="356" t="s">
        <v>791</v>
      </c>
      <c r="E1516" s="356"/>
      <c r="F1516" s="356"/>
      <c r="G1516" s="356"/>
      <c r="I1516" s="48">
        <v>0</v>
      </c>
      <c r="M1516" s="279">
        <f t="shared" si="92"/>
        <v>0</v>
      </c>
      <c r="O1516" s="279">
        <f t="shared" si="93"/>
        <v>0</v>
      </c>
      <c r="Q1516" s="279">
        <f t="shared" si="94"/>
        <v>0</v>
      </c>
      <c r="S1516" s="279">
        <f t="shared" si="95"/>
        <v>0</v>
      </c>
      <c r="U1516" s="385"/>
      <c r="V1516" s="385"/>
      <c r="W1516" s="385"/>
      <c r="X1516" s="385"/>
    </row>
    <row r="1517" spans="4:24" s="277" customFormat="1" x14ac:dyDescent="0.3">
      <c r="D1517" s="356" t="s">
        <v>792</v>
      </c>
      <c r="E1517" s="356"/>
      <c r="F1517" s="356"/>
      <c r="G1517" s="356"/>
      <c r="I1517" s="48">
        <v>0</v>
      </c>
      <c r="M1517" s="279">
        <f t="shared" si="92"/>
        <v>0</v>
      </c>
      <c r="O1517" s="279">
        <f t="shared" si="93"/>
        <v>0</v>
      </c>
      <c r="Q1517" s="279">
        <f t="shared" si="94"/>
        <v>0</v>
      </c>
      <c r="S1517" s="279">
        <f t="shared" si="95"/>
        <v>0</v>
      </c>
      <c r="U1517" s="385"/>
      <c r="V1517" s="385"/>
      <c r="W1517" s="385"/>
      <c r="X1517" s="385"/>
    </row>
    <row r="1518" spans="4:24" s="277" customFormat="1" x14ac:dyDescent="0.3">
      <c r="D1518" s="356" t="s">
        <v>793</v>
      </c>
      <c r="E1518" s="356"/>
      <c r="F1518" s="356"/>
      <c r="G1518" s="356"/>
      <c r="I1518" s="48">
        <v>0</v>
      </c>
      <c r="M1518" s="279">
        <f t="shared" si="92"/>
        <v>0</v>
      </c>
      <c r="O1518" s="279">
        <f t="shared" si="93"/>
        <v>0</v>
      </c>
      <c r="Q1518" s="279">
        <f t="shared" si="94"/>
        <v>0</v>
      </c>
      <c r="S1518" s="279">
        <f t="shared" si="95"/>
        <v>0</v>
      </c>
      <c r="U1518" s="385"/>
      <c r="V1518" s="385"/>
      <c r="W1518" s="385"/>
      <c r="X1518" s="385"/>
    </row>
    <row r="1519" spans="4:24" s="277" customFormat="1" x14ac:dyDescent="0.3">
      <c r="D1519" s="356" t="s">
        <v>794</v>
      </c>
      <c r="E1519" s="356"/>
      <c r="F1519" s="356"/>
      <c r="G1519" s="356"/>
      <c r="I1519" s="48">
        <v>0</v>
      </c>
      <c r="M1519" s="279">
        <f t="shared" si="92"/>
        <v>0</v>
      </c>
      <c r="O1519" s="279">
        <f t="shared" si="93"/>
        <v>0</v>
      </c>
      <c r="Q1519" s="279">
        <f t="shared" si="94"/>
        <v>0</v>
      </c>
      <c r="S1519" s="279">
        <f t="shared" si="95"/>
        <v>0</v>
      </c>
      <c r="U1519" s="385"/>
      <c r="V1519" s="385"/>
      <c r="W1519" s="385"/>
      <c r="X1519" s="385"/>
    </row>
    <row r="1520" spans="4:24" s="277" customFormat="1" x14ac:dyDescent="0.3">
      <c r="D1520" s="356" t="s">
        <v>795</v>
      </c>
      <c r="E1520" s="356"/>
      <c r="F1520" s="356"/>
      <c r="G1520" s="356"/>
      <c r="I1520" s="48">
        <v>0</v>
      </c>
      <c r="M1520" s="279">
        <f t="shared" si="92"/>
        <v>0</v>
      </c>
      <c r="O1520" s="279">
        <f t="shared" si="93"/>
        <v>0</v>
      </c>
      <c r="Q1520" s="279">
        <f t="shared" si="94"/>
        <v>0</v>
      </c>
      <c r="S1520" s="279">
        <f t="shared" si="95"/>
        <v>0</v>
      </c>
      <c r="U1520" s="385"/>
      <c r="V1520" s="385"/>
      <c r="W1520" s="385"/>
      <c r="X1520" s="385"/>
    </row>
    <row r="1521" spans="3:24" s="277" customFormat="1" x14ac:dyDescent="0.3">
      <c r="D1521" s="356" t="s">
        <v>796</v>
      </c>
      <c r="E1521" s="356"/>
      <c r="F1521" s="356"/>
      <c r="G1521" s="356"/>
      <c r="I1521" s="48">
        <v>0</v>
      </c>
      <c r="M1521" s="279">
        <f t="shared" si="92"/>
        <v>0</v>
      </c>
      <c r="O1521" s="279">
        <f t="shared" si="93"/>
        <v>0</v>
      </c>
      <c r="Q1521" s="279">
        <f t="shared" si="94"/>
        <v>0</v>
      </c>
      <c r="S1521" s="279">
        <f t="shared" si="95"/>
        <v>0</v>
      </c>
      <c r="U1521" s="385"/>
      <c r="V1521" s="385"/>
      <c r="W1521" s="385"/>
      <c r="X1521" s="385"/>
    </row>
    <row r="1522" spans="3:24" ht="14.4" x14ac:dyDescent="0.3">
      <c r="D1522" s="420" t="s">
        <v>88</v>
      </c>
      <c r="E1522" s="421"/>
      <c r="F1522" s="421"/>
      <c r="G1522" s="421"/>
      <c r="I1522" s="40"/>
      <c r="M1522" s="40"/>
      <c r="O1522" s="40"/>
      <c r="Q1522" s="294">
        <f>SUM(Q1497:Q1521)</f>
        <v>0</v>
      </c>
      <c r="S1522" s="294">
        <f>SUM(S1497:S1521)</f>
        <v>0</v>
      </c>
    </row>
    <row r="1524" spans="3:24" ht="15.6" x14ac:dyDescent="0.3">
      <c r="C1524" s="92" t="s">
        <v>89</v>
      </c>
    </row>
    <row r="1525" spans="3:24" ht="27.6" x14ac:dyDescent="0.3">
      <c r="Q1525" s="44" t="str">
        <f>"FINANCIAL COST ("&amp;INDEX(LU_ACT_23_Meet_Curr,DD_ACT_23_Meet1_Curr)&amp;")"</f>
        <v>FINANCIAL COST (GOZ)</v>
      </c>
      <c r="S1525" s="44" t="str">
        <f>"ECONOMIC COST ("&amp;INDEX(LU_ACT_23_Meet_Curr,DD_ACT_23_Meet1_Curr)&amp;")"</f>
        <v>ECONOMIC COST (GOZ)</v>
      </c>
    </row>
    <row r="1526" spans="3:24" ht="27.6" x14ac:dyDescent="0.3">
      <c r="D1526" s="90" t="s">
        <v>86</v>
      </c>
      <c r="I1526" s="91" t="s">
        <v>186</v>
      </c>
      <c r="K1526" s="91" t="s">
        <v>432</v>
      </c>
      <c r="M1526" s="42" t="s">
        <v>81</v>
      </c>
      <c r="O1526" s="42" t="s">
        <v>83</v>
      </c>
      <c r="U1526" s="350" t="s">
        <v>185</v>
      </c>
      <c r="V1526" s="351"/>
      <c r="W1526" s="351"/>
      <c r="X1526" s="351"/>
    </row>
    <row r="1527" spans="3:24" x14ac:dyDescent="0.3">
      <c r="D1527" s="356" t="s">
        <v>71</v>
      </c>
      <c r="E1527" s="356"/>
      <c r="F1527" s="356"/>
      <c r="G1527" s="356"/>
      <c r="I1527" s="48">
        <v>0</v>
      </c>
      <c r="K1527" s="48">
        <v>0</v>
      </c>
      <c r="M1527" s="40">
        <f t="shared" ref="M1527:M1551" si="96">IFERROR(IF(DD_ACT_23_Meet1_Curr=1,INDEX($M$1715:$M$1749,MATCH(D1527,LU_ACT_23_ODCS,0)),INDEX($Q$1715:$Q$1749,MATCH(D1527,LU_ACT_23_ODCS,0))),0)</f>
        <v>0</v>
      </c>
      <c r="O1527" s="40">
        <f t="shared" ref="O1527:O1551" si="97">IFERROR(IF(DD_ACT_23_Meet1_Curr=1,INDEX($O$1715:$O$1749,MATCH(D1527,LU_ACT_23_ODCS,0)),INDEX($S$1715:$S$1749,MATCH(D1527,LU_ACT_23_ODCS,0))),0)</f>
        <v>0</v>
      </c>
      <c r="Q1527" s="279">
        <f t="shared" ref="Q1527:Q1551" si="98">I1527*K1527*M1527</f>
        <v>0</v>
      </c>
      <c r="S1527" s="279">
        <f t="shared" ref="S1527:S1551" si="99">I1527*K1527*O1527</f>
        <v>0</v>
      </c>
      <c r="U1527" s="356"/>
      <c r="V1527" s="356"/>
      <c r="W1527" s="356"/>
      <c r="X1527" s="356"/>
    </row>
    <row r="1528" spans="3:24" x14ac:dyDescent="0.3">
      <c r="D1528" s="356" t="s">
        <v>72</v>
      </c>
      <c r="E1528" s="356"/>
      <c r="F1528" s="356"/>
      <c r="G1528" s="356"/>
      <c r="I1528" s="48">
        <v>0</v>
      </c>
      <c r="K1528" s="48">
        <v>0</v>
      </c>
      <c r="M1528" s="40">
        <f t="shared" si="96"/>
        <v>0</v>
      </c>
      <c r="O1528" s="40">
        <f t="shared" si="97"/>
        <v>0</v>
      </c>
      <c r="Q1528" s="279">
        <f t="shared" si="98"/>
        <v>0</v>
      </c>
      <c r="S1528" s="279">
        <f t="shared" si="99"/>
        <v>0</v>
      </c>
      <c r="U1528" s="356"/>
      <c r="V1528" s="356"/>
      <c r="W1528" s="356"/>
      <c r="X1528" s="356"/>
    </row>
    <row r="1529" spans="3:24" x14ac:dyDescent="0.3">
      <c r="D1529" s="356" t="s">
        <v>73</v>
      </c>
      <c r="E1529" s="356"/>
      <c r="F1529" s="356"/>
      <c r="G1529" s="356"/>
      <c r="I1529" s="48">
        <v>0</v>
      </c>
      <c r="K1529" s="48">
        <v>0</v>
      </c>
      <c r="M1529" s="40">
        <f t="shared" si="96"/>
        <v>0</v>
      </c>
      <c r="O1529" s="40">
        <f t="shared" si="97"/>
        <v>0</v>
      </c>
      <c r="Q1529" s="279">
        <f t="shared" si="98"/>
        <v>0</v>
      </c>
      <c r="S1529" s="279">
        <f t="shared" si="99"/>
        <v>0</v>
      </c>
      <c r="U1529" s="356"/>
      <c r="V1529" s="356"/>
      <c r="W1529" s="356"/>
      <c r="X1529" s="356"/>
    </row>
    <row r="1530" spans="3:24" x14ac:dyDescent="0.3">
      <c r="D1530" s="356" t="s">
        <v>74</v>
      </c>
      <c r="E1530" s="356"/>
      <c r="F1530" s="356"/>
      <c r="G1530" s="356"/>
      <c r="I1530" s="48">
        <v>0</v>
      </c>
      <c r="K1530" s="48">
        <v>0</v>
      </c>
      <c r="M1530" s="40">
        <f t="shared" si="96"/>
        <v>0</v>
      </c>
      <c r="O1530" s="40">
        <f t="shared" si="97"/>
        <v>0</v>
      </c>
      <c r="Q1530" s="279">
        <f t="shared" si="98"/>
        <v>0</v>
      </c>
      <c r="S1530" s="279">
        <f t="shared" si="99"/>
        <v>0</v>
      </c>
      <c r="U1530" s="356"/>
      <c r="V1530" s="356"/>
      <c r="W1530" s="356"/>
      <c r="X1530" s="356"/>
    </row>
    <row r="1531" spans="3:24" x14ac:dyDescent="0.3">
      <c r="D1531" s="356" t="s">
        <v>75</v>
      </c>
      <c r="E1531" s="356"/>
      <c r="F1531" s="356"/>
      <c r="G1531" s="356"/>
      <c r="I1531" s="48">
        <v>0</v>
      </c>
      <c r="K1531" s="48">
        <v>0</v>
      </c>
      <c r="M1531" s="40">
        <f t="shared" si="96"/>
        <v>0</v>
      </c>
      <c r="O1531" s="40">
        <f t="shared" si="97"/>
        <v>0</v>
      </c>
      <c r="Q1531" s="279">
        <f t="shared" si="98"/>
        <v>0</v>
      </c>
      <c r="S1531" s="279">
        <f t="shared" si="99"/>
        <v>0</v>
      </c>
      <c r="U1531" s="356"/>
      <c r="V1531" s="356"/>
      <c r="W1531" s="356"/>
      <c r="X1531" s="356"/>
    </row>
    <row r="1532" spans="3:24" s="277" customFormat="1" x14ac:dyDescent="0.3">
      <c r="D1532" s="356" t="s">
        <v>876</v>
      </c>
      <c r="E1532" s="356"/>
      <c r="F1532" s="356"/>
      <c r="G1532" s="356"/>
      <c r="I1532" s="48">
        <v>0</v>
      </c>
      <c r="K1532" s="48">
        <v>0</v>
      </c>
      <c r="M1532" s="279">
        <f t="shared" si="96"/>
        <v>0</v>
      </c>
      <c r="O1532" s="279">
        <f t="shared" si="97"/>
        <v>0</v>
      </c>
      <c r="Q1532" s="279">
        <f t="shared" si="98"/>
        <v>0</v>
      </c>
      <c r="S1532" s="279">
        <f t="shared" si="99"/>
        <v>0</v>
      </c>
      <c r="U1532" s="385"/>
      <c r="V1532" s="385"/>
      <c r="W1532" s="385"/>
      <c r="X1532" s="385"/>
    </row>
    <row r="1533" spans="3:24" s="277" customFormat="1" x14ac:dyDescent="0.3">
      <c r="D1533" s="356" t="s">
        <v>877</v>
      </c>
      <c r="E1533" s="356"/>
      <c r="F1533" s="356"/>
      <c r="G1533" s="356"/>
      <c r="I1533" s="48">
        <v>0</v>
      </c>
      <c r="K1533" s="48">
        <v>0</v>
      </c>
      <c r="M1533" s="279">
        <f t="shared" si="96"/>
        <v>0</v>
      </c>
      <c r="O1533" s="279">
        <f t="shared" si="97"/>
        <v>0</v>
      </c>
      <c r="Q1533" s="279">
        <f t="shared" si="98"/>
        <v>0</v>
      </c>
      <c r="S1533" s="279">
        <f t="shared" si="99"/>
        <v>0</v>
      </c>
      <c r="U1533" s="385"/>
      <c r="V1533" s="385"/>
      <c r="W1533" s="385"/>
      <c r="X1533" s="385"/>
    </row>
    <row r="1534" spans="3:24" s="277" customFormat="1" x14ac:dyDescent="0.3">
      <c r="D1534" s="356" t="s">
        <v>878</v>
      </c>
      <c r="E1534" s="356"/>
      <c r="F1534" s="356"/>
      <c r="G1534" s="356"/>
      <c r="I1534" s="48">
        <v>0</v>
      </c>
      <c r="K1534" s="48">
        <v>0</v>
      </c>
      <c r="M1534" s="279">
        <f t="shared" si="96"/>
        <v>0</v>
      </c>
      <c r="O1534" s="279">
        <f t="shared" si="97"/>
        <v>0</v>
      </c>
      <c r="Q1534" s="279">
        <f t="shared" si="98"/>
        <v>0</v>
      </c>
      <c r="S1534" s="279">
        <f t="shared" si="99"/>
        <v>0</v>
      </c>
      <c r="U1534" s="385"/>
      <c r="V1534" s="385"/>
      <c r="W1534" s="385"/>
      <c r="X1534" s="385"/>
    </row>
    <row r="1535" spans="3:24" s="277" customFormat="1" x14ac:dyDescent="0.3">
      <c r="D1535" s="356" t="s">
        <v>879</v>
      </c>
      <c r="E1535" s="356"/>
      <c r="F1535" s="356"/>
      <c r="G1535" s="356"/>
      <c r="I1535" s="48">
        <v>0</v>
      </c>
      <c r="K1535" s="48">
        <v>0</v>
      </c>
      <c r="M1535" s="279">
        <f t="shared" si="96"/>
        <v>0</v>
      </c>
      <c r="O1535" s="279">
        <f t="shared" si="97"/>
        <v>0</v>
      </c>
      <c r="Q1535" s="279">
        <f t="shared" si="98"/>
        <v>0</v>
      </c>
      <c r="S1535" s="279">
        <f t="shared" si="99"/>
        <v>0</v>
      </c>
      <c r="U1535" s="385"/>
      <c r="V1535" s="385"/>
      <c r="W1535" s="385"/>
      <c r="X1535" s="385"/>
    </row>
    <row r="1536" spans="3:24" s="277" customFormat="1" x14ac:dyDescent="0.3">
      <c r="D1536" s="356" t="s">
        <v>880</v>
      </c>
      <c r="E1536" s="356"/>
      <c r="F1536" s="356"/>
      <c r="G1536" s="356"/>
      <c r="I1536" s="48">
        <v>0</v>
      </c>
      <c r="K1536" s="48">
        <v>0</v>
      </c>
      <c r="M1536" s="279">
        <f t="shared" si="96"/>
        <v>0</v>
      </c>
      <c r="O1536" s="279">
        <f t="shared" si="97"/>
        <v>0</v>
      </c>
      <c r="Q1536" s="279">
        <f t="shared" si="98"/>
        <v>0</v>
      </c>
      <c r="S1536" s="279">
        <f t="shared" si="99"/>
        <v>0</v>
      </c>
      <c r="U1536" s="385"/>
      <c r="V1536" s="385"/>
      <c r="W1536" s="385"/>
      <c r="X1536" s="385"/>
    </row>
    <row r="1537" spans="4:24" s="277" customFormat="1" x14ac:dyDescent="0.3">
      <c r="D1537" s="356" t="s">
        <v>881</v>
      </c>
      <c r="E1537" s="356"/>
      <c r="F1537" s="356"/>
      <c r="G1537" s="356"/>
      <c r="I1537" s="48">
        <v>0</v>
      </c>
      <c r="K1537" s="48">
        <v>0</v>
      </c>
      <c r="M1537" s="279">
        <f t="shared" si="96"/>
        <v>0</v>
      </c>
      <c r="O1537" s="279">
        <f t="shared" si="97"/>
        <v>0</v>
      </c>
      <c r="Q1537" s="279">
        <f t="shared" si="98"/>
        <v>0</v>
      </c>
      <c r="S1537" s="279">
        <f t="shared" si="99"/>
        <v>0</v>
      </c>
      <c r="U1537" s="385"/>
      <c r="V1537" s="385"/>
      <c r="W1537" s="385"/>
      <c r="X1537" s="385"/>
    </row>
    <row r="1538" spans="4:24" s="277" customFormat="1" x14ac:dyDescent="0.3">
      <c r="D1538" s="356" t="s">
        <v>882</v>
      </c>
      <c r="E1538" s="356"/>
      <c r="F1538" s="356"/>
      <c r="G1538" s="356"/>
      <c r="I1538" s="48">
        <v>0</v>
      </c>
      <c r="K1538" s="48">
        <v>0</v>
      </c>
      <c r="M1538" s="279">
        <f t="shared" si="96"/>
        <v>0</v>
      </c>
      <c r="O1538" s="279">
        <f t="shared" si="97"/>
        <v>0</v>
      </c>
      <c r="Q1538" s="279">
        <f t="shared" si="98"/>
        <v>0</v>
      </c>
      <c r="S1538" s="279">
        <f t="shared" si="99"/>
        <v>0</v>
      </c>
      <c r="U1538" s="385"/>
      <c r="V1538" s="385"/>
      <c r="W1538" s="385"/>
      <c r="X1538" s="385"/>
    </row>
    <row r="1539" spans="4:24" s="277" customFormat="1" x14ac:dyDescent="0.3">
      <c r="D1539" s="356" t="s">
        <v>883</v>
      </c>
      <c r="E1539" s="356"/>
      <c r="F1539" s="356"/>
      <c r="G1539" s="356"/>
      <c r="I1539" s="48">
        <v>0</v>
      </c>
      <c r="K1539" s="48">
        <v>0</v>
      </c>
      <c r="M1539" s="279">
        <f t="shared" si="96"/>
        <v>0</v>
      </c>
      <c r="O1539" s="279">
        <f t="shared" si="97"/>
        <v>0</v>
      </c>
      <c r="Q1539" s="279">
        <f t="shared" si="98"/>
        <v>0</v>
      </c>
      <c r="S1539" s="279">
        <f t="shared" si="99"/>
        <v>0</v>
      </c>
      <c r="U1539" s="385"/>
      <c r="V1539" s="385"/>
      <c r="W1539" s="385"/>
      <c r="X1539" s="385"/>
    </row>
    <row r="1540" spans="4:24" s="277" customFormat="1" x14ac:dyDescent="0.3">
      <c r="D1540" s="356" t="s">
        <v>884</v>
      </c>
      <c r="E1540" s="356"/>
      <c r="F1540" s="356"/>
      <c r="G1540" s="356"/>
      <c r="I1540" s="48">
        <v>0</v>
      </c>
      <c r="K1540" s="48">
        <v>0</v>
      </c>
      <c r="M1540" s="279">
        <f t="shared" si="96"/>
        <v>0</v>
      </c>
      <c r="O1540" s="279">
        <f t="shared" si="97"/>
        <v>0</v>
      </c>
      <c r="Q1540" s="279">
        <f t="shared" si="98"/>
        <v>0</v>
      </c>
      <c r="S1540" s="279">
        <f t="shared" si="99"/>
        <v>0</v>
      </c>
      <c r="U1540" s="385"/>
      <c r="V1540" s="385"/>
      <c r="W1540" s="385"/>
      <c r="X1540" s="385"/>
    </row>
    <row r="1541" spans="4:24" s="277" customFormat="1" x14ac:dyDescent="0.3">
      <c r="D1541" s="356" t="s">
        <v>885</v>
      </c>
      <c r="E1541" s="356"/>
      <c r="F1541" s="356"/>
      <c r="G1541" s="356"/>
      <c r="I1541" s="48">
        <v>0</v>
      </c>
      <c r="K1541" s="48">
        <v>0</v>
      </c>
      <c r="M1541" s="279">
        <f t="shared" si="96"/>
        <v>0</v>
      </c>
      <c r="O1541" s="279">
        <f t="shared" si="97"/>
        <v>0</v>
      </c>
      <c r="Q1541" s="279">
        <f t="shared" si="98"/>
        <v>0</v>
      </c>
      <c r="S1541" s="279">
        <f t="shared" si="99"/>
        <v>0</v>
      </c>
      <c r="U1541" s="385"/>
      <c r="V1541" s="385"/>
      <c r="W1541" s="385"/>
      <c r="X1541" s="385"/>
    </row>
    <row r="1542" spans="4:24" s="277" customFormat="1" x14ac:dyDescent="0.3">
      <c r="D1542" s="356" t="s">
        <v>886</v>
      </c>
      <c r="E1542" s="356"/>
      <c r="F1542" s="356"/>
      <c r="G1542" s="356"/>
      <c r="I1542" s="48">
        <v>0</v>
      </c>
      <c r="K1542" s="48">
        <v>0</v>
      </c>
      <c r="M1542" s="279">
        <f t="shared" si="96"/>
        <v>0</v>
      </c>
      <c r="O1542" s="279">
        <f t="shared" si="97"/>
        <v>0</v>
      </c>
      <c r="Q1542" s="279">
        <f t="shared" si="98"/>
        <v>0</v>
      </c>
      <c r="S1542" s="279">
        <f t="shared" si="99"/>
        <v>0</v>
      </c>
      <c r="U1542" s="385"/>
      <c r="V1542" s="385"/>
      <c r="W1542" s="385"/>
      <c r="X1542" s="385"/>
    </row>
    <row r="1543" spans="4:24" s="277" customFormat="1" x14ac:dyDescent="0.3">
      <c r="D1543" s="356" t="s">
        <v>887</v>
      </c>
      <c r="E1543" s="356"/>
      <c r="F1543" s="356"/>
      <c r="G1543" s="356"/>
      <c r="I1543" s="48">
        <v>0</v>
      </c>
      <c r="K1543" s="48">
        <v>0</v>
      </c>
      <c r="M1543" s="279">
        <f t="shared" si="96"/>
        <v>0</v>
      </c>
      <c r="O1543" s="279">
        <f t="shared" si="97"/>
        <v>0</v>
      </c>
      <c r="Q1543" s="279">
        <f t="shared" si="98"/>
        <v>0</v>
      </c>
      <c r="S1543" s="279">
        <f t="shared" si="99"/>
        <v>0</v>
      </c>
      <c r="U1543" s="385"/>
      <c r="V1543" s="385"/>
      <c r="W1543" s="385"/>
      <c r="X1543" s="385"/>
    </row>
    <row r="1544" spans="4:24" s="277" customFormat="1" x14ac:dyDescent="0.3">
      <c r="D1544" s="356" t="s">
        <v>888</v>
      </c>
      <c r="E1544" s="356"/>
      <c r="F1544" s="356"/>
      <c r="G1544" s="356"/>
      <c r="I1544" s="48">
        <v>0</v>
      </c>
      <c r="K1544" s="48">
        <v>0</v>
      </c>
      <c r="M1544" s="279">
        <f t="shared" si="96"/>
        <v>0</v>
      </c>
      <c r="O1544" s="279">
        <f t="shared" si="97"/>
        <v>0</v>
      </c>
      <c r="Q1544" s="279">
        <f t="shared" si="98"/>
        <v>0</v>
      </c>
      <c r="S1544" s="279">
        <f t="shared" si="99"/>
        <v>0</v>
      </c>
      <c r="U1544" s="385"/>
      <c r="V1544" s="385"/>
      <c r="W1544" s="385"/>
      <c r="X1544" s="385"/>
    </row>
    <row r="1545" spans="4:24" s="277" customFormat="1" x14ac:dyDescent="0.3">
      <c r="D1545" s="356" t="s">
        <v>889</v>
      </c>
      <c r="E1545" s="356"/>
      <c r="F1545" s="356"/>
      <c r="G1545" s="356"/>
      <c r="I1545" s="48">
        <v>0</v>
      </c>
      <c r="K1545" s="48">
        <v>0</v>
      </c>
      <c r="M1545" s="279">
        <f t="shared" si="96"/>
        <v>0</v>
      </c>
      <c r="O1545" s="279">
        <f t="shared" si="97"/>
        <v>0</v>
      </c>
      <c r="Q1545" s="279">
        <f t="shared" si="98"/>
        <v>0</v>
      </c>
      <c r="S1545" s="279">
        <f t="shared" si="99"/>
        <v>0</v>
      </c>
      <c r="U1545" s="385"/>
      <c r="V1545" s="385"/>
      <c r="W1545" s="385"/>
      <c r="X1545" s="385"/>
    </row>
    <row r="1546" spans="4:24" s="277" customFormat="1" x14ac:dyDescent="0.3">
      <c r="D1546" s="356" t="s">
        <v>890</v>
      </c>
      <c r="E1546" s="356"/>
      <c r="F1546" s="356"/>
      <c r="G1546" s="356"/>
      <c r="I1546" s="48">
        <v>0</v>
      </c>
      <c r="K1546" s="48">
        <v>0</v>
      </c>
      <c r="M1546" s="279">
        <f t="shared" si="96"/>
        <v>0</v>
      </c>
      <c r="O1546" s="279">
        <f t="shared" si="97"/>
        <v>0</v>
      </c>
      <c r="Q1546" s="279">
        <f t="shared" si="98"/>
        <v>0</v>
      </c>
      <c r="S1546" s="279">
        <f t="shared" si="99"/>
        <v>0</v>
      </c>
      <c r="U1546" s="385"/>
      <c r="V1546" s="385"/>
      <c r="W1546" s="385"/>
      <c r="X1546" s="385"/>
    </row>
    <row r="1547" spans="4:24" s="277" customFormat="1" x14ac:dyDescent="0.3">
      <c r="D1547" s="356" t="s">
        <v>986</v>
      </c>
      <c r="E1547" s="356"/>
      <c r="F1547" s="356"/>
      <c r="G1547" s="356"/>
      <c r="I1547" s="48">
        <v>0</v>
      </c>
      <c r="K1547" s="48">
        <v>0</v>
      </c>
      <c r="M1547" s="279">
        <f t="shared" si="96"/>
        <v>0</v>
      </c>
      <c r="O1547" s="279">
        <f t="shared" si="97"/>
        <v>0</v>
      </c>
      <c r="Q1547" s="279">
        <f t="shared" si="98"/>
        <v>0</v>
      </c>
      <c r="S1547" s="279">
        <f t="shared" si="99"/>
        <v>0</v>
      </c>
      <c r="U1547" s="385"/>
      <c r="V1547" s="385"/>
      <c r="W1547" s="385"/>
      <c r="X1547" s="385"/>
    </row>
    <row r="1548" spans="4:24" s="277" customFormat="1" x14ac:dyDescent="0.3">
      <c r="D1548" s="356" t="s">
        <v>987</v>
      </c>
      <c r="E1548" s="356"/>
      <c r="F1548" s="356"/>
      <c r="G1548" s="356"/>
      <c r="I1548" s="48">
        <v>0</v>
      </c>
      <c r="K1548" s="48">
        <v>0</v>
      </c>
      <c r="M1548" s="279">
        <f t="shared" si="96"/>
        <v>0</v>
      </c>
      <c r="O1548" s="279">
        <f t="shared" si="97"/>
        <v>0</v>
      </c>
      <c r="Q1548" s="279">
        <f t="shared" si="98"/>
        <v>0</v>
      </c>
      <c r="S1548" s="279">
        <f t="shared" si="99"/>
        <v>0</v>
      </c>
      <c r="U1548" s="385"/>
      <c r="V1548" s="385"/>
      <c r="W1548" s="385"/>
      <c r="X1548" s="385"/>
    </row>
    <row r="1549" spans="4:24" s="277" customFormat="1" x14ac:dyDescent="0.3">
      <c r="D1549" s="356" t="s">
        <v>988</v>
      </c>
      <c r="E1549" s="356"/>
      <c r="F1549" s="356"/>
      <c r="G1549" s="356"/>
      <c r="I1549" s="48">
        <v>0</v>
      </c>
      <c r="K1549" s="48">
        <v>0</v>
      </c>
      <c r="M1549" s="279">
        <f t="shared" si="96"/>
        <v>0</v>
      </c>
      <c r="O1549" s="279">
        <f t="shared" si="97"/>
        <v>0</v>
      </c>
      <c r="Q1549" s="279">
        <f t="shared" si="98"/>
        <v>0</v>
      </c>
      <c r="S1549" s="279">
        <f t="shared" si="99"/>
        <v>0</v>
      </c>
      <c r="U1549" s="385"/>
      <c r="V1549" s="385"/>
      <c r="W1549" s="385"/>
      <c r="X1549" s="385"/>
    </row>
    <row r="1550" spans="4:24" s="277" customFormat="1" x14ac:dyDescent="0.3">
      <c r="D1550" s="356" t="s">
        <v>989</v>
      </c>
      <c r="E1550" s="356"/>
      <c r="F1550" s="356"/>
      <c r="G1550" s="356"/>
      <c r="I1550" s="48">
        <v>0</v>
      </c>
      <c r="K1550" s="48">
        <v>0</v>
      </c>
      <c r="M1550" s="279">
        <f t="shared" si="96"/>
        <v>0</v>
      </c>
      <c r="O1550" s="279">
        <f t="shared" si="97"/>
        <v>0</v>
      </c>
      <c r="Q1550" s="279">
        <f t="shared" si="98"/>
        <v>0</v>
      </c>
      <c r="S1550" s="279">
        <f t="shared" si="99"/>
        <v>0</v>
      </c>
      <c r="U1550" s="385"/>
      <c r="V1550" s="385"/>
      <c r="W1550" s="385"/>
      <c r="X1550" s="385"/>
    </row>
    <row r="1551" spans="4:24" s="277" customFormat="1" x14ac:dyDescent="0.3">
      <c r="D1551" s="356" t="s">
        <v>990</v>
      </c>
      <c r="E1551" s="356"/>
      <c r="F1551" s="356"/>
      <c r="G1551" s="356"/>
      <c r="I1551" s="48">
        <v>0</v>
      </c>
      <c r="K1551" s="48">
        <v>0</v>
      </c>
      <c r="M1551" s="279">
        <f t="shared" si="96"/>
        <v>0</v>
      </c>
      <c r="O1551" s="279">
        <f t="shared" si="97"/>
        <v>0</v>
      </c>
      <c r="Q1551" s="279">
        <f t="shared" si="98"/>
        <v>0</v>
      </c>
      <c r="S1551" s="279">
        <f t="shared" si="99"/>
        <v>0</v>
      </c>
      <c r="U1551" s="385"/>
      <c r="V1551" s="385"/>
      <c r="W1551" s="385"/>
      <c r="X1551" s="385"/>
    </row>
    <row r="1552" spans="4:24" ht="14.4" x14ac:dyDescent="0.3">
      <c r="D1552" s="420" t="s">
        <v>90</v>
      </c>
      <c r="E1552" s="421"/>
      <c r="F1552" s="421"/>
      <c r="G1552" s="421"/>
      <c r="I1552" s="40"/>
      <c r="K1552" s="40">
        <f>SUM(K1527:K1551)</f>
        <v>0</v>
      </c>
      <c r="M1552" s="40"/>
      <c r="O1552" s="40"/>
      <c r="Q1552" s="294">
        <f>SUM(Q1527:Q1551)</f>
        <v>0</v>
      </c>
      <c r="S1552" s="294">
        <f>SUM(S1527:S1551)</f>
        <v>0</v>
      </c>
    </row>
    <row r="1554" spans="2:23" ht="27.6" x14ac:dyDescent="0.3">
      <c r="Q1554" s="44" t="str">
        <f>"FINANCIAL COST ("&amp;INDEX(LU_ACT_23_Meet_Curr,DD_ACT_23_Meet1_Curr)&amp;")"</f>
        <v>FINANCIAL COST (GOZ)</v>
      </c>
      <c r="S1554" s="44" t="str">
        <f>"ECONOMIC COST ("&amp;INDEX(LU_ACT_23_Meet_Curr,DD_ACT_23_Meet1_Curr)&amp;")"</f>
        <v>ECONOMIC COST (GOZ)</v>
      </c>
      <c r="U1554" s="44" t="str">
        <f>"FINANCIAL COST ("&amp;IF(DD_ACT_23_Meet1_Curr=2,$D$1559,$D$1560)&amp;")"</f>
        <v>FINANCIAL COST (USD)</v>
      </c>
      <c r="W1554" s="44" t="str">
        <f>"ECONOMIC COST ("&amp;IF(DD_ACT_23_Meet1_Curr=2,$D$1559,$D$1560)&amp;")"</f>
        <v>ECONOMIC COST (USD)</v>
      </c>
    </row>
    <row r="1555" spans="2:23" ht="18.600000000000001" thickBot="1" x14ac:dyDescent="0.35">
      <c r="B1555" s="99" t="s">
        <v>91</v>
      </c>
      <c r="Q1555" s="46">
        <f>SUM(Q1433,Q1462,Q1493,Q1522,Q1552)</f>
        <v>0</v>
      </c>
      <c r="S1555" s="46">
        <f>SUM(S1433,S1462,S1493,S1522,S1552)</f>
        <v>0</v>
      </c>
      <c r="U1555" s="47">
        <f>IFERROR(IF(DD_ACT_23_Meet1_Curr=2,$Q1555/$I$1560,$Q1555*$I$1560), 0)</f>
        <v>0</v>
      </c>
      <c r="W1555" s="47">
        <f>IFERROR(IF(DD_ACT_23_Meet1_Curr=2,$S1555/$I$1560,$S1555*$I$1560), 0)</f>
        <v>0</v>
      </c>
    </row>
    <row r="1556" spans="2:23" ht="14.4" thickTop="1" x14ac:dyDescent="0.3"/>
    <row r="1557" spans="2:23" x14ac:dyDescent="0.3">
      <c r="C1557" s="91" t="s">
        <v>584</v>
      </c>
    </row>
    <row r="1558" spans="2:23" hidden="1" outlineLevel="1" x14ac:dyDescent="0.3"/>
    <row r="1559" spans="2:23" ht="12.75" hidden="1" customHeight="1" outlineLevel="1" x14ac:dyDescent="0.3">
      <c r="D1559" s="422" t="str">
        <f>CURR_TA!D13</f>
        <v>USD</v>
      </c>
      <c r="E1559" s="423"/>
      <c r="F1559" s="423"/>
      <c r="G1559" s="423"/>
      <c r="I1559" s="279">
        <f>CURR_TA!J13</f>
        <v>1</v>
      </c>
      <c r="J1559" s="279">
        <f>CURR_TA!K13</f>
        <v>0</v>
      </c>
      <c r="K1559" s="279">
        <f>CURR_TA!L13</f>
        <v>0</v>
      </c>
      <c r="L1559" s="279">
        <f>CURR_TA!M13</f>
        <v>0</v>
      </c>
    </row>
    <row r="1560" spans="2:23" ht="12.75" hidden="1" customHeight="1" outlineLevel="1" x14ac:dyDescent="0.3">
      <c r="D1560" s="422" t="str">
        <f>CURR_TA!D14</f>
        <v>GOZ</v>
      </c>
      <c r="E1560" s="423"/>
      <c r="F1560" s="423"/>
      <c r="G1560" s="423"/>
      <c r="I1560" s="279">
        <f>CURR_TA!J14</f>
        <v>0</v>
      </c>
      <c r="J1560" s="279">
        <f>CURR_TA!K14</f>
        <v>0</v>
      </c>
      <c r="K1560" s="279">
        <f>CURR_TA!L14</f>
        <v>0</v>
      </c>
      <c r="L1560" s="279">
        <f>CURR_TA!M14</f>
        <v>0</v>
      </c>
    </row>
    <row r="1561" spans="2:23" collapsed="1" x14ac:dyDescent="0.3"/>
    <row r="1563" spans="2:23" x14ac:dyDescent="0.3">
      <c r="C1563" s="91" t="s">
        <v>590</v>
      </c>
    </row>
    <row r="1564" spans="2:23" hidden="1" outlineLevel="1" x14ac:dyDescent="0.3">
      <c r="M1564" s="40" t="str">
        <f>$D$1559</f>
        <v>USD</v>
      </c>
      <c r="O1564" s="40" t="str">
        <f>$D$1559</f>
        <v>USD</v>
      </c>
      <c r="Q1564" s="40" t="str">
        <f>$D$1560</f>
        <v>GOZ</v>
      </c>
      <c r="S1564" s="40" t="str">
        <f>$D$1560</f>
        <v>GOZ</v>
      </c>
    </row>
    <row r="1565" spans="2:23" hidden="1" outlineLevel="1" x14ac:dyDescent="0.3">
      <c r="C1565" s="89" t="str">
        <f>RES_BA!D14</f>
        <v>Personnel Cadre - Other 1</v>
      </c>
      <c r="M1565" s="40">
        <f>RES_BA!R14</f>
        <v>0</v>
      </c>
      <c r="O1565" s="40">
        <f>RES_BA!S14</f>
        <v>0</v>
      </c>
      <c r="Q1565" s="40">
        <f>RES_BA!T14</f>
        <v>0</v>
      </c>
      <c r="S1565" s="40">
        <f>RES_BA!U14</f>
        <v>0</v>
      </c>
    </row>
    <row r="1566" spans="2:23" hidden="1" outlineLevel="1" x14ac:dyDescent="0.3">
      <c r="C1566" s="89" t="str">
        <f>RES_BA!D15</f>
        <v>Personnel Cadre - Other 2</v>
      </c>
      <c r="M1566" s="40">
        <f>RES_BA!R15</f>
        <v>0</v>
      </c>
      <c r="O1566" s="40">
        <f>RES_BA!S15</f>
        <v>0</v>
      </c>
      <c r="Q1566" s="40">
        <f>RES_BA!T15</f>
        <v>0</v>
      </c>
      <c r="S1566" s="40">
        <f>RES_BA!U15</f>
        <v>0</v>
      </c>
    </row>
    <row r="1567" spans="2:23" hidden="1" outlineLevel="1" x14ac:dyDescent="0.3">
      <c r="C1567" s="89" t="str">
        <f>RES_BA!D16</f>
        <v>Personnel Cadre - Other 3</v>
      </c>
      <c r="M1567" s="40">
        <f>RES_BA!R16</f>
        <v>0</v>
      </c>
      <c r="O1567" s="40">
        <f>RES_BA!S16</f>
        <v>0</v>
      </c>
      <c r="Q1567" s="40">
        <f>RES_BA!T16</f>
        <v>0</v>
      </c>
      <c r="S1567" s="40">
        <f>RES_BA!U16</f>
        <v>0</v>
      </c>
    </row>
    <row r="1568" spans="2:23" hidden="1" outlineLevel="1" x14ac:dyDescent="0.3">
      <c r="C1568" s="89" t="str">
        <f>RES_BA!D17</f>
        <v>Personnel Cadre - Other 4</v>
      </c>
      <c r="M1568" s="40">
        <f>RES_BA!R17</f>
        <v>0</v>
      </c>
      <c r="O1568" s="40">
        <f>RES_BA!S17</f>
        <v>0</v>
      </c>
      <c r="Q1568" s="40">
        <f>RES_BA!T17</f>
        <v>0</v>
      </c>
      <c r="S1568" s="40">
        <f>RES_BA!U17</f>
        <v>0</v>
      </c>
    </row>
    <row r="1569" spans="3:19" hidden="1" outlineLevel="1" x14ac:dyDescent="0.3">
      <c r="C1569" s="89" t="str">
        <f>RES_BA!D18</f>
        <v>Personnel Cadre - Other 5</v>
      </c>
      <c r="M1569" s="40">
        <f>RES_BA!R18</f>
        <v>0</v>
      </c>
      <c r="O1569" s="40">
        <f>RES_BA!S18</f>
        <v>0</v>
      </c>
      <c r="Q1569" s="40">
        <f>RES_BA!T18</f>
        <v>0</v>
      </c>
      <c r="S1569" s="40">
        <f>RES_BA!U18</f>
        <v>0</v>
      </c>
    </row>
    <row r="1570" spans="3:19" hidden="1" outlineLevel="1" x14ac:dyDescent="0.3">
      <c r="C1570" s="89" t="str">
        <f>RES_BA!D19</f>
        <v>Personnel Cadre - Other 6</v>
      </c>
      <c r="M1570" s="40">
        <f>RES_BA!R19</f>
        <v>0</v>
      </c>
      <c r="O1570" s="40">
        <f>RES_BA!S19</f>
        <v>0</v>
      </c>
      <c r="Q1570" s="40">
        <f>RES_BA!T19</f>
        <v>0</v>
      </c>
      <c r="S1570" s="40">
        <f>RES_BA!U19</f>
        <v>0</v>
      </c>
    </row>
    <row r="1571" spans="3:19" hidden="1" outlineLevel="1" x14ac:dyDescent="0.3">
      <c r="C1571" s="89" t="str">
        <f>RES_BA!D20</f>
        <v>Personnel Cadre - Other 7</v>
      </c>
      <c r="M1571" s="40">
        <f>RES_BA!R20</f>
        <v>0</v>
      </c>
      <c r="O1571" s="40">
        <f>RES_BA!S20</f>
        <v>0</v>
      </c>
      <c r="Q1571" s="40">
        <f>RES_BA!T20</f>
        <v>0</v>
      </c>
      <c r="S1571" s="40">
        <f>RES_BA!U20</f>
        <v>0</v>
      </c>
    </row>
    <row r="1572" spans="3:19" hidden="1" outlineLevel="1" x14ac:dyDescent="0.3">
      <c r="C1572" s="89" t="str">
        <f>RES_BA!D21</f>
        <v>Personnel Cadre - Other 8</v>
      </c>
      <c r="M1572" s="40">
        <f>RES_BA!R21</f>
        <v>0</v>
      </c>
      <c r="O1572" s="40">
        <f>RES_BA!S21</f>
        <v>0</v>
      </c>
      <c r="Q1572" s="40">
        <f>RES_BA!T21</f>
        <v>0</v>
      </c>
      <c r="S1572" s="40">
        <f>RES_BA!U21</f>
        <v>0</v>
      </c>
    </row>
    <row r="1573" spans="3:19" hidden="1" outlineLevel="1" x14ac:dyDescent="0.3">
      <c r="C1573" s="89" t="str">
        <f>RES_BA!D22</f>
        <v>Personnel Cadre - Other 9</v>
      </c>
      <c r="M1573" s="40">
        <f>RES_BA!R22</f>
        <v>0</v>
      </c>
      <c r="O1573" s="40">
        <f>RES_BA!S22</f>
        <v>0</v>
      </c>
      <c r="Q1573" s="40">
        <f>RES_BA!T22</f>
        <v>0</v>
      </c>
      <c r="S1573" s="40">
        <f>RES_BA!U22</f>
        <v>0</v>
      </c>
    </row>
    <row r="1574" spans="3:19" hidden="1" outlineLevel="1" x14ac:dyDescent="0.3">
      <c r="C1574" s="89" t="str">
        <f>RES_BA!D23</f>
        <v>Personnel Cadre - Other 10</v>
      </c>
      <c r="M1574" s="40">
        <f>RES_BA!R23</f>
        <v>0</v>
      </c>
      <c r="O1574" s="40">
        <f>RES_BA!S23</f>
        <v>0</v>
      </c>
      <c r="Q1574" s="40">
        <f>RES_BA!T23</f>
        <v>0</v>
      </c>
      <c r="S1574" s="40">
        <f>RES_BA!U23</f>
        <v>0</v>
      </c>
    </row>
    <row r="1575" spans="3:19" hidden="1" outlineLevel="1" x14ac:dyDescent="0.3">
      <c r="C1575" s="89" t="str">
        <f>RES_BA!D24</f>
        <v>Personnel Cadre - Other 11</v>
      </c>
      <c r="M1575" s="40">
        <f>RES_BA!R24</f>
        <v>0</v>
      </c>
      <c r="O1575" s="40">
        <f>RES_BA!S24</f>
        <v>0</v>
      </c>
      <c r="Q1575" s="40">
        <f>RES_BA!T24</f>
        <v>0</v>
      </c>
      <c r="S1575" s="40">
        <f>RES_BA!U24</f>
        <v>0</v>
      </c>
    </row>
    <row r="1576" spans="3:19" hidden="1" outlineLevel="1" x14ac:dyDescent="0.3">
      <c r="C1576" s="89" t="str">
        <f>RES_BA!D25</f>
        <v>Personnel Cadre - Other 12</v>
      </c>
      <c r="M1576" s="40">
        <f>RES_BA!R25</f>
        <v>0</v>
      </c>
      <c r="O1576" s="40">
        <f>RES_BA!S25</f>
        <v>0</v>
      </c>
      <c r="Q1576" s="40">
        <f>RES_BA!T25</f>
        <v>0</v>
      </c>
      <c r="S1576" s="40">
        <f>RES_BA!U25</f>
        <v>0</v>
      </c>
    </row>
    <row r="1577" spans="3:19" hidden="1" outlineLevel="1" x14ac:dyDescent="0.3">
      <c r="C1577" s="89" t="str">
        <f>RES_BA!D26</f>
        <v>Personnel Cadre - Other 13</v>
      </c>
      <c r="M1577" s="40">
        <f>RES_BA!R26</f>
        <v>0</v>
      </c>
      <c r="O1577" s="40">
        <f>RES_BA!S26</f>
        <v>0</v>
      </c>
      <c r="Q1577" s="40">
        <f>RES_BA!T26</f>
        <v>0</v>
      </c>
      <c r="S1577" s="40">
        <f>RES_BA!U26</f>
        <v>0</v>
      </c>
    </row>
    <row r="1578" spans="3:19" hidden="1" outlineLevel="1" x14ac:dyDescent="0.3">
      <c r="C1578" s="89" t="str">
        <f>RES_BA!D27</f>
        <v>Personnel Cadre - Other 14</v>
      </c>
      <c r="M1578" s="40">
        <f>RES_BA!R27</f>
        <v>0</v>
      </c>
      <c r="O1578" s="40">
        <f>RES_BA!S27</f>
        <v>0</v>
      </c>
      <c r="Q1578" s="40">
        <f>RES_BA!T27</f>
        <v>0</v>
      </c>
      <c r="S1578" s="40">
        <f>RES_BA!U27</f>
        <v>0</v>
      </c>
    </row>
    <row r="1579" spans="3:19" hidden="1" outlineLevel="1" x14ac:dyDescent="0.3">
      <c r="C1579" s="89" t="str">
        <f>RES_BA!D28</f>
        <v>Personnel Cadre - Other 15</v>
      </c>
      <c r="M1579" s="40">
        <f>RES_BA!R28</f>
        <v>0</v>
      </c>
      <c r="O1579" s="40">
        <f>RES_BA!S28</f>
        <v>0</v>
      </c>
      <c r="Q1579" s="40">
        <f>RES_BA!T28</f>
        <v>0</v>
      </c>
      <c r="S1579" s="40">
        <f>RES_BA!U28</f>
        <v>0</v>
      </c>
    </row>
    <row r="1580" spans="3:19" s="277" customFormat="1" hidden="1" outlineLevel="1" collapsed="1" x14ac:dyDescent="0.3">
      <c r="C1580" s="283" t="str">
        <f>RES_BA!D29</f>
        <v>Personnel Cadre - Other 16</v>
      </c>
      <c r="M1580" s="279">
        <f>RES_BA!R29</f>
        <v>0</v>
      </c>
      <c r="O1580" s="279">
        <f>RES_BA!S29</f>
        <v>0</v>
      </c>
      <c r="Q1580" s="279">
        <f>RES_BA!T29</f>
        <v>0</v>
      </c>
      <c r="S1580" s="279">
        <f>RES_BA!U29</f>
        <v>0</v>
      </c>
    </row>
    <row r="1581" spans="3:19" s="277" customFormat="1" hidden="1" outlineLevel="1" collapsed="1" x14ac:dyDescent="0.3">
      <c r="C1581" s="283" t="str">
        <f>RES_BA!D30</f>
        <v>Personnel Cadre - Other 17</v>
      </c>
      <c r="M1581" s="279">
        <f>RES_BA!R30</f>
        <v>0</v>
      </c>
      <c r="O1581" s="279">
        <f>RES_BA!S30</f>
        <v>0</v>
      </c>
      <c r="Q1581" s="279">
        <f>RES_BA!T30</f>
        <v>0</v>
      </c>
      <c r="S1581" s="279">
        <f>RES_BA!U30</f>
        <v>0</v>
      </c>
    </row>
    <row r="1582" spans="3:19" s="277" customFormat="1" hidden="1" outlineLevel="1" collapsed="1" x14ac:dyDescent="0.3">
      <c r="C1582" s="283" t="str">
        <f>RES_BA!D31</f>
        <v>Personnel Cadre - Other 18</v>
      </c>
      <c r="M1582" s="279">
        <f>RES_BA!R31</f>
        <v>0</v>
      </c>
      <c r="O1582" s="279">
        <f>RES_BA!S31</f>
        <v>0</v>
      </c>
      <c r="Q1582" s="279">
        <f>RES_BA!T31</f>
        <v>0</v>
      </c>
      <c r="S1582" s="279">
        <f>RES_BA!U31</f>
        <v>0</v>
      </c>
    </row>
    <row r="1583" spans="3:19" s="277" customFormat="1" hidden="1" outlineLevel="1" x14ac:dyDescent="0.3">
      <c r="C1583" s="283" t="str">
        <f>RES_BA!D32</f>
        <v>Personnel Cadre - Other 19</v>
      </c>
      <c r="M1583" s="279">
        <f>RES_BA!R32</f>
        <v>0</v>
      </c>
      <c r="O1583" s="279">
        <f>RES_BA!S32</f>
        <v>0</v>
      </c>
      <c r="Q1583" s="279">
        <f>RES_BA!T32</f>
        <v>0</v>
      </c>
      <c r="S1583" s="279">
        <f>RES_BA!U32</f>
        <v>0</v>
      </c>
    </row>
    <row r="1584" spans="3:19" s="277" customFormat="1" hidden="1" outlineLevel="1" x14ac:dyDescent="0.3">
      <c r="C1584" s="283" t="str">
        <f>RES_BA!D33</f>
        <v>Personnel Cadre - Other 20</v>
      </c>
      <c r="M1584" s="279">
        <f>RES_BA!R33</f>
        <v>0</v>
      </c>
      <c r="O1584" s="279">
        <f>RES_BA!S33</f>
        <v>0</v>
      </c>
      <c r="Q1584" s="279">
        <f>RES_BA!T33</f>
        <v>0</v>
      </c>
      <c r="S1584" s="279">
        <f>RES_BA!U33</f>
        <v>0</v>
      </c>
    </row>
    <row r="1585" spans="3:19" s="277" customFormat="1" hidden="1" outlineLevel="1" collapsed="1" x14ac:dyDescent="0.3">
      <c r="C1585" s="283" t="str">
        <f>RES_BA!D34</f>
        <v>Personnel Cadre - Other 21</v>
      </c>
      <c r="M1585" s="279">
        <f>RES_BA!R34</f>
        <v>0</v>
      </c>
      <c r="O1585" s="279">
        <f>RES_BA!S34</f>
        <v>0</v>
      </c>
      <c r="Q1585" s="279">
        <f>RES_BA!T34</f>
        <v>0</v>
      </c>
      <c r="S1585" s="279">
        <f>RES_BA!U34</f>
        <v>0</v>
      </c>
    </row>
    <row r="1586" spans="3:19" s="277" customFormat="1" hidden="1" outlineLevel="1" x14ac:dyDescent="0.3">
      <c r="C1586" s="283" t="str">
        <f>RES_BA!D35</f>
        <v>Personnel Cadre - Other 22</v>
      </c>
      <c r="M1586" s="279">
        <f>RES_BA!R35</f>
        <v>0</v>
      </c>
      <c r="O1586" s="279">
        <f>RES_BA!S35</f>
        <v>0</v>
      </c>
      <c r="Q1586" s="279">
        <f>RES_BA!T35</f>
        <v>0</v>
      </c>
      <c r="S1586" s="279">
        <f>RES_BA!U35</f>
        <v>0</v>
      </c>
    </row>
    <row r="1587" spans="3:19" s="277" customFormat="1" hidden="1" outlineLevel="1" x14ac:dyDescent="0.3">
      <c r="C1587" s="283" t="str">
        <f>RES_BA!D36</f>
        <v>Personnel Cadre - Other 23</v>
      </c>
      <c r="M1587" s="279">
        <f>RES_BA!R36</f>
        <v>0</v>
      </c>
      <c r="O1587" s="279">
        <f>RES_BA!S36</f>
        <v>0</v>
      </c>
      <c r="Q1587" s="279">
        <f>RES_BA!T36</f>
        <v>0</v>
      </c>
      <c r="S1587" s="279">
        <f>RES_BA!U36</f>
        <v>0</v>
      </c>
    </row>
    <row r="1588" spans="3:19" s="277" customFormat="1" hidden="1" outlineLevel="1" x14ac:dyDescent="0.3">
      <c r="C1588" s="283" t="str">
        <f>RES_BA!D37</f>
        <v>Personnel Cadre - Other 24</v>
      </c>
      <c r="M1588" s="279">
        <f>RES_BA!R37</f>
        <v>0</v>
      </c>
      <c r="O1588" s="279">
        <f>RES_BA!S37</f>
        <v>0</v>
      </c>
      <c r="Q1588" s="279">
        <f>RES_BA!T37</f>
        <v>0</v>
      </c>
      <c r="S1588" s="279">
        <f>RES_BA!U37</f>
        <v>0</v>
      </c>
    </row>
    <row r="1589" spans="3:19" s="277" customFormat="1" hidden="1" outlineLevel="1" x14ac:dyDescent="0.3">
      <c r="C1589" s="283" t="str">
        <f>RES_BA!D38</f>
        <v>Personnel Cadre - Other 25</v>
      </c>
      <c r="M1589" s="279">
        <f>RES_BA!R38</f>
        <v>0</v>
      </c>
      <c r="O1589" s="279">
        <f>RES_BA!S38</f>
        <v>0</v>
      </c>
      <c r="Q1589" s="279">
        <f>RES_BA!T38</f>
        <v>0</v>
      </c>
      <c r="S1589" s="279">
        <f>RES_BA!U38</f>
        <v>0</v>
      </c>
    </row>
    <row r="1590" spans="3:19" s="277" customFormat="1" hidden="1" outlineLevel="1" x14ac:dyDescent="0.3">
      <c r="C1590" s="283" t="str">
        <f>RES_BA!D39</f>
        <v>Personnel Cadre - Other 26</v>
      </c>
      <c r="M1590" s="279">
        <f>RES_BA!R39</f>
        <v>0</v>
      </c>
      <c r="O1590" s="279">
        <f>RES_BA!S39</f>
        <v>0</v>
      </c>
      <c r="Q1590" s="279">
        <f>RES_BA!T39</f>
        <v>0</v>
      </c>
      <c r="S1590" s="279">
        <f>RES_BA!U39</f>
        <v>0</v>
      </c>
    </row>
    <row r="1591" spans="3:19" s="277" customFormat="1" hidden="1" outlineLevel="1" x14ac:dyDescent="0.3">
      <c r="C1591" s="283" t="str">
        <f>RES_BA!D40</f>
        <v>Personnel Cadre - Other 27</v>
      </c>
      <c r="M1591" s="279">
        <f>RES_BA!R40</f>
        <v>0</v>
      </c>
      <c r="O1591" s="279">
        <f>RES_BA!S40</f>
        <v>0</v>
      </c>
      <c r="Q1591" s="279">
        <f>RES_BA!T40</f>
        <v>0</v>
      </c>
      <c r="S1591" s="279">
        <f>RES_BA!U40</f>
        <v>0</v>
      </c>
    </row>
    <row r="1592" spans="3:19" s="277" customFormat="1" hidden="1" outlineLevel="1" x14ac:dyDescent="0.3">
      <c r="C1592" s="283" t="str">
        <f>RES_BA!D41</f>
        <v>Personnel Cadre - Other 28</v>
      </c>
      <c r="M1592" s="279">
        <f>RES_BA!R41</f>
        <v>0</v>
      </c>
      <c r="O1592" s="279">
        <f>RES_BA!S41</f>
        <v>0</v>
      </c>
      <c r="Q1592" s="279">
        <f>RES_BA!T41</f>
        <v>0</v>
      </c>
      <c r="S1592" s="279">
        <f>RES_BA!U41</f>
        <v>0</v>
      </c>
    </row>
    <row r="1593" spans="3:19" s="277" customFormat="1" hidden="1" outlineLevel="1" x14ac:dyDescent="0.3">
      <c r="C1593" s="283" t="str">
        <f>RES_BA!D42</f>
        <v>Personnel Cadre - Other 29</v>
      </c>
      <c r="M1593" s="279">
        <f>RES_BA!R42</f>
        <v>0</v>
      </c>
      <c r="O1593" s="279">
        <f>RES_BA!S42</f>
        <v>0</v>
      </c>
      <c r="Q1593" s="279">
        <f>RES_BA!T42</f>
        <v>0</v>
      </c>
      <c r="S1593" s="279">
        <f>RES_BA!U42</f>
        <v>0</v>
      </c>
    </row>
    <row r="1594" spans="3:19" s="277" customFormat="1" hidden="1" outlineLevel="1" x14ac:dyDescent="0.3">
      <c r="C1594" s="283" t="str">
        <f>RES_BA!D43</f>
        <v>Personnel Cadre - Other 30</v>
      </c>
      <c r="M1594" s="279">
        <f>RES_BA!R43</f>
        <v>0</v>
      </c>
      <c r="O1594" s="279">
        <f>RES_BA!S43</f>
        <v>0</v>
      </c>
      <c r="Q1594" s="279">
        <f>RES_BA!T43</f>
        <v>0</v>
      </c>
      <c r="S1594" s="279">
        <f>RES_BA!U43</f>
        <v>0</v>
      </c>
    </row>
    <row r="1595" spans="3:19" s="277" customFormat="1" hidden="1" outlineLevel="1" x14ac:dyDescent="0.3">
      <c r="C1595" s="283" t="str">
        <f>RES_BA!D44</f>
        <v>Personnel Cadre - Other 31</v>
      </c>
      <c r="M1595" s="279">
        <f>RES_BA!R44</f>
        <v>0</v>
      </c>
      <c r="O1595" s="279">
        <f>RES_BA!S44</f>
        <v>0</v>
      </c>
      <c r="Q1595" s="279">
        <f>RES_BA!T44</f>
        <v>0</v>
      </c>
      <c r="S1595" s="279">
        <f>RES_BA!U44</f>
        <v>0</v>
      </c>
    </row>
    <row r="1596" spans="3:19" s="277" customFormat="1" hidden="1" outlineLevel="1" x14ac:dyDescent="0.3">
      <c r="C1596" s="283" t="str">
        <f>RES_BA!D45</f>
        <v>Personnel Cadre - Other 32</v>
      </c>
      <c r="M1596" s="279">
        <f>RES_BA!R45</f>
        <v>0</v>
      </c>
      <c r="O1596" s="279">
        <f>RES_BA!S45</f>
        <v>0</v>
      </c>
      <c r="Q1596" s="279">
        <f>RES_BA!T45</f>
        <v>0</v>
      </c>
      <c r="S1596" s="279">
        <f>RES_BA!U45</f>
        <v>0</v>
      </c>
    </row>
    <row r="1597" spans="3:19" s="277" customFormat="1" hidden="1" outlineLevel="1" x14ac:dyDescent="0.3">
      <c r="C1597" s="283" t="str">
        <f>RES_BA!D46</f>
        <v>Personnel Cadre - Other 33</v>
      </c>
      <c r="M1597" s="279">
        <f>RES_BA!R46</f>
        <v>0</v>
      </c>
      <c r="O1597" s="279">
        <f>RES_BA!S46</f>
        <v>0</v>
      </c>
      <c r="Q1597" s="279">
        <f>RES_BA!T46</f>
        <v>0</v>
      </c>
      <c r="S1597" s="279">
        <f>RES_BA!U46</f>
        <v>0</v>
      </c>
    </row>
    <row r="1598" spans="3:19" s="277" customFormat="1" hidden="1" outlineLevel="1" x14ac:dyDescent="0.3">
      <c r="C1598" s="283" t="str">
        <f>RES_BA!D47</f>
        <v>Personnel Cadre - Other 34</v>
      </c>
      <c r="M1598" s="279">
        <f>RES_BA!R47</f>
        <v>0</v>
      </c>
      <c r="O1598" s="279">
        <f>RES_BA!S47</f>
        <v>0</v>
      </c>
      <c r="Q1598" s="279">
        <f>RES_BA!T47</f>
        <v>0</v>
      </c>
      <c r="S1598" s="279">
        <f>RES_BA!U47</f>
        <v>0</v>
      </c>
    </row>
    <row r="1599" spans="3:19" s="277" customFormat="1" hidden="1" outlineLevel="1" x14ac:dyDescent="0.3">
      <c r="C1599" s="283" t="str">
        <f>RES_BA!D48</f>
        <v>Personnel Cadre - Other 35</v>
      </c>
      <c r="M1599" s="279">
        <f>RES_BA!R48</f>
        <v>0</v>
      </c>
      <c r="O1599" s="279">
        <f>RES_BA!S48</f>
        <v>0</v>
      </c>
      <c r="Q1599" s="279">
        <f>RES_BA!T48</f>
        <v>0</v>
      </c>
      <c r="S1599" s="279">
        <f>RES_BA!U48</f>
        <v>0</v>
      </c>
    </row>
    <row r="1600" spans="3:19" hidden="1" outlineLevel="1" x14ac:dyDescent="0.3"/>
    <row r="1601" spans="3:19" hidden="1" outlineLevel="1" x14ac:dyDescent="0.3">
      <c r="M1601" s="40" t="str">
        <f>$D$1559</f>
        <v>USD</v>
      </c>
      <c r="O1601" s="40" t="str">
        <f>$D$1559</f>
        <v>USD</v>
      </c>
      <c r="Q1601" s="40" t="str">
        <f>$D$1560</f>
        <v>GOZ</v>
      </c>
      <c r="S1601" s="40" t="str">
        <f>$D$1560</f>
        <v>GOZ</v>
      </c>
    </row>
    <row r="1602" spans="3:19" hidden="1" outlineLevel="1" x14ac:dyDescent="0.3">
      <c r="C1602" s="89" t="str">
        <f>RES_BA!D53</f>
        <v>Allowances Category 1</v>
      </c>
      <c r="M1602" s="40">
        <f>RES_BA!R53</f>
        <v>0</v>
      </c>
      <c r="O1602" s="40">
        <f>RES_BA!S53</f>
        <v>0</v>
      </c>
      <c r="Q1602" s="40">
        <f>RES_BA!T53</f>
        <v>0</v>
      </c>
      <c r="S1602" s="40">
        <f>RES_BA!U53</f>
        <v>0</v>
      </c>
    </row>
    <row r="1603" spans="3:19" hidden="1" outlineLevel="1" x14ac:dyDescent="0.3">
      <c r="C1603" s="89" t="str">
        <f>RES_BA!D54</f>
        <v>Allowances Category 2</v>
      </c>
      <c r="M1603" s="40">
        <f>RES_BA!R54</f>
        <v>0</v>
      </c>
      <c r="O1603" s="40">
        <f>RES_BA!S54</f>
        <v>0</v>
      </c>
      <c r="Q1603" s="40">
        <f>RES_BA!T54</f>
        <v>0</v>
      </c>
      <c r="S1603" s="40">
        <f>RES_BA!U54</f>
        <v>0</v>
      </c>
    </row>
    <row r="1604" spans="3:19" hidden="1" outlineLevel="1" x14ac:dyDescent="0.3">
      <c r="C1604" s="89" t="str">
        <f>RES_BA!D55</f>
        <v>Allowances Category 3</v>
      </c>
      <c r="M1604" s="40">
        <f>RES_BA!R55</f>
        <v>0</v>
      </c>
      <c r="O1604" s="40">
        <f>RES_BA!S55</f>
        <v>0</v>
      </c>
      <c r="Q1604" s="40">
        <f>RES_BA!T55</f>
        <v>0</v>
      </c>
      <c r="S1604" s="40">
        <f>RES_BA!U55</f>
        <v>0</v>
      </c>
    </row>
    <row r="1605" spans="3:19" hidden="1" outlineLevel="1" x14ac:dyDescent="0.3">
      <c r="C1605" s="89" t="str">
        <f>RES_BA!D56</f>
        <v>Allowances Category 4</v>
      </c>
      <c r="M1605" s="40">
        <f>RES_BA!R56</f>
        <v>0</v>
      </c>
      <c r="O1605" s="40">
        <f>RES_BA!S56</f>
        <v>0</v>
      </c>
      <c r="Q1605" s="40">
        <f>RES_BA!T56</f>
        <v>0</v>
      </c>
      <c r="S1605" s="40">
        <f>RES_BA!U56</f>
        <v>0</v>
      </c>
    </row>
    <row r="1606" spans="3:19" hidden="1" outlineLevel="1" x14ac:dyDescent="0.3">
      <c r="C1606" s="89" t="str">
        <f>RES_BA!D57</f>
        <v>Allowances Category 5</v>
      </c>
      <c r="M1606" s="40">
        <f>RES_BA!R57</f>
        <v>0</v>
      </c>
      <c r="O1606" s="40">
        <f>RES_BA!S57</f>
        <v>0</v>
      </c>
      <c r="Q1606" s="40">
        <f>RES_BA!T57</f>
        <v>0</v>
      </c>
      <c r="S1606" s="40">
        <f>RES_BA!U57</f>
        <v>0</v>
      </c>
    </row>
    <row r="1607" spans="3:19" s="277" customFormat="1" hidden="1" outlineLevel="1" collapsed="1" x14ac:dyDescent="0.3">
      <c r="C1607" s="283" t="str">
        <f>RES_BA!D58</f>
        <v>Allowances Category 6</v>
      </c>
      <c r="M1607" s="279">
        <f>RES_BA!R58</f>
        <v>0</v>
      </c>
      <c r="O1607" s="279">
        <f>RES_BA!S58</f>
        <v>0</v>
      </c>
      <c r="Q1607" s="279">
        <f>RES_BA!T58</f>
        <v>0</v>
      </c>
      <c r="S1607" s="279">
        <f>RES_BA!U58</f>
        <v>0</v>
      </c>
    </row>
    <row r="1608" spans="3:19" s="277" customFormat="1" hidden="1" outlineLevel="1" x14ac:dyDescent="0.3">
      <c r="C1608" s="283" t="str">
        <f>RES_BA!D59</f>
        <v>Allowances Category 7</v>
      </c>
      <c r="M1608" s="279">
        <f>RES_BA!R59</f>
        <v>0</v>
      </c>
      <c r="O1608" s="279">
        <f>RES_BA!S59</f>
        <v>0</v>
      </c>
      <c r="Q1608" s="279">
        <f>RES_BA!T59</f>
        <v>0</v>
      </c>
      <c r="S1608" s="279">
        <f>RES_BA!U59</f>
        <v>0</v>
      </c>
    </row>
    <row r="1609" spans="3:19" s="277" customFormat="1" hidden="1" outlineLevel="1" x14ac:dyDescent="0.3">
      <c r="C1609" s="283" t="str">
        <f>RES_BA!D60</f>
        <v>Allowances Category 8</v>
      </c>
      <c r="M1609" s="279">
        <f>RES_BA!R60</f>
        <v>0</v>
      </c>
      <c r="O1609" s="279">
        <f>RES_BA!S60</f>
        <v>0</v>
      </c>
      <c r="Q1609" s="279">
        <f>RES_BA!T60</f>
        <v>0</v>
      </c>
      <c r="S1609" s="279">
        <f>RES_BA!U60</f>
        <v>0</v>
      </c>
    </row>
    <row r="1610" spans="3:19" s="277" customFormat="1" hidden="1" outlineLevel="1" x14ac:dyDescent="0.3">
      <c r="C1610" s="283" t="str">
        <f>RES_BA!D61</f>
        <v>Allowances Category 9</v>
      </c>
      <c r="M1610" s="279">
        <f>RES_BA!R61</f>
        <v>0</v>
      </c>
      <c r="O1610" s="279">
        <f>RES_BA!S61</f>
        <v>0</v>
      </c>
      <c r="Q1610" s="279">
        <f>RES_BA!T61</f>
        <v>0</v>
      </c>
      <c r="S1610" s="279">
        <f>RES_BA!U61</f>
        <v>0</v>
      </c>
    </row>
    <row r="1611" spans="3:19" s="277" customFormat="1" hidden="1" outlineLevel="1" x14ac:dyDescent="0.3">
      <c r="C1611" s="283" t="str">
        <f>RES_BA!D62</f>
        <v>Allowances Category 10</v>
      </c>
      <c r="M1611" s="279">
        <f>RES_BA!R62</f>
        <v>0</v>
      </c>
      <c r="O1611" s="279">
        <f>RES_BA!S62</f>
        <v>0</v>
      </c>
      <c r="Q1611" s="279">
        <f>RES_BA!T62</f>
        <v>0</v>
      </c>
      <c r="S1611" s="279">
        <f>RES_BA!U62</f>
        <v>0</v>
      </c>
    </row>
    <row r="1612" spans="3:19" s="277" customFormat="1" hidden="1" outlineLevel="1" x14ac:dyDescent="0.3">
      <c r="C1612" s="283" t="str">
        <f>RES_BA!D63</f>
        <v>Allowances Category 11</v>
      </c>
      <c r="M1612" s="279">
        <f>RES_BA!R63</f>
        <v>0</v>
      </c>
      <c r="O1612" s="279">
        <f>RES_BA!S63</f>
        <v>0</v>
      </c>
      <c r="Q1612" s="279">
        <f>RES_BA!T63</f>
        <v>0</v>
      </c>
      <c r="S1612" s="279">
        <f>RES_BA!U63</f>
        <v>0</v>
      </c>
    </row>
    <row r="1613" spans="3:19" s="277" customFormat="1" hidden="1" outlineLevel="1" x14ac:dyDescent="0.3">
      <c r="C1613" s="283" t="str">
        <f>RES_BA!D64</f>
        <v>Allowances Category 12</v>
      </c>
      <c r="M1613" s="279">
        <f>RES_BA!R64</f>
        <v>0</v>
      </c>
      <c r="O1613" s="279">
        <f>RES_BA!S64</f>
        <v>0</v>
      </c>
      <c r="Q1613" s="279">
        <f>RES_BA!T64</f>
        <v>0</v>
      </c>
      <c r="S1613" s="279">
        <f>RES_BA!U64</f>
        <v>0</v>
      </c>
    </row>
    <row r="1614" spans="3:19" s="277" customFormat="1" hidden="1" outlineLevel="1" x14ac:dyDescent="0.3">
      <c r="C1614" s="283" t="str">
        <f>RES_BA!D65</f>
        <v>Allowances Category 13</v>
      </c>
      <c r="M1614" s="279">
        <f>RES_BA!R65</f>
        <v>0</v>
      </c>
      <c r="O1614" s="279">
        <f>RES_BA!S65</f>
        <v>0</v>
      </c>
      <c r="Q1614" s="279">
        <f>RES_BA!T65</f>
        <v>0</v>
      </c>
      <c r="S1614" s="279">
        <f>RES_BA!U65</f>
        <v>0</v>
      </c>
    </row>
    <row r="1615" spans="3:19" s="277" customFormat="1" hidden="1" outlineLevel="1" x14ac:dyDescent="0.3">
      <c r="C1615" s="283" t="str">
        <f>RES_BA!D66</f>
        <v>Allowances Category 14</v>
      </c>
      <c r="M1615" s="279">
        <f>RES_BA!R66</f>
        <v>0</v>
      </c>
      <c r="O1615" s="279">
        <f>RES_BA!S66</f>
        <v>0</v>
      </c>
      <c r="Q1615" s="279">
        <f>RES_BA!T66</f>
        <v>0</v>
      </c>
      <c r="S1615" s="279">
        <f>RES_BA!U66</f>
        <v>0</v>
      </c>
    </row>
    <row r="1616" spans="3:19" s="277" customFormat="1" hidden="1" outlineLevel="1" x14ac:dyDescent="0.3">
      <c r="C1616" s="283" t="str">
        <f>RES_BA!D67</f>
        <v>Allowances Category 15</v>
      </c>
      <c r="M1616" s="279">
        <f>RES_BA!R67</f>
        <v>0</v>
      </c>
      <c r="O1616" s="279">
        <f>RES_BA!S67</f>
        <v>0</v>
      </c>
      <c r="Q1616" s="279">
        <f>RES_BA!T67</f>
        <v>0</v>
      </c>
      <c r="S1616" s="279">
        <f>RES_BA!U67</f>
        <v>0</v>
      </c>
    </row>
    <row r="1617" spans="3:19" s="277" customFormat="1" hidden="1" outlineLevel="1" x14ac:dyDescent="0.3">
      <c r="C1617" s="283" t="str">
        <f>RES_BA!D68</f>
        <v>Allowances Category 16</v>
      </c>
      <c r="M1617" s="279">
        <f>RES_BA!R68</f>
        <v>0</v>
      </c>
      <c r="O1617" s="279">
        <f>RES_BA!S68</f>
        <v>0</v>
      </c>
      <c r="Q1617" s="279">
        <f>RES_BA!T68</f>
        <v>0</v>
      </c>
      <c r="S1617" s="279">
        <f>RES_BA!U68</f>
        <v>0</v>
      </c>
    </row>
    <row r="1618" spans="3:19" hidden="1" outlineLevel="1" x14ac:dyDescent="0.3">
      <c r="C1618" s="89" t="str">
        <f>RES_BA!D69</f>
        <v>Allowances Category 17</v>
      </c>
      <c r="M1618" s="40">
        <f>RES_BA!R69</f>
        <v>0</v>
      </c>
      <c r="O1618" s="40">
        <f>RES_BA!S69</f>
        <v>0</v>
      </c>
      <c r="Q1618" s="40">
        <f>RES_BA!T69</f>
        <v>0</v>
      </c>
      <c r="S1618" s="40">
        <f>RES_BA!U69</f>
        <v>0</v>
      </c>
    </row>
    <row r="1619" spans="3:19" hidden="1" outlineLevel="1" x14ac:dyDescent="0.3">
      <c r="C1619" s="89" t="str">
        <f>RES_BA!D70</f>
        <v>Allowances Category 18</v>
      </c>
      <c r="M1619" s="40">
        <f>RES_BA!R70</f>
        <v>0</v>
      </c>
      <c r="O1619" s="40">
        <f>RES_BA!S70</f>
        <v>0</v>
      </c>
      <c r="Q1619" s="40">
        <f>RES_BA!T70</f>
        <v>0</v>
      </c>
      <c r="S1619" s="40">
        <f>RES_BA!U70</f>
        <v>0</v>
      </c>
    </row>
    <row r="1620" spans="3:19" hidden="1" outlineLevel="1" x14ac:dyDescent="0.3">
      <c r="C1620" s="89" t="str">
        <f>RES_BA!D71</f>
        <v>Allowances Category 19</v>
      </c>
      <c r="M1620" s="40">
        <f>RES_BA!R71</f>
        <v>0</v>
      </c>
      <c r="O1620" s="40">
        <f>RES_BA!S71</f>
        <v>0</v>
      </c>
      <c r="Q1620" s="40">
        <f>RES_BA!T71</f>
        <v>0</v>
      </c>
      <c r="S1620" s="40">
        <f>RES_BA!U71</f>
        <v>0</v>
      </c>
    </row>
    <row r="1621" spans="3:19" hidden="1" outlineLevel="1" x14ac:dyDescent="0.3">
      <c r="C1621" s="89" t="str">
        <f>RES_BA!D72</f>
        <v>Allowances Category 20</v>
      </c>
      <c r="M1621" s="40">
        <f>RES_BA!R72</f>
        <v>0</v>
      </c>
      <c r="O1621" s="40">
        <f>RES_BA!S72</f>
        <v>0</v>
      </c>
      <c r="Q1621" s="40">
        <f>RES_BA!T72</f>
        <v>0</v>
      </c>
      <c r="S1621" s="40">
        <f>RES_BA!U72</f>
        <v>0</v>
      </c>
    </row>
    <row r="1622" spans="3:19" hidden="1" outlineLevel="1" x14ac:dyDescent="0.3">
      <c r="C1622" s="89" t="str">
        <f>RES_BA!D73</f>
        <v>Allowances Category 21</v>
      </c>
      <c r="M1622" s="40">
        <f>RES_BA!R73</f>
        <v>0</v>
      </c>
      <c r="O1622" s="40">
        <f>RES_BA!S73</f>
        <v>0</v>
      </c>
      <c r="Q1622" s="40">
        <f>RES_BA!T73</f>
        <v>0</v>
      </c>
      <c r="S1622" s="40">
        <f>RES_BA!U73</f>
        <v>0</v>
      </c>
    </row>
    <row r="1623" spans="3:19" hidden="1" outlineLevel="1" x14ac:dyDescent="0.3">
      <c r="C1623" s="89" t="str">
        <f>RES_BA!D74</f>
        <v>Allowances Category 22</v>
      </c>
      <c r="M1623" s="40">
        <f>RES_BA!R74</f>
        <v>0</v>
      </c>
      <c r="O1623" s="40">
        <f>RES_BA!S74</f>
        <v>0</v>
      </c>
      <c r="Q1623" s="40">
        <f>RES_BA!T74</f>
        <v>0</v>
      </c>
      <c r="S1623" s="40">
        <f>RES_BA!U74</f>
        <v>0</v>
      </c>
    </row>
    <row r="1624" spans="3:19" hidden="1" outlineLevel="1" x14ac:dyDescent="0.3">
      <c r="C1624" s="89" t="str">
        <f>RES_BA!D75</f>
        <v>Allowances Category 23</v>
      </c>
      <c r="M1624" s="40">
        <f>RES_BA!R75</f>
        <v>0</v>
      </c>
      <c r="O1624" s="40">
        <f>RES_BA!S75</f>
        <v>0</v>
      </c>
      <c r="Q1624" s="40">
        <f>RES_BA!T75</f>
        <v>0</v>
      </c>
      <c r="S1624" s="40">
        <f>RES_BA!U75</f>
        <v>0</v>
      </c>
    </row>
    <row r="1625" spans="3:19" s="277" customFormat="1" hidden="1" outlineLevel="1" collapsed="1" x14ac:dyDescent="0.3">
      <c r="C1625" s="283" t="str">
        <f>RES_BA!D76</f>
        <v>Allowances Category 24</v>
      </c>
      <c r="M1625" s="279">
        <f>RES_BA!R76</f>
        <v>0</v>
      </c>
      <c r="O1625" s="279">
        <f>RES_BA!S76</f>
        <v>0</v>
      </c>
      <c r="Q1625" s="279">
        <f>RES_BA!T76</f>
        <v>0</v>
      </c>
      <c r="S1625" s="279">
        <f>RES_BA!U76</f>
        <v>0</v>
      </c>
    </row>
    <row r="1626" spans="3:19" s="277" customFormat="1" hidden="1" outlineLevel="1" x14ac:dyDescent="0.3">
      <c r="C1626" s="283" t="str">
        <f>RES_BA!D77</f>
        <v>Allowances Category 25</v>
      </c>
      <c r="M1626" s="279">
        <f>RES_BA!R77</f>
        <v>0</v>
      </c>
      <c r="O1626" s="279">
        <f>RES_BA!S77</f>
        <v>0</v>
      </c>
      <c r="Q1626" s="279">
        <f>RES_BA!T77</f>
        <v>0</v>
      </c>
      <c r="S1626" s="279">
        <f>RES_BA!U77</f>
        <v>0</v>
      </c>
    </row>
    <row r="1627" spans="3:19" s="277" customFormat="1" hidden="1" outlineLevel="1" x14ac:dyDescent="0.3">
      <c r="C1627" s="283" t="str">
        <f>RES_BA!D78</f>
        <v>Allowances Category 26</v>
      </c>
      <c r="M1627" s="279">
        <f>RES_BA!R78</f>
        <v>0</v>
      </c>
      <c r="O1627" s="279">
        <f>RES_BA!S78</f>
        <v>0</v>
      </c>
      <c r="Q1627" s="279">
        <f>RES_BA!T78</f>
        <v>0</v>
      </c>
      <c r="S1627" s="279">
        <f>RES_BA!U78</f>
        <v>0</v>
      </c>
    </row>
    <row r="1628" spans="3:19" s="277" customFormat="1" hidden="1" outlineLevel="1" x14ac:dyDescent="0.3">
      <c r="C1628" s="283" t="str">
        <f>RES_BA!D79</f>
        <v>Allowances Category 27</v>
      </c>
      <c r="M1628" s="279">
        <f>RES_BA!R79</f>
        <v>0</v>
      </c>
      <c r="O1628" s="279">
        <f>RES_BA!S79</f>
        <v>0</v>
      </c>
      <c r="Q1628" s="279">
        <f>RES_BA!T79</f>
        <v>0</v>
      </c>
      <c r="S1628" s="279">
        <f>RES_BA!U79</f>
        <v>0</v>
      </c>
    </row>
    <row r="1629" spans="3:19" s="277" customFormat="1" hidden="1" outlineLevel="1" x14ac:dyDescent="0.3">
      <c r="C1629" s="283" t="str">
        <f>RES_BA!D80</f>
        <v>Allowances Category 28</v>
      </c>
      <c r="M1629" s="279">
        <f>RES_BA!R80</f>
        <v>0</v>
      </c>
      <c r="O1629" s="279">
        <f>RES_BA!S80</f>
        <v>0</v>
      </c>
      <c r="Q1629" s="279">
        <f>RES_BA!T80</f>
        <v>0</v>
      </c>
      <c r="S1629" s="279">
        <f>RES_BA!U80</f>
        <v>0</v>
      </c>
    </row>
    <row r="1630" spans="3:19" s="277" customFormat="1" hidden="1" outlineLevel="1" x14ac:dyDescent="0.3">
      <c r="C1630" s="283" t="str">
        <f>RES_BA!D81</f>
        <v>Allowances Category 29</v>
      </c>
      <c r="M1630" s="279">
        <f>RES_BA!R81</f>
        <v>0</v>
      </c>
      <c r="O1630" s="279">
        <f>RES_BA!S81</f>
        <v>0</v>
      </c>
      <c r="Q1630" s="279">
        <f>RES_BA!T81</f>
        <v>0</v>
      </c>
      <c r="S1630" s="279">
        <f>RES_BA!U81</f>
        <v>0</v>
      </c>
    </row>
    <row r="1631" spans="3:19" s="277" customFormat="1" hidden="1" outlineLevel="1" x14ac:dyDescent="0.3">
      <c r="C1631" s="283" t="str">
        <f>RES_BA!D82</f>
        <v>Allowances Category 30</v>
      </c>
      <c r="M1631" s="279">
        <f>RES_BA!R82</f>
        <v>0</v>
      </c>
      <c r="O1631" s="279">
        <f>RES_BA!S82</f>
        <v>0</v>
      </c>
      <c r="Q1631" s="279">
        <f>RES_BA!T82</f>
        <v>0</v>
      </c>
      <c r="S1631" s="279">
        <f>RES_BA!U82</f>
        <v>0</v>
      </c>
    </row>
    <row r="1632" spans="3:19" hidden="1" outlineLevel="1" x14ac:dyDescent="0.3">
      <c r="C1632" s="89" t="str">
        <f>RES_BA!D83</f>
        <v>Allowances Category 31</v>
      </c>
      <c r="M1632" s="40">
        <f>RES_BA!R83</f>
        <v>0</v>
      </c>
      <c r="O1632" s="40">
        <f>RES_BA!S83</f>
        <v>0</v>
      </c>
      <c r="Q1632" s="40">
        <f>RES_BA!T83</f>
        <v>0</v>
      </c>
      <c r="S1632" s="40">
        <f>RES_BA!U83</f>
        <v>0</v>
      </c>
    </row>
    <row r="1633" spans="3:19" hidden="1" outlineLevel="1" x14ac:dyDescent="0.3">
      <c r="C1633" s="89" t="str">
        <f>RES_BA!D84</f>
        <v>Allowances Category 32</v>
      </c>
      <c r="M1633" s="40">
        <f>RES_BA!R84</f>
        <v>0</v>
      </c>
      <c r="O1633" s="40">
        <f>RES_BA!S84</f>
        <v>0</v>
      </c>
      <c r="Q1633" s="40">
        <f>RES_BA!T84</f>
        <v>0</v>
      </c>
      <c r="S1633" s="40">
        <f>RES_BA!U84</f>
        <v>0</v>
      </c>
    </row>
    <row r="1634" spans="3:19" hidden="1" outlineLevel="1" x14ac:dyDescent="0.3">
      <c r="C1634" s="89" t="str">
        <f>RES_BA!D85</f>
        <v>Allowances Category 33</v>
      </c>
      <c r="M1634" s="40">
        <f>RES_BA!R85</f>
        <v>0</v>
      </c>
      <c r="O1634" s="40">
        <f>RES_BA!S85</f>
        <v>0</v>
      </c>
      <c r="Q1634" s="40">
        <f>RES_BA!T85</f>
        <v>0</v>
      </c>
      <c r="S1634" s="40">
        <f>RES_BA!U85</f>
        <v>0</v>
      </c>
    </row>
    <row r="1635" spans="3:19" hidden="1" outlineLevel="1" x14ac:dyDescent="0.3">
      <c r="C1635" s="89" t="str">
        <f>RES_BA!D86</f>
        <v>Allowances Category 34</v>
      </c>
      <c r="M1635" s="40">
        <f>RES_BA!R86</f>
        <v>0</v>
      </c>
      <c r="O1635" s="40">
        <f>RES_BA!S86</f>
        <v>0</v>
      </c>
      <c r="Q1635" s="40">
        <f>RES_BA!T86</f>
        <v>0</v>
      </c>
      <c r="S1635" s="40">
        <f>RES_BA!U86</f>
        <v>0</v>
      </c>
    </row>
    <row r="1636" spans="3:19" hidden="1" outlineLevel="1" x14ac:dyDescent="0.3">
      <c r="C1636" s="89" t="str">
        <f>RES_BA!D87</f>
        <v>Allowances Category 35</v>
      </c>
      <c r="M1636" s="40">
        <f>RES_BA!R87</f>
        <v>0</v>
      </c>
      <c r="O1636" s="40">
        <f>RES_BA!S87</f>
        <v>0</v>
      </c>
      <c r="Q1636" s="40">
        <f>RES_BA!T87</f>
        <v>0</v>
      </c>
      <c r="S1636" s="40">
        <f>RES_BA!U87</f>
        <v>0</v>
      </c>
    </row>
    <row r="1637" spans="3:19" hidden="1" outlineLevel="1" x14ac:dyDescent="0.3"/>
    <row r="1638" spans="3:19" hidden="1" outlineLevel="1" x14ac:dyDescent="0.3"/>
    <row r="1639" spans="3:19" hidden="1" outlineLevel="1" x14ac:dyDescent="0.3">
      <c r="M1639" s="40" t="str">
        <f>$D$1559</f>
        <v>USD</v>
      </c>
      <c r="O1639" s="40" t="str">
        <f>$D$1559</f>
        <v>USD</v>
      </c>
      <c r="Q1639" s="40" t="str">
        <f>$D$1560</f>
        <v>GOZ</v>
      </c>
      <c r="S1639" s="40" t="str">
        <f>$D$1560</f>
        <v>GOZ</v>
      </c>
    </row>
    <row r="1640" spans="3:19" hidden="1" outlineLevel="1" x14ac:dyDescent="0.3">
      <c r="C1640" s="89" t="str">
        <f>RES_BA!D91</f>
        <v>Supplies Category 1</v>
      </c>
      <c r="M1640" s="40">
        <f>RES_BA!R91</f>
        <v>0</v>
      </c>
      <c r="O1640" s="40">
        <f>RES_BA!S91</f>
        <v>0</v>
      </c>
      <c r="Q1640" s="40">
        <f>RES_BA!T91</f>
        <v>0</v>
      </c>
      <c r="S1640" s="40">
        <f>RES_BA!U91</f>
        <v>0</v>
      </c>
    </row>
    <row r="1641" spans="3:19" hidden="1" outlineLevel="1" x14ac:dyDescent="0.3">
      <c r="C1641" s="89" t="str">
        <f>RES_BA!D92</f>
        <v>Supplies Category 2</v>
      </c>
      <c r="M1641" s="40">
        <f>RES_BA!R92</f>
        <v>0</v>
      </c>
      <c r="O1641" s="40">
        <f>RES_BA!S92</f>
        <v>0</v>
      </c>
      <c r="Q1641" s="40">
        <f>RES_BA!T92</f>
        <v>0</v>
      </c>
      <c r="S1641" s="40">
        <f>RES_BA!U92</f>
        <v>0</v>
      </c>
    </row>
    <row r="1642" spans="3:19" hidden="1" outlineLevel="1" x14ac:dyDescent="0.3">
      <c r="C1642" s="89" t="str">
        <f>RES_BA!D93</f>
        <v>Supplies Category 3</v>
      </c>
      <c r="M1642" s="40">
        <f>RES_BA!R93</f>
        <v>0</v>
      </c>
      <c r="O1642" s="40">
        <f>RES_BA!S93</f>
        <v>0</v>
      </c>
      <c r="Q1642" s="40">
        <f>RES_BA!T93</f>
        <v>0</v>
      </c>
      <c r="S1642" s="40">
        <f>RES_BA!U93</f>
        <v>0</v>
      </c>
    </row>
    <row r="1643" spans="3:19" hidden="1" outlineLevel="1" x14ac:dyDescent="0.3">
      <c r="C1643" s="89" t="str">
        <f>RES_BA!D94</f>
        <v>Supplies Category 4</v>
      </c>
      <c r="M1643" s="40">
        <f>RES_BA!R94</f>
        <v>0</v>
      </c>
      <c r="O1643" s="40">
        <f>RES_BA!S94</f>
        <v>0</v>
      </c>
      <c r="Q1643" s="40">
        <f>RES_BA!T94</f>
        <v>0</v>
      </c>
      <c r="S1643" s="40">
        <f>RES_BA!U94</f>
        <v>0</v>
      </c>
    </row>
    <row r="1644" spans="3:19" hidden="1" outlineLevel="1" x14ac:dyDescent="0.3">
      <c r="C1644" s="89" t="str">
        <f>RES_BA!D95</f>
        <v>Supplies Category 5</v>
      </c>
      <c r="M1644" s="40">
        <f>RES_BA!R95</f>
        <v>0</v>
      </c>
      <c r="O1644" s="40">
        <f>RES_BA!S95</f>
        <v>0</v>
      </c>
      <c r="Q1644" s="40">
        <f>RES_BA!T95</f>
        <v>0</v>
      </c>
      <c r="S1644" s="40">
        <f>RES_BA!U95</f>
        <v>0</v>
      </c>
    </row>
    <row r="1645" spans="3:19" hidden="1" outlineLevel="1" x14ac:dyDescent="0.3">
      <c r="C1645" s="89" t="str">
        <f>RES_BA!D96</f>
        <v>Supplies Category 6</v>
      </c>
      <c r="M1645" s="40">
        <f>RES_BA!R96</f>
        <v>0</v>
      </c>
      <c r="O1645" s="40">
        <f>RES_BA!S96</f>
        <v>0</v>
      </c>
      <c r="Q1645" s="40">
        <f>RES_BA!T96</f>
        <v>0</v>
      </c>
      <c r="S1645" s="40">
        <f>RES_BA!U96</f>
        <v>0</v>
      </c>
    </row>
    <row r="1646" spans="3:19" hidden="1" outlineLevel="1" x14ac:dyDescent="0.3">
      <c r="C1646" s="89" t="str">
        <f>RES_BA!D97</f>
        <v>Supplies Category 7</v>
      </c>
      <c r="M1646" s="40">
        <f>RES_BA!R97</f>
        <v>0</v>
      </c>
      <c r="O1646" s="40">
        <f>RES_BA!S97</f>
        <v>0</v>
      </c>
      <c r="Q1646" s="40">
        <f>RES_BA!T97</f>
        <v>0</v>
      </c>
      <c r="S1646" s="40">
        <f>RES_BA!U97</f>
        <v>0</v>
      </c>
    </row>
    <row r="1647" spans="3:19" hidden="1" outlineLevel="1" x14ac:dyDescent="0.3">
      <c r="C1647" s="89" t="str">
        <f>RES_BA!D98</f>
        <v>Supplies Category 8</v>
      </c>
      <c r="M1647" s="40">
        <f>RES_BA!R98</f>
        <v>0</v>
      </c>
      <c r="O1647" s="40">
        <f>RES_BA!S98</f>
        <v>0</v>
      </c>
      <c r="Q1647" s="40">
        <f>RES_BA!T98</f>
        <v>0</v>
      </c>
      <c r="S1647" s="40">
        <f>RES_BA!U98</f>
        <v>0</v>
      </c>
    </row>
    <row r="1648" spans="3:19" hidden="1" outlineLevel="1" x14ac:dyDescent="0.3">
      <c r="C1648" s="89" t="str">
        <f>RES_BA!D99</f>
        <v>Supplies Category 9</v>
      </c>
      <c r="M1648" s="40">
        <f>RES_BA!R99</f>
        <v>0</v>
      </c>
      <c r="O1648" s="40">
        <f>RES_BA!S99</f>
        <v>0</v>
      </c>
      <c r="Q1648" s="40">
        <f>RES_BA!T99</f>
        <v>0</v>
      </c>
      <c r="S1648" s="40">
        <f>RES_BA!U99</f>
        <v>0</v>
      </c>
    </row>
    <row r="1649" spans="3:19" hidden="1" outlineLevel="1" x14ac:dyDescent="0.3">
      <c r="C1649" s="89" t="str">
        <f>RES_BA!D100</f>
        <v>Supplies Category 10</v>
      </c>
      <c r="M1649" s="40">
        <f>RES_BA!R100</f>
        <v>0</v>
      </c>
      <c r="O1649" s="40">
        <f>RES_BA!S100</f>
        <v>0</v>
      </c>
      <c r="Q1649" s="40">
        <f>RES_BA!T100</f>
        <v>0</v>
      </c>
      <c r="S1649" s="40">
        <f>RES_BA!U100</f>
        <v>0</v>
      </c>
    </row>
    <row r="1650" spans="3:19" hidden="1" outlineLevel="1" x14ac:dyDescent="0.3">
      <c r="C1650" s="89" t="str">
        <f>RES_BA!D101</f>
        <v>Supplies Category 11</v>
      </c>
      <c r="M1650" s="40">
        <f>RES_BA!R101</f>
        <v>0</v>
      </c>
      <c r="O1650" s="40">
        <f>RES_BA!S101</f>
        <v>0</v>
      </c>
      <c r="Q1650" s="40">
        <f>RES_BA!T101</f>
        <v>0</v>
      </c>
      <c r="S1650" s="40">
        <f>RES_BA!U101</f>
        <v>0</v>
      </c>
    </row>
    <row r="1651" spans="3:19" hidden="1" outlineLevel="1" x14ac:dyDescent="0.3">
      <c r="C1651" s="89" t="str">
        <f>RES_BA!D102</f>
        <v>Supplies Category 12</v>
      </c>
      <c r="M1651" s="40">
        <f>RES_BA!R102</f>
        <v>0</v>
      </c>
      <c r="O1651" s="40">
        <f>RES_BA!S102</f>
        <v>0</v>
      </c>
      <c r="Q1651" s="40">
        <f>RES_BA!T102</f>
        <v>0</v>
      </c>
      <c r="S1651" s="40">
        <f>RES_BA!U102</f>
        <v>0</v>
      </c>
    </row>
    <row r="1652" spans="3:19" hidden="1" outlineLevel="1" x14ac:dyDescent="0.3">
      <c r="C1652" s="89" t="str">
        <f>RES_BA!D103</f>
        <v>Supplies Category 13</v>
      </c>
      <c r="M1652" s="40">
        <f>RES_BA!R103</f>
        <v>0</v>
      </c>
      <c r="O1652" s="40">
        <f>RES_BA!S103</f>
        <v>0</v>
      </c>
      <c r="Q1652" s="40">
        <f>RES_BA!T103</f>
        <v>0</v>
      </c>
      <c r="S1652" s="40">
        <f>RES_BA!U103</f>
        <v>0</v>
      </c>
    </row>
    <row r="1653" spans="3:19" hidden="1" outlineLevel="1" x14ac:dyDescent="0.3">
      <c r="C1653" s="89" t="str">
        <f>RES_BA!D104</f>
        <v>Supplies Category 14</v>
      </c>
      <c r="M1653" s="40">
        <f>RES_BA!R104</f>
        <v>0</v>
      </c>
      <c r="O1653" s="40">
        <f>RES_BA!S104</f>
        <v>0</v>
      </c>
      <c r="Q1653" s="40">
        <f>RES_BA!T104</f>
        <v>0</v>
      </c>
      <c r="S1653" s="40">
        <f>RES_BA!U104</f>
        <v>0</v>
      </c>
    </row>
    <row r="1654" spans="3:19" hidden="1" outlineLevel="1" x14ac:dyDescent="0.3">
      <c r="C1654" s="89" t="str">
        <f>RES_BA!D105</f>
        <v>Supplies Category 15</v>
      </c>
      <c r="M1654" s="40">
        <f>RES_BA!R105</f>
        <v>0</v>
      </c>
      <c r="O1654" s="40">
        <f>RES_BA!S105</f>
        <v>0</v>
      </c>
      <c r="Q1654" s="40">
        <f>RES_BA!T105</f>
        <v>0</v>
      </c>
      <c r="S1654" s="40">
        <f>RES_BA!U105</f>
        <v>0</v>
      </c>
    </row>
    <row r="1655" spans="3:19" hidden="1" outlineLevel="1" x14ac:dyDescent="0.3">
      <c r="C1655" s="89" t="str">
        <f>RES_BA!D106</f>
        <v>Supplies Category 16</v>
      </c>
      <c r="M1655" s="40">
        <f>RES_BA!R106</f>
        <v>0</v>
      </c>
      <c r="O1655" s="40">
        <f>RES_BA!S106</f>
        <v>0</v>
      </c>
      <c r="Q1655" s="40">
        <f>RES_BA!T106</f>
        <v>0</v>
      </c>
      <c r="S1655" s="40">
        <f>RES_BA!U106</f>
        <v>0</v>
      </c>
    </row>
    <row r="1656" spans="3:19" s="277" customFormat="1" hidden="1" outlineLevel="1" collapsed="1" x14ac:dyDescent="0.3">
      <c r="C1656" s="283" t="str">
        <f>RES_BA!D107</f>
        <v>Supplies Category 17</v>
      </c>
      <c r="M1656" s="279">
        <f>RES_BA!R107</f>
        <v>0</v>
      </c>
      <c r="O1656" s="279">
        <f>RES_BA!S107</f>
        <v>0</v>
      </c>
      <c r="Q1656" s="279">
        <f>RES_BA!T107</f>
        <v>0</v>
      </c>
      <c r="S1656" s="279">
        <f>RES_BA!U107</f>
        <v>0</v>
      </c>
    </row>
    <row r="1657" spans="3:19" s="277" customFormat="1" hidden="1" outlineLevel="1" x14ac:dyDescent="0.3">
      <c r="C1657" s="283" t="str">
        <f>RES_BA!D108</f>
        <v>Supplies Category 18</v>
      </c>
      <c r="M1657" s="279">
        <f>RES_BA!R108</f>
        <v>0</v>
      </c>
      <c r="O1657" s="279">
        <f>RES_BA!S108</f>
        <v>0</v>
      </c>
      <c r="Q1657" s="279">
        <f>RES_BA!T108</f>
        <v>0</v>
      </c>
      <c r="S1657" s="279">
        <f>RES_BA!U108</f>
        <v>0</v>
      </c>
    </row>
    <row r="1658" spans="3:19" s="277" customFormat="1" hidden="1" outlineLevel="1" x14ac:dyDescent="0.3">
      <c r="C1658" s="283" t="str">
        <f>RES_BA!D109</f>
        <v>Supplies Category 19</v>
      </c>
      <c r="M1658" s="279">
        <f>RES_BA!R109</f>
        <v>0</v>
      </c>
      <c r="O1658" s="279">
        <f>RES_BA!S109</f>
        <v>0</v>
      </c>
      <c r="Q1658" s="279">
        <f>RES_BA!T109</f>
        <v>0</v>
      </c>
      <c r="S1658" s="279">
        <f>RES_BA!U109</f>
        <v>0</v>
      </c>
    </row>
    <row r="1659" spans="3:19" s="277" customFormat="1" hidden="1" outlineLevel="1" x14ac:dyDescent="0.3">
      <c r="C1659" s="283" t="str">
        <f>RES_BA!D110</f>
        <v>Supplies Category 20</v>
      </c>
      <c r="M1659" s="279">
        <f>RES_BA!R110</f>
        <v>0</v>
      </c>
      <c r="O1659" s="279">
        <f>RES_BA!S110</f>
        <v>0</v>
      </c>
      <c r="Q1659" s="279">
        <f>RES_BA!T110</f>
        <v>0</v>
      </c>
      <c r="S1659" s="279">
        <f>RES_BA!U110</f>
        <v>0</v>
      </c>
    </row>
    <row r="1660" spans="3:19" s="277" customFormat="1" hidden="1" outlineLevel="1" x14ac:dyDescent="0.3">
      <c r="C1660" s="283" t="str">
        <f>RES_BA!D111</f>
        <v>Supplies Category 21</v>
      </c>
      <c r="M1660" s="279">
        <f>RES_BA!R111</f>
        <v>0</v>
      </c>
      <c r="O1660" s="279">
        <f>RES_BA!S111</f>
        <v>0</v>
      </c>
      <c r="Q1660" s="279">
        <f>RES_BA!T111</f>
        <v>0</v>
      </c>
      <c r="S1660" s="279">
        <f>RES_BA!U111</f>
        <v>0</v>
      </c>
    </row>
    <row r="1661" spans="3:19" s="277" customFormat="1" hidden="1" outlineLevel="1" x14ac:dyDescent="0.3">
      <c r="C1661" s="283" t="str">
        <f>RES_BA!D112</f>
        <v>Supplies Category 22</v>
      </c>
      <c r="M1661" s="279">
        <f>RES_BA!R112</f>
        <v>0</v>
      </c>
      <c r="O1661" s="279">
        <f>RES_BA!S112</f>
        <v>0</v>
      </c>
      <c r="Q1661" s="279">
        <f>RES_BA!T112</f>
        <v>0</v>
      </c>
      <c r="S1661" s="279">
        <f>RES_BA!U112</f>
        <v>0</v>
      </c>
    </row>
    <row r="1662" spans="3:19" s="277" customFormat="1" hidden="1" outlineLevel="1" x14ac:dyDescent="0.3">
      <c r="C1662" s="283" t="str">
        <f>RES_BA!D113</f>
        <v>Supplies Category 23</v>
      </c>
      <c r="M1662" s="279">
        <f>RES_BA!R113</f>
        <v>0</v>
      </c>
      <c r="O1662" s="279">
        <f>RES_BA!S113</f>
        <v>0</v>
      </c>
      <c r="Q1662" s="279">
        <f>RES_BA!T113</f>
        <v>0</v>
      </c>
      <c r="S1662" s="279">
        <f>RES_BA!U113</f>
        <v>0</v>
      </c>
    </row>
    <row r="1663" spans="3:19" s="277" customFormat="1" hidden="1" outlineLevel="1" x14ac:dyDescent="0.3">
      <c r="C1663" s="283" t="str">
        <f>RES_BA!D114</f>
        <v>Supplies Category 24</v>
      </c>
      <c r="M1663" s="279">
        <f>RES_BA!R114</f>
        <v>0</v>
      </c>
      <c r="O1663" s="279">
        <f>RES_BA!S114</f>
        <v>0</v>
      </c>
      <c r="Q1663" s="279">
        <f>RES_BA!T114</f>
        <v>0</v>
      </c>
      <c r="S1663" s="279">
        <f>RES_BA!U114</f>
        <v>0</v>
      </c>
    </row>
    <row r="1664" spans="3:19" s="277" customFormat="1" hidden="1" outlineLevel="1" x14ac:dyDescent="0.3">
      <c r="C1664" s="283" t="str">
        <f>RES_BA!D115</f>
        <v>Supplies Category 25</v>
      </c>
      <c r="M1664" s="279">
        <f>RES_BA!R115</f>
        <v>0</v>
      </c>
      <c r="O1664" s="279">
        <f>RES_BA!S115</f>
        <v>0</v>
      </c>
      <c r="Q1664" s="279">
        <f>RES_BA!T115</f>
        <v>0</v>
      </c>
      <c r="S1664" s="279">
        <f>RES_BA!U115</f>
        <v>0</v>
      </c>
    </row>
    <row r="1665" spans="3:19" s="277" customFormat="1" hidden="1" outlineLevel="1" x14ac:dyDescent="0.3">
      <c r="C1665" s="283" t="str">
        <f>RES_BA!D116</f>
        <v>Supplies Category 26</v>
      </c>
      <c r="M1665" s="279">
        <f>RES_BA!R116</f>
        <v>0</v>
      </c>
      <c r="O1665" s="279">
        <f>RES_BA!S116</f>
        <v>0</v>
      </c>
      <c r="Q1665" s="279">
        <f>RES_BA!T116</f>
        <v>0</v>
      </c>
      <c r="S1665" s="279">
        <f>RES_BA!U116</f>
        <v>0</v>
      </c>
    </row>
    <row r="1666" spans="3:19" s="277" customFormat="1" hidden="1" outlineLevel="1" x14ac:dyDescent="0.3">
      <c r="C1666" s="283" t="str">
        <f>RES_BA!D117</f>
        <v>Supplies Category 27</v>
      </c>
      <c r="M1666" s="279">
        <f>RES_BA!R117</f>
        <v>0</v>
      </c>
      <c r="O1666" s="279">
        <f>RES_BA!S117</f>
        <v>0</v>
      </c>
      <c r="Q1666" s="279">
        <f>RES_BA!T117</f>
        <v>0</v>
      </c>
      <c r="S1666" s="279">
        <f>RES_BA!U117</f>
        <v>0</v>
      </c>
    </row>
    <row r="1667" spans="3:19" s="277" customFormat="1" hidden="1" outlineLevel="1" x14ac:dyDescent="0.3">
      <c r="C1667" s="283" t="str">
        <f>RES_BA!D118</f>
        <v>Supplies Category 28</v>
      </c>
      <c r="M1667" s="279">
        <f>RES_BA!R118</f>
        <v>0</v>
      </c>
      <c r="O1667" s="279">
        <f>RES_BA!S118</f>
        <v>0</v>
      </c>
      <c r="Q1667" s="279">
        <f>RES_BA!T118</f>
        <v>0</v>
      </c>
      <c r="S1667" s="279">
        <f>RES_BA!U118</f>
        <v>0</v>
      </c>
    </row>
    <row r="1668" spans="3:19" s="277" customFormat="1" hidden="1" outlineLevel="1" x14ac:dyDescent="0.3">
      <c r="C1668" s="283" t="str">
        <f>RES_BA!D119</f>
        <v>Supplies Category 29</v>
      </c>
      <c r="M1668" s="279">
        <f>RES_BA!R119</f>
        <v>0</v>
      </c>
      <c r="O1668" s="279">
        <f>RES_BA!S119</f>
        <v>0</v>
      </c>
      <c r="Q1668" s="279">
        <f>RES_BA!T119</f>
        <v>0</v>
      </c>
      <c r="S1668" s="279">
        <f>RES_BA!U119</f>
        <v>0</v>
      </c>
    </row>
    <row r="1669" spans="3:19" s="277" customFormat="1" hidden="1" outlineLevel="1" collapsed="1" x14ac:dyDescent="0.3">
      <c r="C1669" s="283" t="str">
        <f>RES_BA!D120</f>
        <v>Supplies Category 30</v>
      </c>
      <c r="M1669" s="279">
        <f>RES_BA!R120</f>
        <v>0</v>
      </c>
      <c r="O1669" s="279">
        <f>RES_BA!S120</f>
        <v>0</v>
      </c>
      <c r="Q1669" s="279">
        <f>RES_BA!T120</f>
        <v>0</v>
      </c>
      <c r="S1669" s="279">
        <f>RES_BA!U120</f>
        <v>0</v>
      </c>
    </row>
    <row r="1670" spans="3:19" s="277" customFormat="1" hidden="1" outlineLevel="1" x14ac:dyDescent="0.3">
      <c r="C1670" s="283" t="str">
        <f>RES_BA!D121</f>
        <v>Supplies Category 31</v>
      </c>
      <c r="M1670" s="279">
        <f>RES_BA!R121</f>
        <v>0</v>
      </c>
      <c r="O1670" s="279">
        <f>RES_BA!S121</f>
        <v>0</v>
      </c>
      <c r="Q1670" s="279">
        <f>RES_BA!T121</f>
        <v>0</v>
      </c>
      <c r="S1670" s="279">
        <f>RES_BA!U121</f>
        <v>0</v>
      </c>
    </row>
    <row r="1671" spans="3:19" s="277" customFormat="1" hidden="1" outlineLevel="1" x14ac:dyDescent="0.3">
      <c r="C1671" s="283" t="str">
        <f>RES_BA!D122</f>
        <v>Supplies Category 32</v>
      </c>
      <c r="M1671" s="279">
        <f>RES_BA!R122</f>
        <v>0</v>
      </c>
      <c r="O1671" s="279">
        <f>RES_BA!S122</f>
        <v>0</v>
      </c>
      <c r="Q1671" s="279">
        <f>RES_BA!T122</f>
        <v>0</v>
      </c>
      <c r="S1671" s="279">
        <f>RES_BA!U122</f>
        <v>0</v>
      </c>
    </row>
    <row r="1672" spans="3:19" s="277" customFormat="1" hidden="1" outlineLevel="1" x14ac:dyDescent="0.3">
      <c r="C1672" s="283" t="str">
        <f>RES_BA!D123</f>
        <v>Supplies Category 33</v>
      </c>
      <c r="M1672" s="279">
        <f>RES_BA!R123</f>
        <v>0</v>
      </c>
      <c r="O1672" s="279">
        <f>RES_BA!S123</f>
        <v>0</v>
      </c>
      <c r="Q1672" s="279">
        <f>RES_BA!T123</f>
        <v>0</v>
      </c>
      <c r="S1672" s="279">
        <f>RES_BA!U123</f>
        <v>0</v>
      </c>
    </row>
    <row r="1673" spans="3:19" s="277" customFormat="1" hidden="1" outlineLevel="1" x14ac:dyDescent="0.3">
      <c r="C1673" s="283" t="str">
        <f>RES_BA!D124</f>
        <v>Supplies Category 34</v>
      </c>
      <c r="M1673" s="279">
        <f>RES_BA!R124</f>
        <v>0</v>
      </c>
      <c r="O1673" s="279">
        <f>RES_BA!S124</f>
        <v>0</v>
      </c>
      <c r="Q1673" s="279">
        <f>RES_BA!T124</f>
        <v>0</v>
      </c>
      <c r="S1673" s="279">
        <f>RES_BA!U124</f>
        <v>0</v>
      </c>
    </row>
    <row r="1674" spans="3:19" s="277" customFormat="1" hidden="1" outlineLevel="1" x14ac:dyDescent="0.3">
      <c r="C1674" s="283" t="str">
        <f>RES_BA!D125</f>
        <v>Supplies Category 35</v>
      </c>
      <c r="M1674" s="279">
        <f>RES_BA!R125</f>
        <v>0</v>
      </c>
      <c r="O1674" s="279">
        <f>RES_BA!S125</f>
        <v>0</v>
      </c>
      <c r="Q1674" s="279">
        <f>RES_BA!T125</f>
        <v>0</v>
      </c>
      <c r="S1674" s="279">
        <f>RES_BA!U125</f>
        <v>0</v>
      </c>
    </row>
    <row r="1675" spans="3:19" hidden="1" outlineLevel="1" x14ac:dyDescent="0.3"/>
    <row r="1676" spans="3:19" hidden="1" outlineLevel="1" x14ac:dyDescent="0.3">
      <c r="M1676" s="40" t="str">
        <f>$D$1559</f>
        <v>USD</v>
      </c>
      <c r="O1676" s="40" t="str">
        <f>$D$1559</f>
        <v>USD</v>
      </c>
      <c r="Q1676" s="40" t="str">
        <f>$D$1560</f>
        <v>GOZ</v>
      </c>
      <c r="S1676" s="40" t="str">
        <f>$D$1560</f>
        <v>GOZ</v>
      </c>
    </row>
    <row r="1677" spans="3:19" hidden="1" outlineLevel="1" x14ac:dyDescent="0.3">
      <c r="C1677" s="89" t="str">
        <f>RES_BA!D130</f>
        <v>Equipment Category 1</v>
      </c>
      <c r="M1677" s="40">
        <f>RES_BA!R130</f>
        <v>0</v>
      </c>
      <c r="O1677" s="40">
        <f>RES_BA!S130</f>
        <v>0</v>
      </c>
      <c r="Q1677" s="40">
        <f>RES_BA!T130</f>
        <v>0</v>
      </c>
      <c r="S1677" s="40">
        <f>RES_BA!U130</f>
        <v>0</v>
      </c>
    </row>
    <row r="1678" spans="3:19" hidden="1" outlineLevel="1" x14ac:dyDescent="0.3">
      <c r="C1678" s="89" t="str">
        <f>RES_BA!D131</f>
        <v>Equipment Category 2</v>
      </c>
      <c r="M1678" s="40">
        <f>RES_BA!R131</f>
        <v>0</v>
      </c>
      <c r="O1678" s="40">
        <f>RES_BA!S131</f>
        <v>0</v>
      </c>
      <c r="Q1678" s="40">
        <f>RES_BA!T131</f>
        <v>0</v>
      </c>
      <c r="S1678" s="40">
        <f>RES_BA!U131</f>
        <v>0</v>
      </c>
    </row>
    <row r="1679" spans="3:19" hidden="1" outlineLevel="1" x14ac:dyDescent="0.3">
      <c r="C1679" s="89" t="str">
        <f>RES_BA!D132</f>
        <v>Equipment Category 3</v>
      </c>
      <c r="M1679" s="40">
        <f>RES_BA!R132</f>
        <v>0</v>
      </c>
      <c r="O1679" s="40">
        <f>RES_BA!S132</f>
        <v>0</v>
      </c>
      <c r="Q1679" s="40">
        <f>RES_BA!T132</f>
        <v>0</v>
      </c>
      <c r="S1679" s="40">
        <f>RES_BA!U132</f>
        <v>0</v>
      </c>
    </row>
    <row r="1680" spans="3:19" hidden="1" outlineLevel="1" x14ac:dyDescent="0.3">
      <c r="C1680" s="89" t="str">
        <f>RES_BA!D133</f>
        <v>Equipment Category 4</v>
      </c>
      <c r="M1680" s="40">
        <f>RES_BA!R133</f>
        <v>0</v>
      </c>
      <c r="O1680" s="40">
        <f>RES_BA!S133</f>
        <v>0</v>
      </c>
      <c r="Q1680" s="40">
        <f>RES_BA!T133</f>
        <v>0</v>
      </c>
      <c r="S1680" s="40">
        <f>RES_BA!U133</f>
        <v>0</v>
      </c>
    </row>
    <row r="1681" spans="3:19" hidden="1" outlineLevel="1" x14ac:dyDescent="0.3">
      <c r="C1681" s="89" t="str">
        <f>RES_BA!D134</f>
        <v>Equipment Category 5</v>
      </c>
      <c r="M1681" s="40">
        <f>RES_BA!R134</f>
        <v>0</v>
      </c>
      <c r="O1681" s="40">
        <f>RES_BA!S134</f>
        <v>0</v>
      </c>
      <c r="Q1681" s="40">
        <f>RES_BA!T134</f>
        <v>0</v>
      </c>
      <c r="S1681" s="40">
        <f>RES_BA!U134</f>
        <v>0</v>
      </c>
    </row>
    <row r="1682" spans="3:19" hidden="1" outlineLevel="1" x14ac:dyDescent="0.3">
      <c r="C1682" s="89" t="str">
        <f>RES_BA!D135</f>
        <v>Equipment Category 6</v>
      </c>
      <c r="M1682" s="40">
        <f>RES_BA!R135</f>
        <v>0</v>
      </c>
      <c r="O1682" s="40">
        <f>RES_BA!S135</f>
        <v>0</v>
      </c>
      <c r="Q1682" s="40">
        <f>RES_BA!T135</f>
        <v>0</v>
      </c>
      <c r="S1682" s="40">
        <f>RES_BA!U135</f>
        <v>0</v>
      </c>
    </row>
    <row r="1683" spans="3:19" s="277" customFormat="1" hidden="1" outlineLevel="1" collapsed="1" x14ac:dyDescent="0.3">
      <c r="C1683" s="283" t="str">
        <f>RES_BA!D136</f>
        <v>Equipment Category 7</v>
      </c>
      <c r="M1683" s="279">
        <f>RES_BA!R136</f>
        <v>0</v>
      </c>
      <c r="O1683" s="279">
        <f>RES_BA!S136</f>
        <v>0</v>
      </c>
      <c r="Q1683" s="279">
        <f>RES_BA!T136</f>
        <v>0</v>
      </c>
      <c r="S1683" s="279">
        <f>RES_BA!U136</f>
        <v>0</v>
      </c>
    </row>
    <row r="1684" spans="3:19" s="277" customFormat="1" hidden="1" outlineLevel="1" x14ac:dyDescent="0.3">
      <c r="C1684" s="283" t="str">
        <f>RES_BA!D137</f>
        <v>Equipment Category 8</v>
      </c>
      <c r="M1684" s="279">
        <f>RES_BA!R137</f>
        <v>0</v>
      </c>
      <c r="O1684" s="279">
        <f>RES_BA!S137</f>
        <v>0</v>
      </c>
      <c r="Q1684" s="279">
        <f>RES_BA!T137</f>
        <v>0</v>
      </c>
      <c r="S1684" s="279">
        <f>RES_BA!U137</f>
        <v>0</v>
      </c>
    </row>
    <row r="1685" spans="3:19" s="277" customFormat="1" hidden="1" outlineLevel="1" x14ac:dyDescent="0.3">
      <c r="C1685" s="283" t="str">
        <f>RES_BA!D138</f>
        <v>Equipment Category 9</v>
      </c>
      <c r="M1685" s="279">
        <f>RES_BA!R138</f>
        <v>0</v>
      </c>
      <c r="O1685" s="279">
        <f>RES_BA!S138</f>
        <v>0</v>
      </c>
      <c r="Q1685" s="279">
        <f>RES_BA!T138</f>
        <v>0</v>
      </c>
      <c r="S1685" s="279">
        <f>RES_BA!U138</f>
        <v>0</v>
      </c>
    </row>
    <row r="1686" spans="3:19" s="277" customFormat="1" hidden="1" outlineLevel="1" x14ac:dyDescent="0.3">
      <c r="C1686" s="283" t="str">
        <f>RES_BA!D139</f>
        <v>Equipment Category 10</v>
      </c>
      <c r="M1686" s="279">
        <f>RES_BA!R139</f>
        <v>0</v>
      </c>
      <c r="O1686" s="279">
        <f>RES_BA!S139</f>
        <v>0</v>
      </c>
      <c r="Q1686" s="279">
        <f>RES_BA!T139</f>
        <v>0</v>
      </c>
      <c r="S1686" s="279">
        <f>RES_BA!U139</f>
        <v>0</v>
      </c>
    </row>
    <row r="1687" spans="3:19" s="277" customFormat="1" hidden="1" outlineLevel="1" x14ac:dyDescent="0.3">
      <c r="C1687" s="283" t="str">
        <f>RES_BA!D140</f>
        <v>Equipment Category 11</v>
      </c>
      <c r="M1687" s="279">
        <f>RES_BA!R140</f>
        <v>0</v>
      </c>
      <c r="O1687" s="279">
        <f>RES_BA!S140</f>
        <v>0</v>
      </c>
      <c r="Q1687" s="279">
        <f>RES_BA!T140</f>
        <v>0</v>
      </c>
      <c r="S1687" s="279">
        <f>RES_BA!U140</f>
        <v>0</v>
      </c>
    </row>
    <row r="1688" spans="3:19" s="277" customFormat="1" hidden="1" outlineLevel="1" x14ac:dyDescent="0.3">
      <c r="C1688" s="283" t="str">
        <f>RES_BA!D141</f>
        <v>Equipment Category 12</v>
      </c>
      <c r="M1688" s="279">
        <f>RES_BA!R141</f>
        <v>0</v>
      </c>
      <c r="O1688" s="279">
        <f>RES_BA!S141</f>
        <v>0</v>
      </c>
      <c r="Q1688" s="279">
        <f>RES_BA!T141</f>
        <v>0</v>
      </c>
      <c r="S1688" s="279">
        <f>RES_BA!U141</f>
        <v>0</v>
      </c>
    </row>
    <row r="1689" spans="3:19" s="277" customFormat="1" hidden="1" outlineLevel="1" collapsed="1" x14ac:dyDescent="0.3">
      <c r="C1689" s="283" t="str">
        <f>RES_BA!D142</f>
        <v>Equipment Category 13</v>
      </c>
      <c r="M1689" s="279">
        <f>RES_BA!R142</f>
        <v>0</v>
      </c>
      <c r="O1689" s="279">
        <f>RES_BA!S142</f>
        <v>0</v>
      </c>
      <c r="Q1689" s="279">
        <f>RES_BA!T142</f>
        <v>0</v>
      </c>
      <c r="S1689" s="279">
        <f>RES_BA!U142</f>
        <v>0</v>
      </c>
    </row>
    <row r="1690" spans="3:19" s="277" customFormat="1" hidden="1" outlineLevel="1" x14ac:dyDescent="0.3">
      <c r="C1690" s="283" t="str">
        <f>RES_BA!D143</f>
        <v>Equipment Category 14</v>
      </c>
      <c r="M1690" s="279">
        <f>RES_BA!R143</f>
        <v>0</v>
      </c>
      <c r="O1690" s="279">
        <f>RES_BA!S143</f>
        <v>0</v>
      </c>
      <c r="Q1690" s="279">
        <f>RES_BA!T143</f>
        <v>0</v>
      </c>
      <c r="S1690" s="279">
        <f>RES_BA!U143</f>
        <v>0</v>
      </c>
    </row>
    <row r="1691" spans="3:19" s="277" customFormat="1" hidden="1" outlineLevel="1" x14ac:dyDescent="0.3">
      <c r="C1691" s="283" t="str">
        <f>RES_BA!D144</f>
        <v>Equipment Category 15</v>
      </c>
      <c r="M1691" s="279">
        <f>RES_BA!R144</f>
        <v>0</v>
      </c>
      <c r="O1691" s="279">
        <f>RES_BA!S144</f>
        <v>0</v>
      </c>
      <c r="Q1691" s="279">
        <f>RES_BA!T144</f>
        <v>0</v>
      </c>
      <c r="S1691" s="279">
        <f>RES_BA!U144</f>
        <v>0</v>
      </c>
    </row>
    <row r="1692" spans="3:19" s="277" customFormat="1" hidden="1" outlineLevel="1" x14ac:dyDescent="0.3">
      <c r="C1692" s="283" t="str">
        <f>RES_BA!D145</f>
        <v>Equipment Category 16</v>
      </c>
      <c r="M1692" s="279">
        <f>RES_BA!R145</f>
        <v>0</v>
      </c>
      <c r="O1692" s="279">
        <f>RES_BA!S145</f>
        <v>0</v>
      </c>
      <c r="Q1692" s="279">
        <f>RES_BA!T145</f>
        <v>0</v>
      </c>
      <c r="S1692" s="279">
        <f>RES_BA!U145</f>
        <v>0</v>
      </c>
    </row>
    <row r="1693" spans="3:19" s="277" customFormat="1" hidden="1" outlineLevel="1" x14ac:dyDescent="0.3">
      <c r="C1693" s="283" t="str">
        <f>RES_BA!D146</f>
        <v>Equipment Category 17</v>
      </c>
      <c r="M1693" s="279">
        <f>RES_BA!R146</f>
        <v>0</v>
      </c>
      <c r="O1693" s="279">
        <f>RES_BA!S146</f>
        <v>0</v>
      </c>
      <c r="Q1693" s="279">
        <f>RES_BA!T146</f>
        <v>0</v>
      </c>
      <c r="S1693" s="279">
        <f>RES_BA!U146</f>
        <v>0</v>
      </c>
    </row>
    <row r="1694" spans="3:19" s="277" customFormat="1" hidden="1" outlineLevel="1" x14ac:dyDescent="0.3">
      <c r="C1694" s="283" t="str">
        <f>RES_BA!D147</f>
        <v>Equipment Category 18</v>
      </c>
      <c r="M1694" s="279">
        <f>RES_BA!R147</f>
        <v>0</v>
      </c>
      <c r="O1694" s="279">
        <f>RES_BA!S147</f>
        <v>0</v>
      </c>
      <c r="Q1694" s="279">
        <f>RES_BA!T147</f>
        <v>0</v>
      </c>
      <c r="S1694" s="279">
        <f>RES_BA!U147</f>
        <v>0</v>
      </c>
    </row>
    <row r="1695" spans="3:19" s="277" customFormat="1" hidden="1" outlineLevel="1" x14ac:dyDescent="0.3">
      <c r="C1695" s="283" t="str">
        <f>RES_BA!D148</f>
        <v>Equipment Category 19</v>
      </c>
      <c r="M1695" s="279">
        <f>RES_BA!R148</f>
        <v>0</v>
      </c>
      <c r="O1695" s="279">
        <f>RES_BA!S148</f>
        <v>0</v>
      </c>
      <c r="Q1695" s="279">
        <f>RES_BA!T148</f>
        <v>0</v>
      </c>
      <c r="S1695" s="279">
        <f>RES_BA!U148</f>
        <v>0</v>
      </c>
    </row>
    <row r="1696" spans="3:19" s="277" customFormat="1" hidden="1" outlineLevel="1" x14ac:dyDescent="0.3">
      <c r="C1696" s="283" t="str">
        <f>RES_BA!D149</f>
        <v>Equipment Category 20</v>
      </c>
      <c r="M1696" s="279">
        <f>RES_BA!R149</f>
        <v>0</v>
      </c>
      <c r="O1696" s="279">
        <f>RES_BA!S149</f>
        <v>0</v>
      </c>
      <c r="Q1696" s="279">
        <f>RES_BA!T149</f>
        <v>0</v>
      </c>
      <c r="S1696" s="279">
        <f>RES_BA!U149</f>
        <v>0</v>
      </c>
    </row>
    <row r="1697" spans="3:19" s="277" customFormat="1" hidden="1" outlineLevel="1" x14ac:dyDescent="0.3">
      <c r="C1697" s="283" t="str">
        <f>RES_BA!D150</f>
        <v>Equipment Category 21</v>
      </c>
      <c r="M1697" s="279">
        <f>RES_BA!R150</f>
        <v>0</v>
      </c>
      <c r="O1697" s="279">
        <f>RES_BA!S150</f>
        <v>0</v>
      </c>
      <c r="Q1697" s="279">
        <f>RES_BA!T150</f>
        <v>0</v>
      </c>
      <c r="S1697" s="279">
        <f>RES_BA!U150</f>
        <v>0</v>
      </c>
    </row>
    <row r="1698" spans="3:19" s="277" customFormat="1" hidden="1" outlineLevel="1" x14ac:dyDescent="0.3">
      <c r="C1698" s="283" t="str">
        <f>RES_BA!D151</f>
        <v>Equipment Category 22</v>
      </c>
      <c r="M1698" s="279">
        <f>RES_BA!R151</f>
        <v>0</v>
      </c>
      <c r="O1698" s="279">
        <f>RES_BA!S151</f>
        <v>0</v>
      </c>
      <c r="Q1698" s="279">
        <f>RES_BA!T151</f>
        <v>0</v>
      </c>
      <c r="S1698" s="279">
        <f>RES_BA!U151</f>
        <v>0</v>
      </c>
    </row>
    <row r="1699" spans="3:19" s="277" customFormat="1" hidden="1" outlineLevel="1" x14ac:dyDescent="0.3">
      <c r="C1699" s="283" t="str">
        <f>RES_BA!D152</f>
        <v>Equipment Category 23</v>
      </c>
      <c r="M1699" s="279">
        <f>RES_BA!R152</f>
        <v>0</v>
      </c>
      <c r="O1699" s="279">
        <f>RES_BA!S152</f>
        <v>0</v>
      </c>
      <c r="Q1699" s="279">
        <f>RES_BA!T152</f>
        <v>0</v>
      </c>
      <c r="S1699" s="279">
        <f>RES_BA!U152</f>
        <v>0</v>
      </c>
    </row>
    <row r="1700" spans="3:19" s="277" customFormat="1" hidden="1" outlineLevel="1" collapsed="1" x14ac:dyDescent="0.3">
      <c r="C1700" s="283" t="str">
        <f>RES_BA!D153</f>
        <v>Equipment Category 24</v>
      </c>
      <c r="M1700" s="279">
        <f>RES_BA!R153</f>
        <v>0</v>
      </c>
      <c r="O1700" s="279">
        <f>RES_BA!S153</f>
        <v>0</v>
      </c>
      <c r="Q1700" s="279">
        <f>RES_BA!T153</f>
        <v>0</v>
      </c>
      <c r="S1700" s="279">
        <f>RES_BA!U153</f>
        <v>0</v>
      </c>
    </row>
    <row r="1701" spans="3:19" s="277" customFormat="1" hidden="1" outlineLevel="1" x14ac:dyDescent="0.3">
      <c r="C1701" s="283" t="str">
        <f>RES_BA!D154</f>
        <v>Equipment Category 25</v>
      </c>
      <c r="M1701" s="279">
        <f>RES_BA!R154</f>
        <v>0</v>
      </c>
      <c r="O1701" s="279">
        <f>RES_BA!S154</f>
        <v>0</v>
      </c>
      <c r="Q1701" s="279">
        <f>RES_BA!T154</f>
        <v>0</v>
      </c>
      <c r="S1701" s="279">
        <f>RES_BA!U154</f>
        <v>0</v>
      </c>
    </row>
    <row r="1702" spans="3:19" s="277" customFormat="1" hidden="1" outlineLevel="1" x14ac:dyDescent="0.3">
      <c r="C1702" s="283" t="str">
        <f>RES_BA!D155</f>
        <v>Equipment Category 26</v>
      </c>
      <c r="M1702" s="279">
        <f>RES_BA!R155</f>
        <v>0</v>
      </c>
      <c r="O1702" s="279">
        <f>RES_BA!S155</f>
        <v>0</v>
      </c>
      <c r="Q1702" s="279">
        <f>RES_BA!T155</f>
        <v>0</v>
      </c>
      <c r="S1702" s="279">
        <f>RES_BA!U155</f>
        <v>0</v>
      </c>
    </row>
    <row r="1703" spans="3:19" s="277" customFormat="1" hidden="1" outlineLevel="1" x14ac:dyDescent="0.3">
      <c r="C1703" s="283" t="str">
        <f>RES_BA!D156</f>
        <v>Equipment Category 27</v>
      </c>
      <c r="M1703" s="279">
        <f>RES_BA!R156</f>
        <v>0</v>
      </c>
      <c r="O1703" s="279">
        <f>RES_BA!S156</f>
        <v>0</v>
      </c>
      <c r="Q1703" s="279">
        <f>RES_BA!T156</f>
        <v>0</v>
      </c>
      <c r="S1703" s="279">
        <f>RES_BA!U156</f>
        <v>0</v>
      </c>
    </row>
    <row r="1704" spans="3:19" s="277" customFormat="1" hidden="1" outlineLevel="1" x14ac:dyDescent="0.3">
      <c r="C1704" s="283" t="str">
        <f>RES_BA!D157</f>
        <v>Equipment Category 28</v>
      </c>
      <c r="M1704" s="279">
        <f>RES_BA!R157</f>
        <v>0</v>
      </c>
      <c r="O1704" s="279">
        <f>RES_BA!S157</f>
        <v>0</v>
      </c>
      <c r="Q1704" s="279">
        <f>RES_BA!T157</f>
        <v>0</v>
      </c>
      <c r="S1704" s="279">
        <f>RES_BA!U157</f>
        <v>0</v>
      </c>
    </row>
    <row r="1705" spans="3:19" s="277" customFormat="1" hidden="1" outlineLevel="1" x14ac:dyDescent="0.3">
      <c r="C1705" s="283" t="str">
        <f>RES_BA!D158</f>
        <v>Equipment Category 29</v>
      </c>
      <c r="M1705" s="279">
        <f>RES_BA!R158</f>
        <v>0</v>
      </c>
      <c r="O1705" s="279">
        <f>RES_BA!S158</f>
        <v>0</v>
      </c>
      <c r="Q1705" s="279">
        <f>RES_BA!T158</f>
        <v>0</v>
      </c>
      <c r="S1705" s="279">
        <f>RES_BA!U158</f>
        <v>0</v>
      </c>
    </row>
    <row r="1706" spans="3:19" s="277" customFormat="1" hidden="1" outlineLevel="1" x14ac:dyDescent="0.3">
      <c r="C1706" s="283" t="str">
        <f>RES_BA!D159</f>
        <v>Equipment Category 30</v>
      </c>
      <c r="M1706" s="279">
        <f>RES_BA!R159</f>
        <v>0</v>
      </c>
      <c r="O1706" s="279">
        <f>RES_BA!S159</f>
        <v>0</v>
      </c>
      <c r="Q1706" s="279">
        <f>RES_BA!T159</f>
        <v>0</v>
      </c>
      <c r="S1706" s="279">
        <f>RES_BA!U159</f>
        <v>0</v>
      </c>
    </row>
    <row r="1707" spans="3:19" s="277" customFormat="1" hidden="1" outlineLevel="1" x14ac:dyDescent="0.3">
      <c r="C1707" s="283" t="str">
        <f>RES_BA!D160</f>
        <v>Equipment Category 31</v>
      </c>
      <c r="M1707" s="279">
        <f>RES_BA!R160</f>
        <v>0</v>
      </c>
      <c r="O1707" s="279">
        <f>RES_BA!S160</f>
        <v>0</v>
      </c>
      <c r="Q1707" s="279">
        <f>RES_BA!T160</f>
        <v>0</v>
      </c>
      <c r="S1707" s="279">
        <f>RES_BA!U160</f>
        <v>0</v>
      </c>
    </row>
    <row r="1708" spans="3:19" s="277" customFormat="1" hidden="1" outlineLevel="1" x14ac:dyDescent="0.3">
      <c r="C1708" s="283" t="str">
        <f>RES_BA!D161</f>
        <v>Equipment Category 32</v>
      </c>
      <c r="M1708" s="279">
        <f>RES_BA!R161</f>
        <v>0</v>
      </c>
      <c r="O1708" s="279">
        <f>RES_BA!S161</f>
        <v>0</v>
      </c>
      <c r="Q1708" s="279">
        <f>RES_BA!T161</f>
        <v>0</v>
      </c>
      <c r="S1708" s="279">
        <f>RES_BA!U161</f>
        <v>0</v>
      </c>
    </row>
    <row r="1709" spans="3:19" s="277" customFormat="1" hidden="1" outlineLevel="1" x14ac:dyDescent="0.3">
      <c r="C1709" s="283" t="str">
        <f>RES_BA!D162</f>
        <v>Equipment Category 33</v>
      </c>
      <c r="M1709" s="279">
        <f>RES_BA!R162</f>
        <v>0</v>
      </c>
      <c r="O1709" s="279">
        <f>RES_BA!S162</f>
        <v>0</v>
      </c>
      <c r="Q1709" s="279">
        <f>RES_BA!T162</f>
        <v>0</v>
      </c>
      <c r="S1709" s="279">
        <f>RES_BA!U162</f>
        <v>0</v>
      </c>
    </row>
    <row r="1710" spans="3:19" s="277" customFormat="1" hidden="1" outlineLevel="1" collapsed="1" x14ac:dyDescent="0.3">
      <c r="C1710" s="283" t="str">
        <f>RES_BA!D163</f>
        <v>Equipment Category 34</v>
      </c>
      <c r="M1710" s="279">
        <f>RES_BA!R163</f>
        <v>0</v>
      </c>
      <c r="O1710" s="279">
        <f>RES_BA!S163</f>
        <v>0</v>
      </c>
      <c r="Q1710" s="279">
        <f>RES_BA!T163</f>
        <v>0</v>
      </c>
      <c r="S1710" s="279">
        <f>RES_BA!U163</f>
        <v>0</v>
      </c>
    </row>
    <row r="1711" spans="3:19" s="277" customFormat="1" hidden="1" outlineLevel="1" x14ac:dyDescent="0.3">
      <c r="C1711" s="283" t="str">
        <f>RES_BA!D164</f>
        <v>Equipment Category 35</v>
      </c>
      <c r="M1711" s="279">
        <f>RES_BA!R164</f>
        <v>0</v>
      </c>
      <c r="O1711" s="279">
        <f>RES_BA!S164</f>
        <v>0</v>
      </c>
      <c r="Q1711" s="279">
        <f>RES_BA!T164</f>
        <v>0</v>
      </c>
      <c r="S1711" s="279">
        <f>RES_BA!U164</f>
        <v>0</v>
      </c>
    </row>
    <row r="1712" spans="3:19" hidden="1" outlineLevel="1" x14ac:dyDescent="0.3"/>
    <row r="1713" spans="3:19" hidden="1" outlineLevel="1" x14ac:dyDescent="0.3"/>
    <row r="1714" spans="3:19" hidden="1" outlineLevel="1" x14ac:dyDescent="0.3">
      <c r="M1714" s="40" t="str">
        <f>$D$1559</f>
        <v>USD</v>
      </c>
      <c r="O1714" s="40" t="str">
        <f>$D$1559</f>
        <v>USD</v>
      </c>
      <c r="Q1714" s="40" t="str">
        <f>$D$1560</f>
        <v>GOZ</v>
      </c>
      <c r="S1714" s="40" t="str">
        <f>$D$1560</f>
        <v>GOZ</v>
      </c>
    </row>
    <row r="1715" spans="3:19" hidden="1" outlineLevel="1" x14ac:dyDescent="0.3">
      <c r="C1715" s="89" t="str">
        <f>RES_BA!D169</f>
        <v>Other Direct Costs Category 1</v>
      </c>
      <c r="M1715" s="40">
        <f>RES_BA!R169</f>
        <v>0</v>
      </c>
      <c r="O1715" s="40">
        <f>RES_BA!S169</f>
        <v>0</v>
      </c>
      <c r="Q1715" s="40">
        <f>RES_BA!T169</f>
        <v>0</v>
      </c>
      <c r="S1715" s="40">
        <f>RES_BA!U169</f>
        <v>0</v>
      </c>
    </row>
    <row r="1716" spans="3:19" hidden="1" outlineLevel="1" x14ac:dyDescent="0.3">
      <c r="C1716" s="89" t="str">
        <f>RES_BA!D170</f>
        <v>Other Direct Costs Category 2</v>
      </c>
      <c r="M1716" s="40">
        <f>RES_BA!R170</f>
        <v>0</v>
      </c>
      <c r="O1716" s="40">
        <f>RES_BA!S170</f>
        <v>0</v>
      </c>
      <c r="Q1716" s="40">
        <f>RES_BA!T170</f>
        <v>0</v>
      </c>
      <c r="S1716" s="40">
        <f>RES_BA!U170</f>
        <v>0</v>
      </c>
    </row>
    <row r="1717" spans="3:19" hidden="1" outlineLevel="1" x14ac:dyDescent="0.3">
      <c r="C1717" s="89" t="str">
        <f>RES_BA!D171</f>
        <v>Other Direct Costs Category 3</v>
      </c>
      <c r="M1717" s="40">
        <f>RES_BA!R171</f>
        <v>0</v>
      </c>
      <c r="O1717" s="40">
        <f>RES_BA!S171</f>
        <v>0</v>
      </c>
      <c r="Q1717" s="40">
        <f>RES_BA!T171</f>
        <v>0</v>
      </c>
      <c r="S1717" s="40">
        <f>RES_BA!U171</f>
        <v>0</v>
      </c>
    </row>
    <row r="1718" spans="3:19" hidden="1" outlineLevel="1" collapsed="1" x14ac:dyDescent="0.3">
      <c r="C1718" s="289" t="str">
        <f>RES_BA!D172</f>
        <v>Other Direct Costs Category 4</v>
      </c>
      <c r="M1718" s="290">
        <f>RES_BA!R172</f>
        <v>0</v>
      </c>
      <c r="O1718" s="290">
        <f>RES_BA!S172</f>
        <v>0</v>
      </c>
      <c r="Q1718" s="290">
        <f>RES_BA!T172</f>
        <v>0</v>
      </c>
      <c r="S1718" s="290">
        <f>RES_BA!U172</f>
        <v>0</v>
      </c>
    </row>
    <row r="1719" spans="3:19" hidden="1" outlineLevel="1" x14ac:dyDescent="0.3">
      <c r="C1719" s="289" t="str">
        <f>RES_BA!D173</f>
        <v>Other Direct Costs Category 5</v>
      </c>
      <c r="M1719" s="290">
        <f>RES_BA!R173</f>
        <v>0</v>
      </c>
      <c r="O1719" s="290">
        <f>RES_BA!S173</f>
        <v>0</v>
      </c>
      <c r="Q1719" s="290">
        <f>RES_BA!T173</f>
        <v>0</v>
      </c>
      <c r="S1719" s="290">
        <f>RES_BA!U173</f>
        <v>0</v>
      </c>
    </row>
    <row r="1720" spans="3:19" hidden="1" outlineLevel="1" x14ac:dyDescent="0.3">
      <c r="C1720" s="289" t="str">
        <f>RES_BA!D174</f>
        <v>Other Direct Costs Category 6</v>
      </c>
      <c r="M1720" s="290">
        <f>RES_BA!R174</f>
        <v>0</v>
      </c>
      <c r="O1720" s="290">
        <f>RES_BA!S174</f>
        <v>0</v>
      </c>
      <c r="Q1720" s="290">
        <f>RES_BA!T174</f>
        <v>0</v>
      </c>
      <c r="S1720" s="290">
        <f>RES_BA!U174</f>
        <v>0</v>
      </c>
    </row>
    <row r="1721" spans="3:19" hidden="1" outlineLevel="1" x14ac:dyDescent="0.3">
      <c r="C1721" s="289" t="str">
        <f>RES_BA!D175</f>
        <v>Other Direct Costs Category 7</v>
      </c>
      <c r="M1721" s="290">
        <f>RES_BA!R175</f>
        <v>0</v>
      </c>
      <c r="O1721" s="290">
        <f>RES_BA!S175</f>
        <v>0</v>
      </c>
      <c r="Q1721" s="290">
        <f>RES_BA!T175</f>
        <v>0</v>
      </c>
      <c r="S1721" s="290">
        <f>RES_BA!U175</f>
        <v>0</v>
      </c>
    </row>
    <row r="1722" spans="3:19" hidden="1" outlineLevel="1" x14ac:dyDescent="0.3">
      <c r="C1722" s="289" t="str">
        <f>RES_BA!D176</f>
        <v>Other Direct Costs Category 8</v>
      </c>
      <c r="M1722" s="290">
        <f>RES_BA!R176</f>
        <v>0</v>
      </c>
      <c r="O1722" s="290">
        <f>RES_BA!S176</f>
        <v>0</v>
      </c>
      <c r="Q1722" s="290">
        <f>RES_BA!T176</f>
        <v>0</v>
      </c>
      <c r="S1722" s="290">
        <f>RES_BA!U176</f>
        <v>0</v>
      </c>
    </row>
    <row r="1723" spans="3:19" hidden="1" outlineLevel="1" x14ac:dyDescent="0.3">
      <c r="C1723" s="289" t="str">
        <f>RES_BA!D177</f>
        <v>Other Direct Costs Category 9</v>
      </c>
      <c r="M1723" s="290">
        <f>RES_BA!R177</f>
        <v>0</v>
      </c>
      <c r="O1723" s="290">
        <f>RES_BA!S177</f>
        <v>0</v>
      </c>
      <c r="Q1723" s="290">
        <f>RES_BA!T177</f>
        <v>0</v>
      </c>
      <c r="S1723" s="290">
        <f>RES_BA!U177</f>
        <v>0</v>
      </c>
    </row>
    <row r="1724" spans="3:19" hidden="1" outlineLevel="1" x14ac:dyDescent="0.3">
      <c r="C1724" s="289" t="str">
        <f>RES_BA!D178</f>
        <v>Other Direct Costs Category 10</v>
      </c>
      <c r="M1724" s="290">
        <f>RES_BA!R178</f>
        <v>0</v>
      </c>
      <c r="O1724" s="290">
        <f>RES_BA!S178</f>
        <v>0</v>
      </c>
      <c r="Q1724" s="290">
        <f>RES_BA!T178</f>
        <v>0</v>
      </c>
      <c r="S1724" s="290">
        <f>RES_BA!U178</f>
        <v>0</v>
      </c>
    </row>
    <row r="1725" spans="3:19" hidden="1" outlineLevel="1" x14ac:dyDescent="0.3">
      <c r="C1725" s="289" t="str">
        <f>RES_BA!D179</f>
        <v>Other Direct Costs Category 11</v>
      </c>
      <c r="M1725" s="290">
        <f>RES_BA!R179</f>
        <v>0</v>
      </c>
      <c r="O1725" s="290">
        <f>RES_BA!S179</f>
        <v>0</v>
      </c>
      <c r="Q1725" s="290">
        <f>RES_BA!T179</f>
        <v>0</v>
      </c>
      <c r="S1725" s="290">
        <f>RES_BA!U179</f>
        <v>0</v>
      </c>
    </row>
    <row r="1726" spans="3:19" s="277" customFormat="1" hidden="1" outlineLevel="1" collapsed="1" x14ac:dyDescent="0.3">
      <c r="C1726" s="283" t="str">
        <f>RES_BA!D180</f>
        <v>Other Direct Costs Category 12</v>
      </c>
      <c r="M1726" s="279">
        <f>RES_BA!R180</f>
        <v>0</v>
      </c>
      <c r="O1726" s="279">
        <f>RES_BA!S180</f>
        <v>0</v>
      </c>
      <c r="Q1726" s="279">
        <f>RES_BA!T180</f>
        <v>0</v>
      </c>
      <c r="S1726" s="279">
        <f>RES_BA!U180</f>
        <v>0</v>
      </c>
    </row>
    <row r="1727" spans="3:19" s="277" customFormat="1" hidden="1" outlineLevel="1" x14ac:dyDescent="0.3">
      <c r="C1727" s="283" t="str">
        <f>RES_BA!D181</f>
        <v>Other Direct Costs Category 13</v>
      </c>
      <c r="M1727" s="279">
        <f>RES_BA!R181</f>
        <v>0</v>
      </c>
      <c r="O1727" s="279">
        <f>RES_BA!S181</f>
        <v>0</v>
      </c>
      <c r="Q1727" s="279">
        <f>RES_BA!T181</f>
        <v>0</v>
      </c>
      <c r="S1727" s="279">
        <f>RES_BA!U181</f>
        <v>0</v>
      </c>
    </row>
    <row r="1728" spans="3:19" s="277" customFormat="1" hidden="1" outlineLevel="1" x14ac:dyDescent="0.3">
      <c r="C1728" s="283" t="str">
        <f>RES_BA!D182</f>
        <v>Other Direct Costs Category 14</v>
      </c>
      <c r="M1728" s="279">
        <f>RES_BA!R182</f>
        <v>0</v>
      </c>
      <c r="O1728" s="279">
        <f>RES_BA!S182</f>
        <v>0</v>
      </c>
      <c r="Q1728" s="279">
        <f>RES_BA!T182</f>
        <v>0</v>
      </c>
      <c r="S1728" s="279">
        <f>RES_BA!U182</f>
        <v>0</v>
      </c>
    </row>
    <row r="1729" spans="3:19" s="277" customFormat="1" hidden="1" outlineLevel="1" x14ac:dyDescent="0.3">
      <c r="C1729" s="283" t="str">
        <f>RES_BA!D183</f>
        <v>Other Direct Costs Category 15</v>
      </c>
      <c r="M1729" s="279">
        <f>RES_BA!R183</f>
        <v>0</v>
      </c>
      <c r="O1729" s="279">
        <f>RES_BA!S183</f>
        <v>0</v>
      </c>
      <c r="Q1729" s="279">
        <f>RES_BA!T183</f>
        <v>0</v>
      </c>
      <c r="S1729" s="279">
        <f>RES_BA!U183</f>
        <v>0</v>
      </c>
    </row>
    <row r="1730" spans="3:19" s="277" customFormat="1" hidden="1" outlineLevel="1" x14ac:dyDescent="0.3">
      <c r="C1730" s="283" t="str">
        <f>RES_BA!D184</f>
        <v>Other Direct Costs Category 16</v>
      </c>
      <c r="M1730" s="279">
        <f>RES_BA!R184</f>
        <v>0</v>
      </c>
      <c r="O1730" s="279">
        <f>RES_BA!S184</f>
        <v>0</v>
      </c>
      <c r="Q1730" s="279">
        <f>RES_BA!T184</f>
        <v>0</v>
      </c>
      <c r="S1730" s="279">
        <f>RES_BA!U184</f>
        <v>0</v>
      </c>
    </row>
    <row r="1731" spans="3:19" s="277" customFormat="1" hidden="1" outlineLevel="1" x14ac:dyDescent="0.3">
      <c r="C1731" s="283" t="str">
        <f>RES_BA!D185</f>
        <v>Other Direct Costs Category 17</v>
      </c>
      <c r="M1731" s="279">
        <f>RES_BA!R185</f>
        <v>0</v>
      </c>
      <c r="O1731" s="279">
        <f>RES_BA!S185</f>
        <v>0</v>
      </c>
      <c r="Q1731" s="279">
        <f>RES_BA!T185</f>
        <v>0</v>
      </c>
      <c r="S1731" s="279">
        <f>RES_BA!U185</f>
        <v>0</v>
      </c>
    </row>
    <row r="1732" spans="3:19" s="277" customFormat="1" hidden="1" outlineLevel="1" x14ac:dyDescent="0.3">
      <c r="C1732" s="283" t="str">
        <f>RES_BA!D186</f>
        <v>Other Direct Costs Category 18</v>
      </c>
      <c r="M1732" s="279">
        <f>RES_BA!R186</f>
        <v>0</v>
      </c>
      <c r="O1732" s="279">
        <f>RES_BA!S186</f>
        <v>0</v>
      </c>
      <c r="Q1732" s="279">
        <f>RES_BA!T186</f>
        <v>0</v>
      </c>
      <c r="S1732" s="279">
        <f>RES_BA!U186</f>
        <v>0</v>
      </c>
    </row>
    <row r="1733" spans="3:19" s="277" customFormat="1" hidden="1" outlineLevel="1" x14ac:dyDescent="0.3">
      <c r="C1733" s="283" t="str">
        <f>RES_BA!D187</f>
        <v>Other Direct Costs Category 19</v>
      </c>
      <c r="M1733" s="279">
        <f>RES_BA!R187</f>
        <v>0</v>
      </c>
      <c r="O1733" s="279">
        <f>RES_BA!S187</f>
        <v>0</v>
      </c>
      <c r="Q1733" s="279">
        <f>RES_BA!T187</f>
        <v>0</v>
      </c>
      <c r="S1733" s="279">
        <f>RES_BA!U187</f>
        <v>0</v>
      </c>
    </row>
    <row r="1734" spans="3:19" s="277" customFormat="1" hidden="1" outlineLevel="1" x14ac:dyDescent="0.3">
      <c r="C1734" s="283" t="str">
        <f>RES_BA!D188</f>
        <v>Other Direct Costs Category 20</v>
      </c>
      <c r="M1734" s="279">
        <f>RES_BA!R188</f>
        <v>0</v>
      </c>
      <c r="O1734" s="279">
        <f>RES_BA!S188</f>
        <v>0</v>
      </c>
      <c r="Q1734" s="279">
        <f>RES_BA!T188</f>
        <v>0</v>
      </c>
      <c r="S1734" s="279">
        <f>RES_BA!U188</f>
        <v>0</v>
      </c>
    </row>
    <row r="1735" spans="3:19" s="277" customFormat="1" hidden="1" outlineLevel="1" x14ac:dyDescent="0.3">
      <c r="C1735" s="283" t="str">
        <f>RES_BA!D189</f>
        <v>Other Direct Costs Category 21</v>
      </c>
      <c r="M1735" s="279">
        <f>RES_BA!R189</f>
        <v>0</v>
      </c>
      <c r="O1735" s="279">
        <f>RES_BA!S189</f>
        <v>0</v>
      </c>
      <c r="Q1735" s="279">
        <f>RES_BA!T189</f>
        <v>0</v>
      </c>
      <c r="S1735" s="279">
        <f>RES_BA!U189</f>
        <v>0</v>
      </c>
    </row>
    <row r="1736" spans="3:19" hidden="1" outlineLevel="1" x14ac:dyDescent="0.3">
      <c r="C1736" s="289" t="str">
        <f>RES_BA!D190</f>
        <v>Other Direct Costs Category 22</v>
      </c>
      <c r="M1736" s="290">
        <f>RES_BA!R190</f>
        <v>0</v>
      </c>
      <c r="O1736" s="290">
        <f>RES_BA!S190</f>
        <v>0</v>
      </c>
      <c r="Q1736" s="290">
        <f>RES_BA!T190</f>
        <v>0</v>
      </c>
      <c r="S1736" s="290">
        <f>RES_BA!U190</f>
        <v>0</v>
      </c>
    </row>
    <row r="1737" spans="3:19" hidden="1" outlineLevel="1" x14ac:dyDescent="0.3">
      <c r="C1737" s="289" t="str">
        <f>RES_BA!D191</f>
        <v>Other Direct Costs Category 23</v>
      </c>
      <c r="M1737" s="290">
        <f>RES_BA!R191</f>
        <v>0</v>
      </c>
      <c r="O1737" s="290">
        <f>RES_BA!S191</f>
        <v>0</v>
      </c>
      <c r="Q1737" s="290">
        <f>RES_BA!T191</f>
        <v>0</v>
      </c>
      <c r="S1737" s="290">
        <f>RES_BA!U191</f>
        <v>0</v>
      </c>
    </row>
    <row r="1738" spans="3:19" hidden="1" outlineLevel="1" collapsed="1" x14ac:dyDescent="0.3">
      <c r="C1738" s="289" t="str">
        <f>RES_BA!D192</f>
        <v>Other Direct Costs Category 24</v>
      </c>
      <c r="M1738" s="290">
        <f>RES_BA!R192</f>
        <v>0</v>
      </c>
      <c r="O1738" s="290">
        <f>RES_BA!S192</f>
        <v>0</v>
      </c>
      <c r="Q1738" s="290">
        <f>RES_BA!T192</f>
        <v>0</v>
      </c>
      <c r="S1738" s="290">
        <f>RES_BA!U192</f>
        <v>0</v>
      </c>
    </row>
    <row r="1739" spans="3:19" hidden="1" outlineLevel="1" x14ac:dyDescent="0.3">
      <c r="C1739" s="289" t="str">
        <f>RES_BA!D193</f>
        <v>Other Direct Costs Category 25</v>
      </c>
      <c r="M1739" s="290">
        <f>RES_BA!R193</f>
        <v>0</v>
      </c>
      <c r="O1739" s="290">
        <f>RES_BA!S193</f>
        <v>0</v>
      </c>
      <c r="Q1739" s="290">
        <f>RES_BA!T193</f>
        <v>0</v>
      </c>
      <c r="S1739" s="290">
        <f>RES_BA!U193</f>
        <v>0</v>
      </c>
    </row>
    <row r="1740" spans="3:19" hidden="1" outlineLevel="1" x14ac:dyDescent="0.3">
      <c r="C1740" s="289" t="str">
        <f>RES_BA!D194</f>
        <v>Other Direct Costs Category 26</v>
      </c>
      <c r="M1740" s="290">
        <f>RES_BA!R194</f>
        <v>0</v>
      </c>
      <c r="O1740" s="290">
        <f>RES_BA!S194</f>
        <v>0</v>
      </c>
      <c r="Q1740" s="290">
        <f>RES_BA!T194</f>
        <v>0</v>
      </c>
      <c r="S1740" s="290">
        <f>RES_BA!U194</f>
        <v>0</v>
      </c>
    </row>
    <row r="1741" spans="3:19" hidden="1" outlineLevel="1" x14ac:dyDescent="0.3">
      <c r="C1741" s="289" t="str">
        <f>RES_BA!D195</f>
        <v>Other Direct Costs Category 27</v>
      </c>
      <c r="M1741" s="290">
        <f>RES_BA!R195</f>
        <v>0</v>
      </c>
      <c r="O1741" s="290">
        <f>RES_BA!S195</f>
        <v>0</v>
      </c>
      <c r="Q1741" s="290">
        <f>RES_BA!T195</f>
        <v>0</v>
      </c>
      <c r="S1741" s="290">
        <f>RES_BA!U195</f>
        <v>0</v>
      </c>
    </row>
    <row r="1742" spans="3:19" hidden="1" outlineLevel="1" x14ac:dyDescent="0.3">
      <c r="C1742" s="289" t="str">
        <f>RES_BA!D196</f>
        <v>Other Direct Costs Category 28</v>
      </c>
      <c r="M1742" s="290">
        <f>RES_BA!R196</f>
        <v>0</v>
      </c>
      <c r="O1742" s="290">
        <f>RES_BA!S196</f>
        <v>0</v>
      </c>
      <c r="Q1742" s="290">
        <f>RES_BA!T196</f>
        <v>0</v>
      </c>
      <c r="S1742" s="290">
        <f>RES_BA!U196</f>
        <v>0</v>
      </c>
    </row>
    <row r="1743" spans="3:19" hidden="1" outlineLevel="1" x14ac:dyDescent="0.3">
      <c r="C1743" s="289" t="str">
        <f>RES_BA!D197</f>
        <v>Other Direct Costs Category 29</v>
      </c>
      <c r="M1743" s="290">
        <f>RES_BA!R197</f>
        <v>0</v>
      </c>
      <c r="O1743" s="290">
        <f>RES_BA!S197</f>
        <v>0</v>
      </c>
      <c r="Q1743" s="290">
        <f>RES_BA!T197</f>
        <v>0</v>
      </c>
      <c r="S1743" s="290">
        <f>RES_BA!U197</f>
        <v>0</v>
      </c>
    </row>
    <row r="1744" spans="3:19" hidden="1" outlineLevel="1" x14ac:dyDescent="0.3">
      <c r="C1744" s="289" t="str">
        <f>RES_BA!D198</f>
        <v>Other Direct Costs Category 30</v>
      </c>
      <c r="M1744" s="290">
        <f>RES_BA!R198</f>
        <v>0</v>
      </c>
      <c r="O1744" s="290">
        <f>RES_BA!S198</f>
        <v>0</v>
      </c>
      <c r="Q1744" s="290">
        <f>RES_BA!T198</f>
        <v>0</v>
      </c>
      <c r="S1744" s="290">
        <f>RES_BA!U198</f>
        <v>0</v>
      </c>
    </row>
    <row r="1745" spans="3:19" hidden="1" outlineLevel="1" x14ac:dyDescent="0.3">
      <c r="C1745" s="289" t="str">
        <f>RES_BA!D199</f>
        <v>Other Direct Costs Category 31</v>
      </c>
      <c r="M1745" s="290">
        <f>RES_BA!R199</f>
        <v>0</v>
      </c>
      <c r="O1745" s="290">
        <f>RES_BA!S199</f>
        <v>0</v>
      </c>
      <c r="Q1745" s="290">
        <f>RES_BA!T199</f>
        <v>0</v>
      </c>
      <c r="S1745" s="290">
        <f>RES_BA!U199</f>
        <v>0</v>
      </c>
    </row>
    <row r="1746" spans="3:19" hidden="1" outlineLevel="1" x14ac:dyDescent="0.3">
      <c r="C1746" s="289" t="str">
        <f>RES_BA!D200</f>
        <v>Other Direct Costs Category 32</v>
      </c>
      <c r="M1746" s="290">
        <f>RES_BA!R200</f>
        <v>0</v>
      </c>
      <c r="O1746" s="290">
        <f>RES_BA!S200</f>
        <v>0</v>
      </c>
      <c r="Q1746" s="290">
        <f>RES_BA!T200</f>
        <v>0</v>
      </c>
      <c r="S1746" s="290">
        <f>RES_BA!U200</f>
        <v>0</v>
      </c>
    </row>
    <row r="1747" spans="3:19" hidden="1" outlineLevel="1" x14ac:dyDescent="0.3">
      <c r="C1747" s="289" t="str">
        <f>RES_BA!D201</f>
        <v>Other Direct Costs Category 33</v>
      </c>
      <c r="M1747" s="290">
        <f>RES_BA!R201</f>
        <v>0</v>
      </c>
      <c r="O1747" s="290">
        <f>RES_BA!S201</f>
        <v>0</v>
      </c>
      <c r="Q1747" s="290">
        <f>RES_BA!T201</f>
        <v>0</v>
      </c>
      <c r="S1747" s="290">
        <f>RES_BA!U201</f>
        <v>0</v>
      </c>
    </row>
    <row r="1748" spans="3:19" hidden="1" outlineLevel="1" x14ac:dyDescent="0.3">
      <c r="C1748" s="289" t="str">
        <f>RES_BA!D202</f>
        <v>Other Direct Costs Category 34</v>
      </c>
      <c r="M1748" s="290">
        <f>RES_BA!R202</f>
        <v>0</v>
      </c>
      <c r="O1748" s="290">
        <f>RES_BA!S202</f>
        <v>0</v>
      </c>
      <c r="Q1748" s="290">
        <f>RES_BA!T202</f>
        <v>0</v>
      </c>
      <c r="S1748" s="290">
        <f>RES_BA!U202</f>
        <v>0</v>
      </c>
    </row>
    <row r="1749" spans="3:19" hidden="1" outlineLevel="1" x14ac:dyDescent="0.3">
      <c r="C1749" s="289" t="str">
        <f>RES_BA!D203</f>
        <v>Other Direct Costs Category 35</v>
      </c>
      <c r="M1749" s="290">
        <f>RES_BA!R203</f>
        <v>0</v>
      </c>
      <c r="O1749" s="290">
        <f>RES_BA!S203</f>
        <v>0</v>
      </c>
      <c r="Q1749" s="290">
        <f>RES_BA!T203</f>
        <v>0</v>
      </c>
      <c r="S1749" s="290">
        <f>RES_BA!U203</f>
        <v>0</v>
      </c>
    </row>
    <row r="1750" spans="3:19" collapsed="1" x14ac:dyDescent="0.3"/>
  </sheetData>
  <sheetProtection algorithmName="SHA-512" hashValue="MKJsdETbZHEmjw3E8HIg+KCqPPnYYggTVG0JhREidLi1mnQdrWMyMupmOaKcWJiO0r2UUAYHjiq3plyglSxH/w==" saltValue="LbUHhpj6dzMIWAQtedzu+Q==" spinCount="100000" sheet="1" objects="1" scenarios="1" formatColumns="0" formatRows="0"/>
  <mergeCells count="1316">
    <mergeCell ref="D1550:G1550"/>
    <mergeCell ref="D1551:G1551"/>
    <mergeCell ref="U1532:X1532"/>
    <mergeCell ref="U1533:X1533"/>
    <mergeCell ref="U1534:X1534"/>
    <mergeCell ref="U1535:X1535"/>
    <mergeCell ref="U1536:X1536"/>
    <mergeCell ref="U1537:X1537"/>
    <mergeCell ref="U1538:X1538"/>
    <mergeCell ref="U1539:X1539"/>
    <mergeCell ref="U1540:X1540"/>
    <mergeCell ref="U1541:X1541"/>
    <mergeCell ref="U1542:X1542"/>
    <mergeCell ref="U1543:X1543"/>
    <mergeCell ref="U1544:X1544"/>
    <mergeCell ref="U1545:X1545"/>
    <mergeCell ref="U1546:X1546"/>
    <mergeCell ref="U1547:X1547"/>
    <mergeCell ref="U1548:X1548"/>
    <mergeCell ref="U1549:X1549"/>
    <mergeCell ref="U1550:X1550"/>
    <mergeCell ref="U1551:X1551"/>
    <mergeCell ref="D1539:G1539"/>
    <mergeCell ref="D1540:G1540"/>
    <mergeCell ref="D1541:G1541"/>
    <mergeCell ref="D1542:G1542"/>
    <mergeCell ref="D1543:G1543"/>
    <mergeCell ref="D1544:G1544"/>
    <mergeCell ref="D1537:G1537"/>
    <mergeCell ref="D1538:G1538"/>
    <mergeCell ref="D1548:G1548"/>
    <mergeCell ref="D1549:G1549"/>
    <mergeCell ref="D1508:G1508"/>
    <mergeCell ref="D1509:G1509"/>
    <mergeCell ref="D1510:G1510"/>
    <mergeCell ref="D1519:G1519"/>
    <mergeCell ref="D1520:G1520"/>
    <mergeCell ref="D1521:G1521"/>
    <mergeCell ref="U1499:X1499"/>
    <mergeCell ref="D1547:G1547"/>
    <mergeCell ref="U1491:X1491"/>
    <mergeCell ref="U1492:X1492"/>
    <mergeCell ref="D1532:G1532"/>
    <mergeCell ref="D1533:G1533"/>
    <mergeCell ref="D1534:G1534"/>
    <mergeCell ref="D1535:G1535"/>
    <mergeCell ref="D1536:G1536"/>
    <mergeCell ref="D1545:G1545"/>
    <mergeCell ref="D1546:G1546"/>
    <mergeCell ref="U1516:X1516"/>
    <mergeCell ref="D1511:G1511"/>
    <mergeCell ref="D1512:G1512"/>
    <mergeCell ref="D1513:G1513"/>
    <mergeCell ref="D1514:G1514"/>
    <mergeCell ref="D1515:G1515"/>
    <mergeCell ref="D1516:G1516"/>
    <mergeCell ref="D1499:G1499"/>
    <mergeCell ref="U1508:X1508"/>
    <mergeCell ref="U1509:X1509"/>
    <mergeCell ref="U1510:X1510"/>
    <mergeCell ref="U1526:X1526"/>
    <mergeCell ref="U1518:X1518"/>
    <mergeCell ref="U1519:X1519"/>
    <mergeCell ref="U1520:X1520"/>
    <mergeCell ref="U1521:X1521"/>
    <mergeCell ref="U1507:X1507"/>
    <mergeCell ref="D1473:G1473"/>
    <mergeCell ref="D1474:G1474"/>
    <mergeCell ref="D1475:G1475"/>
    <mergeCell ref="D1476:G1476"/>
    <mergeCell ref="D1477:G1477"/>
    <mergeCell ref="D1478:G1478"/>
    <mergeCell ref="D1479:G1479"/>
    <mergeCell ref="D1480:G1480"/>
    <mergeCell ref="D1481:G1481"/>
    <mergeCell ref="D1482:G1482"/>
    <mergeCell ref="D1483:G1483"/>
    <mergeCell ref="D1484:G1484"/>
    <mergeCell ref="D1485:G1485"/>
    <mergeCell ref="D1486:G1486"/>
    <mergeCell ref="U1513:X1513"/>
    <mergeCell ref="U1514:X1514"/>
    <mergeCell ref="U1515:X1515"/>
    <mergeCell ref="U1476:X1476"/>
    <mergeCell ref="U1477:X1477"/>
    <mergeCell ref="U1478:X1478"/>
    <mergeCell ref="U1479:X1479"/>
    <mergeCell ref="U1480:X1480"/>
    <mergeCell ref="U1481:X1481"/>
    <mergeCell ref="U1482:X1482"/>
    <mergeCell ref="U1483:X1483"/>
    <mergeCell ref="U1484:X1484"/>
    <mergeCell ref="U1485:X1485"/>
    <mergeCell ref="U1486:X1486"/>
    <mergeCell ref="U1487:X1487"/>
    <mergeCell ref="U1488:X1488"/>
    <mergeCell ref="D1517:G1517"/>
    <mergeCell ref="D1518:G1518"/>
    <mergeCell ref="U1517:X1517"/>
    <mergeCell ref="U1511:X1511"/>
    <mergeCell ref="U1512:X1512"/>
    <mergeCell ref="D1491:G1491"/>
    <mergeCell ref="D1492:G1492"/>
    <mergeCell ref="U1474:X1474"/>
    <mergeCell ref="U1458:X1458"/>
    <mergeCell ref="U1459:X1459"/>
    <mergeCell ref="U1460:X1460"/>
    <mergeCell ref="U1461:X1461"/>
    <mergeCell ref="D1452:G1452"/>
    <mergeCell ref="D1453:G1453"/>
    <mergeCell ref="D1454:G1454"/>
    <mergeCell ref="D1455:G1455"/>
    <mergeCell ref="D1502:G1502"/>
    <mergeCell ref="D1503:G1503"/>
    <mergeCell ref="D1504:G1504"/>
    <mergeCell ref="D1505:G1505"/>
    <mergeCell ref="D1506:G1506"/>
    <mergeCell ref="D1507:G1507"/>
    <mergeCell ref="U1500:X1500"/>
    <mergeCell ref="U1501:X1501"/>
    <mergeCell ref="U1502:X1502"/>
    <mergeCell ref="U1503:X1503"/>
    <mergeCell ref="U1504:X1504"/>
    <mergeCell ref="U1505:X1505"/>
    <mergeCell ref="U1506:X1506"/>
    <mergeCell ref="D1470:G1470"/>
    <mergeCell ref="D1471:G1471"/>
    <mergeCell ref="D1472:G1472"/>
    <mergeCell ref="D1500:G1500"/>
    <mergeCell ref="D1501:G1501"/>
    <mergeCell ref="U1470:X1470"/>
    <mergeCell ref="U1471:X1471"/>
    <mergeCell ref="U1472:X1472"/>
    <mergeCell ref="U1473:X1473"/>
    <mergeCell ref="U1489:X1489"/>
    <mergeCell ref="U1490:X1490"/>
    <mergeCell ref="U1475:X1475"/>
    <mergeCell ref="U1419:X1419"/>
    <mergeCell ref="U1420:X1420"/>
    <mergeCell ref="U1421:X1421"/>
    <mergeCell ref="U1422:X1422"/>
    <mergeCell ref="U1423:X1423"/>
    <mergeCell ref="U1424:X1424"/>
    <mergeCell ref="U1425:X1425"/>
    <mergeCell ref="U1426:X1426"/>
    <mergeCell ref="U1427:X1427"/>
    <mergeCell ref="U1428:X1428"/>
    <mergeCell ref="U1429:X1429"/>
    <mergeCell ref="U1430:X1430"/>
    <mergeCell ref="U1431:X1431"/>
    <mergeCell ref="U1432:X1432"/>
    <mergeCell ref="D1456:G1456"/>
    <mergeCell ref="D1457:G1457"/>
    <mergeCell ref="D1458:G1458"/>
    <mergeCell ref="D1440:G1440"/>
    <mergeCell ref="U1440:X1440"/>
    <mergeCell ref="D1441:G1441"/>
    <mergeCell ref="U1441:X1441"/>
    <mergeCell ref="D1442:G1442"/>
    <mergeCell ref="D1487:G1487"/>
    <mergeCell ref="U1442:X1442"/>
    <mergeCell ref="D1437:G1437"/>
    <mergeCell ref="U1437:X1437"/>
    <mergeCell ref="D1438:G1438"/>
    <mergeCell ref="U1438:X1438"/>
    <mergeCell ref="D1439:G1439"/>
    <mergeCell ref="U1439:X1439"/>
    <mergeCell ref="U1445:X1445"/>
    <mergeCell ref="U1446:X1446"/>
    <mergeCell ref="U1447:X1447"/>
    <mergeCell ref="D1199:G1199"/>
    <mergeCell ref="D1200:G1200"/>
    <mergeCell ref="D1201:G1201"/>
    <mergeCell ref="D1202:G1202"/>
    <mergeCell ref="U1183:X1183"/>
    <mergeCell ref="U1184:X1184"/>
    <mergeCell ref="U1185:X1185"/>
    <mergeCell ref="U1186:X1186"/>
    <mergeCell ref="U1187:X1187"/>
    <mergeCell ref="U1188:X1188"/>
    <mergeCell ref="U1189:X1189"/>
    <mergeCell ref="U1190:X1190"/>
    <mergeCell ref="U1191:X1191"/>
    <mergeCell ref="U1192:X1192"/>
    <mergeCell ref="U1193:X1193"/>
    <mergeCell ref="U1194:X1194"/>
    <mergeCell ref="U1195:X1195"/>
    <mergeCell ref="U1196:X1196"/>
    <mergeCell ref="U1197:X1197"/>
    <mergeCell ref="U1198:X1198"/>
    <mergeCell ref="U1199:X1199"/>
    <mergeCell ref="U1200:X1200"/>
    <mergeCell ref="U1201:X1201"/>
    <mergeCell ref="U1202:X1202"/>
    <mergeCell ref="D1190:G1190"/>
    <mergeCell ref="D1191:G1191"/>
    <mergeCell ref="D1192:G1192"/>
    <mergeCell ref="D1193:G1193"/>
    <mergeCell ref="D1194:G1194"/>
    <mergeCell ref="D1195:G1195"/>
    <mergeCell ref="D1196:G1196"/>
    <mergeCell ref="D1197:G1197"/>
    <mergeCell ref="D1198:G1198"/>
    <mergeCell ref="U1137:X1137"/>
    <mergeCell ref="U1138:X1138"/>
    <mergeCell ref="U1139:X1139"/>
    <mergeCell ref="U1140:X1140"/>
    <mergeCell ref="U1141:X1141"/>
    <mergeCell ref="U1142:X1142"/>
    <mergeCell ref="U1143:X1143"/>
    <mergeCell ref="D1188:G1188"/>
    <mergeCell ref="D1189:G1189"/>
    <mergeCell ref="D1183:G1183"/>
    <mergeCell ref="D1184:G1184"/>
    <mergeCell ref="D1185:G1185"/>
    <mergeCell ref="D1186:G1186"/>
    <mergeCell ref="D1187:G1187"/>
    <mergeCell ref="D1139:G1139"/>
    <mergeCell ref="D1140:G1140"/>
    <mergeCell ref="D1141:G1141"/>
    <mergeCell ref="D1142:G1142"/>
    <mergeCell ref="D1143:G1143"/>
    <mergeCell ref="U1165:X1165"/>
    <mergeCell ref="U1166:X1166"/>
    <mergeCell ref="U1167:X1167"/>
    <mergeCell ref="U1168:X1168"/>
    <mergeCell ref="U1169:X1169"/>
    <mergeCell ref="U1170:X1170"/>
    <mergeCell ref="U1171:X1171"/>
    <mergeCell ref="U1172:X1172"/>
    <mergeCell ref="D1163:G1163"/>
    <mergeCell ref="D1164:G1164"/>
    <mergeCell ref="D1165:G1165"/>
    <mergeCell ref="D1166:G1166"/>
    <mergeCell ref="D1167:G1167"/>
    <mergeCell ref="D1168:G1168"/>
    <mergeCell ref="D1169:G1169"/>
    <mergeCell ref="D1170:G1170"/>
    <mergeCell ref="D1171:G1171"/>
    <mergeCell ref="U1124:X1124"/>
    <mergeCell ref="U1125:X1125"/>
    <mergeCell ref="U1126:X1126"/>
    <mergeCell ref="U1127:X1127"/>
    <mergeCell ref="U1128:X1128"/>
    <mergeCell ref="U1129:X1129"/>
    <mergeCell ref="U1130:X1130"/>
    <mergeCell ref="U1131:X1131"/>
    <mergeCell ref="U1132:X1132"/>
    <mergeCell ref="U1133:X1133"/>
    <mergeCell ref="U1134:X1134"/>
    <mergeCell ref="U1135:X1135"/>
    <mergeCell ref="U1136:X1136"/>
    <mergeCell ref="D1172:G1172"/>
    <mergeCell ref="U1150:X1150"/>
    <mergeCell ref="U1151:X1151"/>
    <mergeCell ref="U1152:X1152"/>
    <mergeCell ref="U1159:X1159"/>
    <mergeCell ref="U1160:X1160"/>
    <mergeCell ref="U1161:X1161"/>
    <mergeCell ref="U1162:X1162"/>
    <mergeCell ref="U1163:X1163"/>
    <mergeCell ref="U1164:X1164"/>
    <mergeCell ref="D1136:G1136"/>
    <mergeCell ref="D1137:G1137"/>
    <mergeCell ref="D1138:G1138"/>
    <mergeCell ref="U1108:X1108"/>
    <mergeCell ref="U1109:X1109"/>
    <mergeCell ref="U1110:X1110"/>
    <mergeCell ref="U1111:X1111"/>
    <mergeCell ref="U1112:X1112"/>
    <mergeCell ref="D1150:G1150"/>
    <mergeCell ref="D1151:G1151"/>
    <mergeCell ref="D1152:G1152"/>
    <mergeCell ref="D1153:G1153"/>
    <mergeCell ref="D1121:G1121"/>
    <mergeCell ref="D1122:G1122"/>
    <mergeCell ref="D1123:G1123"/>
    <mergeCell ref="D1124:G1124"/>
    <mergeCell ref="D1125:G1125"/>
    <mergeCell ref="D1126:G1126"/>
    <mergeCell ref="D1127:G1127"/>
    <mergeCell ref="D1128:G1128"/>
    <mergeCell ref="D1162:G1162"/>
    <mergeCell ref="U1153:X1153"/>
    <mergeCell ref="U1154:X1154"/>
    <mergeCell ref="U1155:X1155"/>
    <mergeCell ref="U1156:X1156"/>
    <mergeCell ref="U1157:X1157"/>
    <mergeCell ref="U1066:X1066"/>
    <mergeCell ref="D1129:G1129"/>
    <mergeCell ref="D1130:G1130"/>
    <mergeCell ref="D1131:G1131"/>
    <mergeCell ref="D1132:G1132"/>
    <mergeCell ref="D1133:G1133"/>
    <mergeCell ref="D1134:G1134"/>
    <mergeCell ref="D1135:G1135"/>
    <mergeCell ref="D1108:G1108"/>
    <mergeCell ref="D1109:G1109"/>
    <mergeCell ref="D1110:G1110"/>
    <mergeCell ref="D1111:G1111"/>
    <mergeCell ref="D1112:G1112"/>
    <mergeCell ref="U1121:X1121"/>
    <mergeCell ref="U1122:X1122"/>
    <mergeCell ref="U1123:X1123"/>
    <mergeCell ref="U1103:X1103"/>
    <mergeCell ref="U1104:X1104"/>
    <mergeCell ref="U1105:X1105"/>
    <mergeCell ref="U1106:X1106"/>
    <mergeCell ref="U1107:X1107"/>
    <mergeCell ref="U1089:X1089"/>
    <mergeCell ref="U1090:X1090"/>
    <mergeCell ref="U1091:X1091"/>
    <mergeCell ref="D1090:G1090"/>
    <mergeCell ref="D1091:G1091"/>
    <mergeCell ref="D1089:G1089"/>
    <mergeCell ref="D1076:G1076"/>
    <mergeCell ref="D1077:G1077"/>
    <mergeCell ref="D1078:G1078"/>
    <mergeCell ref="D1079:G1079"/>
    <mergeCell ref="D1080:G1080"/>
    <mergeCell ref="U847:X847"/>
    <mergeCell ref="U848:X848"/>
    <mergeCell ref="U849:X849"/>
    <mergeCell ref="U850:X850"/>
    <mergeCell ref="U851:X851"/>
    <mergeCell ref="U852:X852"/>
    <mergeCell ref="D1092:G1092"/>
    <mergeCell ref="U1092:X1092"/>
    <mergeCell ref="D1093:G1093"/>
    <mergeCell ref="U1093:X1093"/>
    <mergeCell ref="D1064:G1064"/>
    <mergeCell ref="U1064:X1064"/>
    <mergeCell ref="D1065:G1065"/>
    <mergeCell ref="U1065:X1065"/>
    <mergeCell ref="D1066:G1066"/>
    <mergeCell ref="U853:X853"/>
    <mergeCell ref="D1067:G1067"/>
    <mergeCell ref="D1068:G1068"/>
    <mergeCell ref="D1069:G1069"/>
    <mergeCell ref="D1070:G1070"/>
    <mergeCell ref="D1071:G1071"/>
    <mergeCell ref="D1072:G1072"/>
    <mergeCell ref="D1073:G1073"/>
    <mergeCell ref="D1074:G1074"/>
    <mergeCell ref="U1067:X1067"/>
    <mergeCell ref="U1068:X1068"/>
    <mergeCell ref="U1069:X1069"/>
    <mergeCell ref="U1070:X1070"/>
    <mergeCell ref="U1071:X1071"/>
    <mergeCell ref="U1072:X1072"/>
    <mergeCell ref="U1073:X1073"/>
    <mergeCell ref="U1074:X1074"/>
    <mergeCell ref="U788:X788"/>
    <mergeCell ref="U789:X789"/>
    <mergeCell ref="U790:X790"/>
    <mergeCell ref="U791:X791"/>
    <mergeCell ref="U792:X792"/>
    <mergeCell ref="U793:X793"/>
    <mergeCell ref="U794:X794"/>
    <mergeCell ref="U808:X808"/>
    <mergeCell ref="U809:X809"/>
    <mergeCell ref="U810:X810"/>
    <mergeCell ref="U811:X811"/>
    <mergeCell ref="U812:X812"/>
    <mergeCell ref="U813:X813"/>
    <mergeCell ref="U814:X814"/>
    <mergeCell ref="U815:X815"/>
    <mergeCell ref="U816:X816"/>
    <mergeCell ref="U817:X817"/>
    <mergeCell ref="U830:X830"/>
    <mergeCell ref="U831:X831"/>
    <mergeCell ref="U832:X832"/>
    <mergeCell ref="U833:X833"/>
    <mergeCell ref="U834:X834"/>
    <mergeCell ref="U840:X840"/>
    <mergeCell ref="U841:X841"/>
    <mergeCell ref="U842:X842"/>
    <mergeCell ref="U843:X843"/>
    <mergeCell ref="U844:X844"/>
    <mergeCell ref="U845:X845"/>
    <mergeCell ref="U846:X846"/>
    <mergeCell ref="U822:X822"/>
    <mergeCell ref="U823:X823"/>
    <mergeCell ref="D773:G773"/>
    <mergeCell ref="D774:G774"/>
    <mergeCell ref="D775:G775"/>
    <mergeCell ref="D776:G776"/>
    <mergeCell ref="D777:G777"/>
    <mergeCell ref="D778:G778"/>
    <mergeCell ref="D779:G779"/>
    <mergeCell ref="D780:G780"/>
    <mergeCell ref="D781:G781"/>
    <mergeCell ref="D782:G782"/>
    <mergeCell ref="D783:G783"/>
    <mergeCell ref="D784:G784"/>
    <mergeCell ref="D785:G785"/>
    <mergeCell ref="D786:G786"/>
    <mergeCell ref="D787:G787"/>
    <mergeCell ref="D788:G788"/>
    <mergeCell ref="D789:G789"/>
    <mergeCell ref="D790:G790"/>
    <mergeCell ref="D791:G791"/>
    <mergeCell ref="D792:G792"/>
    <mergeCell ref="D793:G793"/>
    <mergeCell ref="U801:X801"/>
    <mergeCell ref="U802:X802"/>
    <mergeCell ref="U803:X803"/>
    <mergeCell ref="U804:X804"/>
    <mergeCell ref="U805:X805"/>
    <mergeCell ref="U806:X806"/>
    <mergeCell ref="U807:X807"/>
    <mergeCell ref="U762:X762"/>
    <mergeCell ref="U763:X763"/>
    <mergeCell ref="D801:G801"/>
    <mergeCell ref="D802:G802"/>
    <mergeCell ref="D803:G803"/>
    <mergeCell ref="D804:G804"/>
    <mergeCell ref="D805:G805"/>
    <mergeCell ref="D806:G806"/>
    <mergeCell ref="U773:X773"/>
    <mergeCell ref="U774:X774"/>
    <mergeCell ref="U775:X775"/>
    <mergeCell ref="U776:X776"/>
    <mergeCell ref="U777:X777"/>
    <mergeCell ref="U778:X778"/>
    <mergeCell ref="U779:X779"/>
    <mergeCell ref="U780:X780"/>
    <mergeCell ref="U781:X781"/>
    <mergeCell ref="U782:X782"/>
    <mergeCell ref="U783:X783"/>
    <mergeCell ref="U784:X784"/>
    <mergeCell ref="U785:X785"/>
    <mergeCell ref="U786:X786"/>
    <mergeCell ref="U787:X787"/>
    <mergeCell ref="U798:X798"/>
    <mergeCell ref="U799:X799"/>
    <mergeCell ref="U800:X800"/>
    <mergeCell ref="U769:X769"/>
    <mergeCell ref="D770:G770"/>
    <mergeCell ref="U770:X770"/>
    <mergeCell ref="D771:G771"/>
    <mergeCell ref="U771:X771"/>
    <mergeCell ref="D794:G794"/>
    <mergeCell ref="U759:X759"/>
    <mergeCell ref="U760:X760"/>
    <mergeCell ref="U730:X730"/>
    <mergeCell ref="U731:X731"/>
    <mergeCell ref="U732:X732"/>
    <mergeCell ref="U733:X733"/>
    <mergeCell ref="U734:X734"/>
    <mergeCell ref="D747:G747"/>
    <mergeCell ref="D748:G748"/>
    <mergeCell ref="D749:G749"/>
    <mergeCell ref="D750:G750"/>
    <mergeCell ref="U747:X747"/>
    <mergeCell ref="U748:X748"/>
    <mergeCell ref="U749:X749"/>
    <mergeCell ref="U750:X750"/>
    <mergeCell ref="U746:X746"/>
    <mergeCell ref="U761:X761"/>
    <mergeCell ref="U772:X772"/>
    <mergeCell ref="D752:G752"/>
    <mergeCell ref="D753:G753"/>
    <mergeCell ref="D754:G754"/>
    <mergeCell ref="D755:G755"/>
    <mergeCell ref="D503:G503"/>
    <mergeCell ref="D504:G504"/>
    <mergeCell ref="U485:X485"/>
    <mergeCell ref="U486:X486"/>
    <mergeCell ref="U487:X487"/>
    <mergeCell ref="U488:X488"/>
    <mergeCell ref="U489:X489"/>
    <mergeCell ref="U490:X490"/>
    <mergeCell ref="U491:X491"/>
    <mergeCell ref="U492:X492"/>
    <mergeCell ref="U493:X493"/>
    <mergeCell ref="U494:X494"/>
    <mergeCell ref="U495:X495"/>
    <mergeCell ref="U496:X496"/>
    <mergeCell ref="U497:X497"/>
    <mergeCell ref="U498:X498"/>
    <mergeCell ref="U499:X499"/>
    <mergeCell ref="U500:X500"/>
    <mergeCell ref="U501:X501"/>
    <mergeCell ref="U502:X502"/>
    <mergeCell ref="U503:X503"/>
    <mergeCell ref="U504:X504"/>
    <mergeCell ref="D494:G494"/>
    <mergeCell ref="D495:G495"/>
    <mergeCell ref="D496:G496"/>
    <mergeCell ref="D497:G497"/>
    <mergeCell ref="D498:G498"/>
    <mergeCell ref="D499:G499"/>
    <mergeCell ref="D500:G500"/>
    <mergeCell ref="D501:G501"/>
    <mergeCell ref="D502:G502"/>
    <mergeCell ref="D485:G485"/>
    <mergeCell ref="D489:G489"/>
    <mergeCell ref="D490:G490"/>
    <mergeCell ref="D491:G491"/>
    <mergeCell ref="D492:G492"/>
    <mergeCell ref="D493:G493"/>
    <mergeCell ref="U437:X437"/>
    <mergeCell ref="U438:X438"/>
    <mergeCell ref="U439:X439"/>
    <mergeCell ref="U440:X440"/>
    <mergeCell ref="U441:X441"/>
    <mergeCell ref="U442:X442"/>
    <mergeCell ref="U443:X443"/>
    <mergeCell ref="U444:X444"/>
    <mergeCell ref="U445:X445"/>
    <mergeCell ref="D466:G466"/>
    <mergeCell ref="D467:G467"/>
    <mergeCell ref="D468:G468"/>
    <mergeCell ref="D469:G469"/>
    <mergeCell ref="D470:G470"/>
    <mergeCell ref="D471:G471"/>
    <mergeCell ref="D472:G472"/>
    <mergeCell ref="D473:G473"/>
    <mergeCell ref="D474:G474"/>
    <mergeCell ref="D451:G451"/>
    <mergeCell ref="D484:G484"/>
    <mergeCell ref="U484:X484"/>
    <mergeCell ref="D461:G461"/>
    <mergeCell ref="D462:G462"/>
    <mergeCell ref="D463:G463"/>
    <mergeCell ref="U471:X471"/>
    <mergeCell ref="U472:X472"/>
    <mergeCell ref="U473:X473"/>
    <mergeCell ref="U474:X474"/>
    <mergeCell ref="D427:G427"/>
    <mergeCell ref="D428:G428"/>
    <mergeCell ref="D429:G429"/>
    <mergeCell ref="D430:G430"/>
    <mergeCell ref="D431:G431"/>
    <mergeCell ref="D432:G432"/>
    <mergeCell ref="D433:G433"/>
    <mergeCell ref="D434:G434"/>
    <mergeCell ref="D435:G435"/>
    <mergeCell ref="D436:G436"/>
    <mergeCell ref="D437:G437"/>
    <mergeCell ref="D438:G438"/>
    <mergeCell ref="D439:G439"/>
    <mergeCell ref="D440:G440"/>
    <mergeCell ref="D441:G441"/>
    <mergeCell ref="D442:G442"/>
    <mergeCell ref="D443:G443"/>
    <mergeCell ref="D444:G444"/>
    <mergeCell ref="D445:G445"/>
    <mergeCell ref="U462:X462"/>
    <mergeCell ref="U463:X463"/>
    <mergeCell ref="U464:X464"/>
    <mergeCell ref="U465:X465"/>
    <mergeCell ref="U466:X466"/>
    <mergeCell ref="U467:X467"/>
    <mergeCell ref="U468:X468"/>
    <mergeCell ref="U469:X469"/>
    <mergeCell ref="U470:X470"/>
    <mergeCell ref="U461:X461"/>
    <mergeCell ref="D457:G457"/>
    <mergeCell ref="D458:G458"/>
    <mergeCell ref="D384:G384"/>
    <mergeCell ref="D385:G385"/>
    <mergeCell ref="D414:G414"/>
    <mergeCell ref="U398:X398"/>
    <mergeCell ref="U399:X399"/>
    <mergeCell ref="U400:X400"/>
    <mergeCell ref="U401:X401"/>
    <mergeCell ref="U402:X402"/>
    <mergeCell ref="U403:X403"/>
    <mergeCell ref="U404:X404"/>
    <mergeCell ref="U405:X405"/>
    <mergeCell ref="U406:X406"/>
    <mergeCell ref="U407:X407"/>
    <mergeCell ref="U408:X408"/>
    <mergeCell ref="U409:X409"/>
    <mergeCell ref="U410:X410"/>
    <mergeCell ref="U411:X411"/>
    <mergeCell ref="U412:X412"/>
    <mergeCell ref="U413:X413"/>
    <mergeCell ref="U414:X414"/>
    <mergeCell ref="D375:G375"/>
    <mergeCell ref="D376:G376"/>
    <mergeCell ref="D377:G377"/>
    <mergeCell ref="D369:G369"/>
    <mergeCell ref="U420:X420"/>
    <mergeCell ref="D421:G421"/>
    <mergeCell ref="U421:X421"/>
    <mergeCell ref="D422:G422"/>
    <mergeCell ref="U422:X422"/>
    <mergeCell ref="D446:G446"/>
    <mergeCell ref="U449:X449"/>
    <mergeCell ref="D450:G450"/>
    <mergeCell ref="U450:X450"/>
    <mergeCell ref="D453:G453"/>
    <mergeCell ref="D454:G454"/>
    <mergeCell ref="D455:G455"/>
    <mergeCell ref="D456:G456"/>
    <mergeCell ref="U378:X378"/>
    <mergeCell ref="U379:X379"/>
    <mergeCell ref="U380:X380"/>
    <mergeCell ref="U381:X381"/>
    <mergeCell ref="U382:X382"/>
    <mergeCell ref="U383:X383"/>
    <mergeCell ref="U384:X384"/>
    <mergeCell ref="U385:X385"/>
    <mergeCell ref="D398:G398"/>
    <mergeCell ref="D378:G378"/>
    <mergeCell ref="D379:G379"/>
    <mergeCell ref="D380:G380"/>
    <mergeCell ref="D381:G381"/>
    <mergeCell ref="D382:G382"/>
    <mergeCell ref="D383:G383"/>
    <mergeCell ref="U87:X87"/>
    <mergeCell ref="D154:G154"/>
    <mergeCell ref="D155:G155"/>
    <mergeCell ref="U136:X136"/>
    <mergeCell ref="U137:X137"/>
    <mergeCell ref="U138:X138"/>
    <mergeCell ref="U139:X139"/>
    <mergeCell ref="U140:X140"/>
    <mergeCell ref="U141:X141"/>
    <mergeCell ref="U142:X142"/>
    <mergeCell ref="U143:X143"/>
    <mergeCell ref="U144:X144"/>
    <mergeCell ref="U145:X145"/>
    <mergeCell ref="U146:X146"/>
    <mergeCell ref="U147:X147"/>
    <mergeCell ref="U148:X148"/>
    <mergeCell ref="U149:X149"/>
    <mergeCell ref="U150:X150"/>
    <mergeCell ref="U151:X151"/>
    <mergeCell ref="U152:X152"/>
    <mergeCell ref="U153:X153"/>
    <mergeCell ref="U154:X154"/>
    <mergeCell ref="U155:X155"/>
    <mergeCell ref="D145:G145"/>
    <mergeCell ref="D146:G146"/>
    <mergeCell ref="D147:G147"/>
    <mergeCell ref="D148:G148"/>
    <mergeCell ref="D149:G149"/>
    <mergeCell ref="D150:G150"/>
    <mergeCell ref="D151:G151"/>
    <mergeCell ref="D152:G152"/>
    <mergeCell ref="D153:G153"/>
    <mergeCell ref="U116:X116"/>
    <mergeCell ref="U117:X117"/>
    <mergeCell ref="U118:X118"/>
    <mergeCell ref="U119:X119"/>
    <mergeCell ref="U120:X120"/>
    <mergeCell ref="U121:X121"/>
    <mergeCell ref="D137:G137"/>
    <mergeCell ref="D138:G138"/>
    <mergeCell ref="D139:G139"/>
    <mergeCell ref="D140:G140"/>
    <mergeCell ref="D141:G141"/>
    <mergeCell ref="D142:G142"/>
    <mergeCell ref="D143:G143"/>
    <mergeCell ref="D144:G144"/>
    <mergeCell ref="U78:X78"/>
    <mergeCell ref="U79:X79"/>
    <mergeCell ref="U80:X80"/>
    <mergeCell ref="U81:X81"/>
    <mergeCell ref="U82:X82"/>
    <mergeCell ref="U83:X83"/>
    <mergeCell ref="U84:X84"/>
    <mergeCell ref="U85:X85"/>
    <mergeCell ref="U86:X86"/>
    <mergeCell ref="U123:X123"/>
    <mergeCell ref="U124:X124"/>
    <mergeCell ref="U125:X125"/>
    <mergeCell ref="D86:G86"/>
    <mergeCell ref="D87:G87"/>
    <mergeCell ref="D88:G88"/>
    <mergeCell ref="D89:G89"/>
    <mergeCell ref="D90:G90"/>
    <mergeCell ref="D91:G91"/>
    <mergeCell ref="D60:G60"/>
    <mergeCell ref="D61:G61"/>
    <mergeCell ref="D62:G62"/>
    <mergeCell ref="D63:G63"/>
    <mergeCell ref="D64:G64"/>
    <mergeCell ref="D65:G65"/>
    <mergeCell ref="D80:G80"/>
    <mergeCell ref="D81:G81"/>
    <mergeCell ref="D82:G82"/>
    <mergeCell ref="D83:G83"/>
    <mergeCell ref="D84:G84"/>
    <mergeCell ref="D85:G85"/>
    <mergeCell ref="D105:G105"/>
    <mergeCell ref="D106:G106"/>
    <mergeCell ref="D107:G107"/>
    <mergeCell ref="D78:G78"/>
    <mergeCell ref="D79:G79"/>
    <mergeCell ref="D92:G92"/>
    <mergeCell ref="D93:G93"/>
    <mergeCell ref="D94:G94"/>
    <mergeCell ref="D95:G95"/>
    <mergeCell ref="D96:G96"/>
    <mergeCell ref="U55:X55"/>
    <mergeCell ref="U56:X56"/>
    <mergeCell ref="U57:X57"/>
    <mergeCell ref="U58:X58"/>
    <mergeCell ref="U59:X59"/>
    <mergeCell ref="U60:X60"/>
    <mergeCell ref="U61:X61"/>
    <mergeCell ref="U62:X62"/>
    <mergeCell ref="U63:X63"/>
    <mergeCell ref="U64:X64"/>
    <mergeCell ref="U65:X65"/>
    <mergeCell ref="U122:X122"/>
    <mergeCell ref="U105:X105"/>
    <mergeCell ref="U106:X106"/>
    <mergeCell ref="U107:X107"/>
    <mergeCell ref="U108:X108"/>
    <mergeCell ref="U109:X109"/>
    <mergeCell ref="U110:X110"/>
    <mergeCell ref="U111:X111"/>
    <mergeCell ref="U112:X112"/>
    <mergeCell ref="U113:X113"/>
    <mergeCell ref="U88:X88"/>
    <mergeCell ref="U89:X89"/>
    <mergeCell ref="U90:X90"/>
    <mergeCell ref="U91:X91"/>
    <mergeCell ref="U92:X92"/>
    <mergeCell ref="U93:X93"/>
    <mergeCell ref="U94:X94"/>
    <mergeCell ref="U95:X95"/>
    <mergeCell ref="U96:X96"/>
    <mergeCell ref="U114:X114"/>
    <mergeCell ref="U115:X115"/>
    <mergeCell ref="U32:X32"/>
    <mergeCell ref="U33:X33"/>
    <mergeCell ref="U34:X34"/>
    <mergeCell ref="U35:X35"/>
    <mergeCell ref="U36:X36"/>
    <mergeCell ref="D49:G49"/>
    <mergeCell ref="U46:X46"/>
    <mergeCell ref="D47:G47"/>
    <mergeCell ref="U47:X47"/>
    <mergeCell ref="D48:G48"/>
    <mergeCell ref="U48:X48"/>
    <mergeCell ref="U49:X49"/>
    <mergeCell ref="U50:X50"/>
    <mergeCell ref="U51:X51"/>
    <mergeCell ref="U52:X52"/>
    <mergeCell ref="U53:X53"/>
    <mergeCell ref="U54:X54"/>
    <mergeCell ref="D50:G50"/>
    <mergeCell ref="D51:G51"/>
    <mergeCell ref="D52:G52"/>
    <mergeCell ref="D53:G53"/>
    <mergeCell ref="D54:G54"/>
    <mergeCell ref="D20:G20"/>
    <mergeCell ref="D21:G21"/>
    <mergeCell ref="D22:G22"/>
    <mergeCell ref="D23:G23"/>
    <mergeCell ref="D24:G24"/>
    <mergeCell ref="D25:G25"/>
    <mergeCell ref="D26:G26"/>
    <mergeCell ref="D27:G27"/>
    <mergeCell ref="D28:G28"/>
    <mergeCell ref="D29:G29"/>
    <mergeCell ref="D30:G30"/>
    <mergeCell ref="D31:G31"/>
    <mergeCell ref="D32:G32"/>
    <mergeCell ref="D33:G33"/>
    <mergeCell ref="D34:G34"/>
    <mergeCell ref="D35:G35"/>
    <mergeCell ref="D36:G36"/>
    <mergeCell ref="D55:G55"/>
    <mergeCell ref="D56:G56"/>
    <mergeCell ref="D57:G57"/>
    <mergeCell ref="D58:G58"/>
    <mergeCell ref="D1098:G1098"/>
    <mergeCell ref="D1099:G1099"/>
    <mergeCell ref="D1100:G1100"/>
    <mergeCell ref="D1101:G1101"/>
    <mergeCell ref="D718:G718"/>
    <mergeCell ref="D719:G719"/>
    <mergeCell ref="D720:G720"/>
    <mergeCell ref="D721:G721"/>
    <mergeCell ref="D722:G722"/>
    <mergeCell ref="D723:G723"/>
    <mergeCell ref="D724:G724"/>
    <mergeCell ref="D725:G725"/>
    <mergeCell ref="D726:G726"/>
    <mergeCell ref="D727:G727"/>
    <mergeCell ref="D728:G728"/>
    <mergeCell ref="D729:G729"/>
    <mergeCell ref="D730:G730"/>
    <mergeCell ref="D731:G731"/>
    <mergeCell ref="D732:G732"/>
    <mergeCell ref="D861:G861"/>
    <mergeCell ref="D862:G862"/>
    <mergeCell ref="D830:G830"/>
    <mergeCell ref="D59:G59"/>
    <mergeCell ref="D795:G795"/>
    <mergeCell ref="D799:G799"/>
    <mergeCell ref="D800:G800"/>
    <mergeCell ref="D824:G824"/>
    <mergeCell ref="D746:G746"/>
    <mergeCell ref="D108:G108"/>
    <mergeCell ref="D109:G109"/>
    <mergeCell ref="D110:G110"/>
    <mergeCell ref="D111:G111"/>
    <mergeCell ref="D112:G112"/>
    <mergeCell ref="D113:G113"/>
    <mergeCell ref="D114:G114"/>
    <mergeCell ref="D115:G115"/>
    <mergeCell ref="D116:G116"/>
    <mergeCell ref="D117:G117"/>
    <mergeCell ref="D118:G118"/>
    <mergeCell ref="D119:G119"/>
    <mergeCell ref="D120:G120"/>
    <mergeCell ref="D121:G121"/>
    <mergeCell ref="D122:G122"/>
    <mergeCell ref="D123:G123"/>
    <mergeCell ref="D124:G124"/>
    <mergeCell ref="D125:G125"/>
    <mergeCell ref="D136:G136"/>
    <mergeCell ref="D831:G831"/>
    <mergeCell ref="D832:G832"/>
    <mergeCell ref="D833:G833"/>
    <mergeCell ref="D854:G854"/>
    <mergeCell ref="D836:G836"/>
    <mergeCell ref="D486:G486"/>
    <mergeCell ref="D487:G487"/>
    <mergeCell ref="D488:G488"/>
    <mergeCell ref="D840:G840"/>
    <mergeCell ref="D841:G841"/>
    <mergeCell ref="D842:G842"/>
    <mergeCell ref="D843:G843"/>
    <mergeCell ref="D844:G844"/>
    <mergeCell ref="D845:G845"/>
    <mergeCell ref="D846:G846"/>
    <mergeCell ref="D847:G847"/>
    <mergeCell ref="D848:G848"/>
    <mergeCell ref="D849:G849"/>
    <mergeCell ref="D850:G850"/>
    <mergeCell ref="D851:G851"/>
    <mergeCell ref="D852:G852"/>
    <mergeCell ref="D853:G853"/>
    <mergeCell ref="D764:G764"/>
    <mergeCell ref="D772:G772"/>
    <mergeCell ref="D834:G834"/>
    <mergeCell ref="D835:G835"/>
    <mergeCell ref="D837:G837"/>
    <mergeCell ref="D838:G838"/>
    <mergeCell ref="D839:G839"/>
    <mergeCell ref="D751:G751"/>
    <mergeCell ref="D1081:G1081"/>
    <mergeCell ref="D1082:G1082"/>
    <mergeCell ref="D1083:G1083"/>
    <mergeCell ref="U835:X835"/>
    <mergeCell ref="U836:X836"/>
    <mergeCell ref="U837:X837"/>
    <mergeCell ref="U838:X838"/>
    <mergeCell ref="U839:X839"/>
    <mergeCell ref="U828:X828"/>
    <mergeCell ref="D829:G829"/>
    <mergeCell ref="U829:X829"/>
    <mergeCell ref="D807:G807"/>
    <mergeCell ref="D808:G808"/>
    <mergeCell ref="D809:G809"/>
    <mergeCell ref="D810:G810"/>
    <mergeCell ref="D811:G811"/>
    <mergeCell ref="D812:G812"/>
    <mergeCell ref="D813:G813"/>
    <mergeCell ref="D814:G814"/>
    <mergeCell ref="D815:G815"/>
    <mergeCell ref="D816:G816"/>
    <mergeCell ref="D817:G817"/>
    <mergeCell ref="D818:G818"/>
    <mergeCell ref="D819:G819"/>
    <mergeCell ref="D820:G820"/>
    <mergeCell ref="D821:G821"/>
    <mergeCell ref="D822:G822"/>
    <mergeCell ref="D823:G823"/>
    <mergeCell ref="U818:X818"/>
    <mergeCell ref="U819:X819"/>
    <mergeCell ref="U820:X820"/>
    <mergeCell ref="U821:X821"/>
    <mergeCell ref="D756:G756"/>
    <mergeCell ref="D757:G757"/>
    <mergeCell ref="D758:G758"/>
    <mergeCell ref="D759:G759"/>
    <mergeCell ref="D760:G760"/>
    <mergeCell ref="D761:G761"/>
    <mergeCell ref="D762:G762"/>
    <mergeCell ref="D763:G763"/>
    <mergeCell ref="U751:X751"/>
    <mergeCell ref="D741:G741"/>
    <mergeCell ref="U741:X741"/>
    <mergeCell ref="D742:G742"/>
    <mergeCell ref="U742:X742"/>
    <mergeCell ref="D743:G743"/>
    <mergeCell ref="U743:X743"/>
    <mergeCell ref="D744:G744"/>
    <mergeCell ref="U744:X744"/>
    <mergeCell ref="D745:G745"/>
    <mergeCell ref="U745:X745"/>
    <mergeCell ref="U752:X752"/>
    <mergeCell ref="U753:X753"/>
    <mergeCell ref="U754:X754"/>
    <mergeCell ref="U755:X755"/>
    <mergeCell ref="U756:X756"/>
    <mergeCell ref="U757:X757"/>
    <mergeCell ref="U758:X758"/>
    <mergeCell ref="D716:G716"/>
    <mergeCell ref="U716:X716"/>
    <mergeCell ref="D717:G717"/>
    <mergeCell ref="U717:X717"/>
    <mergeCell ref="D735:G735"/>
    <mergeCell ref="U738:X738"/>
    <mergeCell ref="D739:G739"/>
    <mergeCell ref="U739:X739"/>
    <mergeCell ref="D740:G740"/>
    <mergeCell ref="U740:X740"/>
    <mergeCell ref="D733:G733"/>
    <mergeCell ref="D734:G734"/>
    <mergeCell ref="U718:X718"/>
    <mergeCell ref="U719:X719"/>
    <mergeCell ref="U720:X720"/>
    <mergeCell ref="U721:X721"/>
    <mergeCell ref="U722:X722"/>
    <mergeCell ref="U723:X723"/>
    <mergeCell ref="U724:X724"/>
    <mergeCell ref="U725:X725"/>
    <mergeCell ref="U726:X726"/>
    <mergeCell ref="U727:X727"/>
    <mergeCell ref="U728:X728"/>
    <mergeCell ref="U729:X729"/>
    <mergeCell ref="D711:G711"/>
    <mergeCell ref="U711:X711"/>
    <mergeCell ref="D712:G712"/>
    <mergeCell ref="U712:X712"/>
    <mergeCell ref="D713:G713"/>
    <mergeCell ref="U713:X713"/>
    <mergeCell ref="D714:G714"/>
    <mergeCell ref="U714:X714"/>
    <mergeCell ref="D715:G715"/>
    <mergeCell ref="U715:X715"/>
    <mergeCell ref="D75:G75"/>
    <mergeCell ref="U75:X75"/>
    <mergeCell ref="I706:M706"/>
    <mergeCell ref="U709:X709"/>
    <mergeCell ref="D710:G710"/>
    <mergeCell ref="U710:X710"/>
    <mergeCell ref="D164:G164"/>
    <mergeCell ref="D133:G133"/>
    <mergeCell ref="U133:X133"/>
    <mergeCell ref="D134:G134"/>
    <mergeCell ref="U134:X134"/>
    <mergeCell ref="D135:G135"/>
    <mergeCell ref="U135:X135"/>
    <mergeCell ref="D505:G505"/>
    <mergeCell ref="D512:G512"/>
    <mergeCell ref="D513:G513"/>
    <mergeCell ref="D481:G481"/>
    <mergeCell ref="U481:X481"/>
    <mergeCell ref="D482:G482"/>
    <mergeCell ref="U482:X482"/>
    <mergeCell ref="D483:G483"/>
    <mergeCell ref="U483:X483"/>
    <mergeCell ref="B3:F3"/>
    <mergeCell ref="D156:G156"/>
    <mergeCell ref="D163:G163"/>
    <mergeCell ref="D126:G126"/>
    <mergeCell ref="D46:G46"/>
    <mergeCell ref="D17:G17"/>
    <mergeCell ref="U130:X130"/>
    <mergeCell ref="D131:G131"/>
    <mergeCell ref="U131:X131"/>
    <mergeCell ref="D132:G132"/>
    <mergeCell ref="U132:X132"/>
    <mergeCell ref="D97:G97"/>
    <mergeCell ref="U100:X100"/>
    <mergeCell ref="D101:G101"/>
    <mergeCell ref="U101:X101"/>
    <mergeCell ref="D102:G102"/>
    <mergeCell ref="U43:X43"/>
    <mergeCell ref="D44:G44"/>
    <mergeCell ref="U44:X44"/>
    <mergeCell ref="D45:G45"/>
    <mergeCell ref="U102:X102"/>
    <mergeCell ref="D66:G66"/>
    <mergeCell ref="U71:X71"/>
    <mergeCell ref="D72:G72"/>
    <mergeCell ref="U72:X72"/>
    <mergeCell ref="D73:G73"/>
    <mergeCell ref="U73:X73"/>
    <mergeCell ref="I8:M8"/>
    <mergeCell ref="U11:X11"/>
    <mergeCell ref="D12:G12"/>
    <mergeCell ref="U12:X12"/>
    <mergeCell ref="D13:G13"/>
    <mergeCell ref="U13:X13"/>
    <mergeCell ref="U17:X17"/>
    <mergeCell ref="D18:G18"/>
    <mergeCell ref="U18:X18"/>
    <mergeCell ref="D14:G14"/>
    <mergeCell ref="U14:X14"/>
    <mergeCell ref="D15:G15"/>
    <mergeCell ref="U15:X15"/>
    <mergeCell ref="D16:G16"/>
    <mergeCell ref="U16:X16"/>
    <mergeCell ref="D19:G19"/>
    <mergeCell ref="U19:X19"/>
    <mergeCell ref="U45:X45"/>
    <mergeCell ref="D37:G37"/>
    <mergeCell ref="U40:X40"/>
    <mergeCell ref="D41:G41"/>
    <mergeCell ref="U41:X41"/>
    <mergeCell ref="D42:G42"/>
    <mergeCell ref="U42:X42"/>
    <mergeCell ref="D43:G43"/>
    <mergeCell ref="U20:X20"/>
    <mergeCell ref="U21:X21"/>
    <mergeCell ref="U22:X22"/>
    <mergeCell ref="U23:X23"/>
    <mergeCell ref="U24:X24"/>
    <mergeCell ref="U25:X25"/>
    <mergeCell ref="U26:X26"/>
    <mergeCell ref="U27:X27"/>
    <mergeCell ref="U28:X28"/>
    <mergeCell ref="U29:X29"/>
    <mergeCell ref="U30:X30"/>
    <mergeCell ref="U31:X31"/>
    <mergeCell ref="D412:G412"/>
    <mergeCell ref="D413:G413"/>
    <mergeCell ref="D452:G452"/>
    <mergeCell ref="U452:X452"/>
    <mergeCell ref="D426:G426"/>
    <mergeCell ref="U426:X426"/>
    <mergeCell ref="D425:G425"/>
    <mergeCell ref="U425:X425"/>
    <mergeCell ref="D459:G459"/>
    <mergeCell ref="D460:G460"/>
    <mergeCell ref="D423:G423"/>
    <mergeCell ref="U423:X423"/>
    <mergeCell ref="U427:X427"/>
    <mergeCell ref="U451:X451"/>
    <mergeCell ref="U428:X428"/>
    <mergeCell ref="U429:X429"/>
    <mergeCell ref="U430:X430"/>
    <mergeCell ref="U431:X431"/>
    <mergeCell ref="U432:X432"/>
    <mergeCell ref="U433:X433"/>
    <mergeCell ref="U434:X434"/>
    <mergeCell ref="U435:X435"/>
    <mergeCell ref="U436:X436"/>
    <mergeCell ref="U453:X453"/>
    <mergeCell ref="U454:X454"/>
    <mergeCell ref="U455:X455"/>
    <mergeCell ref="U456:X456"/>
    <mergeCell ref="U457:X457"/>
    <mergeCell ref="U458:X458"/>
    <mergeCell ref="U459:X459"/>
    <mergeCell ref="U460:X460"/>
    <mergeCell ref="D1144:G1144"/>
    <mergeCell ref="U1147:X1147"/>
    <mergeCell ref="D1148:G1148"/>
    <mergeCell ref="U1148:X1148"/>
    <mergeCell ref="D1149:G1149"/>
    <mergeCell ref="U1149:X1149"/>
    <mergeCell ref="D1173:G1173"/>
    <mergeCell ref="U1177:X1177"/>
    <mergeCell ref="D464:G464"/>
    <mergeCell ref="D465:G465"/>
    <mergeCell ref="D396:G396"/>
    <mergeCell ref="U396:X396"/>
    <mergeCell ref="D397:G397"/>
    <mergeCell ref="U397:X397"/>
    <mergeCell ref="D415:G415"/>
    <mergeCell ref="D475:G475"/>
    <mergeCell ref="U479:X479"/>
    <mergeCell ref="D480:G480"/>
    <mergeCell ref="U480:X480"/>
    <mergeCell ref="D399:G399"/>
    <mergeCell ref="D400:G400"/>
    <mergeCell ref="D401:G401"/>
    <mergeCell ref="D402:G402"/>
    <mergeCell ref="D403:G403"/>
    <mergeCell ref="D404:G404"/>
    <mergeCell ref="D405:G405"/>
    <mergeCell ref="D406:G406"/>
    <mergeCell ref="D407:G407"/>
    <mergeCell ref="D408:G408"/>
    <mergeCell ref="D409:G409"/>
    <mergeCell ref="D410:G410"/>
    <mergeCell ref="D411:G411"/>
    <mergeCell ref="D362:G362"/>
    <mergeCell ref="U362:X362"/>
    <mergeCell ref="D363:G363"/>
    <mergeCell ref="U363:X363"/>
    <mergeCell ref="D364:G364"/>
    <mergeCell ref="U364:X364"/>
    <mergeCell ref="D365:G365"/>
    <mergeCell ref="U365:X365"/>
    <mergeCell ref="D366:G366"/>
    <mergeCell ref="U366:X366"/>
    <mergeCell ref="D367:G367"/>
    <mergeCell ref="U367:X367"/>
    <mergeCell ref="D368:G368"/>
    <mergeCell ref="U368:X368"/>
    <mergeCell ref="D386:G386"/>
    <mergeCell ref="U389:X389"/>
    <mergeCell ref="D390:G390"/>
    <mergeCell ref="U390:X390"/>
    <mergeCell ref="U369:X369"/>
    <mergeCell ref="U370:X370"/>
    <mergeCell ref="U371:X371"/>
    <mergeCell ref="U372:X372"/>
    <mergeCell ref="U373:X373"/>
    <mergeCell ref="U374:X374"/>
    <mergeCell ref="U375:X375"/>
    <mergeCell ref="U376:X376"/>
    <mergeCell ref="U377:X377"/>
    <mergeCell ref="D370:G370"/>
    <mergeCell ref="D371:G371"/>
    <mergeCell ref="D372:G372"/>
    <mergeCell ref="D373:G373"/>
    <mergeCell ref="D374:G374"/>
    <mergeCell ref="D1408:G1408"/>
    <mergeCell ref="U1408:X1408"/>
    <mergeCell ref="D1210:G1210"/>
    <mergeCell ref="D1178:G1178"/>
    <mergeCell ref="U1178:X1178"/>
    <mergeCell ref="D1179:G1179"/>
    <mergeCell ref="U1179:X1179"/>
    <mergeCell ref="D1180:G1180"/>
    <mergeCell ref="U1180:X1180"/>
    <mergeCell ref="D1154:G1154"/>
    <mergeCell ref="D1155:G1155"/>
    <mergeCell ref="D1156:G1156"/>
    <mergeCell ref="D1157:G1157"/>
    <mergeCell ref="D1158:G1158"/>
    <mergeCell ref="D1159:G1159"/>
    <mergeCell ref="D1160:G1160"/>
    <mergeCell ref="D1094:G1094"/>
    <mergeCell ref="U1094:X1094"/>
    <mergeCell ref="D1095:G1095"/>
    <mergeCell ref="U1095:X1095"/>
    <mergeCell ref="D1113:G1113"/>
    <mergeCell ref="U1118:X1118"/>
    <mergeCell ref="D1119:G1119"/>
    <mergeCell ref="U1119:X1119"/>
    <mergeCell ref="D1120:G1120"/>
    <mergeCell ref="U1120:X1120"/>
    <mergeCell ref="D1102:G1102"/>
    <mergeCell ref="D1103:G1103"/>
    <mergeCell ref="D1104:G1104"/>
    <mergeCell ref="D1105:G1105"/>
    <mergeCell ref="D1106:G1106"/>
    <mergeCell ref="D1107:G1107"/>
    <mergeCell ref="U360:X360"/>
    <mergeCell ref="U1158:X1158"/>
    <mergeCell ref="D1084:G1084"/>
    <mergeCell ref="U1087:X1087"/>
    <mergeCell ref="D1088:G1088"/>
    <mergeCell ref="U1088:X1088"/>
    <mergeCell ref="U1075:X1075"/>
    <mergeCell ref="U1076:X1076"/>
    <mergeCell ref="U1077:X1077"/>
    <mergeCell ref="U1078:X1078"/>
    <mergeCell ref="U1079:X1079"/>
    <mergeCell ref="U1080:X1080"/>
    <mergeCell ref="U1081:X1081"/>
    <mergeCell ref="U1082:X1082"/>
    <mergeCell ref="U1083:X1083"/>
    <mergeCell ref="D1075:G1075"/>
    <mergeCell ref="U1407:X1407"/>
    <mergeCell ref="U1099:X1099"/>
    <mergeCell ref="U1100:X1100"/>
    <mergeCell ref="U1101:X1101"/>
    <mergeCell ref="U1102:X1102"/>
    <mergeCell ref="U1096:X1096"/>
    <mergeCell ref="U1097:X1097"/>
    <mergeCell ref="U1098:X1098"/>
    <mergeCell ref="D1096:G1096"/>
    <mergeCell ref="D1097:G1097"/>
    <mergeCell ref="D1211:G1211"/>
    <mergeCell ref="D1181:G1181"/>
    <mergeCell ref="U1181:X1181"/>
    <mergeCell ref="D1182:G1182"/>
    <mergeCell ref="U1182:X1182"/>
    <mergeCell ref="D1203:G1203"/>
    <mergeCell ref="U1417:X1417"/>
    <mergeCell ref="D1161:G1161"/>
    <mergeCell ref="D1409:G1409"/>
    <mergeCell ref="U1409:X1409"/>
    <mergeCell ref="D1410:G1410"/>
    <mergeCell ref="U1410:X1410"/>
    <mergeCell ref="I1055:M1055"/>
    <mergeCell ref="D74:G74"/>
    <mergeCell ref="U74:X74"/>
    <mergeCell ref="D424:G424"/>
    <mergeCell ref="U424:X424"/>
    <mergeCell ref="I1404:M1404"/>
    <mergeCell ref="U1058:X1058"/>
    <mergeCell ref="D1059:G1059"/>
    <mergeCell ref="U1059:X1059"/>
    <mergeCell ref="D1060:G1060"/>
    <mergeCell ref="U1060:X1060"/>
    <mergeCell ref="D1061:G1061"/>
    <mergeCell ref="U1061:X1061"/>
    <mergeCell ref="D1062:G1062"/>
    <mergeCell ref="U1062:X1062"/>
    <mergeCell ref="D1063:G1063"/>
    <mergeCell ref="U1063:X1063"/>
    <mergeCell ref="D76:G76"/>
    <mergeCell ref="U76:X76"/>
    <mergeCell ref="D77:G77"/>
    <mergeCell ref="U77:X77"/>
    <mergeCell ref="D103:G103"/>
    <mergeCell ref="U103:X103"/>
    <mergeCell ref="D104:G104"/>
    <mergeCell ref="U104:X104"/>
    <mergeCell ref="I357:M357"/>
    <mergeCell ref="D1488:G1488"/>
    <mergeCell ref="D361:G361"/>
    <mergeCell ref="D1414:G1414"/>
    <mergeCell ref="U1414:X1414"/>
    <mergeCell ref="D1415:G1415"/>
    <mergeCell ref="U1415:X1415"/>
    <mergeCell ref="D1433:G1433"/>
    <mergeCell ref="U1436:X1436"/>
    <mergeCell ref="D1411:G1411"/>
    <mergeCell ref="U1411:X1411"/>
    <mergeCell ref="D1412:G1412"/>
    <mergeCell ref="U1412:X1412"/>
    <mergeCell ref="D1413:G1413"/>
    <mergeCell ref="U1413:X1413"/>
    <mergeCell ref="D1416:G1416"/>
    <mergeCell ref="D1417:G1417"/>
    <mergeCell ref="D1418:G1418"/>
    <mergeCell ref="D1419:G1419"/>
    <mergeCell ref="D1420:G1420"/>
    <mergeCell ref="D1421:G1421"/>
    <mergeCell ref="D1422:G1422"/>
    <mergeCell ref="D1423:G1423"/>
    <mergeCell ref="D1424:G1424"/>
    <mergeCell ref="D1425:G1425"/>
    <mergeCell ref="D1426:G1426"/>
    <mergeCell ref="D1427:G1427"/>
    <mergeCell ref="D1428:G1428"/>
    <mergeCell ref="D1429:G1429"/>
    <mergeCell ref="D1430:G1430"/>
    <mergeCell ref="D1431:G1431"/>
    <mergeCell ref="D1432:G1432"/>
    <mergeCell ref="U1416:X1416"/>
    <mergeCell ref="U1468:X1468"/>
    <mergeCell ref="U1418:X1418"/>
    <mergeCell ref="U1469:X1469"/>
    <mergeCell ref="D1493:G1493"/>
    <mergeCell ref="U1496:X1496"/>
    <mergeCell ref="D1443:G1443"/>
    <mergeCell ref="U1443:X1443"/>
    <mergeCell ref="D1444:G1444"/>
    <mergeCell ref="U1444:X1444"/>
    <mergeCell ref="D1462:G1462"/>
    <mergeCell ref="U1467:X1467"/>
    <mergeCell ref="D1445:G1445"/>
    <mergeCell ref="D1446:G1446"/>
    <mergeCell ref="D1447:G1447"/>
    <mergeCell ref="D1448:G1448"/>
    <mergeCell ref="D1449:G1449"/>
    <mergeCell ref="D1450:G1450"/>
    <mergeCell ref="D1451:G1451"/>
    <mergeCell ref="D1459:G1459"/>
    <mergeCell ref="D1460:G1460"/>
    <mergeCell ref="D1461:G1461"/>
    <mergeCell ref="U1448:X1448"/>
    <mergeCell ref="U1449:X1449"/>
    <mergeCell ref="U1450:X1450"/>
    <mergeCell ref="U1451:X1451"/>
    <mergeCell ref="U1452:X1452"/>
    <mergeCell ref="U1453:X1453"/>
    <mergeCell ref="U1454:X1454"/>
    <mergeCell ref="U1455:X1455"/>
    <mergeCell ref="U1456:X1456"/>
    <mergeCell ref="U1457:X1457"/>
    <mergeCell ref="D1490:G1490"/>
    <mergeCell ref="D1469:G1469"/>
    <mergeCell ref="D1489:G1489"/>
    <mergeCell ref="U361:X361"/>
    <mergeCell ref="D391:G391"/>
    <mergeCell ref="U391:X391"/>
    <mergeCell ref="D392:G392"/>
    <mergeCell ref="U392:X392"/>
    <mergeCell ref="D393:G393"/>
    <mergeCell ref="U393:X393"/>
    <mergeCell ref="D394:G394"/>
    <mergeCell ref="U394:X394"/>
    <mergeCell ref="D395:G395"/>
    <mergeCell ref="U395:X395"/>
    <mergeCell ref="D1560:G1560"/>
    <mergeCell ref="D1530:G1530"/>
    <mergeCell ref="U1530:X1530"/>
    <mergeCell ref="D1531:G1531"/>
    <mergeCell ref="U1531:X1531"/>
    <mergeCell ref="D1552:G1552"/>
    <mergeCell ref="D1559:G1559"/>
    <mergeCell ref="D1527:G1527"/>
    <mergeCell ref="U1527:X1527"/>
    <mergeCell ref="D1528:G1528"/>
    <mergeCell ref="U1528:X1528"/>
    <mergeCell ref="D1529:G1529"/>
    <mergeCell ref="U1529:X1529"/>
    <mergeCell ref="D1497:G1497"/>
    <mergeCell ref="U1497:X1497"/>
    <mergeCell ref="D1498:G1498"/>
    <mergeCell ref="U1498:X1498"/>
    <mergeCell ref="D1522:G1522"/>
    <mergeCell ref="D1468:G1468"/>
  </mergeCells>
  <dataValidations count="30">
    <dataValidation type="list" allowBlank="1" showInputMessage="1" showErrorMessage="1" sqref="D131:G135 D136:G155" xr:uid="{00000000-0002-0000-1300-000000000000}">
      <formula1>LU_ACT_11_ODCS</formula1>
    </dataValidation>
    <dataValidation type="list" allowBlank="1" showInputMessage="1" showErrorMessage="1" sqref="D101:G104 D105:G125" xr:uid="{00000000-0002-0000-1300-000001000000}">
      <formula1>LU_ACT_11_Equipment</formula1>
    </dataValidation>
    <dataValidation type="list" allowBlank="1" showInputMessage="1" showErrorMessage="1" sqref="D72:G77 D78:G96" xr:uid="{00000000-0002-0000-1300-000002000000}">
      <formula1>LU_ACT_11_Supplies</formula1>
    </dataValidation>
    <dataValidation type="list" allowBlank="1" showInputMessage="1" showErrorMessage="1" sqref="D41:G48 D49:G65" xr:uid="{00000000-0002-0000-1300-000003000000}">
      <formula1>LU_ACT_11_Allowances</formula1>
    </dataValidation>
    <dataValidation type="list" allowBlank="1" showInputMessage="1" showErrorMessage="1" sqref="D12:G19 D20:G36" xr:uid="{00000000-0002-0000-1300-000004000000}">
      <formula1>LU_ACT_11_Pers_Res</formula1>
    </dataValidation>
    <dataValidation type="list" allowBlank="1" showInputMessage="1" showErrorMessage="1" sqref="D480:G484 D485:G504" xr:uid="{00000000-0002-0000-1300-000006000000}">
      <formula1>LU_ACT_12_ODCS</formula1>
    </dataValidation>
    <dataValidation type="list" allowBlank="1" showInputMessage="1" showErrorMessage="1" sqref="D450:G452 D453:G474" xr:uid="{00000000-0002-0000-1300-000007000000}">
      <formula1>LU_ACT_12_Equipment</formula1>
    </dataValidation>
    <dataValidation type="list" allowBlank="1" showInputMessage="1" showErrorMessage="1" sqref="D421:G426 D427:G445" xr:uid="{00000000-0002-0000-1300-000008000000}">
      <formula1>LU_ACT_12_Supplies</formula1>
    </dataValidation>
    <dataValidation type="list" allowBlank="1" showInputMessage="1" showErrorMessage="1" sqref="D390:G397 D398:G414" xr:uid="{00000000-0002-0000-1300-000009000000}">
      <formula1>LU_ACT_12_Allowances</formula1>
    </dataValidation>
    <dataValidation type="list" allowBlank="1" showInputMessage="1" showErrorMessage="1" sqref="D361:G368 D369:G385" xr:uid="{00000000-0002-0000-1300-00000A000000}">
      <formula1>LU_ACT_12_Pers_Res</formula1>
    </dataValidation>
    <dataValidation type="list" allowBlank="1" showInputMessage="1" showErrorMessage="1" sqref="D1178:G1182 D1183:G1202" xr:uid="{00000000-0002-0000-1300-00000C000000}">
      <formula1>LU_ACT_13_ODCS</formula1>
    </dataValidation>
    <dataValidation type="list" allowBlank="1" showInputMessage="1" showErrorMessage="1" sqref="D1148:G1149 D1150:G1172" xr:uid="{00000000-0002-0000-1300-00000D000000}">
      <formula1>LU_ACT_13_Equipment</formula1>
    </dataValidation>
    <dataValidation type="list" allowBlank="1" showInputMessage="1" showErrorMessage="1" sqref="D1119:G1120 D1121:G1143" xr:uid="{00000000-0002-0000-1300-00000E000000}">
      <formula1>LU_ACT_13_Supplies</formula1>
    </dataValidation>
    <dataValidation type="list" allowBlank="1" showInputMessage="1" showErrorMessage="1" sqref="D1088:G1095 D1096:G1112" xr:uid="{00000000-0002-0000-1300-00000F000000}">
      <formula1>LU_ACT_13_Allowances</formula1>
    </dataValidation>
    <dataValidation type="list" allowBlank="1" showInputMessage="1" showErrorMessage="1" sqref="D1059:G1066 D1067:G1083" xr:uid="{00000000-0002-0000-1300-000010000000}">
      <formula1>LU_ACT_13_Pers_Res</formula1>
    </dataValidation>
    <dataValidation type="list" allowBlank="1" showInputMessage="1" showErrorMessage="1" sqref="D1408:G1415 D1416:G1432" xr:uid="{00000000-0002-0000-1300-000012000000}">
      <formula1>LU_ACT_23_Pers_Res</formula1>
    </dataValidation>
    <dataValidation type="list" allowBlank="1" showInputMessage="1" showErrorMessage="1" sqref="D1437:G1444 D1445:G1461" xr:uid="{00000000-0002-0000-1300-000013000000}">
      <formula1>LU_ACT_23_Allowances</formula1>
    </dataValidation>
    <dataValidation type="list" allowBlank="1" showInputMessage="1" showErrorMessage="1" sqref="D1468:G1469 D1470:G1492" xr:uid="{00000000-0002-0000-1300-000014000000}">
      <formula1>LU_ACT_23_Supplies</formula1>
    </dataValidation>
    <dataValidation type="list" allowBlank="1" showInputMessage="1" showErrorMessage="1" sqref="D1497:G1498 D1499:G1521" xr:uid="{00000000-0002-0000-1300-000015000000}">
      <formula1>LU_ACT_23_Equipment</formula1>
    </dataValidation>
    <dataValidation type="list" allowBlank="1" showInputMessage="1" showErrorMessage="1" sqref="D1527:G1531 D1532:G1551" xr:uid="{00000000-0002-0000-1300-000016000000}">
      <formula1>LU_ACT_23_ODCS</formula1>
    </dataValidation>
    <dataValidation type="list" allowBlank="1" showInputMessage="1" showErrorMessage="1" sqref="D710:G717 D718:G734" xr:uid="{00000000-0002-0000-1300-000018000000}">
      <formula1>LU_ACT_26_Pers_Res</formula1>
    </dataValidation>
    <dataValidation type="list" allowBlank="1" showInputMessage="1" showErrorMessage="1" sqref="D739:G746 D747:G763" xr:uid="{00000000-0002-0000-1300-000019000000}">
      <formula1>LU_ACT_26_Allowances</formula1>
    </dataValidation>
    <dataValidation type="list" allowBlank="1" showInputMessage="1" showErrorMessage="1" sqref="D770:G772 D773:G794" xr:uid="{00000000-0002-0000-1300-00001A000000}">
      <formula1>LU_ACT_26_Supplies</formula1>
    </dataValidation>
    <dataValidation type="list" allowBlank="1" showInputMessage="1" showErrorMessage="1" sqref="D799:G800 D801:G823" xr:uid="{00000000-0002-0000-1300-00001B000000}">
      <formula1>LU_ACT_26_Equipment</formula1>
    </dataValidation>
    <dataValidation type="list" allowBlank="1" showInputMessage="1" showErrorMessage="1" sqref="D829:G833 D834:G853" xr:uid="{00000000-0002-0000-1300-00001C000000}">
      <formula1>LU_ACT_26_ODCS</formula1>
    </dataValidation>
    <dataValidation type="whole" showDropDown="1" showErrorMessage="1" errorTitle="Drop Down Box Cell Link" error="The value in a drop down box cell link must be a whole number within the control's lookup range rows." sqref="I9" xr:uid="{19392F7E-8FFC-49CC-9831-5315C684EA83}">
      <formula1>1</formula1>
      <formula2>ROWS(LU_ACT_11_Meet_Curr)</formula2>
    </dataValidation>
    <dataValidation type="whole" showDropDown="1" showErrorMessage="1" errorTitle="Drop Down Box Cell Link" error="The value in a drop down box cell link must be a whole number within the control's lookup range rows." sqref="I358" xr:uid="{338C20ED-2E05-4C2E-9C79-B55D3B0EBC1B}">
      <formula1>1</formula1>
      <formula2>ROWS(LU_ACT_12_Meet_Curr)</formula2>
    </dataValidation>
    <dataValidation type="whole" showDropDown="1" showErrorMessage="1" errorTitle="Drop Down Box Cell Link" error="The value in a drop down box cell link must be a whole number within the control's lookup range rows." sqref="I707" xr:uid="{BDB8FD74-9E8D-42F2-A1AF-68A8BBB3815D}">
      <formula1>1</formula1>
      <formula2>ROWS(LU_ACT_26_Meet_Curr)</formula2>
    </dataValidation>
    <dataValidation type="whole" showDropDown="1" showErrorMessage="1" errorTitle="Drop Down Box Cell Link" error="The value in a drop down box cell link must be a whole number within the control's lookup range rows." sqref="I1056" xr:uid="{5FE2FA14-06E2-4520-A69C-64F94974722A}">
      <formula1>1</formula1>
      <formula2>ROWS(LU_ACT_13_Meet_Curr)</formula2>
    </dataValidation>
    <dataValidation type="whole" showDropDown="1" showErrorMessage="1" errorTitle="Drop Down Box Cell Link" error="The value in a drop down box cell link must be a whole number within the control's lookup range rows." sqref="I1405" xr:uid="{E4F6A742-FC33-4A34-A89E-E8C056665CA3}">
      <formula1>1</formula1>
      <formula2>ROWS(LU_ACT_23_Meet_Curr)</formula2>
    </dataValidation>
  </dataValidations>
  <hyperlinks>
    <hyperlink ref="A4" location="$B$5" tooltip="Go to Top of Sheet" display="$B$5" xr:uid="{00000000-0004-0000-1300-000000000000}"/>
    <hyperlink ref="B4" location="HL_Sheet_Main_33" tooltip="Go to Previous Sheet" display="HL_Sheet_Main_33" xr:uid="{00000000-0004-0000-1300-000001000000}"/>
    <hyperlink ref="C4" location="HL_Sheet_Main_36" tooltip="Go to Next Sheet" display="HL_Sheet_Main_36" xr:uid="{00000000-0004-0000-1300-000002000000}"/>
    <hyperlink ref="B3" location="HL_Home" tooltip="Go to Table of Contents" display="HL_Home" xr:uid="{00000000-0004-0000-1300-000003000000}"/>
    <hyperlink ref="D4" location="HL_Err_Chk" tooltip="Go to Error Checks" display="HL_Err_Chk" xr:uid="{00000000-0004-0000-1300-000004000000}"/>
    <hyperlink ref="F4" location="HL_Alt_Chk" tooltip="Go to Alert Checks" display="HL_Alt_Chk" xr:uid="{00000000-0004-0000-13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pmDropDownACT_11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75778" r:id="rId5" name="bpmDropDownACT_121">
              <controlPr defaultSize="0" autoFill="0" autoPict="0">
                <anchor moveWithCells="1">
                  <from>
                    <xdr:col>8</xdr:col>
                    <xdr:colOff>0</xdr:colOff>
                    <xdr:row>357</xdr:row>
                    <xdr:rowOff>0</xdr:rowOff>
                  </from>
                  <to>
                    <xdr:col>9</xdr:col>
                    <xdr:colOff>0</xdr:colOff>
                    <xdr:row>358</xdr:row>
                    <xdr:rowOff>0</xdr:rowOff>
                  </to>
                </anchor>
              </controlPr>
            </control>
          </mc:Choice>
        </mc:AlternateContent>
        <mc:AlternateContent xmlns:mc="http://schemas.openxmlformats.org/markup-compatibility/2006">
          <mc:Choice Requires="x14">
            <control shapeId="75779" r:id="rId6" name="bpmDropDownACT_131">
              <controlPr defaultSize="0" autoFill="0" autoPict="0">
                <anchor moveWithCells="1">
                  <from>
                    <xdr:col>8</xdr:col>
                    <xdr:colOff>0</xdr:colOff>
                    <xdr:row>1055</xdr:row>
                    <xdr:rowOff>0</xdr:rowOff>
                  </from>
                  <to>
                    <xdr:col>9</xdr:col>
                    <xdr:colOff>0</xdr:colOff>
                    <xdr:row>1056</xdr:row>
                    <xdr:rowOff>0</xdr:rowOff>
                  </to>
                </anchor>
              </controlPr>
            </control>
          </mc:Choice>
        </mc:AlternateContent>
        <mc:AlternateContent xmlns:mc="http://schemas.openxmlformats.org/markup-compatibility/2006">
          <mc:Choice Requires="x14">
            <control shapeId="75784" r:id="rId7" name="bpmDropDownACT_231">
              <controlPr defaultSize="0" autoFill="0" autoPict="0">
                <anchor moveWithCells="1">
                  <from>
                    <xdr:col>8</xdr:col>
                    <xdr:colOff>0</xdr:colOff>
                    <xdr:row>1404</xdr:row>
                    <xdr:rowOff>0</xdr:rowOff>
                  </from>
                  <to>
                    <xdr:col>9</xdr:col>
                    <xdr:colOff>0</xdr:colOff>
                    <xdr:row>1405</xdr:row>
                    <xdr:rowOff>0</xdr:rowOff>
                  </to>
                </anchor>
              </controlPr>
            </control>
          </mc:Choice>
        </mc:AlternateContent>
        <mc:AlternateContent xmlns:mc="http://schemas.openxmlformats.org/markup-compatibility/2006">
          <mc:Choice Requires="x14">
            <control shapeId="75789" r:id="rId8" name="bpmDropDownACT_261">
              <controlPr defaultSize="0" autoFill="0" autoPict="0">
                <anchor moveWithCells="1">
                  <from>
                    <xdr:col>8</xdr:col>
                    <xdr:colOff>0</xdr:colOff>
                    <xdr:row>706</xdr:row>
                    <xdr:rowOff>0</xdr:rowOff>
                  </from>
                  <to>
                    <xdr:col>9</xdr:col>
                    <xdr:colOff>0</xdr:colOff>
                    <xdr:row>707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autoPageBreaks="0"/>
  </sheetPr>
  <dimension ref="A1:X1401"/>
  <sheetViews>
    <sheetView showGridLines="0" zoomScaleNormal="100" workbookViewId="0">
      <pane xSplit="1" ySplit="4" topLeftCell="B806" activePane="bottomRight" state="frozen"/>
      <selection pane="topRight" activeCell="B1" sqref="B1"/>
      <selection pane="bottomLeft" activeCell="A5" sqref="A5"/>
      <selection pane="bottomRight" activeCell="W857" sqref="W857"/>
    </sheetView>
  </sheetViews>
  <sheetFormatPr defaultColWidth="11.6640625" defaultRowHeight="13.8" outlineLevelRow="1" x14ac:dyDescent="0.3"/>
  <cols>
    <col min="1" max="5" width="3.6640625" style="22" customWidth="1"/>
    <col min="6" max="7" width="11.6640625" style="22"/>
    <col min="8" max="8" width="1.88671875" style="22" customWidth="1"/>
    <col min="9" max="9" width="11.6640625" style="22"/>
    <col min="10" max="10" width="3" style="22" customWidth="1"/>
    <col min="11" max="11" width="11.6640625" style="22"/>
    <col min="12" max="12" width="3.109375" style="22" customWidth="1"/>
    <col min="13" max="13" width="11.6640625" style="22" customWidth="1"/>
    <col min="14" max="14" width="1.44140625" style="22" customWidth="1"/>
    <col min="15" max="15" width="11.6640625" style="22"/>
    <col min="16" max="16" width="2.88671875" style="22" customWidth="1"/>
    <col min="17" max="17" width="11.6640625" style="22"/>
    <col min="18" max="18" width="2.44140625" style="22" customWidth="1"/>
    <col min="19" max="19" width="11.6640625" style="22"/>
    <col min="20" max="20" width="1.44140625" style="22" customWidth="1"/>
    <col min="21" max="16384" width="11.6640625" style="22"/>
  </cols>
  <sheetData>
    <row r="1" spans="1:24" ht="23.4" x14ac:dyDescent="0.3">
      <c r="B1" s="24" t="s">
        <v>515</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row>
    <row r="7" spans="1:24" ht="18" x14ac:dyDescent="0.3">
      <c r="B7" s="31" t="str">
        <f>I8</f>
        <v>Round 2 - Vacciination Activity #1 [not in use]</v>
      </c>
    </row>
    <row r="8" spans="1:24" x14ac:dyDescent="0.3">
      <c r="G8" s="41" t="s">
        <v>119</v>
      </c>
      <c r="I8" s="356" t="s">
        <v>1010</v>
      </c>
      <c r="J8" s="356"/>
      <c r="K8" s="356"/>
      <c r="L8" s="356"/>
      <c r="M8" s="356"/>
    </row>
    <row r="9" spans="1:24" ht="10.5" customHeight="1" x14ac:dyDescent="0.3">
      <c r="G9" s="41" t="s">
        <v>644</v>
      </c>
      <c r="I9" s="32">
        <v>2</v>
      </c>
    </row>
    <row r="10" spans="1:24" ht="15.6" x14ac:dyDescent="0.3">
      <c r="C10" s="92" t="s">
        <v>77</v>
      </c>
      <c r="M10" s="40" t="str">
        <f>IF(DD_ACT_14_Meet1_Curr=1,$D$163,$D$164)</f>
        <v>GOZ</v>
      </c>
      <c r="O10" s="40" t="str">
        <f>IF(DD_ACT_14_Meet1_Curr=1,$D$163,$D$164)</f>
        <v>GOZ</v>
      </c>
      <c r="Q10" s="40" t="str">
        <f>IF(DD_ACT_14_Meet1_Curr=1,$D$163,$D$164)</f>
        <v>GOZ</v>
      </c>
      <c r="S10" s="40" t="str">
        <f>IF(DD_ACT_14_Meet1_Curr=1,$D$163,$D$164)</f>
        <v>GOZ</v>
      </c>
    </row>
    <row r="11" spans="1:24" ht="27.6" x14ac:dyDescent="0.3">
      <c r="D11" s="90" t="s">
        <v>77</v>
      </c>
      <c r="I11" s="88" t="s">
        <v>80</v>
      </c>
      <c r="K11" s="91" t="s">
        <v>187</v>
      </c>
      <c r="M11" s="42" t="s">
        <v>103</v>
      </c>
      <c r="O11" s="42" t="s">
        <v>104</v>
      </c>
      <c r="Q11" s="42" t="s">
        <v>105</v>
      </c>
      <c r="S11" s="42" t="s">
        <v>106</v>
      </c>
      <c r="U11" s="350" t="s">
        <v>185</v>
      </c>
      <c r="V11" s="351"/>
      <c r="W11" s="351"/>
      <c r="X11" s="351"/>
    </row>
    <row r="12" spans="1:24" x14ac:dyDescent="0.3">
      <c r="D12" s="356" t="s">
        <v>188</v>
      </c>
      <c r="E12" s="356"/>
      <c r="F12" s="356"/>
      <c r="G12" s="356"/>
      <c r="I12" s="48">
        <v>0</v>
      </c>
      <c r="K12" s="48">
        <v>0</v>
      </c>
      <c r="M12" s="40">
        <f t="shared" ref="M12:M36" si="0">IFERROR(IF(DD_ACT_14_Meet1_Curr=1,INDEX($M$169:$M$203,MATCH(D12,LU_ACT_14_Pers_Res,0)),INDEX($Q$169:$Q$203,MATCH(D12,LU_ACT_14_Pers_Res,0))),0)</f>
        <v>0</v>
      </c>
      <c r="O12" s="40">
        <f t="shared" ref="O12:O36" si="1">IFERROR(IF(DD_ACT_14_Meet1_Curr=1,INDEX($O$169:$O$203,MATCH(D12,LU_ACT_14_Pers_Res,0)),INDEX($S$169:$S$203,MATCH(D12,LU_ACT_14_Pers_Res,0))),0)</f>
        <v>0</v>
      </c>
      <c r="Q12" s="293">
        <f t="shared" ref="Q12:Q36" si="2">I12*K12*M12</f>
        <v>0</v>
      </c>
      <c r="S12" s="293">
        <f t="shared" ref="S12:S36" si="3">I12*K12*O12</f>
        <v>0</v>
      </c>
      <c r="U12" s="356"/>
      <c r="V12" s="356"/>
      <c r="W12" s="356"/>
      <c r="X12" s="356"/>
    </row>
    <row r="13" spans="1:24" x14ac:dyDescent="0.3">
      <c r="D13" s="356" t="s">
        <v>189</v>
      </c>
      <c r="E13" s="356"/>
      <c r="F13" s="356"/>
      <c r="G13" s="356"/>
      <c r="I13" s="48">
        <v>0</v>
      </c>
      <c r="K13" s="48">
        <v>0</v>
      </c>
      <c r="M13" s="40">
        <f t="shared" si="0"/>
        <v>0</v>
      </c>
      <c r="O13" s="40">
        <f t="shared" si="1"/>
        <v>0</v>
      </c>
      <c r="Q13" s="293">
        <f t="shared" si="2"/>
        <v>0</v>
      </c>
      <c r="S13" s="293">
        <f t="shared" si="3"/>
        <v>0</v>
      </c>
      <c r="U13" s="356"/>
      <c r="V13" s="356"/>
      <c r="W13" s="356"/>
      <c r="X13" s="356"/>
    </row>
    <row r="14" spans="1:24" x14ac:dyDescent="0.3">
      <c r="D14" s="356" t="s">
        <v>190</v>
      </c>
      <c r="E14" s="356"/>
      <c r="F14" s="356"/>
      <c r="G14" s="356"/>
      <c r="I14" s="48">
        <v>0</v>
      </c>
      <c r="K14" s="48">
        <v>0</v>
      </c>
      <c r="M14" s="40">
        <f t="shared" si="0"/>
        <v>0</v>
      </c>
      <c r="O14" s="40">
        <f t="shared" si="1"/>
        <v>0</v>
      </c>
      <c r="Q14" s="293">
        <f t="shared" si="2"/>
        <v>0</v>
      </c>
      <c r="S14" s="293">
        <f t="shared" si="3"/>
        <v>0</v>
      </c>
      <c r="U14" s="356"/>
      <c r="V14" s="356"/>
      <c r="W14" s="356"/>
      <c r="X14" s="356"/>
    </row>
    <row r="15" spans="1:24" x14ac:dyDescent="0.3">
      <c r="D15" s="356" t="s">
        <v>191</v>
      </c>
      <c r="E15" s="356"/>
      <c r="F15" s="356"/>
      <c r="G15" s="356"/>
      <c r="I15" s="48">
        <v>0</v>
      </c>
      <c r="K15" s="48">
        <v>0</v>
      </c>
      <c r="M15" s="40">
        <f t="shared" si="0"/>
        <v>0</v>
      </c>
      <c r="O15" s="40">
        <f t="shared" si="1"/>
        <v>0</v>
      </c>
      <c r="Q15" s="293">
        <f t="shared" si="2"/>
        <v>0</v>
      </c>
      <c r="S15" s="293">
        <f t="shared" si="3"/>
        <v>0</v>
      </c>
      <c r="U15" s="356"/>
      <c r="V15" s="356"/>
      <c r="W15" s="356"/>
      <c r="X15" s="356"/>
    </row>
    <row r="16" spans="1:24" x14ac:dyDescent="0.3">
      <c r="D16" s="356" t="s">
        <v>192</v>
      </c>
      <c r="E16" s="356"/>
      <c r="F16" s="356"/>
      <c r="G16" s="356"/>
      <c r="I16" s="48">
        <v>0</v>
      </c>
      <c r="K16" s="48">
        <v>0</v>
      </c>
      <c r="M16" s="40">
        <f t="shared" si="0"/>
        <v>0</v>
      </c>
      <c r="O16" s="40">
        <f t="shared" si="1"/>
        <v>0</v>
      </c>
      <c r="Q16" s="293">
        <f t="shared" si="2"/>
        <v>0</v>
      </c>
      <c r="S16" s="293">
        <f t="shared" si="3"/>
        <v>0</v>
      </c>
      <c r="U16" s="356"/>
      <c r="V16" s="356"/>
      <c r="W16" s="356"/>
      <c r="X16" s="356"/>
    </row>
    <row r="17" spans="4:24" x14ac:dyDescent="0.3">
      <c r="D17" s="356" t="s">
        <v>193</v>
      </c>
      <c r="E17" s="356"/>
      <c r="F17" s="356"/>
      <c r="G17" s="356"/>
      <c r="I17" s="48">
        <v>0</v>
      </c>
      <c r="K17" s="48">
        <v>0</v>
      </c>
      <c r="M17" s="40">
        <f t="shared" si="0"/>
        <v>0</v>
      </c>
      <c r="O17" s="40">
        <f t="shared" si="1"/>
        <v>0</v>
      </c>
      <c r="Q17" s="293">
        <f t="shared" si="2"/>
        <v>0</v>
      </c>
      <c r="S17" s="293">
        <f t="shared" si="3"/>
        <v>0</v>
      </c>
      <c r="U17" s="356"/>
      <c r="V17" s="356"/>
      <c r="W17" s="356"/>
      <c r="X17" s="356"/>
    </row>
    <row r="18" spans="4:24" x14ac:dyDescent="0.3">
      <c r="D18" s="356" t="s">
        <v>120</v>
      </c>
      <c r="E18" s="356"/>
      <c r="F18" s="356"/>
      <c r="G18" s="356"/>
      <c r="I18" s="48">
        <v>0</v>
      </c>
      <c r="K18" s="48">
        <v>0</v>
      </c>
      <c r="M18" s="40">
        <f t="shared" si="0"/>
        <v>0</v>
      </c>
      <c r="O18" s="40">
        <f t="shared" si="1"/>
        <v>0</v>
      </c>
      <c r="Q18" s="293">
        <f t="shared" si="2"/>
        <v>0</v>
      </c>
      <c r="S18" s="293">
        <f t="shared" si="3"/>
        <v>0</v>
      </c>
      <c r="U18" s="356"/>
      <c r="V18" s="356"/>
      <c r="W18" s="356"/>
      <c r="X18" s="356"/>
    </row>
    <row r="19" spans="4:24" x14ac:dyDescent="0.3">
      <c r="D19" s="356" t="s">
        <v>121</v>
      </c>
      <c r="E19" s="356"/>
      <c r="F19" s="356"/>
      <c r="G19" s="356"/>
      <c r="I19" s="48">
        <v>0</v>
      </c>
      <c r="K19" s="48">
        <v>0</v>
      </c>
      <c r="M19" s="40">
        <f t="shared" si="0"/>
        <v>0</v>
      </c>
      <c r="O19" s="40">
        <f t="shared" si="1"/>
        <v>0</v>
      </c>
      <c r="Q19" s="293">
        <f t="shared" si="2"/>
        <v>0</v>
      </c>
      <c r="S19" s="293">
        <f t="shared" si="3"/>
        <v>0</v>
      </c>
      <c r="U19" s="356"/>
      <c r="V19" s="356"/>
      <c r="W19" s="356"/>
      <c r="X19" s="356"/>
    </row>
    <row r="20" spans="4:24" s="277" customFormat="1" x14ac:dyDescent="0.3">
      <c r="D20" s="356" t="s">
        <v>830</v>
      </c>
      <c r="E20" s="356"/>
      <c r="F20" s="356"/>
      <c r="G20" s="356"/>
      <c r="I20" s="48">
        <v>0</v>
      </c>
      <c r="K20" s="48">
        <v>0</v>
      </c>
      <c r="M20" s="279">
        <f t="shared" si="0"/>
        <v>0</v>
      </c>
      <c r="O20" s="279">
        <f t="shared" si="1"/>
        <v>0</v>
      </c>
      <c r="Q20" s="293">
        <f t="shared" si="2"/>
        <v>0</v>
      </c>
      <c r="S20" s="293">
        <f t="shared" si="3"/>
        <v>0</v>
      </c>
      <c r="U20" s="385"/>
      <c r="V20" s="385"/>
      <c r="W20" s="385"/>
      <c r="X20" s="385"/>
    </row>
    <row r="21" spans="4:24" s="277" customFormat="1" x14ac:dyDescent="0.3">
      <c r="D21" s="356" t="s">
        <v>831</v>
      </c>
      <c r="E21" s="356"/>
      <c r="F21" s="356"/>
      <c r="G21" s="356"/>
      <c r="I21" s="48">
        <v>0</v>
      </c>
      <c r="K21" s="48">
        <v>0</v>
      </c>
      <c r="M21" s="279">
        <f t="shared" si="0"/>
        <v>0</v>
      </c>
      <c r="O21" s="279">
        <f t="shared" si="1"/>
        <v>0</v>
      </c>
      <c r="Q21" s="293">
        <f t="shared" si="2"/>
        <v>0</v>
      </c>
      <c r="S21" s="293">
        <f t="shared" si="3"/>
        <v>0</v>
      </c>
      <c r="U21" s="385"/>
      <c r="V21" s="385"/>
      <c r="W21" s="385"/>
      <c r="X21" s="385"/>
    </row>
    <row r="22" spans="4:24" s="277" customFormat="1" x14ac:dyDescent="0.3">
      <c r="D22" s="356" t="s">
        <v>832</v>
      </c>
      <c r="E22" s="356"/>
      <c r="F22" s="356"/>
      <c r="G22" s="356"/>
      <c r="I22" s="48">
        <v>0</v>
      </c>
      <c r="K22" s="48">
        <v>0</v>
      </c>
      <c r="M22" s="279">
        <f t="shared" si="0"/>
        <v>0</v>
      </c>
      <c r="O22" s="279">
        <f t="shared" si="1"/>
        <v>0</v>
      </c>
      <c r="Q22" s="293">
        <f t="shared" si="2"/>
        <v>0</v>
      </c>
      <c r="S22" s="293">
        <f t="shared" si="3"/>
        <v>0</v>
      </c>
      <c r="U22" s="385"/>
      <c r="V22" s="385"/>
      <c r="W22" s="385"/>
      <c r="X22" s="385"/>
    </row>
    <row r="23" spans="4:24" s="277" customFormat="1" x14ac:dyDescent="0.3">
      <c r="D23" s="356" t="s">
        <v>833</v>
      </c>
      <c r="E23" s="356"/>
      <c r="F23" s="356"/>
      <c r="G23" s="356"/>
      <c r="I23" s="48">
        <v>0</v>
      </c>
      <c r="K23" s="48">
        <v>0</v>
      </c>
      <c r="M23" s="279">
        <f t="shared" si="0"/>
        <v>0</v>
      </c>
      <c r="O23" s="279">
        <f t="shared" si="1"/>
        <v>0</v>
      </c>
      <c r="Q23" s="293">
        <f t="shared" si="2"/>
        <v>0</v>
      </c>
      <c r="S23" s="293">
        <f t="shared" si="3"/>
        <v>0</v>
      </c>
      <c r="U23" s="385"/>
      <c r="V23" s="385"/>
      <c r="W23" s="385"/>
      <c r="X23" s="385"/>
    </row>
    <row r="24" spans="4:24" s="277" customFormat="1" x14ac:dyDescent="0.3">
      <c r="D24" s="356" t="s">
        <v>834</v>
      </c>
      <c r="E24" s="356"/>
      <c r="F24" s="356"/>
      <c r="G24" s="356"/>
      <c r="I24" s="48">
        <v>0</v>
      </c>
      <c r="K24" s="48">
        <v>0</v>
      </c>
      <c r="M24" s="279">
        <f t="shared" si="0"/>
        <v>0</v>
      </c>
      <c r="O24" s="279">
        <f t="shared" si="1"/>
        <v>0</v>
      </c>
      <c r="Q24" s="293">
        <f t="shared" si="2"/>
        <v>0</v>
      </c>
      <c r="S24" s="293">
        <f t="shared" si="3"/>
        <v>0</v>
      </c>
      <c r="U24" s="385"/>
      <c r="V24" s="385"/>
      <c r="W24" s="385"/>
      <c r="X24" s="385"/>
    </row>
    <row r="25" spans="4:24" s="277" customFormat="1" x14ac:dyDescent="0.3">
      <c r="D25" s="356" t="s">
        <v>835</v>
      </c>
      <c r="E25" s="356"/>
      <c r="F25" s="356"/>
      <c r="G25" s="356"/>
      <c r="I25" s="48">
        <v>0</v>
      </c>
      <c r="K25" s="48">
        <v>0</v>
      </c>
      <c r="M25" s="279">
        <f t="shared" si="0"/>
        <v>0</v>
      </c>
      <c r="O25" s="279">
        <f t="shared" si="1"/>
        <v>0</v>
      </c>
      <c r="Q25" s="293">
        <f t="shared" si="2"/>
        <v>0</v>
      </c>
      <c r="S25" s="293">
        <f t="shared" si="3"/>
        <v>0</v>
      </c>
      <c r="U25" s="385"/>
      <c r="V25" s="385"/>
      <c r="W25" s="385"/>
      <c r="X25" s="385"/>
    </row>
    <row r="26" spans="4:24" s="277" customFormat="1" x14ac:dyDescent="0.3">
      <c r="D26" s="356" t="s">
        <v>836</v>
      </c>
      <c r="E26" s="356"/>
      <c r="F26" s="356"/>
      <c r="G26" s="356"/>
      <c r="I26" s="48">
        <v>0</v>
      </c>
      <c r="K26" s="48">
        <v>0</v>
      </c>
      <c r="M26" s="279">
        <f t="shared" si="0"/>
        <v>0</v>
      </c>
      <c r="O26" s="279">
        <f t="shared" si="1"/>
        <v>0</v>
      </c>
      <c r="Q26" s="293">
        <f t="shared" si="2"/>
        <v>0</v>
      </c>
      <c r="S26" s="293">
        <f t="shared" si="3"/>
        <v>0</v>
      </c>
      <c r="U26" s="385"/>
      <c r="V26" s="385"/>
      <c r="W26" s="385"/>
      <c r="X26" s="385"/>
    </row>
    <row r="27" spans="4:24" s="277" customFormat="1" x14ac:dyDescent="0.3">
      <c r="D27" s="356" t="s">
        <v>837</v>
      </c>
      <c r="E27" s="356"/>
      <c r="F27" s="356"/>
      <c r="G27" s="356"/>
      <c r="I27" s="48">
        <v>0</v>
      </c>
      <c r="K27" s="48">
        <v>0</v>
      </c>
      <c r="M27" s="279">
        <f t="shared" si="0"/>
        <v>0</v>
      </c>
      <c r="O27" s="279">
        <f t="shared" si="1"/>
        <v>0</v>
      </c>
      <c r="Q27" s="293">
        <f t="shared" si="2"/>
        <v>0</v>
      </c>
      <c r="S27" s="293">
        <f t="shared" si="3"/>
        <v>0</v>
      </c>
      <c r="U27" s="385"/>
      <c r="V27" s="385"/>
      <c r="W27" s="385"/>
      <c r="X27" s="385"/>
    </row>
    <row r="28" spans="4:24" s="277" customFormat="1" x14ac:dyDescent="0.3">
      <c r="D28" s="356" t="s">
        <v>846</v>
      </c>
      <c r="E28" s="356"/>
      <c r="F28" s="356"/>
      <c r="G28" s="356"/>
      <c r="I28" s="48">
        <v>0</v>
      </c>
      <c r="K28" s="48">
        <v>0</v>
      </c>
      <c r="M28" s="279">
        <f t="shared" si="0"/>
        <v>0</v>
      </c>
      <c r="O28" s="279">
        <f t="shared" si="1"/>
        <v>0</v>
      </c>
      <c r="Q28" s="293">
        <f t="shared" si="2"/>
        <v>0</v>
      </c>
      <c r="S28" s="293">
        <f t="shared" si="3"/>
        <v>0</v>
      </c>
      <c r="U28" s="385"/>
      <c r="V28" s="385"/>
      <c r="W28" s="385"/>
      <c r="X28" s="385"/>
    </row>
    <row r="29" spans="4:24" s="277" customFormat="1" x14ac:dyDescent="0.3">
      <c r="D29" s="356" t="s">
        <v>847</v>
      </c>
      <c r="E29" s="356"/>
      <c r="F29" s="356"/>
      <c r="G29" s="356"/>
      <c r="I29" s="48">
        <v>0</v>
      </c>
      <c r="K29" s="48">
        <v>0</v>
      </c>
      <c r="M29" s="279">
        <f t="shared" si="0"/>
        <v>0</v>
      </c>
      <c r="O29" s="279">
        <f t="shared" si="1"/>
        <v>0</v>
      </c>
      <c r="Q29" s="293">
        <f t="shared" si="2"/>
        <v>0</v>
      </c>
      <c r="S29" s="293">
        <f t="shared" si="3"/>
        <v>0</v>
      </c>
      <c r="U29" s="385"/>
      <c r="V29" s="385"/>
      <c r="W29" s="385"/>
      <c r="X29" s="385"/>
    </row>
    <row r="30" spans="4:24" s="277" customFormat="1" x14ac:dyDescent="0.3">
      <c r="D30" s="356" t="s">
        <v>848</v>
      </c>
      <c r="E30" s="356"/>
      <c r="F30" s="356"/>
      <c r="G30" s="356"/>
      <c r="I30" s="48">
        <v>0</v>
      </c>
      <c r="K30" s="48">
        <v>0</v>
      </c>
      <c r="M30" s="279">
        <f t="shared" si="0"/>
        <v>0</v>
      </c>
      <c r="O30" s="279">
        <f t="shared" si="1"/>
        <v>0</v>
      </c>
      <c r="Q30" s="293">
        <f t="shared" si="2"/>
        <v>0</v>
      </c>
      <c r="S30" s="293">
        <f t="shared" si="3"/>
        <v>0</v>
      </c>
      <c r="U30" s="385"/>
      <c r="V30" s="385"/>
      <c r="W30" s="385"/>
      <c r="X30" s="385"/>
    </row>
    <row r="31" spans="4:24" s="277" customFormat="1" x14ac:dyDescent="0.3">
      <c r="D31" s="356" t="s">
        <v>849</v>
      </c>
      <c r="E31" s="356"/>
      <c r="F31" s="356"/>
      <c r="G31" s="356"/>
      <c r="I31" s="48">
        <v>0</v>
      </c>
      <c r="K31" s="48">
        <v>0</v>
      </c>
      <c r="M31" s="279">
        <f t="shared" si="0"/>
        <v>0</v>
      </c>
      <c r="O31" s="279">
        <f t="shared" si="1"/>
        <v>0</v>
      </c>
      <c r="Q31" s="293">
        <f t="shared" si="2"/>
        <v>0</v>
      </c>
      <c r="S31" s="293">
        <f t="shared" si="3"/>
        <v>0</v>
      </c>
      <c r="U31" s="385"/>
      <c r="V31" s="385"/>
      <c r="W31" s="385"/>
      <c r="X31" s="385"/>
    </row>
    <row r="32" spans="4:24" s="277" customFormat="1" x14ac:dyDescent="0.3">
      <c r="D32" s="356" t="s">
        <v>971</v>
      </c>
      <c r="E32" s="356"/>
      <c r="F32" s="356"/>
      <c r="G32" s="356"/>
      <c r="I32" s="48">
        <v>0</v>
      </c>
      <c r="K32" s="48">
        <v>0</v>
      </c>
      <c r="M32" s="279">
        <f t="shared" si="0"/>
        <v>0</v>
      </c>
      <c r="O32" s="279">
        <f t="shared" si="1"/>
        <v>0</v>
      </c>
      <c r="Q32" s="293">
        <f t="shared" si="2"/>
        <v>0</v>
      </c>
      <c r="S32" s="293">
        <f t="shared" si="3"/>
        <v>0</v>
      </c>
      <c r="U32" s="385"/>
      <c r="V32" s="385"/>
      <c r="W32" s="385"/>
      <c r="X32" s="385"/>
    </row>
    <row r="33" spans="3:24" s="277" customFormat="1" x14ac:dyDescent="0.3">
      <c r="D33" s="356" t="s">
        <v>973</v>
      </c>
      <c r="E33" s="356"/>
      <c r="F33" s="356"/>
      <c r="G33" s="356"/>
      <c r="I33" s="48">
        <v>0</v>
      </c>
      <c r="K33" s="48">
        <v>0</v>
      </c>
      <c r="M33" s="279">
        <f t="shared" si="0"/>
        <v>0</v>
      </c>
      <c r="O33" s="279">
        <f t="shared" si="1"/>
        <v>0</v>
      </c>
      <c r="Q33" s="293">
        <f t="shared" si="2"/>
        <v>0</v>
      </c>
      <c r="S33" s="293">
        <f t="shared" si="3"/>
        <v>0</v>
      </c>
      <c r="U33" s="385"/>
      <c r="V33" s="385"/>
      <c r="W33" s="385"/>
      <c r="X33" s="385"/>
    </row>
    <row r="34" spans="3:24" s="277" customFormat="1" x14ac:dyDescent="0.3">
      <c r="D34" s="356" t="s">
        <v>974</v>
      </c>
      <c r="E34" s="356"/>
      <c r="F34" s="356"/>
      <c r="G34" s="356"/>
      <c r="I34" s="48">
        <v>0</v>
      </c>
      <c r="K34" s="48">
        <v>0</v>
      </c>
      <c r="M34" s="279">
        <f t="shared" si="0"/>
        <v>0</v>
      </c>
      <c r="O34" s="279">
        <f t="shared" si="1"/>
        <v>0</v>
      </c>
      <c r="Q34" s="293">
        <f t="shared" si="2"/>
        <v>0</v>
      </c>
      <c r="S34" s="293">
        <f t="shared" si="3"/>
        <v>0</v>
      </c>
      <c r="U34" s="385"/>
      <c r="V34" s="385"/>
      <c r="W34" s="385"/>
      <c r="X34" s="385"/>
    </row>
    <row r="35" spans="3:24" s="277" customFormat="1" x14ac:dyDescent="0.3">
      <c r="D35" s="356" t="s">
        <v>975</v>
      </c>
      <c r="E35" s="356"/>
      <c r="F35" s="356"/>
      <c r="G35" s="356"/>
      <c r="I35" s="48">
        <v>0</v>
      </c>
      <c r="K35" s="48">
        <v>0</v>
      </c>
      <c r="M35" s="279">
        <f t="shared" si="0"/>
        <v>0</v>
      </c>
      <c r="O35" s="279">
        <f t="shared" si="1"/>
        <v>0</v>
      </c>
      <c r="Q35" s="293">
        <f t="shared" si="2"/>
        <v>0</v>
      </c>
      <c r="S35" s="293">
        <f t="shared" si="3"/>
        <v>0</v>
      </c>
      <c r="U35" s="385"/>
      <c r="V35" s="385"/>
      <c r="W35" s="385"/>
      <c r="X35" s="385"/>
    </row>
    <row r="36" spans="3:24" s="277" customFormat="1" x14ac:dyDescent="0.3">
      <c r="D36" s="356" t="s">
        <v>976</v>
      </c>
      <c r="E36" s="356"/>
      <c r="F36" s="356"/>
      <c r="G36" s="356"/>
      <c r="I36" s="48">
        <v>0</v>
      </c>
      <c r="K36" s="48">
        <v>0</v>
      </c>
      <c r="M36" s="279">
        <f t="shared" si="0"/>
        <v>0</v>
      </c>
      <c r="O36" s="279">
        <f t="shared" si="1"/>
        <v>0</v>
      </c>
      <c r="Q36" s="293">
        <f t="shared" si="2"/>
        <v>0</v>
      </c>
      <c r="S36" s="293">
        <f t="shared" si="3"/>
        <v>0</v>
      </c>
      <c r="U36" s="385"/>
      <c r="V36" s="385"/>
      <c r="W36" s="385"/>
      <c r="X36" s="385"/>
    </row>
    <row r="37" spans="3:24" ht="14.4" x14ac:dyDescent="0.3">
      <c r="D37" s="420" t="s">
        <v>79</v>
      </c>
      <c r="E37" s="421"/>
      <c r="F37" s="421"/>
      <c r="G37" s="421"/>
      <c r="I37" s="43"/>
      <c r="K37" s="43"/>
      <c r="M37" s="43"/>
      <c r="O37" s="43"/>
      <c r="Q37" s="294">
        <f>SUM(Q12:Q36)</f>
        <v>0</v>
      </c>
      <c r="S37" s="294">
        <f>SUM(S12:S36)</f>
        <v>0</v>
      </c>
    </row>
    <row r="39" spans="3:24" ht="15.6" x14ac:dyDescent="0.3">
      <c r="C39" s="92" t="s">
        <v>164</v>
      </c>
    </row>
    <row r="40" spans="3:24" ht="27.6" x14ac:dyDescent="0.3">
      <c r="D40" s="90" t="s">
        <v>102</v>
      </c>
      <c r="I40" s="91" t="s">
        <v>80</v>
      </c>
      <c r="K40" s="91" t="s">
        <v>187</v>
      </c>
      <c r="M40" s="42" t="s">
        <v>103</v>
      </c>
      <c r="O40" s="42" t="s">
        <v>104</v>
      </c>
      <c r="Q40" s="42" t="s">
        <v>105</v>
      </c>
      <c r="S40" s="42" t="s">
        <v>106</v>
      </c>
      <c r="U40" s="350" t="s">
        <v>185</v>
      </c>
      <c r="V40" s="351"/>
      <c r="W40" s="351"/>
      <c r="X40" s="351"/>
    </row>
    <row r="41" spans="3:24" x14ac:dyDescent="0.3">
      <c r="D41" s="356" t="s">
        <v>109</v>
      </c>
      <c r="E41" s="356"/>
      <c r="F41" s="356"/>
      <c r="G41" s="356"/>
      <c r="I41" s="48">
        <v>0</v>
      </c>
      <c r="K41" s="48">
        <v>0</v>
      </c>
      <c r="M41" s="40">
        <f t="shared" ref="M41:M65" si="4">IFERROR(IF(DD_ACT_14_Meet1_Curr=1,INDEX($M$206:$M$240,MATCH(D41,LU_ACT_14_Allowances,0)),INDEX($Q$206:$Q$240,MATCH(D41,LU_ACT_14_Allowances,0))),0)</f>
        <v>0</v>
      </c>
      <c r="O41" s="40">
        <f t="shared" ref="O41:O65" si="5">IFERROR(IF(DD_ACT_14_Meet1_Curr=1,INDEX($O$206:$O$240,MATCH(D41,LU_ACT_14_Allowances,0)),INDEX($S$206:$S$240,MATCH(D41,LU_ACT_14_Allowances,0))),0)</f>
        <v>0</v>
      </c>
      <c r="Q41" s="293">
        <f t="shared" ref="Q41:Q65" si="6">I41*K41*M41</f>
        <v>0</v>
      </c>
      <c r="S41" s="293">
        <f t="shared" ref="S41:S65" si="7">I41*K41*O41</f>
        <v>0</v>
      </c>
      <c r="U41" s="356"/>
      <c r="V41" s="356"/>
      <c r="W41" s="356"/>
      <c r="X41" s="356"/>
    </row>
    <row r="42" spans="3:24" x14ac:dyDescent="0.3">
      <c r="D42" s="356" t="s">
        <v>110</v>
      </c>
      <c r="E42" s="356"/>
      <c r="F42" s="356"/>
      <c r="G42" s="356"/>
      <c r="I42" s="48">
        <v>0</v>
      </c>
      <c r="K42" s="48">
        <v>0</v>
      </c>
      <c r="M42" s="40">
        <f t="shared" si="4"/>
        <v>0</v>
      </c>
      <c r="O42" s="40">
        <f t="shared" si="5"/>
        <v>0</v>
      </c>
      <c r="Q42" s="293">
        <f t="shared" si="6"/>
        <v>0</v>
      </c>
      <c r="S42" s="293">
        <f t="shared" si="7"/>
        <v>0</v>
      </c>
      <c r="U42" s="356"/>
      <c r="V42" s="356"/>
      <c r="W42" s="356"/>
      <c r="X42" s="356"/>
    </row>
    <row r="43" spans="3:24" x14ac:dyDescent="0.3">
      <c r="D43" s="356" t="s">
        <v>111</v>
      </c>
      <c r="E43" s="356"/>
      <c r="F43" s="356"/>
      <c r="G43" s="356"/>
      <c r="I43" s="48">
        <v>0</v>
      </c>
      <c r="K43" s="48">
        <v>0</v>
      </c>
      <c r="M43" s="40">
        <f t="shared" si="4"/>
        <v>0</v>
      </c>
      <c r="O43" s="40">
        <f t="shared" si="5"/>
        <v>0</v>
      </c>
      <c r="Q43" s="293">
        <f t="shared" si="6"/>
        <v>0</v>
      </c>
      <c r="S43" s="293">
        <f t="shared" si="7"/>
        <v>0</v>
      </c>
      <c r="U43" s="356"/>
      <c r="V43" s="356"/>
      <c r="W43" s="356"/>
      <c r="X43" s="356"/>
    </row>
    <row r="44" spans="3:24" x14ac:dyDescent="0.3">
      <c r="D44" s="356" t="s">
        <v>112</v>
      </c>
      <c r="E44" s="356"/>
      <c r="F44" s="356"/>
      <c r="G44" s="356"/>
      <c r="I44" s="48">
        <v>0</v>
      </c>
      <c r="K44" s="48">
        <v>0</v>
      </c>
      <c r="M44" s="40">
        <f t="shared" si="4"/>
        <v>0</v>
      </c>
      <c r="O44" s="40">
        <f t="shared" si="5"/>
        <v>0</v>
      </c>
      <c r="Q44" s="293">
        <f t="shared" si="6"/>
        <v>0</v>
      </c>
      <c r="S44" s="293">
        <f t="shared" si="7"/>
        <v>0</v>
      </c>
      <c r="U44" s="356"/>
      <c r="V44" s="356"/>
      <c r="W44" s="356"/>
      <c r="X44" s="356"/>
    </row>
    <row r="45" spans="3:24" x14ac:dyDescent="0.3">
      <c r="D45" s="356" t="s">
        <v>113</v>
      </c>
      <c r="E45" s="356"/>
      <c r="F45" s="356"/>
      <c r="G45" s="356"/>
      <c r="I45" s="48">
        <v>0</v>
      </c>
      <c r="K45" s="48">
        <v>0</v>
      </c>
      <c r="M45" s="40">
        <f t="shared" si="4"/>
        <v>0</v>
      </c>
      <c r="O45" s="40">
        <f t="shared" si="5"/>
        <v>0</v>
      </c>
      <c r="Q45" s="293">
        <f t="shared" si="6"/>
        <v>0</v>
      </c>
      <c r="S45" s="293">
        <f t="shared" si="7"/>
        <v>0</v>
      </c>
      <c r="U45" s="356"/>
      <c r="V45" s="356"/>
      <c r="W45" s="356"/>
      <c r="X45" s="356"/>
    </row>
    <row r="46" spans="3:24" x14ac:dyDescent="0.3">
      <c r="D46" s="356" t="s">
        <v>114</v>
      </c>
      <c r="E46" s="356"/>
      <c r="F46" s="356"/>
      <c r="G46" s="356"/>
      <c r="I46" s="48">
        <v>0</v>
      </c>
      <c r="K46" s="48">
        <v>0</v>
      </c>
      <c r="M46" s="40">
        <f t="shared" si="4"/>
        <v>0</v>
      </c>
      <c r="O46" s="40">
        <f t="shared" si="5"/>
        <v>0</v>
      </c>
      <c r="Q46" s="293">
        <f t="shared" si="6"/>
        <v>0</v>
      </c>
      <c r="S46" s="293">
        <f t="shared" si="7"/>
        <v>0</v>
      </c>
      <c r="U46" s="356"/>
      <c r="V46" s="356"/>
      <c r="W46" s="356"/>
      <c r="X46" s="356"/>
    </row>
    <row r="47" spans="3:24" x14ac:dyDescent="0.3">
      <c r="D47" s="356" t="s">
        <v>115</v>
      </c>
      <c r="E47" s="356"/>
      <c r="F47" s="356"/>
      <c r="G47" s="356"/>
      <c r="I47" s="48">
        <v>0</v>
      </c>
      <c r="K47" s="48">
        <v>0</v>
      </c>
      <c r="M47" s="40">
        <f t="shared" si="4"/>
        <v>0</v>
      </c>
      <c r="O47" s="40">
        <f t="shared" si="5"/>
        <v>0</v>
      </c>
      <c r="Q47" s="293">
        <f t="shared" si="6"/>
        <v>0</v>
      </c>
      <c r="S47" s="293">
        <f t="shared" si="7"/>
        <v>0</v>
      </c>
      <c r="U47" s="356"/>
      <c r="V47" s="356"/>
      <c r="W47" s="356"/>
      <c r="X47" s="356"/>
    </row>
    <row r="48" spans="3:24" x14ac:dyDescent="0.3">
      <c r="D48" s="356" t="s">
        <v>116</v>
      </c>
      <c r="E48" s="356"/>
      <c r="F48" s="356"/>
      <c r="G48" s="356"/>
      <c r="I48" s="48">
        <v>0</v>
      </c>
      <c r="K48" s="48">
        <v>0</v>
      </c>
      <c r="M48" s="40">
        <f t="shared" si="4"/>
        <v>0</v>
      </c>
      <c r="O48" s="40">
        <f t="shared" si="5"/>
        <v>0</v>
      </c>
      <c r="Q48" s="293">
        <f t="shared" si="6"/>
        <v>0</v>
      </c>
      <c r="S48" s="293">
        <f t="shared" si="7"/>
        <v>0</v>
      </c>
      <c r="U48" s="356"/>
      <c r="V48" s="356"/>
      <c r="W48" s="356"/>
      <c r="X48" s="356"/>
    </row>
    <row r="49" spans="4:24" s="277" customFormat="1" x14ac:dyDescent="0.3">
      <c r="D49" s="356" t="s">
        <v>838</v>
      </c>
      <c r="E49" s="356"/>
      <c r="F49" s="356"/>
      <c r="G49" s="356"/>
      <c r="I49" s="48">
        <v>0</v>
      </c>
      <c r="K49" s="48">
        <v>0</v>
      </c>
      <c r="M49" s="279">
        <f t="shared" si="4"/>
        <v>0</v>
      </c>
      <c r="O49" s="279">
        <f t="shared" si="5"/>
        <v>0</v>
      </c>
      <c r="Q49" s="293">
        <f t="shared" si="6"/>
        <v>0</v>
      </c>
      <c r="S49" s="293">
        <f t="shared" si="7"/>
        <v>0</v>
      </c>
      <c r="U49" s="385"/>
      <c r="V49" s="385"/>
      <c r="W49" s="385"/>
      <c r="X49" s="385"/>
    </row>
    <row r="50" spans="4:24" s="277" customFormat="1" x14ac:dyDescent="0.3">
      <c r="D50" s="356" t="s">
        <v>839</v>
      </c>
      <c r="E50" s="356"/>
      <c r="F50" s="356"/>
      <c r="G50" s="356"/>
      <c r="I50" s="48">
        <v>0</v>
      </c>
      <c r="K50" s="48">
        <v>0</v>
      </c>
      <c r="M50" s="279">
        <f t="shared" si="4"/>
        <v>0</v>
      </c>
      <c r="O50" s="279">
        <f t="shared" si="5"/>
        <v>0</v>
      </c>
      <c r="Q50" s="293">
        <f t="shared" si="6"/>
        <v>0</v>
      </c>
      <c r="S50" s="293">
        <f t="shared" si="7"/>
        <v>0</v>
      </c>
      <c r="U50" s="385"/>
      <c r="V50" s="385"/>
      <c r="W50" s="385"/>
      <c r="X50" s="385"/>
    </row>
    <row r="51" spans="4:24" s="277" customFormat="1" x14ac:dyDescent="0.3">
      <c r="D51" s="356" t="s">
        <v>840</v>
      </c>
      <c r="E51" s="356"/>
      <c r="F51" s="356"/>
      <c r="G51" s="356"/>
      <c r="I51" s="48">
        <v>0</v>
      </c>
      <c r="K51" s="48">
        <v>0</v>
      </c>
      <c r="M51" s="279">
        <f t="shared" si="4"/>
        <v>0</v>
      </c>
      <c r="O51" s="279">
        <f t="shared" si="5"/>
        <v>0</v>
      </c>
      <c r="Q51" s="293">
        <f t="shared" si="6"/>
        <v>0</v>
      </c>
      <c r="S51" s="293">
        <f t="shared" si="7"/>
        <v>0</v>
      </c>
      <c r="U51" s="385"/>
      <c r="V51" s="385"/>
      <c r="W51" s="385"/>
      <c r="X51" s="385"/>
    </row>
    <row r="52" spans="4:24" s="277" customFormat="1" x14ac:dyDescent="0.3">
      <c r="D52" s="356" t="s">
        <v>841</v>
      </c>
      <c r="E52" s="356"/>
      <c r="F52" s="356"/>
      <c r="G52" s="356"/>
      <c r="I52" s="48">
        <v>0</v>
      </c>
      <c r="K52" s="48">
        <v>0</v>
      </c>
      <c r="M52" s="279">
        <f t="shared" si="4"/>
        <v>0</v>
      </c>
      <c r="O52" s="279">
        <f t="shared" si="5"/>
        <v>0</v>
      </c>
      <c r="Q52" s="293">
        <f t="shared" si="6"/>
        <v>0</v>
      </c>
      <c r="S52" s="293">
        <f t="shared" si="7"/>
        <v>0</v>
      </c>
      <c r="U52" s="385"/>
      <c r="V52" s="385"/>
      <c r="W52" s="385"/>
      <c r="X52" s="385"/>
    </row>
    <row r="53" spans="4:24" s="277" customFormat="1" x14ac:dyDescent="0.3">
      <c r="D53" s="356" t="s">
        <v>842</v>
      </c>
      <c r="E53" s="356"/>
      <c r="F53" s="356"/>
      <c r="G53" s="356"/>
      <c r="I53" s="48">
        <v>0</v>
      </c>
      <c r="K53" s="48">
        <v>0</v>
      </c>
      <c r="M53" s="279">
        <f t="shared" si="4"/>
        <v>0</v>
      </c>
      <c r="O53" s="279">
        <f t="shared" si="5"/>
        <v>0</v>
      </c>
      <c r="Q53" s="293">
        <f t="shared" si="6"/>
        <v>0</v>
      </c>
      <c r="S53" s="293">
        <f t="shared" si="7"/>
        <v>0</v>
      </c>
      <c r="U53" s="385"/>
      <c r="V53" s="385"/>
      <c r="W53" s="385"/>
      <c r="X53" s="385"/>
    </row>
    <row r="54" spans="4:24" s="277" customFormat="1" x14ac:dyDescent="0.3">
      <c r="D54" s="356" t="s">
        <v>843</v>
      </c>
      <c r="E54" s="356"/>
      <c r="F54" s="356"/>
      <c r="G54" s="356"/>
      <c r="I54" s="48">
        <v>0</v>
      </c>
      <c r="K54" s="48">
        <v>0</v>
      </c>
      <c r="M54" s="279">
        <f t="shared" si="4"/>
        <v>0</v>
      </c>
      <c r="O54" s="279">
        <f t="shared" si="5"/>
        <v>0</v>
      </c>
      <c r="Q54" s="293">
        <f t="shared" si="6"/>
        <v>0</v>
      </c>
      <c r="S54" s="293">
        <f t="shared" si="7"/>
        <v>0</v>
      </c>
      <c r="U54" s="385"/>
      <c r="V54" s="385"/>
      <c r="W54" s="385"/>
      <c r="X54" s="385"/>
    </row>
    <row r="55" spans="4:24" s="277" customFormat="1" x14ac:dyDescent="0.3">
      <c r="D55" s="356" t="s">
        <v>844</v>
      </c>
      <c r="E55" s="356"/>
      <c r="F55" s="356"/>
      <c r="G55" s="356"/>
      <c r="I55" s="48">
        <v>0</v>
      </c>
      <c r="K55" s="48">
        <v>0</v>
      </c>
      <c r="M55" s="279">
        <f t="shared" si="4"/>
        <v>0</v>
      </c>
      <c r="O55" s="279">
        <f t="shared" si="5"/>
        <v>0</v>
      </c>
      <c r="Q55" s="293">
        <f t="shared" si="6"/>
        <v>0</v>
      </c>
      <c r="S55" s="293">
        <f t="shared" si="7"/>
        <v>0</v>
      </c>
      <c r="U55" s="385"/>
      <c r="V55" s="385"/>
      <c r="W55" s="385"/>
      <c r="X55" s="385"/>
    </row>
    <row r="56" spans="4:24" s="277" customFormat="1" x14ac:dyDescent="0.3">
      <c r="D56" s="356" t="s">
        <v>845</v>
      </c>
      <c r="E56" s="356"/>
      <c r="F56" s="356"/>
      <c r="G56" s="356"/>
      <c r="I56" s="48">
        <v>0</v>
      </c>
      <c r="K56" s="48">
        <v>0</v>
      </c>
      <c r="M56" s="279">
        <f t="shared" si="4"/>
        <v>0</v>
      </c>
      <c r="O56" s="279">
        <f t="shared" si="5"/>
        <v>0</v>
      </c>
      <c r="Q56" s="293">
        <f t="shared" si="6"/>
        <v>0</v>
      </c>
      <c r="S56" s="293">
        <f t="shared" si="7"/>
        <v>0</v>
      </c>
      <c r="U56" s="385"/>
      <c r="V56" s="385"/>
      <c r="W56" s="385"/>
      <c r="X56" s="385"/>
    </row>
    <row r="57" spans="4:24" s="277" customFormat="1" x14ac:dyDescent="0.3">
      <c r="D57" s="356" t="s">
        <v>850</v>
      </c>
      <c r="E57" s="356"/>
      <c r="F57" s="356"/>
      <c r="G57" s="356"/>
      <c r="I57" s="48">
        <v>0</v>
      </c>
      <c r="K57" s="48">
        <v>0</v>
      </c>
      <c r="M57" s="279">
        <f t="shared" si="4"/>
        <v>0</v>
      </c>
      <c r="O57" s="279">
        <f t="shared" si="5"/>
        <v>0</v>
      </c>
      <c r="Q57" s="293">
        <f t="shared" si="6"/>
        <v>0</v>
      </c>
      <c r="S57" s="293">
        <f t="shared" si="7"/>
        <v>0</v>
      </c>
      <c r="U57" s="385"/>
      <c r="V57" s="385"/>
      <c r="W57" s="385"/>
      <c r="X57" s="385"/>
    </row>
    <row r="58" spans="4:24" s="277" customFormat="1" x14ac:dyDescent="0.3">
      <c r="D58" s="356" t="s">
        <v>851</v>
      </c>
      <c r="E58" s="356"/>
      <c r="F58" s="356"/>
      <c r="G58" s="356"/>
      <c r="I58" s="48">
        <v>0</v>
      </c>
      <c r="K58" s="48">
        <v>0</v>
      </c>
      <c r="M58" s="279">
        <f t="shared" si="4"/>
        <v>0</v>
      </c>
      <c r="O58" s="279">
        <f t="shared" si="5"/>
        <v>0</v>
      </c>
      <c r="Q58" s="293">
        <f t="shared" si="6"/>
        <v>0</v>
      </c>
      <c r="S58" s="293">
        <f t="shared" si="7"/>
        <v>0</v>
      </c>
      <c r="U58" s="385"/>
      <c r="V58" s="385"/>
      <c r="W58" s="385"/>
      <c r="X58" s="385"/>
    </row>
    <row r="59" spans="4:24" s="277" customFormat="1" x14ac:dyDescent="0.3">
      <c r="D59" s="356" t="s">
        <v>852</v>
      </c>
      <c r="E59" s="356"/>
      <c r="F59" s="356"/>
      <c r="G59" s="356"/>
      <c r="I59" s="48">
        <v>0</v>
      </c>
      <c r="K59" s="48">
        <v>0</v>
      </c>
      <c r="M59" s="279">
        <f t="shared" si="4"/>
        <v>0</v>
      </c>
      <c r="O59" s="279">
        <f t="shared" si="5"/>
        <v>0</v>
      </c>
      <c r="Q59" s="293">
        <f t="shared" si="6"/>
        <v>0</v>
      </c>
      <c r="S59" s="293">
        <f t="shared" si="7"/>
        <v>0</v>
      </c>
      <c r="U59" s="385"/>
      <c r="V59" s="385"/>
      <c r="W59" s="385"/>
      <c r="X59" s="385"/>
    </row>
    <row r="60" spans="4:24" s="277" customFormat="1" x14ac:dyDescent="0.3">
      <c r="D60" s="356" t="s">
        <v>853</v>
      </c>
      <c r="E60" s="356"/>
      <c r="F60" s="356"/>
      <c r="G60" s="356"/>
      <c r="I60" s="48">
        <v>0</v>
      </c>
      <c r="K60" s="48">
        <v>0</v>
      </c>
      <c r="M60" s="279">
        <f t="shared" si="4"/>
        <v>0</v>
      </c>
      <c r="O60" s="279">
        <f t="shared" si="5"/>
        <v>0</v>
      </c>
      <c r="Q60" s="293">
        <f t="shared" si="6"/>
        <v>0</v>
      </c>
      <c r="S60" s="293">
        <f t="shared" si="7"/>
        <v>0</v>
      </c>
      <c r="U60" s="385"/>
      <c r="V60" s="385"/>
      <c r="W60" s="385"/>
      <c r="X60" s="385"/>
    </row>
    <row r="61" spans="4:24" s="277" customFormat="1" x14ac:dyDescent="0.3">
      <c r="D61" s="356" t="s">
        <v>972</v>
      </c>
      <c r="E61" s="356"/>
      <c r="F61" s="356"/>
      <c r="G61" s="356"/>
      <c r="I61" s="48">
        <v>0</v>
      </c>
      <c r="K61" s="48">
        <v>0</v>
      </c>
      <c r="M61" s="279">
        <f t="shared" si="4"/>
        <v>0</v>
      </c>
      <c r="O61" s="279">
        <f t="shared" si="5"/>
        <v>0</v>
      </c>
      <c r="Q61" s="293">
        <f t="shared" si="6"/>
        <v>0</v>
      </c>
      <c r="S61" s="293">
        <f t="shared" si="7"/>
        <v>0</v>
      </c>
      <c r="U61" s="385"/>
      <c r="V61" s="385"/>
      <c r="W61" s="385"/>
      <c r="X61" s="385"/>
    </row>
    <row r="62" spans="4:24" s="277" customFormat="1" x14ac:dyDescent="0.3">
      <c r="D62" s="356" t="s">
        <v>977</v>
      </c>
      <c r="E62" s="356"/>
      <c r="F62" s="356"/>
      <c r="G62" s="356"/>
      <c r="I62" s="48">
        <v>0</v>
      </c>
      <c r="K62" s="48">
        <v>0</v>
      </c>
      <c r="M62" s="279">
        <f t="shared" si="4"/>
        <v>0</v>
      </c>
      <c r="O62" s="279">
        <f t="shared" si="5"/>
        <v>0</v>
      </c>
      <c r="Q62" s="293">
        <f t="shared" si="6"/>
        <v>0</v>
      </c>
      <c r="S62" s="293">
        <f t="shared" si="7"/>
        <v>0</v>
      </c>
      <c r="U62" s="385"/>
      <c r="V62" s="385"/>
      <c r="W62" s="385"/>
      <c r="X62" s="385"/>
    </row>
    <row r="63" spans="4:24" s="277" customFormat="1" x14ac:dyDescent="0.3">
      <c r="D63" s="356" t="s">
        <v>978</v>
      </c>
      <c r="E63" s="356"/>
      <c r="F63" s="356"/>
      <c r="G63" s="356"/>
      <c r="I63" s="48">
        <v>0</v>
      </c>
      <c r="K63" s="48">
        <v>0</v>
      </c>
      <c r="M63" s="279">
        <f t="shared" si="4"/>
        <v>0</v>
      </c>
      <c r="O63" s="279">
        <f t="shared" si="5"/>
        <v>0</v>
      </c>
      <c r="Q63" s="293">
        <f t="shared" si="6"/>
        <v>0</v>
      </c>
      <c r="S63" s="293">
        <f t="shared" si="7"/>
        <v>0</v>
      </c>
      <c r="U63" s="385"/>
      <c r="V63" s="385"/>
      <c r="W63" s="385"/>
      <c r="X63" s="385"/>
    </row>
    <row r="64" spans="4:24" s="277" customFormat="1" x14ac:dyDescent="0.3">
      <c r="D64" s="356" t="s">
        <v>979</v>
      </c>
      <c r="E64" s="356"/>
      <c r="F64" s="356"/>
      <c r="G64" s="356"/>
      <c r="I64" s="48">
        <v>0</v>
      </c>
      <c r="K64" s="48">
        <v>0</v>
      </c>
      <c r="M64" s="279">
        <f t="shared" si="4"/>
        <v>0</v>
      </c>
      <c r="O64" s="279">
        <f t="shared" si="5"/>
        <v>0</v>
      </c>
      <c r="Q64" s="293">
        <f t="shared" si="6"/>
        <v>0</v>
      </c>
      <c r="S64" s="293">
        <f t="shared" si="7"/>
        <v>0</v>
      </c>
      <c r="U64" s="385"/>
      <c r="V64" s="385"/>
      <c r="W64" s="385"/>
      <c r="X64" s="385"/>
    </row>
    <row r="65" spans="3:24" s="277" customFormat="1" x14ac:dyDescent="0.3">
      <c r="D65" s="356" t="s">
        <v>980</v>
      </c>
      <c r="E65" s="356"/>
      <c r="F65" s="356"/>
      <c r="G65" s="356"/>
      <c r="I65" s="48">
        <v>0</v>
      </c>
      <c r="K65" s="48">
        <v>0</v>
      </c>
      <c r="M65" s="279">
        <f t="shared" si="4"/>
        <v>0</v>
      </c>
      <c r="O65" s="279">
        <f t="shared" si="5"/>
        <v>0</v>
      </c>
      <c r="Q65" s="293">
        <f t="shared" si="6"/>
        <v>0</v>
      </c>
      <c r="S65" s="293">
        <f t="shared" si="7"/>
        <v>0</v>
      </c>
      <c r="U65" s="385"/>
      <c r="V65" s="385"/>
      <c r="W65" s="385"/>
      <c r="X65" s="385"/>
    </row>
    <row r="66" spans="3:24" ht="14.4" x14ac:dyDescent="0.3">
      <c r="D66" s="420" t="s">
        <v>82</v>
      </c>
      <c r="E66" s="421"/>
      <c r="F66" s="421"/>
      <c r="G66" s="421"/>
      <c r="I66" s="43"/>
      <c r="K66" s="43"/>
      <c r="M66" s="43"/>
      <c r="O66" s="43"/>
      <c r="Q66" s="294">
        <f>SUM(Q41:Q65)</f>
        <v>0</v>
      </c>
      <c r="S66" s="294">
        <f>SUM(S41:S65)</f>
        <v>0</v>
      </c>
    </row>
    <row r="70" spans="3:24" ht="15.6" x14ac:dyDescent="0.3">
      <c r="C70" s="92" t="s">
        <v>84</v>
      </c>
    </row>
    <row r="71" spans="3:24" ht="27.6" x14ac:dyDescent="0.3">
      <c r="D71" s="90" t="s">
        <v>102</v>
      </c>
      <c r="I71" s="91" t="s">
        <v>87</v>
      </c>
      <c r="K71" s="91" t="s">
        <v>187</v>
      </c>
      <c r="M71" s="42" t="s">
        <v>107</v>
      </c>
      <c r="O71" s="42" t="s">
        <v>108</v>
      </c>
      <c r="Q71" s="42" t="s">
        <v>105</v>
      </c>
      <c r="S71" s="42" t="s">
        <v>106</v>
      </c>
      <c r="U71" s="350" t="s">
        <v>185</v>
      </c>
      <c r="V71" s="351"/>
      <c r="W71" s="351"/>
      <c r="X71" s="351"/>
    </row>
    <row r="72" spans="3:24" x14ac:dyDescent="0.3">
      <c r="D72" s="356" t="s">
        <v>892</v>
      </c>
      <c r="E72" s="356"/>
      <c r="F72" s="356"/>
      <c r="G72" s="356"/>
      <c r="I72" s="48">
        <v>0</v>
      </c>
      <c r="K72" s="48">
        <v>0</v>
      </c>
      <c r="M72" s="40">
        <f t="shared" ref="M72:M96" si="8">IFERROR(IF(DD_ACT_14_Meet1_Curr=1,INDEX($M$244:$M$278,MATCH(D72,LU_ACT_14_Supplies,0)),INDEX($Q$244:$Q$278,MATCH(D72,LU_ACT_14_Supplies,0))),0)</f>
        <v>0</v>
      </c>
      <c r="O72" s="40">
        <f t="shared" ref="O72:O96" si="9">IFERROR(IF(DD_ACT_14_Meet1_Curr=1,INDEX($O$244:$O$278,MATCH(D72,LU_ACT_14_Supplies,0)),INDEX($S$244:$S$278,MATCH(D72,LU_ACT_14_Supplies,0))),0)</f>
        <v>0</v>
      </c>
      <c r="Q72" s="295">
        <f t="shared" ref="Q72:Q96" si="10">I72*K72*M72</f>
        <v>0</v>
      </c>
      <c r="S72" s="293">
        <f t="shared" ref="S72:S96" si="11">I72*K72*O72</f>
        <v>0</v>
      </c>
      <c r="U72" s="356"/>
      <c r="V72" s="356"/>
      <c r="W72" s="356"/>
      <c r="X72" s="356"/>
    </row>
    <row r="73" spans="3:24" x14ac:dyDescent="0.3">
      <c r="D73" s="369" t="s">
        <v>893</v>
      </c>
      <c r="E73" s="431"/>
      <c r="F73" s="431"/>
      <c r="G73" s="432"/>
      <c r="I73" s="48">
        <v>0</v>
      </c>
      <c r="K73" s="48">
        <v>0</v>
      </c>
      <c r="M73" s="40">
        <f t="shared" si="8"/>
        <v>0</v>
      </c>
      <c r="O73" s="40">
        <f t="shared" si="9"/>
        <v>0</v>
      </c>
      <c r="Q73" s="295">
        <f t="shared" si="10"/>
        <v>0</v>
      </c>
      <c r="S73" s="293">
        <f t="shared" si="11"/>
        <v>0</v>
      </c>
      <c r="U73" s="369"/>
      <c r="V73" s="370"/>
      <c r="W73" s="370"/>
      <c r="X73" s="371"/>
    </row>
    <row r="74" spans="3:24" x14ac:dyDescent="0.3">
      <c r="D74" s="369" t="s">
        <v>854</v>
      </c>
      <c r="E74" s="431"/>
      <c r="F74" s="431"/>
      <c r="G74" s="432"/>
      <c r="I74" s="48">
        <v>0</v>
      </c>
      <c r="K74" s="48">
        <v>0</v>
      </c>
      <c r="M74" s="40">
        <f t="shared" si="8"/>
        <v>0</v>
      </c>
      <c r="O74" s="40">
        <f t="shared" si="9"/>
        <v>0</v>
      </c>
      <c r="Q74" s="295">
        <f t="shared" si="10"/>
        <v>0</v>
      </c>
      <c r="S74" s="293">
        <f t="shared" si="11"/>
        <v>0</v>
      </c>
      <c r="U74" s="369"/>
      <c r="V74" s="370"/>
      <c r="W74" s="370"/>
      <c r="X74" s="371"/>
    </row>
    <row r="75" spans="3:24" x14ac:dyDescent="0.3">
      <c r="D75" s="369" t="s">
        <v>855</v>
      </c>
      <c r="E75" s="431"/>
      <c r="F75" s="431"/>
      <c r="G75" s="432"/>
      <c r="I75" s="48">
        <v>0</v>
      </c>
      <c r="K75" s="48">
        <v>0</v>
      </c>
      <c r="M75" s="40">
        <f t="shared" si="8"/>
        <v>0</v>
      </c>
      <c r="O75" s="40">
        <f t="shared" si="9"/>
        <v>0</v>
      </c>
      <c r="Q75" s="295">
        <f t="shared" si="10"/>
        <v>0</v>
      </c>
      <c r="S75" s="293">
        <f t="shared" si="11"/>
        <v>0</v>
      </c>
      <c r="U75" s="369"/>
      <c r="V75" s="370"/>
      <c r="W75" s="370"/>
      <c r="X75" s="371"/>
    </row>
    <row r="76" spans="3:24" x14ac:dyDescent="0.3">
      <c r="D76" s="369" t="s">
        <v>856</v>
      </c>
      <c r="E76" s="431"/>
      <c r="F76" s="431"/>
      <c r="G76" s="432"/>
      <c r="I76" s="48">
        <v>0</v>
      </c>
      <c r="K76" s="48">
        <v>0</v>
      </c>
      <c r="M76" s="40">
        <f t="shared" si="8"/>
        <v>0</v>
      </c>
      <c r="O76" s="40">
        <f t="shared" si="9"/>
        <v>0</v>
      </c>
      <c r="Q76" s="295">
        <f t="shared" si="10"/>
        <v>0</v>
      </c>
      <c r="S76" s="293">
        <f t="shared" si="11"/>
        <v>0</v>
      </c>
      <c r="U76" s="369"/>
      <c r="V76" s="370"/>
      <c r="W76" s="370"/>
      <c r="X76" s="371"/>
    </row>
    <row r="77" spans="3:24" x14ac:dyDescent="0.3">
      <c r="D77" s="369" t="s">
        <v>857</v>
      </c>
      <c r="E77" s="431"/>
      <c r="F77" s="431"/>
      <c r="G77" s="432"/>
      <c r="I77" s="48">
        <v>0</v>
      </c>
      <c r="K77" s="48">
        <v>0</v>
      </c>
      <c r="M77" s="40">
        <f t="shared" si="8"/>
        <v>0</v>
      </c>
      <c r="O77" s="40">
        <f t="shared" si="9"/>
        <v>0</v>
      </c>
      <c r="Q77" s="295">
        <f t="shared" si="10"/>
        <v>0</v>
      </c>
      <c r="S77" s="293">
        <f t="shared" si="11"/>
        <v>0</v>
      </c>
      <c r="U77" s="369"/>
      <c r="V77" s="370"/>
      <c r="W77" s="370"/>
      <c r="X77" s="371"/>
    </row>
    <row r="78" spans="3:24" s="277" customFormat="1" x14ac:dyDescent="0.3">
      <c r="D78" s="356" t="s">
        <v>858</v>
      </c>
      <c r="E78" s="356"/>
      <c r="F78" s="356"/>
      <c r="G78" s="356"/>
      <c r="I78" s="48">
        <v>0</v>
      </c>
      <c r="K78" s="48">
        <v>0</v>
      </c>
      <c r="M78" s="279">
        <f t="shared" si="8"/>
        <v>0</v>
      </c>
      <c r="O78" s="279">
        <f t="shared" si="9"/>
        <v>0</v>
      </c>
      <c r="Q78" s="295">
        <f t="shared" si="10"/>
        <v>0</v>
      </c>
      <c r="S78" s="293">
        <f t="shared" si="11"/>
        <v>0</v>
      </c>
      <c r="U78" s="385"/>
      <c r="V78" s="385"/>
      <c r="W78" s="385"/>
      <c r="X78" s="385"/>
    </row>
    <row r="79" spans="3:24" s="277" customFormat="1" x14ac:dyDescent="0.3">
      <c r="D79" s="356" t="s">
        <v>859</v>
      </c>
      <c r="E79" s="356"/>
      <c r="F79" s="356"/>
      <c r="G79" s="356"/>
      <c r="I79" s="48">
        <v>0</v>
      </c>
      <c r="K79" s="48">
        <v>0</v>
      </c>
      <c r="M79" s="279">
        <f t="shared" si="8"/>
        <v>0</v>
      </c>
      <c r="O79" s="279">
        <f t="shared" si="9"/>
        <v>0</v>
      </c>
      <c r="Q79" s="295">
        <f t="shared" si="10"/>
        <v>0</v>
      </c>
      <c r="S79" s="293">
        <f t="shared" si="11"/>
        <v>0</v>
      </c>
      <c r="U79" s="385"/>
      <c r="V79" s="385"/>
      <c r="W79" s="385"/>
      <c r="X79" s="385"/>
    </row>
    <row r="80" spans="3:24" s="277" customFormat="1" x14ac:dyDescent="0.3">
      <c r="D80" s="356" t="s">
        <v>860</v>
      </c>
      <c r="E80" s="356"/>
      <c r="F80" s="356"/>
      <c r="G80" s="356"/>
      <c r="I80" s="48">
        <v>0</v>
      </c>
      <c r="K80" s="48">
        <v>0</v>
      </c>
      <c r="M80" s="279">
        <f t="shared" si="8"/>
        <v>0</v>
      </c>
      <c r="O80" s="279">
        <f t="shared" si="9"/>
        <v>0</v>
      </c>
      <c r="Q80" s="295">
        <f t="shared" si="10"/>
        <v>0</v>
      </c>
      <c r="S80" s="293">
        <f t="shared" si="11"/>
        <v>0</v>
      </c>
      <c r="U80" s="385"/>
      <c r="V80" s="385"/>
      <c r="W80" s="385"/>
      <c r="X80" s="385"/>
    </row>
    <row r="81" spans="4:24" s="277" customFormat="1" x14ac:dyDescent="0.3">
      <c r="D81" s="356" t="s">
        <v>861</v>
      </c>
      <c r="E81" s="356"/>
      <c r="F81" s="356"/>
      <c r="G81" s="356"/>
      <c r="I81" s="48">
        <v>0</v>
      </c>
      <c r="K81" s="48">
        <v>0</v>
      </c>
      <c r="M81" s="279">
        <f t="shared" si="8"/>
        <v>0</v>
      </c>
      <c r="O81" s="279">
        <f t="shared" si="9"/>
        <v>0</v>
      </c>
      <c r="Q81" s="295">
        <f t="shared" si="10"/>
        <v>0</v>
      </c>
      <c r="S81" s="293">
        <f t="shared" si="11"/>
        <v>0</v>
      </c>
      <c r="U81" s="385"/>
      <c r="V81" s="385"/>
      <c r="W81" s="385"/>
      <c r="X81" s="385"/>
    </row>
    <row r="82" spans="4:24" s="277" customFormat="1" x14ac:dyDescent="0.3">
      <c r="D82" s="356" t="s">
        <v>862</v>
      </c>
      <c r="E82" s="356"/>
      <c r="F82" s="356"/>
      <c r="G82" s="356"/>
      <c r="I82" s="48">
        <v>0</v>
      </c>
      <c r="K82" s="48">
        <v>0</v>
      </c>
      <c r="M82" s="279">
        <f t="shared" si="8"/>
        <v>0</v>
      </c>
      <c r="O82" s="279">
        <f t="shared" si="9"/>
        <v>0</v>
      </c>
      <c r="Q82" s="295">
        <f t="shared" si="10"/>
        <v>0</v>
      </c>
      <c r="S82" s="293">
        <f t="shared" si="11"/>
        <v>0</v>
      </c>
      <c r="U82" s="385"/>
      <c r="V82" s="385"/>
      <c r="W82" s="385"/>
      <c r="X82" s="385"/>
    </row>
    <row r="83" spans="4:24" s="277" customFormat="1" x14ac:dyDescent="0.3">
      <c r="D83" s="356" t="s">
        <v>863</v>
      </c>
      <c r="E83" s="356"/>
      <c r="F83" s="356"/>
      <c r="G83" s="356"/>
      <c r="I83" s="48">
        <v>0</v>
      </c>
      <c r="K83" s="48">
        <v>0</v>
      </c>
      <c r="M83" s="279">
        <f t="shared" si="8"/>
        <v>0</v>
      </c>
      <c r="O83" s="279">
        <f t="shared" si="9"/>
        <v>0</v>
      </c>
      <c r="Q83" s="295">
        <f t="shared" si="10"/>
        <v>0</v>
      </c>
      <c r="S83" s="293">
        <f t="shared" si="11"/>
        <v>0</v>
      </c>
      <c r="U83" s="385"/>
      <c r="V83" s="385"/>
      <c r="W83" s="385"/>
      <c r="X83" s="385"/>
    </row>
    <row r="84" spans="4:24" s="277" customFormat="1" x14ac:dyDescent="0.3">
      <c r="D84" s="356" t="s">
        <v>864</v>
      </c>
      <c r="E84" s="356"/>
      <c r="F84" s="356"/>
      <c r="G84" s="356"/>
      <c r="I84" s="48">
        <v>0</v>
      </c>
      <c r="K84" s="48">
        <v>0</v>
      </c>
      <c r="M84" s="279">
        <f t="shared" si="8"/>
        <v>0</v>
      </c>
      <c r="O84" s="279">
        <f t="shared" si="9"/>
        <v>0</v>
      </c>
      <c r="Q84" s="295">
        <f t="shared" si="10"/>
        <v>0</v>
      </c>
      <c r="S84" s="293">
        <f t="shared" si="11"/>
        <v>0</v>
      </c>
      <c r="U84" s="385"/>
      <c r="V84" s="385"/>
      <c r="W84" s="385"/>
      <c r="X84" s="385"/>
    </row>
    <row r="85" spans="4:24" s="277" customFormat="1" x14ac:dyDescent="0.3">
      <c r="D85" s="356" t="s">
        <v>865</v>
      </c>
      <c r="E85" s="356"/>
      <c r="F85" s="356"/>
      <c r="G85" s="356"/>
      <c r="I85" s="48">
        <v>0</v>
      </c>
      <c r="K85" s="48">
        <v>0</v>
      </c>
      <c r="M85" s="279">
        <f t="shared" si="8"/>
        <v>0</v>
      </c>
      <c r="O85" s="279">
        <f t="shared" si="9"/>
        <v>0</v>
      </c>
      <c r="Q85" s="295">
        <f t="shared" si="10"/>
        <v>0</v>
      </c>
      <c r="S85" s="293">
        <f t="shared" si="11"/>
        <v>0</v>
      </c>
      <c r="U85" s="385"/>
      <c r="V85" s="385"/>
      <c r="W85" s="385"/>
      <c r="X85" s="385"/>
    </row>
    <row r="86" spans="4:24" s="277" customFormat="1" x14ac:dyDescent="0.3">
      <c r="D86" s="356" t="s">
        <v>866</v>
      </c>
      <c r="E86" s="356"/>
      <c r="F86" s="356"/>
      <c r="G86" s="356"/>
      <c r="I86" s="48">
        <v>0</v>
      </c>
      <c r="K86" s="48">
        <v>0</v>
      </c>
      <c r="M86" s="279">
        <f t="shared" si="8"/>
        <v>0</v>
      </c>
      <c r="O86" s="279">
        <f t="shared" si="9"/>
        <v>0</v>
      </c>
      <c r="Q86" s="295">
        <f t="shared" si="10"/>
        <v>0</v>
      </c>
      <c r="S86" s="293">
        <f t="shared" si="11"/>
        <v>0</v>
      </c>
      <c r="U86" s="385"/>
      <c r="V86" s="385"/>
      <c r="W86" s="385"/>
      <c r="X86" s="385"/>
    </row>
    <row r="87" spans="4:24" s="277" customFormat="1" x14ac:dyDescent="0.3">
      <c r="D87" s="356" t="s">
        <v>867</v>
      </c>
      <c r="E87" s="356"/>
      <c r="F87" s="356"/>
      <c r="G87" s="356"/>
      <c r="I87" s="48">
        <v>0</v>
      </c>
      <c r="K87" s="48">
        <v>0</v>
      </c>
      <c r="M87" s="279">
        <f t="shared" si="8"/>
        <v>0</v>
      </c>
      <c r="O87" s="279">
        <f t="shared" si="9"/>
        <v>0</v>
      </c>
      <c r="Q87" s="295">
        <f t="shared" si="10"/>
        <v>0</v>
      </c>
      <c r="S87" s="293">
        <f t="shared" si="11"/>
        <v>0</v>
      </c>
      <c r="U87" s="385"/>
      <c r="V87" s="385"/>
      <c r="W87" s="385"/>
      <c r="X87" s="385"/>
    </row>
    <row r="88" spans="4:24" s="277" customFormat="1" x14ac:dyDescent="0.3">
      <c r="D88" s="356" t="s">
        <v>868</v>
      </c>
      <c r="E88" s="356"/>
      <c r="F88" s="356"/>
      <c r="G88" s="356"/>
      <c r="I88" s="48">
        <v>0</v>
      </c>
      <c r="K88" s="48">
        <v>0</v>
      </c>
      <c r="M88" s="279">
        <f t="shared" si="8"/>
        <v>0</v>
      </c>
      <c r="O88" s="279">
        <f t="shared" si="9"/>
        <v>0</v>
      </c>
      <c r="Q88" s="295">
        <f t="shared" si="10"/>
        <v>0</v>
      </c>
      <c r="S88" s="293">
        <f t="shared" si="11"/>
        <v>0</v>
      </c>
      <c r="U88" s="385"/>
      <c r="V88" s="385"/>
      <c r="W88" s="385"/>
      <c r="X88" s="385"/>
    </row>
    <row r="89" spans="4:24" s="277" customFormat="1" x14ac:dyDescent="0.3">
      <c r="D89" s="356" t="s">
        <v>869</v>
      </c>
      <c r="E89" s="356"/>
      <c r="F89" s="356"/>
      <c r="G89" s="356"/>
      <c r="I89" s="48">
        <v>0</v>
      </c>
      <c r="K89" s="48">
        <v>0</v>
      </c>
      <c r="M89" s="279">
        <f t="shared" si="8"/>
        <v>0</v>
      </c>
      <c r="O89" s="279">
        <f t="shared" si="9"/>
        <v>0</v>
      </c>
      <c r="Q89" s="295">
        <f t="shared" si="10"/>
        <v>0</v>
      </c>
      <c r="S89" s="293">
        <f t="shared" si="11"/>
        <v>0</v>
      </c>
      <c r="U89" s="385"/>
      <c r="V89" s="385"/>
      <c r="W89" s="385"/>
      <c r="X89" s="385"/>
    </row>
    <row r="90" spans="4:24" s="277" customFormat="1" x14ac:dyDescent="0.3">
      <c r="D90" s="356" t="s">
        <v>870</v>
      </c>
      <c r="E90" s="356"/>
      <c r="F90" s="356"/>
      <c r="G90" s="356"/>
      <c r="I90" s="48">
        <v>0</v>
      </c>
      <c r="K90" s="48">
        <v>0</v>
      </c>
      <c r="M90" s="279">
        <f t="shared" si="8"/>
        <v>0</v>
      </c>
      <c r="O90" s="279">
        <f t="shared" si="9"/>
        <v>0</v>
      </c>
      <c r="Q90" s="295">
        <f t="shared" si="10"/>
        <v>0</v>
      </c>
      <c r="S90" s="293">
        <f t="shared" si="11"/>
        <v>0</v>
      </c>
      <c r="U90" s="385"/>
      <c r="V90" s="385"/>
      <c r="W90" s="385"/>
      <c r="X90" s="385"/>
    </row>
    <row r="91" spans="4:24" s="277" customFormat="1" x14ac:dyDescent="0.3">
      <c r="D91" s="356" t="s">
        <v>871</v>
      </c>
      <c r="E91" s="356"/>
      <c r="F91" s="356"/>
      <c r="G91" s="356"/>
      <c r="I91" s="48">
        <v>0</v>
      </c>
      <c r="K91" s="48">
        <v>0</v>
      </c>
      <c r="M91" s="279">
        <f t="shared" si="8"/>
        <v>0</v>
      </c>
      <c r="O91" s="279">
        <f t="shared" si="9"/>
        <v>0</v>
      </c>
      <c r="Q91" s="295">
        <f t="shared" si="10"/>
        <v>0</v>
      </c>
      <c r="S91" s="293">
        <f t="shared" si="11"/>
        <v>0</v>
      </c>
      <c r="U91" s="385"/>
      <c r="V91" s="385"/>
      <c r="W91" s="385"/>
      <c r="X91" s="385"/>
    </row>
    <row r="92" spans="4:24" s="277" customFormat="1" x14ac:dyDescent="0.3">
      <c r="D92" s="356" t="s">
        <v>981</v>
      </c>
      <c r="E92" s="356"/>
      <c r="F92" s="356"/>
      <c r="G92" s="356"/>
      <c r="I92" s="48">
        <v>0</v>
      </c>
      <c r="K92" s="48">
        <v>0</v>
      </c>
      <c r="M92" s="279">
        <f t="shared" si="8"/>
        <v>0</v>
      </c>
      <c r="O92" s="279">
        <f t="shared" si="9"/>
        <v>0</v>
      </c>
      <c r="Q92" s="295">
        <f t="shared" si="10"/>
        <v>0</v>
      </c>
      <c r="S92" s="293">
        <f t="shared" si="11"/>
        <v>0</v>
      </c>
      <c r="U92" s="385"/>
      <c r="V92" s="385"/>
      <c r="W92" s="385"/>
      <c r="X92" s="385"/>
    </row>
    <row r="93" spans="4:24" s="277" customFormat="1" x14ac:dyDescent="0.3">
      <c r="D93" s="356" t="s">
        <v>982</v>
      </c>
      <c r="E93" s="356"/>
      <c r="F93" s="356"/>
      <c r="G93" s="356"/>
      <c r="I93" s="48">
        <v>0</v>
      </c>
      <c r="K93" s="48">
        <v>0</v>
      </c>
      <c r="M93" s="279">
        <f t="shared" si="8"/>
        <v>0</v>
      </c>
      <c r="O93" s="279">
        <f t="shared" si="9"/>
        <v>0</v>
      </c>
      <c r="Q93" s="295">
        <f t="shared" si="10"/>
        <v>0</v>
      </c>
      <c r="S93" s="293">
        <f t="shared" si="11"/>
        <v>0</v>
      </c>
      <c r="U93" s="385"/>
      <c r="V93" s="385"/>
      <c r="W93" s="385"/>
      <c r="X93" s="385"/>
    </row>
    <row r="94" spans="4:24" s="277" customFormat="1" x14ac:dyDescent="0.3">
      <c r="D94" s="356" t="s">
        <v>983</v>
      </c>
      <c r="E94" s="356"/>
      <c r="F94" s="356"/>
      <c r="G94" s="356"/>
      <c r="I94" s="48">
        <v>0</v>
      </c>
      <c r="K94" s="48">
        <v>0</v>
      </c>
      <c r="M94" s="279">
        <f t="shared" si="8"/>
        <v>0</v>
      </c>
      <c r="O94" s="279">
        <f t="shared" si="9"/>
        <v>0</v>
      </c>
      <c r="Q94" s="295">
        <f t="shared" si="10"/>
        <v>0</v>
      </c>
      <c r="S94" s="293">
        <f t="shared" si="11"/>
        <v>0</v>
      </c>
      <c r="U94" s="385"/>
      <c r="V94" s="385"/>
      <c r="W94" s="385"/>
      <c r="X94" s="385"/>
    </row>
    <row r="95" spans="4:24" s="277" customFormat="1" x14ac:dyDescent="0.3">
      <c r="D95" s="356" t="s">
        <v>984</v>
      </c>
      <c r="E95" s="356"/>
      <c r="F95" s="356"/>
      <c r="G95" s="356"/>
      <c r="I95" s="48">
        <v>0</v>
      </c>
      <c r="K95" s="48">
        <v>0</v>
      </c>
      <c r="M95" s="279">
        <f t="shared" si="8"/>
        <v>0</v>
      </c>
      <c r="O95" s="279">
        <f t="shared" si="9"/>
        <v>0</v>
      </c>
      <c r="Q95" s="295">
        <f t="shared" si="10"/>
        <v>0</v>
      </c>
      <c r="S95" s="293">
        <f t="shared" si="11"/>
        <v>0</v>
      </c>
      <c r="U95" s="385"/>
      <c r="V95" s="385"/>
      <c r="W95" s="385"/>
      <c r="X95" s="385"/>
    </row>
    <row r="96" spans="4:24" s="277" customFormat="1" x14ac:dyDescent="0.3">
      <c r="D96" s="356" t="s">
        <v>985</v>
      </c>
      <c r="E96" s="356"/>
      <c r="F96" s="356"/>
      <c r="G96" s="356"/>
      <c r="I96" s="48">
        <v>0</v>
      </c>
      <c r="K96" s="48">
        <v>0</v>
      </c>
      <c r="M96" s="279">
        <f t="shared" si="8"/>
        <v>0</v>
      </c>
      <c r="O96" s="279">
        <f t="shared" si="9"/>
        <v>0</v>
      </c>
      <c r="Q96" s="295">
        <f t="shared" si="10"/>
        <v>0</v>
      </c>
      <c r="S96" s="293">
        <f t="shared" si="11"/>
        <v>0</v>
      </c>
      <c r="U96" s="385"/>
      <c r="V96" s="385"/>
      <c r="W96" s="385"/>
      <c r="X96" s="385"/>
    </row>
    <row r="97" spans="3:24" ht="14.4" x14ac:dyDescent="0.3">
      <c r="D97" s="420" t="s">
        <v>85</v>
      </c>
      <c r="E97" s="421"/>
      <c r="F97" s="421"/>
      <c r="G97" s="421"/>
      <c r="I97" s="43"/>
      <c r="K97" s="43"/>
      <c r="M97" s="43"/>
      <c r="O97" s="43"/>
      <c r="Q97" s="296">
        <f>SUM(Q72:Q96)</f>
        <v>0</v>
      </c>
      <c r="S97" s="294">
        <f>SUM(S72:S96)</f>
        <v>0</v>
      </c>
      <c r="U97" s="43"/>
      <c r="V97" s="43"/>
      <c r="W97" s="43"/>
      <c r="X97" s="43"/>
    </row>
    <row r="99" spans="3:24" ht="27.6" x14ac:dyDescent="0.3">
      <c r="C99" s="92" t="s">
        <v>130</v>
      </c>
      <c r="Q99" s="44" t="str">
        <f>"FINANCIAL COST ("&amp;INDEX(LU_ACT_14_Meet_Curr,DD_ACT_14_Meet1_Curr)&amp;")"</f>
        <v>FINANCIAL COST (GOZ)</v>
      </c>
      <c r="S99" s="44" t="str">
        <f>"ECONOMIC COST ("&amp;INDEX(LU_ACT_14_Meet_Curr,DD_ACT_14_Meet1_Curr)&amp;")"</f>
        <v>ECONOMIC COST (GOZ)</v>
      </c>
    </row>
    <row r="100" spans="3:24" ht="32.1" customHeight="1" x14ac:dyDescent="0.3">
      <c r="D100" s="90" t="s">
        <v>86</v>
      </c>
      <c r="I100" s="91" t="s">
        <v>186</v>
      </c>
      <c r="M100" s="42" t="s">
        <v>81</v>
      </c>
      <c r="O100" s="42" t="s">
        <v>83</v>
      </c>
      <c r="U100" s="350" t="s">
        <v>185</v>
      </c>
      <c r="V100" s="351"/>
      <c r="W100" s="351"/>
      <c r="X100" s="351"/>
    </row>
    <row r="101" spans="3:24" x14ac:dyDescent="0.3">
      <c r="D101" s="356" t="s">
        <v>70</v>
      </c>
      <c r="E101" s="356"/>
      <c r="F101" s="356"/>
      <c r="G101" s="356"/>
      <c r="I101" s="48">
        <v>0</v>
      </c>
      <c r="M101" s="40">
        <f t="shared" ref="M101:M125" si="12">IFERROR(IF(DD_ACT_14_Meet1_Curr=1,INDEX($M$281:$M$315,MATCH(D101,LU_ACT_14_Equipment,0)),INDEX($Q$281:$Q$315,MATCH(D101,LU_ACT_14_Equipment,0))),0)</f>
        <v>0</v>
      </c>
      <c r="O101" s="40">
        <f t="shared" ref="O101:O125" si="13">IFERROR(IF(DD_ACT_14_Meet1_Curr=1,INDEX($O$281:$O$315,MATCH(D101,LU_ACT_14_Equipment,0)),INDEX($S$281:$S$315,MATCH(D101,LU_ACT_14_Equipment,0))),0)</f>
        <v>0</v>
      </c>
      <c r="Q101" s="279">
        <f t="shared" ref="Q101:Q125" si="14">I101*M101</f>
        <v>0</v>
      </c>
      <c r="S101" s="279">
        <f t="shared" ref="S101:S125" si="15">I101*O101</f>
        <v>0</v>
      </c>
      <c r="U101" s="356"/>
      <c r="V101" s="356"/>
      <c r="W101" s="356"/>
      <c r="X101" s="356"/>
    </row>
    <row r="102" spans="3:24" x14ac:dyDescent="0.3">
      <c r="D102" s="356" t="s">
        <v>122</v>
      </c>
      <c r="E102" s="356"/>
      <c r="F102" s="356"/>
      <c r="G102" s="356"/>
      <c r="I102" s="48">
        <v>0</v>
      </c>
      <c r="M102" s="40">
        <f t="shared" si="12"/>
        <v>0</v>
      </c>
      <c r="O102" s="40">
        <f t="shared" si="13"/>
        <v>0</v>
      </c>
      <c r="Q102" s="279">
        <f t="shared" si="14"/>
        <v>0</v>
      </c>
      <c r="S102" s="279">
        <f t="shared" si="15"/>
        <v>0</v>
      </c>
      <c r="U102" s="356"/>
      <c r="V102" s="356"/>
      <c r="W102" s="356"/>
      <c r="X102" s="356"/>
    </row>
    <row r="103" spans="3:24" x14ac:dyDescent="0.3">
      <c r="D103" s="356" t="s">
        <v>872</v>
      </c>
      <c r="E103" s="356"/>
      <c r="F103" s="356"/>
      <c r="G103" s="356"/>
      <c r="I103" s="48">
        <v>0</v>
      </c>
      <c r="M103" s="40">
        <f t="shared" si="12"/>
        <v>0</v>
      </c>
      <c r="O103" s="40">
        <f t="shared" si="13"/>
        <v>0</v>
      </c>
      <c r="Q103" s="279">
        <f t="shared" si="14"/>
        <v>0</v>
      </c>
      <c r="S103" s="279">
        <f t="shared" si="15"/>
        <v>0</v>
      </c>
      <c r="U103" s="356"/>
      <c r="V103" s="356"/>
      <c r="W103" s="356"/>
      <c r="X103" s="356"/>
    </row>
    <row r="104" spans="3:24" s="277" customFormat="1" x14ac:dyDescent="0.3">
      <c r="D104" s="356" t="s">
        <v>873</v>
      </c>
      <c r="E104" s="356"/>
      <c r="F104" s="356"/>
      <c r="G104" s="356"/>
      <c r="I104" s="48">
        <v>0</v>
      </c>
      <c r="M104" s="279">
        <f t="shared" si="12"/>
        <v>0</v>
      </c>
      <c r="O104" s="279">
        <f t="shared" si="13"/>
        <v>0</v>
      </c>
      <c r="Q104" s="279">
        <f t="shared" si="14"/>
        <v>0</v>
      </c>
      <c r="S104" s="279">
        <f t="shared" si="15"/>
        <v>0</v>
      </c>
      <c r="U104" s="385"/>
      <c r="V104" s="385"/>
      <c r="W104" s="385"/>
      <c r="X104" s="385"/>
    </row>
    <row r="105" spans="3:24" s="277" customFormat="1" x14ac:dyDescent="0.3">
      <c r="D105" s="356" t="s">
        <v>874</v>
      </c>
      <c r="E105" s="356"/>
      <c r="F105" s="356"/>
      <c r="G105" s="356"/>
      <c r="I105" s="48">
        <v>0</v>
      </c>
      <c r="M105" s="279">
        <f t="shared" si="12"/>
        <v>0</v>
      </c>
      <c r="O105" s="279">
        <f t="shared" si="13"/>
        <v>0</v>
      </c>
      <c r="Q105" s="279">
        <f t="shared" si="14"/>
        <v>0</v>
      </c>
      <c r="S105" s="279">
        <f t="shared" si="15"/>
        <v>0</v>
      </c>
      <c r="U105" s="385"/>
      <c r="V105" s="385"/>
      <c r="W105" s="385"/>
      <c r="X105" s="385"/>
    </row>
    <row r="106" spans="3:24" s="277" customFormat="1" x14ac:dyDescent="0.3">
      <c r="D106" s="356" t="s">
        <v>875</v>
      </c>
      <c r="E106" s="356"/>
      <c r="F106" s="356"/>
      <c r="G106" s="356"/>
      <c r="I106" s="48">
        <v>0</v>
      </c>
      <c r="M106" s="279">
        <f t="shared" si="12"/>
        <v>0</v>
      </c>
      <c r="O106" s="279">
        <f t="shared" si="13"/>
        <v>0</v>
      </c>
      <c r="Q106" s="279">
        <f t="shared" si="14"/>
        <v>0</v>
      </c>
      <c r="S106" s="279">
        <f t="shared" si="15"/>
        <v>0</v>
      </c>
      <c r="U106" s="385"/>
      <c r="V106" s="385"/>
      <c r="W106" s="385"/>
      <c r="X106" s="385"/>
    </row>
    <row r="107" spans="3:24" s="277" customFormat="1" x14ac:dyDescent="0.3">
      <c r="D107" s="356" t="s">
        <v>778</v>
      </c>
      <c r="E107" s="356"/>
      <c r="F107" s="356"/>
      <c r="G107" s="356"/>
      <c r="I107" s="48">
        <v>0</v>
      </c>
      <c r="M107" s="279">
        <f t="shared" si="12"/>
        <v>0</v>
      </c>
      <c r="O107" s="279">
        <f t="shared" si="13"/>
        <v>0</v>
      </c>
      <c r="Q107" s="279">
        <f t="shared" si="14"/>
        <v>0</v>
      </c>
      <c r="S107" s="279">
        <f t="shared" si="15"/>
        <v>0</v>
      </c>
      <c r="U107" s="385"/>
      <c r="V107" s="385"/>
      <c r="W107" s="385"/>
      <c r="X107" s="385"/>
    </row>
    <row r="108" spans="3:24" s="277" customFormat="1" x14ac:dyDescent="0.3">
      <c r="D108" s="356" t="s">
        <v>779</v>
      </c>
      <c r="E108" s="356"/>
      <c r="F108" s="356"/>
      <c r="G108" s="356"/>
      <c r="I108" s="48">
        <v>0</v>
      </c>
      <c r="M108" s="279">
        <f t="shared" si="12"/>
        <v>0</v>
      </c>
      <c r="O108" s="279">
        <f t="shared" si="13"/>
        <v>0</v>
      </c>
      <c r="Q108" s="279">
        <f t="shared" si="14"/>
        <v>0</v>
      </c>
      <c r="S108" s="279">
        <f t="shared" si="15"/>
        <v>0</v>
      </c>
      <c r="U108" s="385"/>
      <c r="V108" s="385"/>
      <c r="W108" s="385"/>
      <c r="X108" s="385"/>
    </row>
    <row r="109" spans="3:24" s="277" customFormat="1" x14ac:dyDescent="0.3">
      <c r="D109" s="356" t="s">
        <v>780</v>
      </c>
      <c r="E109" s="356"/>
      <c r="F109" s="356"/>
      <c r="G109" s="356"/>
      <c r="I109" s="48">
        <v>0</v>
      </c>
      <c r="M109" s="279">
        <f t="shared" si="12"/>
        <v>0</v>
      </c>
      <c r="O109" s="279">
        <f t="shared" si="13"/>
        <v>0</v>
      </c>
      <c r="Q109" s="279">
        <f t="shared" si="14"/>
        <v>0</v>
      </c>
      <c r="S109" s="279">
        <f t="shared" si="15"/>
        <v>0</v>
      </c>
      <c r="U109" s="385"/>
      <c r="V109" s="385"/>
      <c r="W109" s="385"/>
      <c r="X109" s="385"/>
    </row>
    <row r="110" spans="3:24" s="277" customFormat="1" x14ac:dyDescent="0.3">
      <c r="D110" s="356" t="s">
        <v>781</v>
      </c>
      <c r="E110" s="356"/>
      <c r="F110" s="356"/>
      <c r="G110" s="356"/>
      <c r="I110" s="48">
        <v>0</v>
      </c>
      <c r="M110" s="279">
        <f t="shared" si="12"/>
        <v>0</v>
      </c>
      <c r="O110" s="279">
        <f t="shared" si="13"/>
        <v>0</v>
      </c>
      <c r="Q110" s="279">
        <f t="shared" si="14"/>
        <v>0</v>
      </c>
      <c r="S110" s="279">
        <f t="shared" si="15"/>
        <v>0</v>
      </c>
      <c r="U110" s="385"/>
      <c r="V110" s="385"/>
      <c r="W110" s="385"/>
      <c r="X110" s="385"/>
    </row>
    <row r="111" spans="3:24" s="277" customFormat="1" x14ac:dyDescent="0.3">
      <c r="D111" s="356" t="s">
        <v>782</v>
      </c>
      <c r="E111" s="356"/>
      <c r="F111" s="356"/>
      <c r="G111" s="356"/>
      <c r="I111" s="48">
        <v>0</v>
      </c>
      <c r="M111" s="279">
        <f t="shared" si="12"/>
        <v>0</v>
      </c>
      <c r="O111" s="279">
        <f t="shared" si="13"/>
        <v>0</v>
      </c>
      <c r="Q111" s="279">
        <f t="shared" si="14"/>
        <v>0</v>
      </c>
      <c r="S111" s="279">
        <f t="shared" si="15"/>
        <v>0</v>
      </c>
      <c r="U111" s="385"/>
      <c r="V111" s="385"/>
      <c r="W111" s="385"/>
      <c r="X111" s="385"/>
    </row>
    <row r="112" spans="3:24" s="277" customFormat="1" x14ac:dyDescent="0.3">
      <c r="D112" s="356" t="s">
        <v>783</v>
      </c>
      <c r="E112" s="356"/>
      <c r="F112" s="356"/>
      <c r="G112" s="356"/>
      <c r="I112" s="48">
        <v>0</v>
      </c>
      <c r="M112" s="279">
        <f t="shared" si="12"/>
        <v>0</v>
      </c>
      <c r="O112" s="279">
        <f t="shared" si="13"/>
        <v>0</v>
      </c>
      <c r="Q112" s="279">
        <f t="shared" si="14"/>
        <v>0</v>
      </c>
      <c r="S112" s="279">
        <f t="shared" si="15"/>
        <v>0</v>
      </c>
      <c r="U112" s="385"/>
      <c r="V112" s="385"/>
      <c r="W112" s="385"/>
      <c r="X112" s="385"/>
    </row>
    <row r="113" spans="3:24" s="277" customFormat="1" x14ac:dyDescent="0.3">
      <c r="D113" s="356" t="s">
        <v>784</v>
      </c>
      <c r="E113" s="356"/>
      <c r="F113" s="356"/>
      <c r="G113" s="356"/>
      <c r="I113" s="48">
        <v>0</v>
      </c>
      <c r="M113" s="279">
        <f t="shared" si="12"/>
        <v>0</v>
      </c>
      <c r="O113" s="279">
        <f t="shared" si="13"/>
        <v>0</v>
      </c>
      <c r="Q113" s="279">
        <f t="shared" si="14"/>
        <v>0</v>
      </c>
      <c r="S113" s="279">
        <f t="shared" si="15"/>
        <v>0</v>
      </c>
      <c r="U113" s="385"/>
      <c r="V113" s="385"/>
      <c r="W113" s="385"/>
      <c r="X113" s="385"/>
    </row>
    <row r="114" spans="3:24" s="277" customFormat="1" x14ac:dyDescent="0.3">
      <c r="D114" s="356" t="s">
        <v>785</v>
      </c>
      <c r="E114" s="356"/>
      <c r="F114" s="356"/>
      <c r="G114" s="356"/>
      <c r="I114" s="48">
        <v>0</v>
      </c>
      <c r="M114" s="279">
        <f t="shared" si="12"/>
        <v>0</v>
      </c>
      <c r="O114" s="279">
        <f t="shared" si="13"/>
        <v>0</v>
      </c>
      <c r="Q114" s="279">
        <f t="shared" si="14"/>
        <v>0</v>
      </c>
      <c r="S114" s="279">
        <f t="shared" si="15"/>
        <v>0</v>
      </c>
      <c r="U114" s="385"/>
      <c r="V114" s="385"/>
      <c r="W114" s="385"/>
      <c r="X114" s="385"/>
    </row>
    <row r="115" spans="3:24" s="277" customFormat="1" x14ac:dyDescent="0.3">
      <c r="D115" s="356" t="s">
        <v>786</v>
      </c>
      <c r="E115" s="356"/>
      <c r="F115" s="356"/>
      <c r="G115" s="356"/>
      <c r="I115" s="48">
        <v>0</v>
      </c>
      <c r="M115" s="279">
        <f t="shared" si="12"/>
        <v>0</v>
      </c>
      <c r="O115" s="279">
        <f t="shared" si="13"/>
        <v>0</v>
      </c>
      <c r="Q115" s="279">
        <f t="shared" si="14"/>
        <v>0</v>
      </c>
      <c r="S115" s="279">
        <f t="shared" si="15"/>
        <v>0</v>
      </c>
      <c r="U115" s="385"/>
      <c r="V115" s="385"/>
      <c r="W115" s="385"/>
      <c r="X115" s="385"/>
    </row>
    <row r="116" spans="3:24" s="277" customFormat="1" x14ac:dyDescent="0.3">
      <c r="D116" s="356" t="s">
        <v>787</v>
      </c>
      <c r="E116" s="356"/>
      <c r="F116" s="356"/>
      <c r="G116" s="356"/>
      <c r="I116" s="48">
        <v>0</v>
      </c>
      <c r="M116" s="279">
        <f t="shared" si="12"/>
        <v>0</v>
      </c>
      <c r="O116" s="279">
        <f t="shared" si="13"/>
        <v>0</v>
      </c>
      <c r="Q116" s="279">
        <f t="shared" si="14"/>
        <v>0</v>
      </c>
      <c r="S116" s="279">
        <f t="shared" si="15"/>
        <v>0</v>
      </c>
      <c r="U116" s="385"/>
      <c r="V116" s="385"/>
      <c r="W116" s="385"/>
      <c r="X116" s="385"/>
    </row>
    <row r="117" spans="3:24" s="277" customFormat="1" x14ac:dyDescent="0.3">
      <c r="D117" s="356" t="s">
        <v>788</v>
      </c>
      <c r="E117" s="356"/>
      <c r="F117" s="356"/>
      <c r="G117" s="356"/>
      <c r="I117" s="48">
        <v>0</v>
      </c>
      <c r="M117" s="279">
        <f t="shared" si="12"/>
        <v>0</v>
      </c>
      <c r="O117" s="279">
        <f t="shared" si="13"/>
        <v>0</v>
      </c>
      <c r="Q117" s="279">
        <f t="shared" si="14"/>
        <v>0</v>
      </c>
      <c r="S117" s="279">
        <f t="shared" si="15"/>
        <v>0</v>
      </c>
      <c r="U117" s="385"/>
      <c r="V117" s="385"/>
      <c r="W117" s="385"/>
      <c r="X117" s="385"/>
    </row>
    <row r="118" spans="3:24" s="277" customFormat="1" x14ac:dyDescent="0.3">
      <c r="D118" s="356" t="s">
        <v>789</v>
      </c>
      <c r="E118" s="356"/>
      <c r="F118" s="356"/>
      <c r="G118" s="356"/>
      <c r="I118" s="48">
        <v>0</v>
      </c>
      <c r="M118" s="279">
        <f t="shared" si="12"/>
        <v>0</v>
      </c>
      <c r="O118" s="279">
        <f t="shared" si="13"/>
        <v>0</v>
      </c>
      <c r="Q118" s="279">
        <f t="shared" si="14"/>
        <v>0</v>
      </c>
      <c r="S118" s="279">
        <f t="shared" si="15"/>
        <v>0</v>
      </c>
      <c r="U118" s="385"/>
      <c r="V118" s="385"/>
      <c r="W118" s="385"/>
      <c r="X118" s="385"/>
    </row>
    <row r="119" spans="3:24" s="277" customFormat="1" x14ac:dyDescent="0.3">
      <c r="D119" s="356" t="s">
        <v>790</v>
      </c>
      <c r="E119" s="356"/>
      <c r="F119" s="356"/>
      <c r="G119" s="356"/>
      <c r="I119" s="48">
        <v>0</v>
      </c>
      <c r="M119" s="279">
        <f t="shared" si="12"/>
        <v>0</v>
      </c>
      <c r="O119" s="279">
        <f t="shared" si="13"/>
        <v>0</v>
      </c>
      <c r="Q119" s="279">
        <f t="shared" si="14"/>
        <v>0</v>
      </c>
      <c r="S119" s="279">
        <f t="shared" si="15"/>
        <v>0</v>
      </c>
      <c r="U119" s="385"/>
      <c r="V119" s="385"/>
      <c r="W119" s="385"/>
      <c r="X119" s="385"/>
    </row>
    <row r="120" spans="3:24" s="277" customFormat="1" x14ac:dyDescent="0.3">
      <c r="D120" s="356" t="s">
        <v>791</v>
      </c>
      <c r="E120" s="356"/>
      <c r="F120" s="356"/>
      <c r="G120" s="356"/>
      <c r="I120" s="48">
        <v>0</v>
      </c>
      <c r="M120" s="279">
        <f t="shared" si="12"/>
        <v>0</v>
      </c>
      <c r="O120" s="279">
        <f t="shared" si="13"/>
        <v>0</v>
      </c>
      <c r="Q120" s="279">
        <f t="shared" si="14"/>
        <v>0</v>
      </c>
      <c r="S120" s="279">
        <f t="shared" si="15"/>
        <v>0</v>
      </c>
      <c r="U120" s="385"/>
      <c r="V120" s="385"/>
      <c r="W120" s="385"/>
      <c r="X120" s="385"/>
    </row>
    <row r="121" spans="3:24" s="277" customFormat="1" x14ac:dyDescent="0.3">
      <c r="D121" s="356" t="s">
        <v>792</v>
      </c>
      <c r="E121" s="356"/>
      <c r="F121" s="356"/>
      <c r="G121" s="356"/>
      <c r="I121" s="48">
        <v>0</v>
      </c>
      <c r="M121" s="279">
        <f t="shared" si="12"/>
        <v>0</v>
      </c>
      <c r="O121" s="279">
        <f t="shared" si="13"/>
        <v>0</v>
      </c>
      <c r="Q121" s="279">
        <f t="shared" si="14"/>
        <v>0</v>
      </c>
      <c r="S121" s="279">
        <f t="shared" si="15"/>
        <v>0</v>
      </c>
      <c r="U121" s="385"/>
      <c r="V121" s="385"/>
      <c r="W121" s="385"/>
      <c r="X121" s="385"/>
    </row>
    <row r="122" spans="3:24" s="277" customFormat="1" x14ac:dyDescent="0.3">
      <c r="D122" s="356" t="s">
        <v>793</v>
      </c>
      <c r="E122" s="356"/>
      <c r="F122" s="356"/>
      <c r="G122" s="356"/>
      <c r="I122" s="48">
        <v>0</v>
      </c>
      <c r="M122" s="279">
        <f t="shared" si="12"/>
        <v>0</v>
      </c>
      <c r="O122" s="279">
        <f t="shared" si="13"/>
        <v>0</v>
      </c>
      <c r="Q122" s="279">
        <f t="shared" si="14"/>
        <v>0</v>
      </c>
      <c r="S122" s="279">
        <f t="shared" si="15"/>
        <v>0</v>
      </c>
      <c r="U122" s="385"/>
      <c r="V122" s="385"/>
      <c r="W122" s="385"/>
      <c r="X122" s="385"/>
    </row>
    <row r="123" spans="3:24" s="277" customFormat="1" x14ac:dyDescent="0.3">
      <c r="D123" s="356" t="s">
        <v>794</v>
      </c>
      <c r="E123" s="356"/>
      <c r="F123" s="356"/>
      <c r="G123" s="356"/>
      <c r="I123" s="48">
        <v>0</v>
      </c>
      <c r="M123" s="279">
        <f t="shared" si="12"/>
        <v>0</v>
      </c>
      <c r="O123" s="279">
        <f t="shared" si="13"/>
        <v>0</v>
      </c>
      <c r="Q123" s="279">
        <f t="shared" si="14"/>
        <v>0</v>
      </c>
      <c r="S123" s="279">
        <f t="shared" si="15"/>
        <v>0</v>
      </c>
      <c r="U123" s="385"/>
      <c r="V123" s="385"/>
      <c r="W123" s="385"/>
      <c r="X123" s="385"/>
    </row>
    <row r="124" spans="3:24" s="277" customFormat="1" x14ac:dyDescent="0.3">
      <c r="D124" s="356" t="s">
        <v>795</v>
      </c>
      <c r="E124" s="356"/>
      <c r="F124" s="356"/>
      <c r="G124" s="356"/>
      <c r="I124" s="48">
        <v>0</v>
      </c>
      <c r="M124" s="279">
        <f t="shared" si="12"/>
        <v>0</v>
      </c>
      <c r="O124" s="279">
        <f t="shared" si="13"/>
        <v>0</v>
      </c>
      <c r="Q124" s="279">
        <f t="shared" si="14"/>
        <v>0</v>
      </c>
      <c r="S124" s="279">
        <f t="shared" si="15"/>
        <v>0</v>
      </c>
      <c r="U124" s="385"/>
      <c r="V124" s="385"/>
      <c r="W124" s="385"/>
      <c r="X124" s="385"/>
    </row>
    <row r="125" spans="3:24" s="277" customFormat="1" x14ac:dyDescent="0.3">
      <c r="D125" s="356" t="s">
        <v>796</v>
      </c>
      <c r="E125" s="356"/>
      <c r="F125" s="356"/>
      <c r="G125" s="356"/>
      <c r="I125" s="48">
        <v>0</v>
      </c>
      <c r="M125" s="279">
        <f t="shared" si="12"/>
        <v>0</v>
      </c>
      <c r="O125" s="279">
        <f t="shared" si="13"/>
        <v>0</v>
      </c>
      <c r="Q125" s="279">
        <f t="shared" si="14"/>
        <v>0</v>
      </c>
      <c r="S125" s="279">
        <f t="shared" si="15"/>
        <v>0</v>
      </c>
      <c r="U125" s="385"/>
      <c r="V125" s="385"/>
      <c r="W125" s="385"/>
      <c r="X125" s="385"/>
    </row>
    <row r="126" spans="3:24" ht="14.4" x14ac:dyDescent="0.3">
      <c r="D126" s="420" t="s">
        <v>88</v>
      </c>
      <c r="E126" s="421"/>
      <c r="F126" s="421"/>
      <c r="G126" s="421"/>
      <c r="I126" s="40"/>
      <c r="M126" s="40"/>
      <c r="O126" s="40"/>
      <c r="Q126" s="294">
        <f>SUM(Q101:Q125)</f>
        <v>0</v>
      </c>
      <c r="S126" s="294">
        <f>SUM(S101:S125)</f>
        <v>0</v>
      </c>
    </row>
    <row r="128" spans="3:24" ht="15.6" x14ac:dyDescent="0.3">
      <c r="C128" s="92" t="s">
        <v>89</v>
      </c>
    </row>
    <row r="129" spans="4:24" ht="27.6" x14ac:dyDescent="0.3">
      <c r="Q129" s="44" t="str">
        <f>"FINANCIAL COST ("&amp;INDEX(LU_ACT_14_Meet_Curr,DD_ACT_14_Meet1_Curr)&amp;")"</f>
        <v>FINANCIAL COST (GOZ)</v>
      </c>
      <c r="S129" s="44" t="str">
        <f>"ECONOMIC COST ("&amp;INDEX(LU_ACT_14_Meet_Curr,DD_ACT_14_Meet1_Curr)&amp;")"</f>
        <v>ECONOMIC COST (GOZ)</v>
      </c>
    </row>
    <row r="130" spans="4:24" ht="27.6" x14ac:dyDescent="0.3">
      <c r="D130" s="90" t="s">
        <v>86</v>
      </c>
      <c r="I130" s="91" t="s">
        <v>186</v>
      </c>
      <c r="K130" s="91" t="s">
        <v>187</v>
      </c>
      <c r="M130" s="42" t="s">
        <v>81</v>
      </c>
      <c r="O130" s="42" t="s">
        <v>83</v>
      </c>
      <c r="U130" s="350" t="s">
        <v>185</v>
      </c>
      <c r="V130" s="351"/>
      <c r="W130" s="351"/>
      <c r="X130" s="351"/>
    </row>
    <row r="131" spans="4:24" x14ac:dyDescent="0.3">
      <c r="D131" s="356" t="s">
        <v>71</v>
      </c>
      <c r="E131" s="356"/>
      <c r="F131" s="356"/>
      <c r="G131" s="356"/>
      <c r="I131" s="48">
        <v>0</v>
      </c>
      <c r="K131" s="48">
        <v>0</v>
      </c>
      <c r="M131" s="40">
        <f t="shared" ref="M131:M155" si="16">IFERROR(IF(DD_ACT_14_Meet1_Curr=1,INDEX($M$319:$M$353,MATCH(D131,LU_ACT_14_ODCS,0)),INDEX($Q$319:$Q$353,MATCH(D131,LU_ACT_14_ODCS,0))),0)</f>
        <v>0</v>
      </c>
      <c r="O131" s="40">
        <f t="shared" ref="O131:O155" si="17">IFERROR(IF(DD_ACT_14_Meet1_Curr=1,INDEX($O$319:$O$353,MATCH(D131,LU_ACT_14_ODCS,0)),INDEX($S$319:$S$353,MATCH(D131,LU_ACT_14_ODCS,0))),0)</f>
        <v>0</v>
      </c>
      <c r="Q131" s="279">
        <f t="shared" ref="Q131:Q155" si="18">I131*K131*M131</f>
        <v>0</v>
      </c>
      <c r="S131" s="279">
        <f t="shared" ref="S131:S155" si="19">I131*K131*O131</f>
        <v>0</v>
      </c>
      <c r="U131" s="356"/>
      <c r="V131" s="356"/>
      <c r="W131" s="356"/>
      <c r="X131" s="356"/>
    </row>
    <row r="132" spans="4:24" x14ac:dyDescent="0.3">
      <c r="D132" s="356" t="s">
        <v>72</v>
      </c>
      <c r="E132" s="356"/>
      <c r="F132" s="356"/>
      <c r="G132" s="356"/>
      <c r="I132" s="48">
        <v>0</v>
      </c>
      <c r="K132" s="48">
        <v>0</v>
      </c>
      <c r="M132" s="40">
        <f t="shared" si="16"/>
        <v>0</v>
      </c>
      <c r="O132" s="40">
        <f t="shared" si="17"/>
        <v>0</v>
      </c>
      <c r="Q132" s="279">
        <f t="shared" si="18"/>
        <v>0</v>
      </c>
      <c r="S132" s="279">
        <f t="shared" si="19"/>
        <v>0</v>
      </c>
      <c r="U132" s="356"/>
      <c r="V132" s="356"/>
      <c r="W132" s="356"/>
      <c r="X132" s="356"/>
    </row>
    <row r="133" spans="4:24" x14ac:dyDescent="0.3">
      <c r="D133" s="356" t="s">
        <v>73</v>
      </c>
      <c r="E133" s="356"/>
      <c r="F133" s="356"/>
      <c r="G133" s="356"/>
      <c r="I133" s="48">
        <v>0</v>
      </c>
      <c r="K133" s="48">
        <v>0</v>
      </c>
      <c r="M133" s="40">
        <f t="shared" si="16"/>
        <v>0</v>
      </c>
      <c r="O133" s="40">
        <f t="shared" si="17"/>
        <v>0</v>
      </c>
      <c r="Q133" s="279">
        <f t="shared" si="18"/>
        <v>0</v>
      </c>
      <c r="S133" s="279">
        <f t="shared" si="19"/>
        <v>0</v>
      </c>
      <c r="U133" s="356"/>
      <c r="V133" s="356"/>
      <c r="W133" s="356"/>
      <c r="X133" s="356"/>
    </row>
    <row r="134" spans="4:24" x14ac:dyDescent="0.3">
      <c r="D134" s="356" t="s">
        <v>74</v>
      </c>
      <c r="E134" s="356"/>
      <c r="F134" s="356"/>
      <c r="G134" s="356"/>
      <c r="I134" s="48">
        <v>0</v>
      </c>
      <c r="K134" s="48">
        <v>0</v>
      </c>
      <c r="M134" s="40">
        <f t="shared" si="16"/>
        <v>0</v>
      </c>
      <c r="O134" s="40">
        <f t="shared" si="17"/>
        <v>0</v>
      </c>
      <c r="Q134" s="279">
        <f t="shared" si="18"/>
        <v>0</v>
      </c>
      <c r="S134" s="279">
        <f t="shared" si="19"/>
        <v>0</v>
      </c>
      <c r="U134" s="356"/>
      <c r="V134" s="356"/>
      <c r="W134" s="356"/>
      <c r="X134" s="356"/>
    </row>
    <row r="135" spans="4:24" x14ac:dyDescent="0.3">
      <c r="D135" s="356" t="s">
        <v>75</v>
      </c>
      <c r="E135" s="356"/>
      <c r="F135" s="356"/>
      <c r="G135" s="356"/>
      <c r="I135" s="48">
        <v>0</v>
      </c>
      <c r="K135" s="48">
        <v>0</v>
      </c>
      <c r="M135" s="40">
        <f t="shared" si="16"/>
        <v>0</v>
      </c>
      <c r="O135" s="40">
        <f t="shared" si="17"/>
        <v>0</v>
      </c>
      <c r="Q135" s="279">
        <f t="shared" si="18"/>
        <v>0</v>
      </c>
      <c r="S135" s="279">
        <f t="shared" si="19"/>
        <v>0</v>
      </c>
      <c r="U135" s="356"/>
      <c r="V135" s="356"/>
      <c r="W135" s="356"/>
      <c r="X135" s="356"/>
    </row>
    <row r="136" spans="4:24" s="277" customFormat="1" x14ac:dyDescent="0.3">
      <c r="D136" s="356" t="s">
        <v>876</v>
      </c>
      <c r="E136" s="356"/>
      <c r="F136" s="356"/>
      <c r="G136" s="356"/>
      <c r="I136" s="48">
        <v>0</v>
      </c>
      <c r="K136" s="48">
        <v>0</v>
      </c>
      <c r="M136" s="279">
        <f t="shared" si="16"/>
        <v>0</v>
      </c>
      <c r="O136" s="279">
        <f t="shared" si="17"/>
        <v>0</v>
      </c>
      <c r="Q136" s="279">
        <f t="shared" si="18"/>
        <v>0</v>
      </c>
      <c r="S136" s="279">
        <f t="shared" si="19"/>
        <v>0</v>
      </c>
      <c r="U136" s="385"/>
      <c r="V136" s="385"/>
      <c r="W136" s="385"/>
      <c r="X136" s="385"/>
    </row>
    <row r="137" spans="4:24" s="277" customFormat="1" x14ac:dyDescent="0.3">
      <c r="D137" s="356" t="s">
        <v>877</v>
      </c>
      <c r="E137" s="356"/>
      <c r="F137" s="356"/>
      <c r="G137" s="356"/>
      <c r="I137" s="48">
        <v>0</v>
      </c>
      <c r="K137" s="48">
        <v>0</v>
      </c>
      <c r="M137" s="279">
        <f t="shared" si="16"/>
        <v>0</v>
      </c>
      <c r="O137" s="279">
        <f t="shared" si="17"/>
        <v>0</v>
      </c>
      <c r="Q137" s="279">
        <f t="shared" si="18"/>
        <v>0</v>
      </c>
      <c r="S137" s="279">
        <f t="shared" si="19"/>
        <v>0</v>
      </c>
      <c r="U137" s="385"/>
      <c r="V137" s="385"/>
      <c r="W137" s="385"/>
      <c r="X137" s="385"/>
    </row>
    <row r="138" spans="4:24" s="277" customFormat="1" x14ac:dyDescent="0.3">
      <c r="D138" s="356" t="s">
        <v>878</v>
      </c>
      <c r="E138" s="356"/>
      <c r="F138" s="356"/>
      <c r="G138" s="356"/>
      <c r="I138" s="48">
        <v>0</v>
      </c>
      <c r="K138" s="48">
        <v>0</v>
      </c>
      <c r="M138" s="279">
        <f t="shared" si="16"/>
        <v>0</v>
      </c>
      <c r="O138" s="279">
        <f t="shared" si="17"/>
        <v>0</v>
      </c>
      <c r="Q138" s="279">
        <f t="shared" si="18"/>
        <v>0</v>
      </c>
      <c r="S138" s="279">
        <f t="shared" si="19"/>
        <v>0</v>
      </c>
      <c r="U138" s="385"/>
      <c r="V138" s="385"/>
      <c r="W138" s="385"/>
      <c r="X138" s="385"/>
    </row>
    <row r="139" spans="4:24" s="277" customFormat="1" x14ac:dyDescent="0.3">
      <c r="D139" s="356" t="s">
        <v>879</v>
      </c>
      <c r="E139" s="356"/>
      <c r="F139" s="356"/>
      <c r="G139" s="356"/>
      <c r="I139" s="48">
        <v>0</v>
      </c>
      <c r="K139" s="48">
        <v>0</v>
      </c>
      <c r="M139" s="279">
        <f t="shared" si="16"/>
        <v>0</v>
      </c>
      <c r="O139" s="279">
        <f t="shared" si="17"/>
        <v>0</v>
      </c>
      <c r="Q139" s="279">
        <f t="shared" si="18"/>
        <v>0</v>
      </c>
      <c r="S139" s="279">
        <f t="shared" si="19"/>
        <v>0</v>
      </c>
      <c r="U139" s="385"/>
      <c r="V139" s="385"/>
      <c r="W139" s="385"/>
      <c r="X139" s="385"/>
    </row>
    <row r="140" spans="4:24" s="277" customFormat="1" x14ac:dyDescent="0.3">
      <c r="D140" s="356" t="s">
        <v>880</v>
      </c>
      <c r="E140" s="356"/>
      <c r="F140" s="356"/>
      <c r="G140" s="356"/>
      <c r="I140" s="48">
        <v>0</v>
      </c>
      <c r="K140" s="48">
        <v>0</v>
      </c>
      <c r="M140" s="279">
        <f t="shared" si="16"/>
        <v>0</v>
      </c>
      <c r="O140" s="279">
        <f t="shared" si="17"/>
        <v>0</v>
      </c>
      <c r="Q140" s="279">
        <f t="shared" si="18"/>
        <v>0</v>
      </c>
      <c r="S140" s="279">
        <f t="shared" si="19"/>
        <v>0</v>
      </c>
      <c r="U140" s="385"/>
      <c r="V140" s="385"/>
      <c r="W140" s="385"/>
      <c r="X140" s="385"/>
    </row>
    <row r="141" spans="4:24" s="277" customFormat="1" x14ac:dyDescent="0.3">
      <c r="D141" s="356" t="s">
        <v>881</v>
      </c>
      <c r="E141" s="356"/>
      <c r="F141" s="356"/>
      <c r="G141" s="356"/>
      <c r="I141" s="48">
        <v>0</v>
      </c>
      <c r="K141" s="48">
        <v>0</v>
      </c>
      <c r="M141" s="279">
        <f t="shared" si="16"/>
        <v>0</v>
      </c>
      <c r="O141" s="279">
        <f t="shared" si="17"/>
        <v>0</v>
      </c>
      <c r="Q141" s="279">
        <f t="shared" si="18"/>
        <v>0</v>
      </c>
      <c r="S141" s="279">
        <f t="shared" si="19"/>
        <v>0</v>
      </c>
      <c r="U141" s="385"/>
      <c r="V141" s="385"/>
      <c r="W141" s="385"/>
      <c r="X141" s="385"/>
    </row>
    <row r="142" spans="4:24" s="277" customFormat="1" x14ac:dyDescent="0.3">
      <c r="D142" s="356" t="s">
        <v>882</v>
      </c>
      <c r="E142" s="356"/>
      <c r="F142" s="356"/>
      <c r="G142" s="356"/>
      <c r="I142" s="48">
        <v>0</v>
      </c>
      <c r="K142" s="48">
        <v>0</v>
      </c>
      <c r="M142" s="279">
        <f t="shared" si="16"/>
        <v>0</v>
      </c>
      <c r="O142" s="279">
        <f t="shared" si="17"/>
        <v>0</v>
      </c>
      <c r="Q142" s="279">
        <f t="shared" si="18"/>
        <v>0</v>
      </c>
      <c r="S142" s="279">
        <f t="shared" si="19"/>
        <v>0</v>
      </c>
      <c r="U142" s="385"/>
      <c r="V142" s="385"/>
      <c r="W142" s="385"/>
      <c r="X142" s="385"/>
    </row>
    <row r="143" spans="4:24" s="277" customFormat="1" x14ac:dyDescent="0.3">
      <c r="D143" s="356" t="s">
        <v>883</v>
      </c>
      <c r="E143" s="356"/>
      <c r="F143" s="356"/>
      <c r="G143" s="356"/>
      <c r="I143" s="48">
        <v>0</v>
      </c>
      <c r="K143" s="48">
        <v>0</v>
      </c>
      <c r="M143" s="279">
        <f t="shared" si="16"/>
        <v>0</v>
      </c>
      <c r="O143" s="279">
        <f t="shared" si="17"/>
        <v>0</v>
      </c>
      <c r="Q143" s="279">
        <f t="shared" si="18"/>
        <v>0</v>
      </c>
      <c r="S143" s="279">
        <f t="shared" si="19"/>
        <v>0</v>
      </c>
      <c r="U143" s="385"/>
      <c r="V143" s="385"/>
      <c r="W143" s="385"/>
      <c r="X143" s="385"/>
    </row>
    <row r="144" spans="4:24" s="277" customFormat="1" x14ac:dyDescent="0.3">
      <c r="D144" s="356" t="s">
        <v>884</v>
      </c>
      <c r="E144" s="356"/>
      <c r="F144" s="356"/>
      <c r="G144" s="356"/>
      <c r="I144" s="48">
        <v>0</v>
      </c>
      <c r="K144" s="48">
        <v>0</v>
      </c>
      <c r="M144" s="279">
        <f t="shared" si="16"/>
        <v>0</v>
      </c>
      <c r="O144" s="279">
        <f t="shared" si="17"/>
        <v>0</v>
      </c>
      <c r="Q144" s="279">
        <f t="shared" si="18"/>
        <v>0</v>
      </c>
      <c r="S144" s="279">
        <f t="shared" si="19"/>
        <v>0</v>
      </c>
      <c r="U144" s="385"/>
      <c r="V144" s="385"/>
      <c r="W144" s="385"/>
      <c r="X144" s="385"/>
    </row>
    <row r="145" spans="2:24" s="277" customFormat="1" x14ac:dyDescent="0.3">
      <c r="D145" s="356" t="s">
        <v>885</v>
      </c>
      <c r="E145" s="356"/>
      <c r="F145" s="356"/>
      <c r="G145" s="356"/>
      <c r="I145" s="48">
        <v>0</v>
      </c>
      <c r="K145" s="48">
        <v>0</v>
      </c>
      <c r="M145" s="279">
        <f t="shared" si="16"/>
        <v>0</v>
      </c>
      <c r="O145" s="279">
        <f t="shared" si="17"/>
        <v>0</v>
      </c>
      <c r="Q145" s="279">
        <f t="shared" si="18"/>
        <v>0</v>
      </c>
      <c r="S145" s="279">
        <f t="shared" si="19"/>
        <v>0</v>
      </c>
      <c r="U145" s="385"/>
      <c r="V145" s="385"/>
      <c r="W145" s="385"/>
      <c r="X145" s="385"/>
    </row>
    <row r="146" spans="2:24" s="277" customFormat="1" x14ac:dyDescent="0.3">
      <c r="D146" s="356" t="s">
        <v>886</v>
      </c>
      <c r="E146" s="356"/>
      <c r="F146" s="356"/>
      <c r="G146" s="356"/>
      <c r="I146" s="48">
        <v>0</v>
      </c>
      <c r="K146" s="48">
        <v>0</v>
      </c>
      <c r="M146" s="279">
        <f t="shared" si="16"/>
        <v>0</v>
      </c>
      <c r="O146" s="279">
        <f t="shared" si="17"/>
        <v>0</v>
      </c>
      <c r="Q146" s="279">
        <f t="shared" si="18"/>
        <v>0</v>
      </c>
      <c r="S146" s="279">
        <f t="shared" si="19"/>
        <v>0</v>
      </c>
      <c r="U146" s="385"/>
      <c r="V146" s="385"/>
      <c r="W146" s="385"/>
      <c r="X146" s="385"/>
    </row>
    <row r="147" spans="2:24" s="277" customFormat="1" x14ac:dyDescent="0.3">
      <c r="D147" s="356" t="s">
        <v>887</v>
      </c>
      <c r="E147" s="356"/>
      <c r="F147" s="356"/>
      <c r="G147" s="356"/>
      <c r="I147" s="48">
        <v>0</v>
      </c>
      <c r="K147" s="48">
        <v>0</v>
      </c>
      <c r="M147" s="279">
        <f t="shared" si="16"/>
        <v>0</v>
      </c>
      <c r="O147" s="279">
        <f t="shared" si="17"/>
        <v>0</v>
      </c>
      <c r="Q147" s="279">
        <f t="shared" si="18"/>
        <v>0</v>
      </c>
      <c r="S147" s="279">
        <f t="shared" si="19"/>
        <v>0</v>
      </c>
      <c r="U147" s="385"/>
      <c r="V147" s="385"/>
      <c r="W147" s="385"/>
      <c r="X147" s="385"/>
    </row>
    <row r="148" spans="2:24" s="277" customFormat="1" x14ac:dyDescent="0.3">
      <c r="D148" s="356" t="s">
        <v>888</v>
      </c>
      <c r="E148" s="356"/>
      <c r="F148" s="356"/>
      <c r="G148" s="356"/>
      <c r="I148" s="48">
        <v>0</v>
      </c>
      <c r="K148" s="48">
        <v>0</v>
      </c>
      <c r="M148" s="279">
        <f t="shared" si="16"/>
        <v>0</v>
      </c>
      <c r="O148" s="279">
        <f t="shared" si="17"/>
        <v>0</v>
      </c>
      <c r="Q148" s="279">
        <f t="shared" si="18"/>
        <v>0</v>
      </c>
      <c r="S148" s="279">
        <f t="shared" si="19"/>
        <v>0</v>
      </c>
      <c r="U148" s="385"/>
      <c r="V148" s="385"/>
      <c r="W148" s="385"/>
      <c r="X148" s="385"/>
    </row>
    <row r="149" spans="2:24" s="277" customFormat="1" x14ac:dyDescent="0.3">
      <c r="D149" s="356" t="s">
        <v>889</v>
      </c>
      <c r="E149" s="356"/>
      <c r="F149" s="356"/>
      <c r="G149" s="356"/>
      <c r="I149" s="48">
        <v>0</v>
      </c>
      <c r="K149" s="48">
        <v>0</v>
      </c>
      <c r="M149" s="279">
        <f t="shared" si="16"/>
        <v>0</v>
      </c>
      <c r="O149" s="279">
        <f t="shared" si="17"/>
        <v>0</v>
      </c>
      <c r="Q149" s="279">
        <f t="shared" si="18"/>
        <v>0</v>
      </c>
      <c r="S149" s="279">
        <f t="shared" si="19"/>
        <v>0</v>
      </c>
      <c r="U149" s="385"/>
      <c r="V149" s="385"/>
      <c r="W149" s="385"/>
      <c r="X149" s="385"/>
    </row>
    <row r="150" spans="2:24" s="277" customFormat="1" x14ac:dyDescent="0.3">
      <c r="D150" s="356" t="s">
        <v>890</v>
      </c>
      <c r="E150" s="356"/>
      <c r="F150" s="356"/>
      <c r="G150" s="356"/>
      <c r="I150" s="48">
        <v>0</v>
      </c>
      <c r="K150" s="48">
        <v>0</v>
      </c>
      <c r="M150" s="279">
        <f t="shared" si="16"/>
        <v>0</v>
      </c>
      <c r="O150" s="279">
        <f t="shared" si="17"/>
        <v>0</v>
      </c>
      <c r="Q150" s="279">
        <f t="shared" si="18"/>
        <v>0</v>
      </c>
      <c r="S150" s="279">
        <f t="shared" si="19"/>
        <v>0</v>
      </c>
      <c r="U150" s="385"/>
      <c r="V150" s="385"/>
      <c r="W150" s="385"/>
      <c r="X150" s="385"/>
    </row>
    <row r="151" spans="2:24" s="277" customFormat="1" x14ac:dyDescent="0.3">
      <c r="D151" s="356" t="s">
        <v>986</v>
      </c>
      <c r="E151" s="356"/>
      <c r="F151" s="356"/>
      <c r="G151" s="356"/>
      <c r="I151" s="48">
        <v>0</v>
      </c>
      <c r="K151" s="48">
        <v>0</v>
      </c>
      <c r="M151" s="279">
        <f t="shared" si="16"/>
        <v>0</v>
      </c>
      <c r="O151" s="279">
        <f t="shared" si="17"/>
        <v>0</v>
      </c>
      <c r="Q151" s="279">
        <f t="shared" si="18"/>
        <v>0</v>
      </c>
      <c r="S151" s="279">
        <f t="shared" si="19"/>
        <v>0</v>
      </c>
      <c r="U151" s="385"/>
      <c r="V151" s="385"/>
      <c r="W151" s="385"/>
      <c r="X151" s="385"/>
    </row>
    <row r="152" spans="2:24" s="277" customFormat="1" x14ac:dyDescent="0.3">
      <c r="D152" s="356" t="s">
        <v>987</v>
      </c>
      <c r="E152" s="356"/>
      <c r="F152" s="356"/>
      <c r="G152" s="356"/>
      <c r="I152" s="48">
        <v>0</v>
      </c>
      <c r="K152" s="48">
        <v>0</v>
      </c>
      <c r="M152" s="279">
        <f t="shared" si="16"/>
        <v>0</v>
      </c>
      <c r="O152" s="279">
        <f t="shared" si="17"/>
        <v>0</v>
      </c>
      <c r="Q152" s="279">
        <f t="shared" si="18"/>
        <v>0</v>
      </c>
      <c r="S152" s="279">
        <f t="shared" si="19"/>
        <v>0</v>
      </c>
      <c r="U152" s="385"/>
      <c r="V152" s="385"/>
      <c r="W152" s="385"/>
      <c r="X152" s="385"/>
    </row>
    <row r="153" spans="2:24" s="277" customFormat="1" x14ac:dyDescent="0.3">
      <c r="D153" s="356" t="s">
        <v>988</v>
      </c>
      <c r="E153" s="356"/>
      <c r="F153" s="356"/>
      <c r="G153" s="356"/>
      <c r="I153" s="48">
        <v>0</v>
      </c>
      <c r="K153" s="48">
        <v>0</v>
      </c>
      <c r="M153" s="279">
        <f t="shared" si="16"/>
        <v>0</v>
      </c>
      <c r="O153" s="279">
        <f t="shared" si="17"/>
        <v>0</v>
      </c>
      <c r="Q153" s="279">
        <f t="shared" si="18"/>
        <v>0</v>
      </c>
      <c r="S153" s="279">
        <f t="shared" si="19"/>
        <v>0</v>
      </c>
      <c r="U153" s="385"/>
      <c r="V153" s="385"/>
      <c r="W153" s="385"/>
      <c r="X153" s="385"/>
    </row>
    <row r="154" spans="2:24" s="277" customFormat="1" x14ac:dyDescent="0.3">
      <c r="D154" s="356" t="s">
        <v>989</v>
      </c>
      <c r="E154" s="356"/>
      <c r="F154" s="356"/>
      <c r="G154" s="356"/>
      <c r="I154" s="48">
        <v>0</v>
      </c>
      <c r="K154" s="48">
        <v>0</v>
      </c>
      <c r="M154" s="279">
        <f t="shared" si="16"/>
        <v>0</v>
      </c>
      <c r="O154" s="279">
        <f t="shared" si="17"/>
        <v>0</v>
      </c>
      <c r="Q154" s="279">
        <f t="shared" si="18"/>
        <v>0</v>
      </c>
      <c r="S154" s="279">
        <f t="shared" si="19"/>
        <v>0</v>
      </c>
      <c r="U154" s="385"/>
      <c r="V154" s="385"/>
      <c r="W154" s="385"/>
      <c r="X154" s="385"/>
    </row>
    <row r="155" spans="2:24" s="277" customFormat="1" x14ac:dyDescent="0.3">
      <c r="D155" s="356" t="s">
        <v>990</v>
      </c>
      <c r="E155" s="356"/>
      <c r="F155" s="356"/>
      <c r="G155" s="356"/>
      <c r="I155" s="48">
        <v>0</v>
      </c>
      <c r="K155" s="48">
        <v>0</v>
      </c>
      <c r="M155" s="279">
        <f t="shared" si="16"/>
        <v>0</v>
      </c>
      <c r="O155" s="279">
        <f t="shared" si="17"/>
        <v>0</v>
      </c>
      <c r="Q155" s="279">
        <f t="shared" si="18"/>
        <v>0</v>
      </c>
      <c r="S155" s="279">
        <f t="shared" si="19"/>
        <v>0</v>
      </c>
      <c r="U155" s="385"/>
      <c r="V155" s="385"/>
      <c r="W155" s="385"/>
      <c r="X155" s="385"/>
    </row>
    <row r="156" spans="2:24" ht="14.4" x14ac:dyDescent="0.3">
      <c r="D156" s="420" t="s">
        <v>90</v>
      </c>
      <c r="E156" s="421"/>
      <c r="F156" s="421"/>
      <c r="G156" s="421"/>
      <c r="I156" s="40"/>
      <c r="K156" s="40">
        <f>SUM(K131:K155)</f>
        <v>0</v>
      </c>
      <c r="M156" s="40"/>
      <c r="O156" s="40"/>
      <c r="Q156" s="294">
        <f>SUM(Q131:Q155)</f>
        <v>0</v>
      </c>
      <c r="S156" s="294">
        <f>SUM(S131:S155)</f>
        <v>0</v>
      </c>
    </row>
    <row r="158" spans="2:24" ht="27.6" x14ac:dyDescent="0.3">
      <c r="Q158" s="44" t="str">
        <f>"FINANCIAL COST ("&amp;INDEX(LU_ACT_14_Meet_Curr,DD_ACT_14_Meet1_Curr)&amp;")"</f>
        <v>FINANCIAL COST (GOZ)</v>
      </c>
      <c r="S158" s="44" t="str">
        <f>"ECONOMIC COST ("&amp;INDEX(LU_ACT_14_Meet_Curr,DD_ACT_14_Meet1_Curr)&amp;")"</f>
        <v>ECONOMIC COST (GOZ)</v>
      </c>
      <c r="U158" s="44" t="str">
        <f>"FINANCIAL COST ("&amp;IF(DD_ACT_14_Meet1_Curr=2,$D$163,$D$164)&amp;")"</f>
        <v>FINANCIAL COST (USD)</v>
      </c>
      <c r="W158" s="44" t="str">
        <f>"ECONOMIC COST ("&amp;IF(DD_ACT_14_Meet1_Curr=2,$D$163,$D$164)&amp;")"</f>
        <v>ECONOMIC COST (USD)</v>
      </c>
    </row>
    <row r="159" spans="2:24" ht="18.600000000000001" thickBot="1" x14ac:dyDescent="0.35">
      <c r="B159" s="99" t="s">
        <v>91</v>
      </c>
      <c r="Q159" s="46">
        <f>SUM(Q37,Q66,Q97,Q126,Q156)</f>
        <v>0</v>
      </c>
      <c r="S159" s="46">
        <f>SUM(S37,S66,S97,S126,S156)</f>
        <v>0</v>
      </c>
      <c r="U159" s="47">
        <f>IFERROR(IF(DD_ACT_14_Meet1_Curr=2,$Q159/$I$164,$Q159*$I$164), 0)</f>
        <v>0</v>
      </c>
      <c r="W159" s="47">
        <f>IFERROR(IF(DD_ACT_14_Meet1_Curr=2,$S159/$I$164,$S159*$I$164), 0)</f>
        <v>0</v>
      </c>
    </row>
    <row r="160" spans="2:24" ht="14.4" thickTop="1" x14ac:dyDescent="0.3"/>
    <row r="161" spans="3:19" x14ac:dyDescent="0.3">
      <c r="C161" s="91" t="s">
        <v>584</v>
      </c>
    </row>
    <row r="162" spans="3:19" hidden="1" outlineLevel="1" x14ac:dyDescent="0.3"/>
    <row r="163" spans="3:19" ht="12.9" hidden="1" customHeight="1" outlineLevel="1" x14ac:dyDescent="0.3">
      <c r="D163" s="422" t="str">
        <f>CURR_TA!D13</f>
        <v>USD</v>
      </c>
      <c r="E163" s="423"/>
      <c r="F163" s="423"/>
      <c r="G163" s="423"/>
      <c r="I163" s="279">
        <f>CURR_TA!J13</f>
        <v>1</v>
      </c>
      <c r="J163" s="279">
        <f>CURR_TA!K13</f>
        <v>0</v>
      </c>
      <c r="K163" s="279">
        <f>CURR_TA!L13</f>
        <v>0</v>
      </c>
      <c r="L163" s="279">
        <f>CURR_TA!M13</f>
        <v>0</v>
      </c>
    </row>
    <row r="164" spans="3:19" ht="12.9" hidden="1" customHeight="1" outlineLevel="1" x14ac:dyDescent="0.3">
      <c r="D164" s="422" t="str">
        <f>CURR_TA!D14</f>
        <v>GOZ</v>
      </c>
      <c r="E164" s="423"/>
      <c r="F164" s="423"/>
      <c r="G164" s="423"/>
      <c r="I164" s="279">
        <f>CURR_TA!J14</f>
        <v>0</v>
      </c>
      <c r="J164" s="279">
        <f>CURR_TA!K14</f>
        <v>0</v>
      </c>
      <c r="K164" s="279">
        <f>CURR_TA!L14</f>
        <v>0</v>
      </c>
      <c r="L164" s="279">
        <f>CURR_TA!M14</f>
        <v>0</v>
      </c>
    </row>
    <row r="165" spans="3:19" collapsed="1" x14ac:dyDescent="0.3"/>
    <row r="167" spans="3:19" x14ac:dyDescent="0.3">
      <c r="C167" s="91" t="s">
        <v>590</v>
      </c>
    </row>
    <row r="168" spans="3:19" hidden="1" outlineLevel="1" x14ac:dyDescent="0.3">
      <c r="M168" s="40" t="str">
        <f>$D$163</f>
        <v>USD</v>
      </c>
      <c r="O168" s="40" t="str">
        <f>$D$163</f>
        <v>USD</v>
      </c>
      <c r="Q168" s="40" t="str">
        <f>$D$164</f>
        <v>GOZ</v>
      </c>
      <c r="S168" s="40" t="str">
        <f>$D$164</f>
        <v>GOZ</v>
      </c>
    </row>
    <row r="169" spans="3:19" hidden="1" outlineLevel="1" x14ac:dyDescent="0.3">
      <c r="C169" s="89" t="str">
        <f>RES_BA!D14</f>
        <v>Personnel Cadre - Other 1</v>
      </c>
      <c r="M169" s="40">
        <f>RES_BA!R14</f>
        <v>0</v>
      </c>
      <c r="O169" s="40">
        <f>RES_BA!S14</f>
        <v>0</v>
      </c>
      <c r="Q169" s="40">
        <f>RES_BA!T14</f>
        <v>0</v>
      </c>
      <c r="S169" s="40">
        <f>RES_BA!U14</f>
        <v>0</v>
      </c>
    </row>
    <row r="170" spans="3:19" hidden="1" outlineLevel="1" x14ac:dyDescent="0.3">
      <c r="C170" s="89" t="str">
        <f>RES_BA!D15</f>
        <v>Personnel Cadre - Other 2</v>
      </c>
      <c r="M170" s="40">
        <f>RES_BA!R15</f>
        <v>0</v>
      </c>
      <c r="O170" s="40">
        <f>RES_BA!S15</f>
        <v>0</v>
      </c>
      <c r="Q170" s="40">
        <f>RES_BA!T15</f>
        <v>0</v>
      </c>
      <c r="S170" s="40">
        <f>RES_BA!U15</f>
        <v>0</v>
      </c>
    </row>
    <row r="171" spans="3:19" hidden="1" outlineLevel="1" x14ac:dyDescent="0.3">
      <c r="C171" s="89" t="str">
        <f>RES_BA!D16</f>
        <v>Personnel Cadre - Other 3</v>
      </c>
      <c r="M171" s="40">
        <f>RES_BA!R16</f>
        <v>0</v>
      </c>
      <c r="O171" s="40">
        <f>RES_BA!S16</f>
        <v>0</v>
      </c>
      <c r="Q171" s="40">
        <f>RES_BA!T16</f>
        <v>0</v>
      </c>
      <c r="S171" s="40">
        <f>RES_BA!U16</f>
        <v>0</v>
      </c>
    </row>
    <row r="172" spans="3:19" hidden="1" outlineLevel="1" x14ac:dyDescent="0.3">
      <c r="C172" s="89" t="str">
        <f>RES_BA!D17</f>
        <v>Personnel Cadre - Other 4</v>
      </c>
      <c r="M172" s="40">
        <f>RES_BA!R17</f>
        <v>0</v>
      </c>
      <c r="O172" s="40">
        <f>RES_BA!S17</f>
        <v>0</v>
      </c>
      <c r="Q172" s="40">
        <f>RES_BA!T17</f>
        <v>0</v>
      </c>
      <c r="S172" s="40">
        <f>RES_BA!U17</f>
        <v>0</v>
      </c>
    </row>
    <row r="173" spans="3:19" hidden="1" outlineLevel="1" x14ac:dyDescent="0.3">
      <c r="C173" s="89" t="str">
        <f>RES_BA!D18</f>
        <v>Personnel Cadre - Other 5</v>
      </c>
      <c r="M173" s="40">
        <f>RES_BA!R18</f>
        <v>0</v>
      </c>
      <c r="O173" s="40">
        <f>RES_BA!S18</f>
        <v>0</v>
      </c>
      <c r="Q173" s="40">
        <f>RES_BA!T18</f>
        <v>0</v>
      </c>
      <c r="S173" s="40">
        <f>RES_BA!U18</f>
        <v>0</v>
      </c>
    </row>
    <row r="174" spans="3:19" hidden="1" outlineLevel="1" x14ac:dyDescent="0.3">
      <c r="C174" s="89" t="str">
        <f>RES_BA!D19</f>
        <v>Personnel Cadre - Other 6</v>
      </c>
      <c r="M174" s="40">
        <f>RES_BA!R19</f>
        <v>0</v>
      </c>
      <c r="O174" s="40">
        <f>RES_BA!S19</f>
        <v>0</v>
      </c>
      <c r="Q174" s="40">
        <f>RES_BA!T19</f>
        <v>0</v>
      </c>
      <c r="S174" s="40">
        <f>RES_BA!U19</f>
        <v>0</v>
      </c>
    </row>
    <row r="175" spans="3:19" hidden="1" outlineLevel="1" x14ac:dyDescent="0.3">
      <c r="C175" s="89" t="str">
        <f>RES_BA!D20</f>
        <v>Personnel Cadre - Other 7</v>
      </c>
      <c r="M175" s="40">
        <f>RES_BA!R20</f>
        <v>0</v>
      </c>
      <c r="O175" s="40">
        <f>RES_BA!S20</f>
        <v>0</v>
      </c>
      <c r="Q175" s="40">
        <f>RES_BA!T20</f>
        <v>0</v>
      </c>
      <c r="S175" s="40">
        <f>RES_BA!U20</f>
        <v>0</v>
      </c>
    </row>
    <row r="176" spans="3:19" hidden="1" outlineLevel="1" x14ac:dyDescent="0.3">
      <c r="C176" s="89" t="str">
        <f>RES_BA!D21</f>
        <v>Personnel Cadre - Other 8</v>
      </c>
      <c r="M176" s="40">
        <f>RES_BA!R21</f>
        <v>0</v>
      </c>
      <c r="O176" s="40">
        <f>RES_BA!S21</f>
        <v>0</v>
      </c>
      <c r="Q176" s="40">
        <f>RES_BA!T21</f>
        <v>0</v>
      </c>
      <c r="S176" s="40">
        <f>RES_BA!U21</f>
        <v>0</v>
      </c>
    </row>
    <row r="177" spans="3:19" hidden="1" outlineLevel="1" x14ac:dyDescent="0.3">
      <c r="C177" s="89" t="str">
        <f>RES_BA!D22</f>
        <v>Personnel Cadre - Other 9</v>
      </c>
      <c r="M177" s="40">
        <f>RES_BA!R22</f>
        <v>0</v>
      </c>
      <c r="O177" s="40">
        <f>RES_BA!S22</f>
        <v>0</v>
      </c>
      <c r="Q177" s="40">
        <f>RES_BA!T22</f>
        <v>0</v>
      </c>
      <c r="S177" s="40">
        <f>RES_BA!U22</f>
        <v>0</v>
      </c>
    </row>
    <row r="178" spans="3:19" hidden="1" outlineLevel="1" x14ac:dyDescent="0.3">
      <c r="C178" s="89" t="str">
        <f>RES_BA!D23</f>
        <v>Personnel Cadre - Other 10</v>
      </c>
      <c r="M178" s="40">
        <f>RES_BA!R23</f>
        <v>0</v>
      </c>
      <c r="O178" s="40">
        <f>RES_BA!S23</f>
        <v>0</v>
      </c>
      <c r="Q178" s="40">
        <f>RES_BA!T23</f>
        <v>0</v>
      </c>
      <c r="S178" s="40">
        <f>RES_BA!U23</f>
        <v>0</v>
      </c>
    </row>
    <row r="179" spans="3:19" hidden="1" outlineLevel="1" x14ac:dyDescent="0.3">
      <c r="C179" s="89" t="str">
        <f>RES_BA!D24</f>
        <v>Personnel Cadre - Other 11</v>
      </c>
      <c r="M179" s="40">
        <f>RES_BA!R24</f>
        <v>0</v>
      </c>
      <c r="O179" s="40">
        <f>RES_BA!S24</f>
        <v>0</v>
      </c>
      <c r="Q179" s="40">
        <f>RES_BA!T24</f>
        <v>0</v>
      </c>
      <c r="S179" s="40">
        <f>RES_BA!U24</f>
        <v>0</v>
      </c>
    </row>
    <row r="180" spans="3:19" hidden="1" outlineLevel="1" x14ac:dyDescent="0.3">
      <c r="C180" s="89" t="str">
        <f>RES_BA!D25</f>
        <v>Personnel Cadre - Other 12</v>
      </c>
      <c r="M180" s="40">
        <f>RES_BA!R25</f>
        <v>0</v>
      </c>
      <c r="O180" s="40">
        <f>RES_BA!S25</f>
        <v>0</v>
      </c>
      <c r="Q180" s="40">
        <f>RES_BA!T25</f>
        <v>0</v>
      </c>
      <c r="S180" s="40">
        <f>RES_BA!U25</f>
        <v>0</v>
      </c>
    </row>
    <row r="181" spans="3:19" hidden="1" outlineLevel="1" x14ac:dyDescent="0.3">
      <c r="C181" s="89" t="str">
        <f>RES_BA!D26</f>
        <v>Personnel Cadre - Other 13</v>
      </c>
      <c r="M181" s="40">
        <f>RES_BA!R26</f>
        <v>0</v>
      </c>
      <c r="O181" s="40">
        <f>RES_BA!S26</f>
        <v>0</v>
      </c>
      <c r="Q181" s="40">
        <f>RES_BA!T26</f>
        <v>0</v>
      </c>
      <c r="S181" s="40">
        <f>RES_BA!U26</f>
        <v>0</v>
      </c>
    </row>
    <row r="182" spans="3:19" hidden="1" outlineLevel="1" x14ac:dyDescent="0.3">
      <c r="C182" s="89" t="str">
        <f>RES_BA!D27</f>
        <v>Personnel Cadre - Other 14</v>
      </c>
      <c r="M182" s="40">
        <f>RES_BA!R27</f>
        <v>0</v>
      </c>
      <c r="O182" s="40">
        <f>RES_BA!S27</f>
        <v>0</v>
      </c>
      <c r="Q182" s="40">
        <f>RES_BA!T27</f>
        <v>0</v>
      </c>
      <c r="S182" s="40">
        <f>RES_BA!U27</f>
        <v>0</v>
      </c>
    </row>
    <row r="183" spans="3:19" hidden="1" outlineLevel="1" x14ac:dyDescent="0.3">
      <c r="C183" s="89" t="str">
        <f>RES_BA!D28</f>
        <v>Personnel Cadre - Other 15</v>
      </c>
      <c r="M183" s="40">
        <f>RES_BA!R28</f>
        <v>0</v>
      </c>
      <c r="O183" s="40">
        <f>RES_BA!S28</f>
        <v>0</v>
      </c>
      <c r="Q183" s="40">
        <f>RES_BA!T28</f>
        <v>0</v>
      </c>
      <c r="S183" s="40">
        <f>RES_BA!U28</f>
        <v>0</v>
      </c>
    </row>
    <row r="184" spans="3:19" s="277" customFormat="1" hidden="1" outlineLevel="1" collapsed="1" x14ac:dyDescent="0.3">
      <c r="C184" s="283" t="str">
        <f>RES_BA!D29</f>
        <v>Personnel Cadre - Other 16</v>
      </c>
      <c r="M184" s="279">
        <f>RES_BA!R29</f>
        <v>0</v>
      </c>
      <c r="O184" s="279">
        <f>RES_BA!S29</f>
        <v>0</v>
      </c>
      <c r="Q184" s="279">
        <f>RES_BA!T29</f>
        <v>0</v>
      </c>
      <c r="S184" s="279">
        <f>RES_BA!U29</f>
        <v>0</v>
      </c>
    </row>
    <row r="185" spans="3:19" s="277" customFormat="1" hidden="1" outlineLevel="1" collapsed="1" x14ac:dyDescent="0.3">
      <c r="C185" s="283" t="str">
        <f>RES_BA!D30</f>
        <v>Personnel Cadre - Other 17</v>
      </c>
      <c r="M185" s="279">
        <f>RES_BA!R30</f>
        <v>0</v>
      </c>
      <c r="O185" s="279">
        <f>RES_BA!S30</f>
        <v>0</v>
      </c>
      <c r="Q185" s="279">
        <f>RES_BA!T30</f>
        <v>0</v>
      </c>
      <c r="S185" s="279">
        <f>RES_BA!U30</f>
        <v>0</v>
      </c>
    </row>
    <row r="186" spans="3:19" s="277" customFormat="1" hidden="1" outlineLevel="1" collapsed="1" x14ac:dyDescent="0.3">
      <c r="C186" s="283" t="str">
        <f>RES_BA!D31</f>
        <v>Personnel Cadre - Other 18</v>
      </c>
      <c r="M186" s="279">
        <f>RES_BA!R31</f>
        <v>0</v>
      </c>
      <c r="O186" s="279">
        <f>RES_BA!S31</f>
        <v>0</v>
      </c>
      <c r="Q186" s="279">
        <f>RES_BA!T31</f>
        <v>0</v>
      </c>
      <c r="S186" s="279">
        <f>RES_BA!U31</f>
        <v>0</v>
      </c>
    </row>
    <row r="187" spans="3:19" s="277" customFormat="1" hidden="1" outlineLevel="1" x14ac:dyDescent="0.3">
      <c r="C187" s="283" t="str">
        <f>RES_BA!D32</f>
        <v>Personnel Cadre - Other 19</v>
      </c>
      <c r="M187" s="279">
        <f>RES_BA!R32</f>
        <v>0</v>
      </c>
      <c r="O187" s="279">
        <f>RES_BA!S32</f>
        <v>0</v>
      </c>
      <c r="Q187" s="279">
        <f>RES_BA!T32</f>
        <v>0</v>
      </c>
      <c r="S187" s="279">
        <f>RES_BA!U32</f>
        <v>0</v>
      </c>
    </row>
    <row r="188" spans="3:19" s="277" customFormat="1" hidden="1" outlineLevel="1" x14ac:dyDescent="0.3">
      <c r="C188" s="283" t="str">
        <f>RES_BA!D33</f>
        <v>Personnel Cadre - Other 20</v>
      </c>
      <c r="M188" s="279">
        <f>RES_BA!R33</f>
        <v>0</v>
      </c>
      <c r="O188" s="279">
        <f>RES_BA!S33</f>
        <v>0</v>
      </c>
      <c r="Q188" s="279">
        <f>RES_BA!T33</f>
        <v>0</v>
      </c>
      <c r="S188" s="279">
        <f>RES_BA!U33</f>
        <v>0</v>
      </c>
    </row>
    <row r="189" spans="3:19" s="277" customFormat="1" hidden="1" outlineLevel="1" collapsed="1" x14ac:dyDescent="0.3">
      <c r="C189" s="283" t="str">
        <f>RES_BA!D34</f>
        <v>Personnel Cadre - Other 21</v>
      </c>
      <c r="M189" s="279">
        <f>RES_BA!R34</f>
        <v>0</v>
      </c>
      <c r="O189" s="279">
        <f>RES_BA!S34</f>
        <v>0</v>
      </c>
      <c r="Q189" s="279">
        <f>RES_BA!T34</f>
        <v>0</v>
      </c>
      <c r="S189" s="279">
        <f>RES_BA!U34</f>
        <v>0</v>
      </c>
    </row>
    <row r="190" spans="3:19" s="277" customFormat="1" hidden="1" outlineLevel="1" x14ac:dyDescent="0.3">
      <c r="C190" s="283" t="str">
        <f>RES_BA!D35</f>
        <v>Personnel Cadre - Other 22</v>
      </c>
      <c r="M190" s="279">
        <f>RES_BA!R35</f>
        <v>0</v>
      </c>
      <c r="O190" s="279">
        <f>RES_BA!S35</f>
        <v>0</v>
      </c>
      <c r="Q190" s="279">
        <f>RES_BA!T35</f>
        <v>0</v>
      </c>
      <c r="S190" s="279">
        <f>RES_BA!U35</f>
        <v>0</v>
      </c>
    </row>
    <row r="191" spans="3:19" s="277" customFormat="1" hidden="1" outlineLevel="1" x14ac:dyDescent="0.3">
      <c r="C191" s="283" t="str">
        <f>RES_BA!D36</f>
        <v>Personnel Cadre - Other 23</v>
      </c>
      <c r="M191" s="279">
        <f>RES_BA!R36</f>
        <v>0</v>
      </c>
      <c r="O191" s="279">
        <f>RES_BA!S36</f>
        <v>0</v>
      </c>
      <c r="Q191" s="279">
        <f>RES_BA!T36</f>
        <v>0</v>
      </c>
      <c r="S191" s="279">
        <f>RES_BA!U36</f>
        <v>0</v>
      </c>
    </row>
    <row r="192" spans="3:19" s="277" customFormat="1" hidden="1" outlineLevel="1" x14ac:dyDescent="0.3">
      <c r="C192" s="283" t="str">
        <f>RES_BA!D37</f>
        <v>Personnel Cadre - Other 24</v>
      </c>
      <c r="M192" s="279">
        <f>RES_BA!R37</f>
        <v>0</v>
      </c>
      <c r="O192" s="279">
        <f>RES_BA!S37</f>
        <v>0</v>
      </c>
      <c r="Q192" s="279">
        <f>RES_BA!T37</f>
        <v>0</v>
      </c>
      <c r="S192" s="279">
        <f>RES_BA!U37</f>
        <v>0</v>
      </c>
    </row>
    <row r="193" spans="3:19" s="277" customFormat="1" hidden="1" outlineLevel="1" x14ac:dyDescent="0.3">
      <c r="C193" s="283" t="str">
        <f>RES_BA!D38</f>
        <v>Personnel Cadre - Other 25</v>
      </c>
      <c r="M193" s="279">
        <f>RES_BA!R38</f>
        <v>0</v>
      </c>
      <c r="O193" s="279">
        <f>RES_BA!S38</f>
        <v>0</v>
      </c>
      <c r="Q193" s="279">
        <f>RES_BA!T38</f>
        <v>0</v>
      </c>
      <c r="S193" s="279">
        <f>RES_BA!U38</f>
        <v>0</v>
      </c>
    </row>
    <row r="194" spans="3:19" s="277" customFormat="1" hidden="1" outlineLevel="1" x14ac:dyDescent="0.3">
      <c r="C194" s="283" t="str">
        <f>RES_BA!D39</f>
        <v>Personnel Cadre - Other 26</v>
      </c>
      <c r="M194" s="279">
        <f>RES_BA!R39</f>
        <v>0</v>
      </c>
      <c r="O194" s="279">
        <f>RES_BA!S39</f>
        <v>0</v>
      </c>
      <c r="Q194" s="279">
        <f>RES_BA!T39</f>
        <v>0</v>
      </c>
      <c r="S194" s="279">
        <f>RES_BA!U39</f>
        <v>0</v>
      </c>
    </row>
    <row r="195" spans="3:19" s="277" customFormat="1" hidden="1" outlineLevel="1" x14ac:dyDescent="0.3">
      <c r="C195" s="283" t="str">
        <f>RES_BA!D40</f>
        <v>Personnel Cadre - Other 27</v>
      </c>
      <c r="M195" s="279">
        <f>RES_BA!R40</f>
        <v>0</v>
      </c>
      <c r="O195" s="279">
        <f>RES_BA!S40</f>
        <v>0</v>
      </c>
      <c r="Q195" s="279">
        <f>RES_BA!T40</f>
        <v>0</v>
      </c>
      <c r="S195" s="279">
        <f>RES_BA!U40</f>
        <v>0</v>
      </c>
    </row>
    <row r="196" spans="3:19" s="277" customFormat="1" hidden="1" outlineLevel="1" x14ac:dyDescent="0.3">
      <c r="C196" s="283" t="str">
        <f>RES_BA!D41</f>
        <v>Personnel Cadre - Other 28</v>
      </c>
      <c r="M196" s="279">
        <f>RES_BA!R41</f>
        <v>0</v>
      </c>
      <c r="O196" s="279">
        <f>RES_BA!S41</f>
        <v>0</v>
      </c>
      <c r="Q196" s="279">
        <f>RES_BA!T41</f>
        <v>0</v>
      </c>
      <c r="S196" s="279">
        <f>RES_BA!U41</f>
        <v>0</v>
      </c>
    </row>
    <row r="197" spans="3:19" s="277" customFormat="1" hidden="1" outlineLevel="1" x14ac:dyDescent="0.3">
      <c r="C197" s="283" t="str">
        <f>RES_BA!D42</f>
        <v>Personnel Cadre - Other 29</v>
      </c>
      <c r="M197" s="279">
        <f>RES_BA!R42</f>
        <v>0</v>
      </c>
      <c r="O197" s="279">
        <f>RES_BA!S42</f>
        <v>0</v>
      </c>
      <c r="Q197" s="279">
        <f>RES_BA!T42</f>
        <v>0</v>
      </c>
      <c r="S197" s="279">
        <f>RES_BA!U42</f>
        <v>0</v>
      </c>
    </row>
    <row r="198" spans="3:19" s="277" customFormat="1" hidden="1" outlineLevel="1" x14ac:dyDescent="0.3">
      <c r="C198" s="283" t="str">
        <f>RES_BA!D43</f>
        <v>Personnel Cadre - Other 30</v>
      </c>
      <c r="M198" s="279">
        <f>RES_BA!R43</f>
        <v>0</v>
      </c>
      <c r="O198" s="279">
        <f>RES_BA!S43</f>
        <v>0</v>
      </c>
      <c r="Q198" s="279">
        <f>RES_BA!T43</f>
        <v>0</v>
      </c>
      <c r="S198" s="279">
        <f>RES_BA!U43</f>
        <v>0</v>
      </c>
    </row>
    <row r="199" spans="3:19" s="277" customFormat="1" hidden="1" outlineLevel="1" x14ac:dyDescent="0.3">
      <c r="C199" s="283" t="str">
        <f>RES_BA!D44</f>
        <v>Personnel Cadre - Other 31</v>
      </c>
      <c r="M199" s="279">
        <f>RES_BA!R44</f>
        <v>0</v>
      </c>
      <c r="O199" s="279">
        <f>RES_BA!S44</f>
        <v>0</v>
      </c>
      <c r="Q199" s="279">
        <f>RES_BA!T44</f>
        <v>0</v>
      </c>
      <c r="S199" s="279">
        <f>RES_BA!U44</f>
        <v>0</v>
      </c>
    </row>
    <row r="200" spans="3:19" s="277" customFormat="1" hidden="1" outlineLevel="1" x14ac:dyDescent="0.3">
      <c r="C200" s="283" t="str">
        <f>RES_BA!D45</f>
        <v>Personnel Cadre - Other 32</v>
      </c>
      <c r="M200" s="279">
        <f>RES_BA!R45</f>
        <v>0</v>
      </c>
      <c r="O200" s="279">
        <f>RES_BA!S45</f>
        <v>0</v>
      </c>
      <c r="Q200" s="279">
        <f>RES_BA!T45</f>
        <v>0</v>
      </c>
      <c r="S200" s="279">
        <f>RES_BA!U45</f>
        <v>0</v>
      </c>
    </row>
    <row r="201" spans="3:19" s="277" customFormat="1" hidden="1" outlineLevel="1" x14ac:dyDescent="0.3">
      <c r="C201" s="283" t="str">
        <f>RES_BA!D46</f>
        <v>Personnel Cadre - Other 33</v>
      </c>
      <c r="M201" s="279">
        <f>RES_BA!R46</f>
        <v>0</v>
      </c>
      <c r="O201" s="279">
        <f>RES_BA!S46</f>
        <v>0</v>
      </c>
      <c r="Q201" s="279">
        <f>RES_BA!T46</f>
        <v>0</v>
      </c>
      <c r="S201" s="279">
        <f>RES_BA!U46</f>
        <v>0</v>
      </c>
    </row>
    <row r="202" spans="3:19" s="277" customFormat="1" hidden="1" outlineLevel="1" x14ac:dyDescent="0.3">
      <c r="C202" s="283" t="str">
        <f>RES_BA!D47</f>
        <v>Personnel Cadre - Other 34</v>
      </c>
      <c r="M202" s="279">
        <f>RES_BA!R47</f>
        <v>0</v>
      </c>
      <c r="O202" s="279">
        <f>RES_BA!S47</f>
        <v>0</v>
      </c>
      <c r="Q202" s="279">
        <f>RES_BA!T47</f>
        <v>0</v>
      </c>
      <c r="S202" s="279">
        <f>RES_BA!U47</f>
        <v>0</v>
      </c>
    </row>
    <row r="203" spans="3:19" s="277" customFormat="1" hidden="1" outlineLevel="1" x14ac:dyDescent="0.3">
      <c r="C203" s="283" t="str">
        <f>RES_BA!D48</f>
        <v>Personnel Cadre - Other 35</v>
      </c>
      <c r="M203" s="279">
        <f>RES_BA!R48</f>
        <v>0</v>
      </c>
      <c r="O203" s="279">
        <f>RES_BA!S48</f>
        <v>0</v>
      </c>
      <c r="Q203" s="279">
        <f>RES_BA!T48</f>
        <v>0</v>
      </c>
      <c r="S203" s="279">
        <f>RES_BA!U48</f>
        <v>0</v>
      </c>
    </row>
    <row r="204" spans="3:19" hidden="1" outlineLevel="1" x14ac:dyDescent="0.3"/>
    <row r="205" spans="3:19" hidden="1" outlineLevel="1" x14ac:dyDescent="0.3">
      <c r="M205" s="40" t="str">
        <f>$D$163</f>
        <v>USD</v>
      </c>
      <c r="O205" s="40" t="str">
        <f>$D$163</f>
        <v>USD</v>
      </c>
      <c r="Q205" s="40" t="str">
        <f>$D$164</f>
        <v>GOZ</v>
      </c>
      <c r="S205" s="40" t="str">
        <f>$D$164</f>
        <v>GOZ</v>
      </c>
    </row>
    <row r="206" spans="3:19" hidden="1" outlineLevel="1" x14ac:dyDescent="0.3">
      <c r="C206" s="89" t="str">
        <f>RES_BA!D53</f>
        <v>Allowances Category 1</v>
      </c>
      <c r="M206" s="40">
        <f>RES_BA!R53</f>
        <v>0</v>
      </c>
      <c r="O206" s="40">
        <f>RES_BA!S53</f>
        <v>0</v>
      </c>
      <c r="Q206" s="40">
        <f>RES_BA!T53</f>
        <v>0</v>
      </c>
      <c r="S206" s="40">
        <f>RES_BA!U53</f>
        <v>0</v>
      </c>
    </row>
    <row r="207" spans="3:19" hidden="1" outlineLevel="1" x14ac:dyDescent="0.3">
      <c r="C207" s="89" t="str">
        <f>RES_BA!D54</f>
        <v>Allowances Category 2</v>
      </c>
      <c r="M207" s="40">
        <f>RES_BA!R54</f>
        <v>0</v>
      </c>
      <c r="O207" s="40">
        <f>RES_BA!S54</f>
        <v>0</v>
      </c>
      <c r="Q207" s="40">
        <f>RES_BA!T54</f>
        <v>0</v>
      </c>
      <c r="S207" s="40">
        <f>RES_BA!U54</f>
        <v>0</v>
      </c>
    </row>
    <row r="208" spans="3:19" hidden="1" outlineLevel="1" x14ac:dyDescent="0.3">
      <c r="C208" s="89" t="str">
        <f>RES_BA!D55</f>
        <v>Allowances Category 3</v>
      </c>
      <c r="M208" s="40">
        <f>RES_BA!R55</f>
        <v>0</v>
      </c>
      <c r="O208" s="40">
        <f>RES_BA!S55</f>
        <v>0</v>
      </c>
      <c r="Q208" s="40">
        <f>RES_BA!T55</f>
        <v>0</v>
      </c>
      <c r="S208" s="40">
        <f>RES_BA!U55</f>
        <v>0</v>
      </c>
    </row>
    <row r="209" spans="3:19" hidden="1" outlineLevel="1" x14ac:dyDescent="0.3">
      <c r="C209" s="89" t="str">
        <f>RES_BA!D56</f>
        <v>Allowances Category 4</v>
      </c>
      <c r="M209" s="40">
        <f>RES_BA!R56</f>
        <v>0</v>
      </c>
      <c r="O209" s="40">
        <f>RES_BA!S56</f>
        <v>0</v>
      </c>
      <c r="Q209" s="40">
        <f>RES_BA!T56</f>
        <v>0</v>
      </c>
      <c r="S209" s="40">
        <f>RES_BA!U56</f>
        <v>0</v>
      </c>
    </row>
    <row r="210" spans="3:19" hidden="1" outlineLevel="1" x14ac:dyDescent="0.3">
      <c r="C210" s="89" t="str">
        <f>RES_BA!D57</f>
        <v>Allowances Category 5</v>
      </c>
      <c r="M210" s="40">
        <f>RES_BA!R57</f>
        <v>0</v>
      </c>
      <c r="O210" s="40">
        <f>RES_BA!S57</f>
        <v>0</v>
      </c>
      <c r="Q210" s="40">
        <f>RES_BA!T57</f>
        <v>0</v>
      </c>
      <c r="S210" s="40">
        <f>RES_BA!U57</f>
        <v>0</v>
      </c>
    </row>
    <row r="211" spans="3:19" s="277" customFormat="1" hidden="1" outlineLevel="1" collapsed="1" x14ac:dyDescent="0.3">
      <c r="C211" s="283" t="str">
        <f>RES_BA!D58</f>
        <v>Allowances Category 6</v>
      </c>
      <c r="M211" s="279">
        <f>RES_BA!R58</f>
        <v>0</v>
      </c>
      <c r="O211" s="279">
        <f>RES_BA!S58</f>
        <v>0</v>
      </c>
      <c r="Q211" s="279">
        <f>RES_BA!T58</f>
        <v>0</v>
      </c>
      <c r="S211" s="279">
        <f>RES_BA!U58</f>
        <v>0</v>
      </c>
    </row>
    <row r="212" spans="3:19" s="277" customFormat="1" hidden="1" outlineLevel="1" x14ac:dyDescent="0.3">
      <c r="C212" s="283" t="str">
        <f>RES_BA!D59</f>
        <v>Allowances Category 7</v>
      </c>
      <c r="M212" s="279">
        <f>RES_BA!R59</f>
        <v>0</v>
      </c>
      <c r="O212" s="279">
        <f>RES_BA!S59</f>
        <v>0</v>
      </c>
      <c r="Q212" s="279">
        <f>RES_BA!T59</f>
        <v>0</v>
      </c>
      <c r="S212" s="279">
        <f>RES_BA!U59</f>
        <v>0</v>
      </c>
    </row>
    <row r="213" spans="3:19" s="277" customFormat="1" hidden="1" outlineLevel="1" x14ac:dyDescent="0.3">
      <c r="C213" s="283" t="str">
        <f>RES_BA!D60</f>
        <v>Allowances Category 8</v>
      </c>
      <c r="M213" s="279">
        <f>RES_BA!R60</f>
        <v>0</v>
      </c>
      <c r="O213" s="279">
        <f>RES_BA!S60</f>
        <v>0</v>
      </c>
      <c r="Q213" s="279">
        <f>RES_BA!T60</f>
        <v>0</v>
      </c>
      <c r="S213" s="279">
        <f>RES_BA!U60</f>
        <v>0</v>
      </c>
    </row>
    <row r="214" spans="3:19" s="277" customFormat="1" hidden="1" outlineLevel="1" x14ac:dyDescent="0.3">
      <c r="C214" s="283" t="str">
        <f>RES_BA!D61</f>
        <v>Allowances Category 9</v>
      </c>
      <c r="M214" s="279">
        <f>RES_BA!R61</f>
        <v>0</v>
      </c>
      <c r="O214" s="279">
        <f>RES_BA!S61</f>
        <v>0</v>
      </c>
      <c r="Q214" s="279">
        <f>RES_BA!T61</f>
        <v>0</v>
      </c>
      <c r="S214" s="279">
        <f>RES_BA!U61</f>
        <v>0</v>
      </c>
    </row>
    <row r="215" spans="3:19" s="277" customFormat="1" hidden="1" outlineLevel="1" x14ac:dyDescent="0.3">
      <c r="C215" s="283" t="str">
        <f>RES_BA!D62</f>
        <v>Allowances Category 10</v>
      </c>
      <c r="M215" s="279">
        <f>RES_BA!R62</f>
        <v>0</v>
      </c>
      <c r="O215" s="279">
        <f>RES_BA!S62</f>
        <v>0</v>
      </c>
      <c r="Q215" s="279">
        <f>RES_BA!T62</f>
        <v>0</v>
      </c>
      <c r="S215" s="279">
        <f>RES_BA!U62</f>
        <v>0</v>
      </c>
    </row>
    <row r="216" spans="3:19" s="277" customFormat="1" hidden="1" outlineLevel="1" x14ac:dyDescent="0.3">
      <c r="C216" s="283" t="str">
        <f>RES_BA!D63</f>
        <v>Allowances Category 11</v>
      </c>
      <c r="M216" s="279">
        <f>RES_BA!R63</f>
        <v>0</v>
      </c>
      <c r="O216" s="279">
        <f>RES_BA!S63</f>
        <v>0</v>
      </c>
      <c r="Q216" s="279">
        <f>RES_BA!T63</f>
        <v>0</v>
      </c>
      <c r="S216" s="279">
        <f>RES_BA!U63</f>
        <v>0</v>
      </c>
    </row>
    <row r="217" spans="3:19" s="277" customFormat="1" hidden="1" outlineLevel="1" x14ac:dyDescent="0.3">
      <c r="C217" s="283" t="str">
        <f>RES_BA!D64</f>
        <v>Allowances Category 12</v>
      </c>
      <c r="M217" s="279">
        <f>RES_BA!R64</f>
        <v>0</v>
      </c>
      <c r="O217" s="279">
        <f>RES_BA!S64</f>
        <v>0</v>
      </c>
      <c r="Q217" s="279">
        <f>RES_BA!T64</f>
        <v>0</v>
      </c>
      <c r="S217" s="279">
        <f>RES_BA!U64</f>
        <v>0</v>
      </c>
    </row>
    <row r="218" spans="3:19" s="277" customFormat="1" hidden="1" outlineLevel="1" x14ac:dyDescent="0.3">
      <c r="C218" s="283" t="str">
        <f>RES_BA!D65</f>
        <v>Allowances Category 13</v>
      </c>
      <c r="M218" s="279">
        <f>RES_BA!R65</f>
        <v>0</v>
      </c>
      <c r="O218" s="279">
        <f>RES_BA!S65</f>
        <v>0</v>
      </c>
      <c r="Q218" s="279">
        <f>RES_BA!T65</f>
        <v>0</v>
      </c>
      <c r="S218" s="279">
        <f>RES_BA!U65</f>
        <v>0</v>
      </c>
    </row>
    <row r="219" spans="3:19" s="277" customFormat="1" hidden="1" outlineLevel="1" x14ac:dyDescent="0.3">
      <c r="C219" s="283" t="str">
        <f>RES_BA!D66</f>
        <v>Allowances Category 14</v>
      </c>
      <c r="M219" s="279">
        <f>RES_BA!R66</f>
        <v>0</v>
      </c>
      <c r="O219" s="279">
        <f>RES_BA!S66</f>
        <v>0</v>
      </c>
      <c r="Q219" s="279">
        <f>RES_BA!T66</f>
        <v>0</v>
      </c>
      <c r="S219" s="279">
        <f>RES_BA!U66</f>
        <v>0</v>
      </c>
    </row>
    <row r="220" spans="3:19" s="277" customFormat="1" hidden="1" outlineLevel="1" x14ac:dyDescent="0.3">
      <c r="C220" s="283" t="str">
        <f>RES_BA!D67</f>
        <v>Allowances Category 15</v>
      </c>
      <c r="M220" s="279">
        <f>RES_BA!R67</f>
        <v>0</v>
      </c>
      <c r="O220" s="279">
        <f>RES_BA!S67</f>
        <v>0</v>
      </c>
      <c r="Q220" s="279">
        <f>RES_BA!T67</f>
        <v>0</v>
      </c>
      <c r="S220" s="279">
        <f>RES_BA!U67</f>
        <v>0</v>
      </c>
    </row>
    <row r="221" spans="3:19" s="277" customFormat="1" hidden="1" outlineLevel="1" x14ac:dyDescent="0.3">
      <c r="C221" s="283" t="str">
        <f>RES_BA!D68</f>
        <v>Allowances Category 16</v>
      </c>
      <c r="M221" s="279">
        <f>RES_BA!R68</f>
        <v>0</v>
      </c>
      <c r="O221" s="279">
        <f>RES_BA!S68</f>
        <v>0</v>
      </c>
      <c r="Q221" s="279">
        <f>RES_BA!T68</f>
        <v>0</v>
      </c>
      <c r="S221" s="279">
        <f>RES_BA!U68</f>
        <v>0</v>
      </c>
    </row>
    <row r="222" spans="3:19" hidden="1" outlineLevel="1" x14ac:dyDescent="0.3">
      <c r="C222" s="89" t="str">
        <f>RES_BA!D69</f>
        <v>Allowances Category 17</v>
      </c>
      <c r="M222" s="40">
        <f>RES_BA!R69</f>
        <v>0</v>
      </c>
      <c r="O222" s="40">
        <f>RES_BA!S69</f>
        <v>0</v>
      </c>
      <c r="Q222" s="40">
        <f>RES_BA!T69</f>
        <v>0</v>
      </c>
      <c r="S222" s="40">
        <f>RES_BA!U69</f>
        <v>0</v>
      </c>
    </row>
    <row r="223" spans="3:19" hidden="1" outlineLevel="1" x14ac:dyDescent="0.3">
      <c r="C223" s="89" t="str">
        <f>RES_BA!D70</f>
        <v>Allowances Category 18</v>
      </c>
      <c r="M223" s="40">
        <f>RES_BA!R70</f>
        <v>0</v>
      </c>
      <c r="O223" s="40">
        <f>RES_BA!S70</f>
        <v>0</v>
      </c>
      <c r="Q223" s="40">
        <f>RES_BA!T70</f>
        <v>0</v>
      </c>
      <c r="S223" s="40">
        <f>RES_BA!U70</f>
        <v>0</v>
      </c>
    </row>
    <row r="224" spans="3:19" hidden="1" outlineLevel="1" x14ac:dyDescent="0.3">
      <c r="C224" s="89" t="str">
        <f>RES_BA!D71</f>
        <v>Allowances Category 19</v>
      </c>
      <c r="M224" s="40">
        <f>RES_BA!R71</f>
        <v>0</v>
      </c>
      <c r="O224" s="40">
        <f>RES_BA!S71</f>
        <v>0</v>
      </c>
      <c r="Q224" s="40">
        <f>RES_BA!T71</f>
        <v>0</v>
      </c>
      <c r="S224" s="40">
        <f>RES_BA!U71</f>
        <v>0</v>
      </c>
    </row>
    <row r="225" spans="3:19" hidden="1" outlineLevel="1" x14ac:dyDescent="0.3">
      <c r="C225" s="89" t="str">
        <f>RES_BA!D72</f>
        <v>Allowances Category 20</v>
      </c>
      <c r="M225" s="40">
        <f>RES_BA!R72</f>
        <v>0</v>
      </c>
      <c r="O225" s="40">
        <f>RES_BA!S72</f>
        <v>0</v>
      </c>
      <c r="Q225" s="40">
        <f>RES_BA!T72</f>
        <v>0</v>
      </c>
      <c r="S225" s="40">
        <f>RES_BA!U72</f>
        <v>0</v>
      </c>
    </row>
    <row r="226" spans="3:19" hidden="1" outlineLevel="1" x14ac:dyDescent="0.3">
      <c r="C226" s="89" t="str">
        <f>RES_BA!D73</f>
        <v>Allowances Category 21</v>
      </c>
      <c r="M226" s="40">
        <f>RES_BA!R73</f>
        <v>0</v>
      </c>
      <c r="O226" s="40">
        <f>RES_BA!S73</f>
        <v>0</v>
      </c>
      <c r="Q226" s="40">
        <f>RES_BA!T73</f>
        <v>0</v>
      </c>
      <c r="S226" s="40">
        <f>RES_BA!U73</f>
        <v>0</v>
      </c>
    </row>
    <row r="227" spans="3:19" hidden="1" outlineLevel="1" x14ac:dyDescent="0.3">
      <c r="C227" s="89" t="str">
        <f>RES_BA!D74</f>
        <v>Allowances Category 22</v>
      </c>
      <c r="M227" s="40">
        <f>RES_BA!R74</f>
        <v>0</v>
      </c>
      <c r="O227" s="40">
        <f>RES_BA!S74</f>
        <v>0</v>
      </c>
      <c r="Q227" s="40">
        <f>RES_BA!T74</f>
        <v>0</v>
      </c>
      <c r="S227" s="40">
        <f>RES_BA!U74</f>
        <v>0</v>
      </c>
    </row>
    <row r="228" spans="3:19" hidden="1" outlineLevel="1" x14ac:dyDescent="0.3">
      <c r="C228" s="89" t="str">
        <f>RES_BA!D75</f>
        <v>Allowances Category 23</v>
      </c>
      <c r="M228" s="40">
        <f>RES_BA!R75</f>
        <v>0</v>
      </c>
      <c r="O228" s="40">
        <f>RES_BA!S75</f>
        <v>0</v>
      </c>
      <c r="Q228" s="40">
        <f>RES_BA!T75</f>
        <v>0</v>
      </c>
      <c r="S228" s="40">
        <f>RES_BA!U75</f>
        <v>0</v>
      </c>
    </row>
    <row r="229" spans="3:19" s="277" customFormat="1" hidden="1" outlineLevel="1" collapsed="1" x14ac:dyDescent="0.3">
      <c r="C229" s="283" t="str">
        <f>RES_BA!D76</f>
        <v>Allowances Category 24</v>
      </c>
      <c r="M229" s="279">
        <f>RES_BA!R76</f>
        <v>0</v>
      </c>
      <c r="O229" s="279">
        <f>RES_BA!S76</f>
        <v>0</v>
      </c>
      <c r="Q229" s="279">
        <f>RES_BA!T76</f>
        <v>0</v>
      </c>
      <c r="S229" s="279">
        <f>RES_BA!U76</f>
        <v>0</v>
      </c>
    </row>
    <row r="230" spans="3:19" s="277" customFormat="1" hidden="1" outlineLevel="1" x14ac:dyDescent="0.3">
      <c r="C230" s="283" t="str">
        <f>RES_BA!D77</f>
        <v>Allowances Category 25</v>
      </c>
      <c r="M230" s="279">
        <f>RES_BA!R77</f>
        <v>0</v>
      </c>
      <c r="O230" s="279">
        <f>RES_BA!S77</f>
        <v>0</v>
      </c>
      <c r="Q230" s="279">
        <f>RES_BA!T77</f>
        <v>0</v>
      </c>
      <c r="S230" s="279">
        <f>RES_BA!U77</f>
        <v>0</v>
      </c>
    </row>
    <row r="231" spans="3:19" s="277" customFormat="1" hidden="1" outlineLevel="1" x14ac:dyDescent="0.3">
      <c r="C231" s="283" t="str">
        <f>RES_BA!D78</f>
        <v>Allowances Category 26</v>
      </c>
      <c r="M231" s="279">
        <f>RES_BA!R78</f>
        <v>0</v>
      </c>
      <c r="O231" s="279">
        <f>RES_BA!S78</f>
        <v>0</v>
      </c>
      <c r="Q231" s="279">
        <f>RES_BA!T78</f>
        <v>0</v>
      </c>
      <c r="S231" s="279">
        <f>RES_BA!U78</f>
        <v>0</v>
      </c>
    </row>
    <row r="232" spans="3:19" s="277" customFormat="1" hidden="1" outlineLevel="1" x14ac:dyDescent="0.3">
      <c r="C232" s="283" t="str">
        <f>RES_BA!D79</f>
        <v>Allowances Category 27</v>
      </c>
      <c r="M232" s="279">
        <f>RES_BA!R79</f>
        <v>0</v>
      </c>
      <c r="O232" s="279">
        <f>RES_BA!S79</f>
        <v>0</v>
      </c>
      <c r="Q232" s="279">
        <f>RES_BA!T79</f>
        <v>0</v>
      </c>
      <c r="S232" s="279">
        <f>RES_BA!U79</f>
        <v>0</v>
      </c>
    </row>
    <row r="233" spans="3:19" s="277" customFormat="1" hidden="1" outlineLevel="1" x14ac:dyDescent="0.3">
      <c r="C233" s="283" t="str">
        <f>RES_BA!D80</f>
        <v>Allowances Category 28</v>
      </c>
      <c r="M233" s="279">
        <f>RES_BA!R80</f>
        <v>0</v>
      </c>
      <c r="O233" s="279">
        <f>RES_BA!S80</f>
        <v>0</v>
      </c>
      <c r="Q233" s="279">
        <f>RES_BA!T80</f>
        <v>0</v>
      </c>
      <c r="S233" s="279">
        <f>RES_BA!U80</f>
        <v>0</v>
      </c>
    </row>
    <row r="234" spans="3:19" s="277" customFormat="1" hidden="1" outlineLevel="1" x14ac:dyDescent="0.3">
      <c r="C234" s="283" t="str">
        <f>RES_BA!D81</f>
        <v>Allowances Category 29</v>
      </c>
      <c r="M234" s="279">
        <f>RES_BA!R81</f>
        <v>0</v>
      </c>
      <c r="O234" s="279">
        <f>RES_BA!S81</f>
        <v>0</v>
      </c>
      <c r="Q234" s="279">
        <f>RES_BA!T81</f>
        <v>0</v>
      </c>
      <c r="S234" s="279">
        <f>RES_BA!U81</f>
        <v>0</v>
      </c>
    </row>
    <row r="235" spans="3:19" s="277" customFormat="1" hidden="1" outlineLevel="1" x14ac:dyDescent="0.3">
      <c r="C235" s="283" t="str">
        <f>RES_BA!D82</f>
        <v>Allowances Category 30</v>
      </c>
      <c r="M235" s="279">
        <f>RES_BA!R82</f>
        <v>0</v>
      </c>
      <c r="O235" s="279">
        <f>RES_BA!S82</f>
        <v>0</v>
      </c>
      <c r="Q235" s="279">
        <f>RES_BA!T82</f>
        <v>0</v>
      </c>
      <c r="S235" s="279">
        <f>RES_BA!U82</f>
        <v>0</v>
      </c>
    </row>
    <row r="236" spans="3:19" hidden="1" outlineLevel="1" x14ac:dyDescent="0.3">
      <c r="C236" s="89" t="str">
        <f>RES_BA!D83</f>
        <v>Allowances Category 31</v>
      </c>
      <c r="M236" s="40">
        <f>RES_BA!R83</f>
        <v>0</v>
      </c>
      <c r="O236" s="40">
        <f>RES_BA!S83</f>
        <v>0</v>
      </c>
      <c r="Q236" s="40">
        <f>RES_BA!T83</f>
        <v>0</v>
      </c>
      <c r="S236" s="40">
        <f>RES_BA!U83</f>
        <v>0</v>
      </c>
    </row>
    <row r="237" spans="3:19" hidden="1" outlineLevel="1" x14ac:dyDescent="0.3">
      <c r="C237" s="89" t="str">
        <f>RES_BA!D84</f>
        <v>Allowances Category 32</v>
      </c>
      <c r="M237" s="40">
        <f>RES_BA!R84</f>
        <v>0</v>
      </c>
      <c r="O237" s="40">
        <f>RES_BA!S84</f>
        <v>0</v>
      </c>
      <c r="Q237" s="40">
        <f>RES_BA!T84</f>
        <v>0</v>
      </c>
      <c r="S237" s="40">
        <f>RES_BA!U84</f>
        <v>0</v>
      </c>
    </row>
    <row r="238" spans="3:19" hidden="1" outlineLevel="1" x14ac:dyDescent="0.3">
      <c r="C238" s="89" t="str">
        <f>RES_BA!D85</f>
        <v>Allowances Category 33</v>
      </c>
      <c r="M238" s="40">
        <f>RES_BA!R85</f>
        <v>0</v>
      </c>
      <c r="O238" s="40">
        <f>RES_BA!S85</f>
        <v>0</v>
      </c>
      <c r="Q238" s="40">
        <f>RES_BA!T85</f>
        <v>0</v>
      </c>
      <c r="S238" s="40">
        <f>RES_BA!U85</f>
        <v>0</v>
      </c>
    </row>
    <row r="239" spans="3:19" hidden="1" outlineLevel="1" x14ac:dyDescent="0.3">
      <c r="C239" s="89" t="str">
        <f>RES_BA!D86</f>
        <v>Allowances Category 34</v>
      </c>
      <c r="M239" s="40">
        <f>RES_BA!R86</f>
        <v>0</v>
      </c>
      <c r="O239" s="40">
        <f>RES_BA!S86</f>
        <v>0</v>
      </c>
      <c r="Q239" s="40">
        <f>RES_BA!T86</f>
        <v>0</v>
      </c>
      <c r="S239" s="40">
        <f>RES_BA!U86</f>
        <v>0</v>
      </c>
    </row>
    <row r="240" spans="3:19" hidden="1" outlineLevel="1" x14ac:dyDescent="0.3">
      <c r="C240" s="89" t="str">
        <f>RES_BA!D87</f>
        <v>Allowances Category 35</v>
      </c>
      <c r="M240" s="40">
        <f>RES_BA!R87</f>
        <v>0</v>
      </c>
      <c r="O240" s="40">
        <f>RES_BA!S87</f>
        <v>0</v>
      </c>
      <c r="Q240" s="40">
        <f>RES_BA!T87</f>
        <v>0</v>
      </c>
      <c r="S240" s="40">
        <f>RES_BA!U87</f>
        <v>0</v>
      </c>
    </row>
    <row r="241" spans="3:19" hidden="1" outlineLevel="1" x14ac:dyDescent="0.3"/>
    <row r="242" spans="3:19" hidden="1" outlineLevel="1" x14ac:dyDescent="0.3"/>
    <row r="243" spans="3:19" hidden="1" outlineLevel="1" x14ac:dyDescent="0.3">
      <c r="M243" s="40" t="str">
        <f>$D$163</f>
        <v>USD</v>
      </c>
      <c r="O243" s="40" t="str">
        <f>$D$163</f>
        <v>USD</v>
      </c>
      <c r="Q243" s="40" t="str">
        <f>$D$164</f>
        <v>GOZ</v>
      </c>
      <c r="S243" s="40" t="str">
        <f>$D$164</f>
        <v>GOZ</v>
      </c>
    </row>
    <row r="244" spans="3:19" hidden="1" outlineLevel="1" x14ac:dyDescent="0.3">
      <c r="C244" s="89" t="str">
        <f>RES_BA!D91</f>
        <v>Supplies Category 1</v>
      </c>
      <c r="M244" s="40">
        <f>RES_BA!R91</f>
        <v>0</v>
      </c>
      <c r="O244" s="40">
        <f>RES_BA!S91</f>
        <v>0</v>
      </c>
      <c r="Q244" s="40">
        <f>RES_BA!T91</f>
        <v>0</v>
      </c>
      <c r="S244" s="40">
        <f>RES_BA!U91</f>
        <v>0</v>
      </c>
    </row>
    <row r="245" spans="3:19" hidden="1" outlineLevel="1" x14ac:dyDescent="0.3">
      <c r="C245" s="89" t="str">
        <f>RES_BA!D92</f>
        <v>Supplies Category 2</v>
      </c>
      <c r="M245" s="40">
        <f>RES_BA!R92</f>
        <v>0</v>
      </c>
      <c r="O245" s="40">
        <f>RES_BA!S92</f>
        <v>0</v>
      </c>
      <c r="Q245" s="40">
        <f>RES_BA!T92</f>
        <v>0</v>
      </c>
      <c r="S245" s="40">
        <f>RES_BA!U92</f>
        <v>0</v>
      </c>
    </row>
    <row r="246" spans="3:19" hidden="1" outlineLevel="1" x14ac:dyDescent="0.3">
      <c r="C246" s="89" t="str">
        <f>RES_BA!D93</f>
        <v>Supplies Category 3</v>
      </c>
      <c r="M246" s="40">
        <f>RES_BA!R93</f>
        <v>0</v>
      </c>
      <c r="O246" s="40">
        <f>RES_BA!S93</f>
        <v>0</v>
      </c>
      <c r="Q246" s="40">
        <f>RES_BA!T93</f>
        <v>0</v>
      </c>
      <c r="S246" s="40">
        <f>RES_BA!U93</f>
        <v>0</v>
      </c>
    </row>
    <row r="247" spans="3:19" hidden="1" outlineLevel="1" x14ac:dyDescent="0.3">
      <c r="C247" s="89" t="str">
        <f>RES_BA!D94</f>
        <v>Supplies Category 4</v>
      </c>
      <c r="M247" s="40">
        <f>RES_BA!R94</f>
        <v>0</v>
      </c>
      <c r="O247" s="40">
        <f>RES_BA!S94</f>
        <v>0</v>
      </c>
      <c r="Q247" s="40">
        <f>RES_BA!T94</f>
        <v>0</v>
      </c>
      <c r="S247" s="40">
        <f>RES_BA!U94</f>
        <v>0</v>
      </c>
    </row>
    <row r="248" spans="3:19" hidden="1" outlineLevel="1" x14ac:dyDescent="0.3">
      <c r="C248" s="89" t="str">
        <f>RES_BA!D95</f>
        <v>Supplies Category 5</v>
      </c>
      <c r="M248" s="40">
        <f>RES_BA!R95</f>
        <v>0</v>
      </c>
      <c r="O248" s="40">
        <f>RES_BA!S95</f>
        <v>0</v>
      </c>
      <c r="Q248" s="40">
        <f>RES_BA!T95</f>
        <v>0</v>
      </c>
      <c r="S248" s="40">
        <f>RES_BA!U95</f>
        <v>0</v>
      </c>
    </row>
    <row r="249" spans="3:19" hidden="1" outlineLevel="1" x14ac:dyDescent="0.3">
      <c r="C249" s="89" t="str">
        <f>RES_BA!D96</f>
        <v>Supplies Category 6</v>
      </c>
      <c r="M249" s="40">
        <f>RES_BA!R96</f>
        <v>0</v>
      </c>
      <c r="O249" s="40">
        <f>RES_BA!S96</f>
        <v>0</v>
      </c>
      <c r="Q249" s="40">
        <f>RES_BA!T96</f>
        <v>0</v>
      </c>
      <c r="S249" s="40">
        <f>RES_BA!U96</f>
        <v>0</v>
      </c>
    </row>
    <row r="250" spans="3:19" hidden="1" outlineLevel="1" x14ac:dyDescent="0.3">
      <c r="C250" s="89" t="str">
        <f>RES_BA!D97</f>
        <v>Supplies Category 7</v>
      </c>
      <c r="M250" s="40">
        <f>RES_BA!R97</f>
        <v>0</v>
      </c>
      <c r="O250" s="40">
        <f>RES_BA!S97</f>
        <v>0</v>
      </c>
      <c r="Q250" s="40">
        <f>RES_BA!T97</f>
        <v>0</v>
      </c>
      <c r="S250" s="40">
        <f>RES_BA!U97</f>
        <v>0</v>
      </c>
    </row>
    <row r="251" spans="3:19" hidden="1" outlineLevel="1" x14ac:dyDescent="0.3">
      <c r="C251" s="89" t="str">
        <f>RES_BA!D98</f>
        <v>Supplies Category 8</v>
      </c>
      <c r="M251" s="40">
        <f>RES_BA!R98</f>
        <v>0</v>
      </c>
      <c r="O251" s="40">
        <f>RES_BA!S98</f>
        <v>0</v>
      </c>
      <c r="Q251" s="40">
        <f>RES_BA!T98</f>
        <v>0</v>
      </c>
      <c r="S251" s="40">
        <f>RES_BA!U98</f>
        <v>0</v>
      </c>
    </row>
    <row r="252" spans="3:19" hidden="1" outlineLevel="1" x14ac:dyDescent="0.3">
      <c r="C252" s="89" t="str">
        <f>RES_BA!D99</f>
        <v>Supplies Category 9</v>
      </c>
      <c r="M252" s="40">
        <f>RES_BA!R99</f>
        <v>0</v>
      </c>
      <c r="O252" s="40">
        <f>RES_BA!S99</f>
        <v>0</v>
      </c>
      <c r="Q252" s="40">
        <f>RES_BA!T99</f>
        <v>0</v>
      </c>
      <c r="S252" s="40">
        <f>RES_BA!U99</f>
        <v>0</v>
      </c>
    </row>
    <row r="253" spans="3:19" hidden="1" outlineLevel="1" x14ac:dyDescent="0.3">
      <c r="C253" s="89" t="str">
        <f>RES_BA!D100</f>
        <v>Supplies Category 10</v>
      </c>
      <c r="M253" s="40">
        <f>RES_BA!R100</f>
        <v>0</v>
      </c>
      <c r="O253" s="40">
        <f>RES_BA!S100</f>
        <v>0</v>
      </c>
      <c r="Q253" s="40">
        <f>RES_BA!T100</f>
        <v>0</v>
      </c>
      <c r="S253" s="40">
        <f>RES_BA!U100</f>
        <v>0</v>
      </c>
    </row>
    <row r="254" spans="3:19" hidden="1" outlineLevel="1" x14ac:dyDescent="0.3">
      <c r="C254" s="89" t="str">
        <f>RES_BA!D101</f>
        <v>Supplies Category 11</v>
      </c>
      <c r="M254" s="40">
        <f>RES_BA!R101</f>
        <v>0</v>
      </c>
      <c r="O254" s="40">
        <f>RES_BA!S101</f>
        <v>0</v>
      </c>
      <c r="Q254" s="40">
        <f>RES_BA!T101</f>
        <v>0</v>
      </c>
      <c r="S254" s="40">
        <f>RES_BA!U101</f>
        <v>0</v>
      </c>
    </row>
    <row r="255" spans="3:19" hidden="1" outlineLevel="1" x14ac:dyDescent="0.3">
      <c r="C255" s="89" t="str">
        <f>RES_BA!D102</f>
        <v>Supplies Category 12</v>
      </c>
      <c r="M255" s="40">
        <f>RES_BA!R102</f>
        <v>0</v>
      </c>
      <c r="O255" s="40">
        <f>RES_BA!S102</f>
        <v>0</v>
      </c>
      <c r="Q255" s="40">
        <f>RES_BA!T102</f>
        <v>0</v>
      </c>
      <c r="S255" s="40">
        <f>RES_BA!U102</f>
        <v>0</v>
      </c>
    </row>
    <row r="256" spans="3:19" hidden="1" outlineLevel="1" x14ac:dyDescent="0.3">
      <c r="C256" s="89" t="str">
        <f>RES_BA!D103</f>
        <v>Supplies Category 13</v>
      </c>
      <c r="M256" s="40">
        <f>RES_BA!R103</f>
        <v>0</v>
      </c>
      <c r="O256" s="40">
        <f>RES_BA!S103</f>
        <v>0</v>
      </c>
      <c r="Q256" s="40">
        <f>RES_BA!T103</f>
        <v>0</v>
      </c>
      <c r="S256" s="40">
        <f>RES_BA!U103</f>
        <v>0</v>
      </c>
    </row>
    <row r="257" spans="3:19" hidden="1" outlineLevel="1" x14ac:dyDescent="0.3">
      <c r="C257" s="89" t="str">
        <f>RES_BA!D104</f>
        <v>Supplies Category 14</v>
      </c>
      <c r="M257" s="40">
        <f>RES_BA!R104</f>
        <v>0</v>
      </c>
      <c r="O257" s="40">
        <f>RES_BA!S104</f>
        <v>0</v>
      </c>
      <c r="Q257" s="40">
        <f>RES_BA!T104</f>
        <v>0</v>
      </c>
      <c r="S257" s="40">
        <f>RES_BA!U104</f>
        <v>0</v>
      </c>
    </row>
    <row r="258" spans="3:19" hidden="1" outlineLevel="1" x14ac:dyDescent="0.3">
      <c r="C258" s="89" t="str">
        <f>RES_BA!D105</f>
        <v>Supplies Category 15</v>
      </c>
      <c r="M258" s="40">
        <f>RES_BA!R105</f>
        <v>0</v>
      </c>
      <c r="O258" s="40">
        <f>RES_BA!S105</f>
        <v>0</v>
      </c>
      <c r="Q258" s="40">
        <f>RES_BA!T105</f>
        <v>0</v>
      </c>
      <c r="S258" s="40">
        <f>RES_BA!U105</f>
        <v>0</v>
      </c>
    </row>
    <row r="259" spans="3:19" hidden="1" outlineLevel="1" x14ac:dyDescent="0.3">
      <c r="C259" s="89" t="str">
        <f>RES_BA!D106</f>
        <v>Supplies Category 16</v>
      </c>
      <c r="M259" s="40">
        <f>RES_BA!R106</f>
        <v>0</v>
      </c>
      <c r="O259" s="40">
        <f>RES_BA!S106</f>
        <v>0</v>
      </c>
      <c r="Q259" s="40">
        <f>RES_BA!T106</f>
        <v>0</v>
      </c>
      <c r="S259" s="40">
        <f>RES_BA!U106</f>
        <v>0</v>
      </c>
    </row>
    <row r="260" spans="3:19" s="277" customFormat="1" hidden="1" outlineLevel="1" collapsed="1" x14ac:dyDescent="0.3">
      <c r="C260" s="283" t="str">
        <f>RES_BA!D107</f>
        <v>Supplies Category 17</v>
      </c>
      <c r="M260" s="279">
        <f>RES_BA!R107</f>
        <v>0</v>
      </c>
      <c r="O260" s="279">
        <f>RES_BA!S107</f>
        <v>0</v>
      </c>
      <c r="Q260" s="279">
        <f>RES_BA!T107</f>
        <v>0</v>
      </c>
      <c r="S260" s="279">
        <f>RES_BA!U107</f>
        <v>0</v>
      </c>
    </row>
    <row r="261" spans="3:19" s="277" customFormat="1" hidden="1" outlineLevel="1" x14ac:dyDescent="0.3">
      <c r="C261" s="283" t="str">
        <f>RES_BA!D108</f>
        <v>Supplies Category 18</v>
      </c>
      <c r="M261" s="279">
        <f>RES_BA!R108</f>
        <v>0</v>
      </c>
      <c r="O261" s="279">
        <f>RES_BA!S108</f>
        <v>0</v>
      </c>
      <c r="Q261" s="279">
        <f>RES_BA!T108</f>
        <v>0</v>
      </c>
      <c r="S261" s="279">
        <f>RES_BA!U108</f>
        <v>0</v>
      </c>
    </row>
    <row r="262" spans="3:19" s="277" customFormat="1" hidden="1" outlineLevel="1" x14ac:dyDescent="0.3">
      <c r="C262" s="283" t="str">
        <f>RES_BA!D109</f>
        <v>Supplies Category 19</v>
      </c>
      <c r="M262" s="279">
        <f>RES_BA!R109</f>
        <v>0</v>
      </c>
      <c r="O262" s="279">
        <f>RES_BA!S109</f>
        <v>0</v>
      </c>
      <c r="Q262" s="279">
        <f>RES_BA!T109</f>
        <v>0</v>
      </c>
      <c r="S262" s="279">
        <f>RES_BA!U109</f>
        <v>0</v>
      </c>
    </row>
    <row r="263" spans="3:19" s="277" customFormat="1" hidden="1" outlineLevel="1" x14ac:dyDescent="0.3">
      <c r="C263" s="283" t="str">
        <f>RES_BA!D110</f>
        <v>Supplies Category 20</v>
      </c>
      <c r="M263" s="279">
        <f>RES_BA!R110</f>
        <v>0</v>
      </c>
      <c r="O263" s="279">
        <f>RES_BA!S110</f>
        <v>0</v>
      </c>
      <c r="Q263" s="279">
        <f>RES_BA!T110</f>
        <v>0</v>
      </c>
      <c r="S263" s="279">
        <f>RES_BA!U110</f>
        <v>0</v>
      </c>
    </row>
    <row r="264" spans="3:19" s="277" customFormat="1" hidden="1" outlineLevel="1" x14ac:dyDescent="0.3">
      <c r="C264" s="283" t="str">
        <f>RES_BA!D111</f>
        <v>Supplies Category 21</v>
      </c>
      <c r="M264" s="279">
        <f>RES_BA!R111</f>
        <v>0</v>
      </c>
      <c r="O264" s="279">
        <f>RES_BA!S111</f>
        <v>0</v>
      </c>
      <c r="Q264" s="279">
        <f>RES_BA!T111</f>
        <v>0</v>
      </c>
      <c r="S264" s="279">
        <f>RES_BA!U111</f>
        <v>0</v>
      </c>
    </row>
    <row r="265" spans="3:19" s="277" customFormat="1" hidden="1" outlineLevel="1" x14ac:dyDescent="0.3">
      <c r="C265" s="283" t="str">
        <f>RES_BA!D112</f>
        <v>Supplies Category 22</v>
      </c>
      <c r="M265" s="279">
        <f>RES_BA!R112</f>
        <v>0</v>
      </c>
      <c r="O265" s="279">
        <f>RES_BA!S112</f>
        <v>0</v>
      </c>
      <c r="Q265" s="279">
        <f>RES_BA!T112</f>
        <v>0</v>
      </c>
      <c r="S265" s="279">
        <f>RES_BA!U112</f>
        <v>0</v>
      </c>
    </row>
    <row r="266" spans="3:19" s="277" customFormat="1" hidden="1" outlineLevel="1" x14ac:dyDescent="0.3">
      <c r="C266" s="283" t="str">
        <f>RES_BA!D113</f>
        <v>Supplies Category 23</v>
      </c>
      <c r="M266" s="279">
        <f>RES_BA!R113</f>
        <v>0</v>
      </c>
      <c r="O266" s="279">
        <f>RES_BA!S113</f>
        <v>0</v>
      </c>
      <c r="Q266" s="279">
        <f>RES_BA!T113</f>
        <v>0</v>
      </c>
      <c r="S266" s="279">
        <f>RES_BA!U113</f>
        <v>0</v>
      </c>
    </row>
    <row r="267" spans="3:19" s="277" customFormat="1" hidden="1" outlineLevel="1" x14ac:dyDescent="0.3">
      <c r="C267" s="283" t="str">
        <f>RES_BA!D114</f>
        <v>Supplies Category 24</v>
      </c>
      <c r="M267" s="279">
        <f>RES_BA!R114</f>
        <v>0</v>
      </c>
      <c r="O267" s="279">
        <f>RES_BA!S114</f>
        <v>0</v>
      </c>
      <c r="Q267" s="279">
        <f>RES_BA!T114</f>
        <v>0</v>
      </c>
      <c r="S267" s="279">
        <f>RES_BA!U114</f>
        <v>0</v>
      </c>
    </row>
    <row r="268" spans="3:19" s="277" customFormat="1" hidden="1" outlineLevel="1" x14ac:dyDescent="0.3">
      <c r="C268" s="283" t="str">
        <f>RES_BA!D115</f>
        <v>Supplies Category 25</v>
      </c>
      <c r="M268" s="279">
        <f>RES_BA!R115</f>
        <v>0</v>
      </c>
      <c r="O268" s="279">
        <f>RES_BA!S115</f>
        <v>0</v>
      </c>
      <c r="Q268" s="279">
        <f>RES_BA!T115</f>
        <v>0</v>
      </c>
      <c r="S268" s="279">
        <f>RES_BA!U115</f>
        <v>0</v>
      </c>
    </row>
    <row r="269" spans="3:19" s="277" customFormat="1" hidden="1" outlineLevel="1" x14ac:dyDescent="0.3">
      <c r="C269" s="283" t="str">
        <f>RES_BA!D116</f>
        <v>Supplies Category 26</v>
      </c>
      <c r="M269" s="279">
        <f>RES_BA!R116</f>
        <v>0</v>
      </c>
      <c r="O269" s="279">
        <f>RES_BA!S116</f>
        <v>0</v>
      </c>
      <c r="Q269" s="279">
        <f>RES_BA!T116</f>
        <v>0</v>
      </c>
      <c r="S269" s="279">
        <f>RES_BA!U116</f>
        <v>0</v>
      </c>
    </row>
    <row r="270" spans="3:19" s="277" customFormat="1" hidden="1" outlineLevel="1" x14ac:dyDescent="0.3">
      <c r="C270" s="283" t="str">
        <f>RES_BA!D117</f>
        <v>Supplies Category 27</v>
      </c>
      <c r="M270" s="279">
        <f>RES_BA!R117</f>
        <v>0</v>
      </c>
      <c r="O270" s="279">
        <f>RES_BA!S117</f>
        <v>0</v>
      </c>
      <c r="Q270" s="279">
        <f>RES_BA!T117</f>
        <v>0</v>
      </c>
      <c r="S270" s="279">
        <f>RES_BA!U117</f>
        <v>0</v>
      </c>
    </row>
    <row r="271" spans="3:19" s="277" customFormat="1" hidden="1" outlineLevel="1" x14ac:dyDescent="0.3">
      <c r="C271" s="283" t="str">
        <f>RES_BA!D118</f>
        <v>Supplies Category 28</v>
      </c>
      <c r="M271" s="279">
        <f>RES_BA!R118</f>
        <v>0</v>
      </c>
      <c r="O271" s="279">
        <f>RES_BA!S118</f>
        <v>0</v>
      </c>
      <c r="Q271" s="279">
        <f>RES_BA!T118</f>
        <v>0</v>
      </c>
      <c r="S271" s="279">
        <f>RES_BA!U118</f>
        <v>0</v>
      </c>
    </row>
    <row r="272" spans="3:19" s="277" customFormat="1" hidden="1" outlineLevel="1" x14ac:dyDescent="0.3">
      <c r="C272" s="283" t="str">
        <f>RES_BA!D119</f>
        <v>Supplies Category 29</v>
      </c>
      <c r="M272" s="279">
        <f>RES_BA!R119</f>
        <v>0</v>
      </c>
      <c r="O272" s="279">
        <f>RES_BA!S119</f>
        <v>0</v>
      </c>
      <c r="Q272" s="279">
        <f>RES_BA!T119</f>
        <v>0</v>
      </c>
      <c r="S272" s="279">
        <f>RES_BA!U119</f>
        <v>0</v>
      </c>
    </row>
    <row r="273" spans="3:19" s="277" customFormat="1" hidden="1" outlineLevel="1" collapsed="1" x14ac:dyDescent="0.3">
      <c r="C273" s="283" t="str">
        <f>RES_BA!D120</f>
        <v>Supplies Category 30</v>
      </c>
      <c r="M273" s="279">
        <f>RES_BA!R120</f>
        <v>0</v>
      </c>
      <c r="O273" s="279">
        <f>RES_BA!S120</f>
        <v>0</v>
      </c>
      <c r="Q273" s="279">
        <f>RES_BA!T120</f>
        <v>0</v>
      </c>
      <c r="S273" s="279">
        <f>RES_BA!U120</f>
        <v>0</v>
      </c>
    </row>
    <row r="274" spans="3:19" s="277" customFormat="1" hidden="1" outlineLevel="1" x14ac:dyDescent="0.3">
      <c r="C274" s="283" t="str">
        <f>RES_BA!D121</f>
        <v>Supplies Category 31</v>
      </c>
      <c r="M274" s="279">
        <f>RES_BA!R121</f>
        <v>0</v>
      </c>
      <c r="O274" s="279">
        <f>RES_BA!S121</f>
        <v>0</v>
      </c>
      <c r="Q274" s="279">
        <f>RES_BA!T121</f>
        <v>0</v>
      </c>
      <c r="S274" s="279">
        <f>RES_BA!U121</f>
        <v>0</v>
      </c>
    </row>
    <row r="275" spans="3:19" s="277" customFormat="1" hidden="1" outlineLevel="1" x14ac:dyDescent="0.3">
      <c r="C275" s="283" t="str">
        <f>RES_BA!D122</f>
        <v>Supplies Category 32</v>
      </c>
      <c r="M275" s="279">
        <f>RES_BA!R122</f>
        <v>0</v>
      </c>
      <c r="O275" s="279">
        <f>RES_BA!S122</f>
        <v>0</v>
      </c>
      <c r="Q275" s="279">
        <f>RES_BA!T122</f>
        <v>0</v>
      </c>
      <c r="S275" s="279">
        <f>RES_BA!U122</f>
        <v>0</v>
      </c>
    </row>
    <row r="276" spans="3:19" s="277" customFormat="1" hidden="1" outlineLevel="1" x14ac:dyDescent="0.3">
      <c r="C276" s="283" t="str">
        <f>RES_BA!D123</f>
        <v>Supplies Category 33</v>
      </c>
      <c r="M276" s="279">
        <f>RES_BA!R123</f>
        <v>0</v>
      </c>
      <c r="O276" s="279">
        <f>RES_BA!S123</f>
        <v>0</v>
      </c>
      <c r="Q276" s="279">
        <f>RES_BA!T123</f>
        <v>0</v>
      </c>
      <c r="S276" s="279">
        <f>RES_BA!U123</f>
        <v>0</v>
      </c>
    </row>
    <row r="277" spans="3:19" s="277" customFormat="1" hidden="1" outlineLevel="1" x14ac:dyDescent="0.3">
      <c r="C277" s="283" t="str">
        <f>RES_BA!D124</f>
        <v>Supplies Category 34</v>
      </c>
      <c r="M277" s="279">
        <f>RES_BA!R124</f>
        <v>0</v>
      </c>
      <c r="O277" s="279">
        <f>RES_BA!S124</f>
        <v>0</v>
      </c>
      <c r="Q277" s="279">
        <f>RES_BA!T124</f>
        <v>0</v>
      </c>
      <c r="S277" s="279">
        <f>RES_BA!U124</f>
        <v>0</v>
      </c>
    </row>
    <row r="278" spans="3:19" s="277" customFormat="1" hidden="1" outlineLevel="1" x14ac:dyDescent="0.3">
      <c r="C278" s="283" t="str">
        <f>RES_BA!D125</f>
        <v>Supplies Category 35</v>
      </c>
      <c r="M278" s="279">
        <f>RES_BA!R125</f>
        <v>0</v>
      </c>
      <c r="O278" s="279">
        <f>RES_BA!S125</f>
        <v>0</v>
      </c>
      <c r="Q278" s="279">
        <f>RES_BA!T125</f>
        <v>0</v>
      </c>
      <c r="S278" s="279">
        <f>RES_BA!U125</f>
        <v>0</v>
      </c>
    </row>
    <row r="279" spans="3:19" hidden="1" outlineLevel="1" x14ac:dyDescent="0.3"/>
    <row r="280" spans="3:19" hidden="1" outlineLevel="1" x14ac:dyDescent="0.3">
      <c r="M280" s="40" t="str">
        <f>$D$163</f>
        <v>USD</v>
      </c>
      <c r="O280" s="40" t="str">
        <f>$D$163</f>
        <v>USD</v>
      </c>
      <c r="Q280" s="40" t="str">
        <f>$D$164</f>
        <v>GOZ</v>
      </c>
      <c r="S280" s="40" t="str">
        <f>$D$164</f>
        <v>GOZ</v>
      </c>
    </row>
    <row r="281" spans="3:19" hidden="1" outlineLevel="1" x14ac:dyDescent="0.3">
      <c r="C281" s="89" t="str">
        <f>RES_BA!D130</f>
        <v>Equipment Category 1</v>
      </c>
      <c r="M281" s="40">
        <f>RES_BA!R130</f>
        <v>0</v>
      </c>
      <c r="O281" s="40">
        <f>RES_BA!S130</f>
        <v>0</v>
      </c>
      <c r="Q281" s="40">
        <f>RES_BA!T130</f>
        <v>0</v>
      </c>
      <c r="S281" s="40">
        <f>RES_BA!U130</f>
        <v>0</v>
      </c>
    </row>
    <row r="282" spans="3:19" hidden="1" outlineLevel="1" x14ac:dyDescent="0.3">
      <c r="C282" s="89" t="str">
        <f>RES_BA!D131</f>
        <v>Equipment Category 2</v>
      </c>
      <c r="M282" s="40">
        <f>RES_BA!R131</f>
        <v>0</v>
      </c>
      <c r="O282" s="40">
        <f>RES_BA!S131</f>
        <v>0</v>
      </c>
      <c r="Q282" s="40">
        <f>RES_BA!T131</f>
        <v>0</v>
      </c>
      <c r="S282" s="40">
        <f>RES_BA!U131</f>
        <v>0</v>
      </c>
    </row>
    <row r="283" spans="3:19" hidden="1" outlineLevel="1" x14ac:dyDescent="0.3">
      <c r="C283" s="89" t="str">
        <f>RES_BA!D132</f>
        <v>Equipment Category 3</v>
      </c>
      <c r="M283" s="40">
        <f>RES_BA!R132</f>
        <v>0</v>
      </c>
      <c r="O283" s="40">
        <f>RES_BA!S132</f>
        <v>0</v>
      </c>
      <c r="Q283" s="40">
        <f>RES_BA!T132</f>
        <v>0</v>
      </c>
      <c r="S283" s="40">
        <f>RES_BA!U132</f>
        <v>0</v>
      </c>
    </row>
    <row r="284" spans="3:19" hidden="1" outlineLevel="1" x14ac:dyDescent="0.3">
      <c r="C284" s="89" t="str">
        <f>RES_BA!D133</f>
        <v>Equipment Category 4</v>
      </c>
      <c r="M284" s="40">
        <f>RES_BA!R133</f>
        <v>0</v>
      </c>
      <c r="O284" s="40">
        <f>RES_BA!S133</f>
        <v>0</v>
      </c>
      <c r="Q284" s="40">
        <f>RES_BA!T133</f>
        <v>0</v>
      </c>
      <c r="S284" s="40">
        <f>RES_BA!U133</f>
        <v>0</v>
      </c>
    </row>
    <row r="285" spans="3:19" hidden="1" outlineLevel="1" x14ac:dyDescent="0.3">
      <c r="C285" s="89" t="str">
        <f>RES_BA!D134</f>
        <v>Equipment Category 5</v>
      </c>
      <c r="M285" s="40">
        <f>RES_BA!R134</f>
        <v>0</v>
      </c>
      <c r="O285" s="40">
        <f>RES_BA!S134</f>
        <v>0</v>
      </c>
      <c r="Q285" s="40">
        <f>RES_BA!T134</f>
        <v>0</v>
      </c>
      <c r="S285" s="40">
        <f>RES_BA!U134</f>
        <v>0</v>
      </c>
    </row>
    <row r="286" spans="3:19" hidden="1" outlineLevel="1" x14ac:dyDescent="0.3">
      <c r="C286" s="89" t="str">
        <f>RES_BA!D135</f>
        <v>Equipment Category 6</v>
      </c>
      <c r="M286" s="40">
        <f>RES_BA!R135</f>
        <v>0</v>
      </c>
      <c r="O286" s="40">
        <f>RES_BA!S135</f>
        <v>0</v>
      </c>
      <c r="Q286" s="40">
        <f>RES_BA!T135</f>
        <v>0</v>
      </c>
      <c r="S286" s="40">
        <f>RES_BA!U135</f>
        <v>0</v>
      </c>
    </row>
    <row r="287" spans="3:19" s="277" customFormat="1" hidden="1" outlineLevel="1" collapsed="1" x14ac:dyDescent="0.3">
      <c r="C287" s="283" t="str">
        <f>RES_BA!D136</f>
        <v>Equipment Category 7</v>
      </c>
      <c r="M287" s="279">
        <f>RES_BA!R136</f>
        <v>0</v>
      </c>
      <c r="O287" s="279">
        <f>RES_BA!S136</f>
        <v>0</v>
      </c>
      <c r="Q287" s="279">
        <f>RES_BA!T136</f>
        <v>0</v>
      </c>
      <c r="S287" s="279">
        <f>RES_BA!U136</f>
        <v>0</v>
      </c>
    </row>
    <row r="288" spans="3:19" s="277" customFormat="1" hidden="1" outlineLevel="1" x14ac:dyDescent="0.3">
      <c r="C288" s="283" t="str">
        <f>RES_BA!D137</f>
        <v>Equipment Category 8</v>
      </c>
      <c r="M288" s="279">
        <f>RES_BA!R137</f>
        <v>0</v>
      </c>
      <c r="O288" s="279">
        <f>RES_BA!S137</f>
        <v>0</v>
      </c>
      <c r="Q288" s="279">
        <f>RES_BA!T137</f>
        <v>0</v>
      </c>
      <c r="S288" s="279">
        <f>RES_BA!U137</f>
        <v>0</v>
      </c>
    </row>
    <row r="289" spans="3:19" s="277" customFormat="1" hidden="1" outlineLevel="1" x14ac:dyDescent="0.3">
      <c r="C289" s="283" t="str">
        <f>RES_BA!D138</f>
        <v>Equipment Category 9</v>
      </c>
      <c r="M289" s="279">
        <f>RES_BA!R138</f>
        <v>0</v>
      </c>
      <c r="O289" s="279">
        <f>RES_BA!S138</f>
        <v>0</v>
      </c>
      <c r="Q289" s="279">
        <f>RES_BA!T138</f>
        <v>0</v>
      </c>
      <c r="S289" s="279">
        <f>RES_BA!U138</f>
        <v>0</v>
      </c>
    </row>
    <row r="290" spans="3:19" s="277" customFormat="1" hidden="1" outlineLevel="1" x14ac:dyDescent="0.3">
      <c r="C290" s="283" t="str">
        <f>RES_BA!D139</f>
        <v>Equipment Category 10</v>
      </c>
      <c r="M290" s="279">
        <f>RES_BA!R139</f>
        <v>0</v>
      </c>
      <c r="O290" s="279">
        <f>RES_BA!S139</f>
        <v>0</v>
      </c>
      <c r="Q290" s="279">
        <f>RES_BA!T139</f>
        <v>0</v>
      </c>
      <c r="S290" s="279">
        <f>RES_BA!U139</f>
        <v>0</v>
      </c>
    </row>
    <row r="291" spans="3:19" s="277" customFormat="1" hidden="1" outlineLevel="1" x14ac:dyDescent="0.3">
      <c r="C291" s="283" t="str">
        <f>RES_BA!D140</f>
        <v>Equipment Category 11</v>
      </c>
      <c r="M291" s="279">
        <f>RES_BA!R140</f>
        <v>0</v>
      </c>
      <c r="O291" s="279">
        <f>RES_BA!S140</f>
        <v>0</v>
      </c>
      <c r="Q291" s="279">
        <f>RES_BA!T140</f>
        <v>0</v>
      </c>
      <c r="S291" s="279">
        <f>RES_BA!U140</f>
        <v>0</v>
      </c>
    </row>
    <row r="292" spans="3:19" s="277" customFormat="1" hidden="1" outlineLevel="1" x14ac:dyDescent="0.3">
      <c r="C292" s="283" t="str">
        <f>RES_BA!D141</f>
        <v>Equipment Category 12</v>
      </c>
      <c r="M292" s="279">
        <f>RES_BA!R141</f>
        <v>0</v>
      </c>
      <c r="O292" s="279">
        <f>RES_BA!S141</f>
        <v>0</v>
      </c>
      <c r="Q292" s="279">
        <f>RES_BA!T141</f>
        <v>0</v>
      </c>
      <c r="S292" s="279">
        <f>RES_BA!U141</f>
        <v>0</v>
      </c>
    </row>
    <row r="293" spans="3:19" s="277" customFormat="1" hidden="1" outlineLevel="1" collapsed="1" x14ac:dyDescent="0.3">
      <c r="C293" s="283" t="str">
        <f>RES_BA!D142</f>
        <v>Equipment Category 13</v>
      </c>
      <c r="M293" s="279">
        <f>RES_BA!R142</f>
        <v>0</v>
      </c>
      <c r="O293" s="279">
        <f>RES_BA!S142</f>
        <v>0</v>
      </c>
      <c r="Q293" s="279">
        <f>RES_BA!T142</f>
        <v>0</v>
      </c>
      <c r="S293" s="279">
        <f>RES_BA!U142</f>
        <v>0</v>
      </c>
    </row>
    <row r="294" spans="3:19" s="277" customFormat="1" hidden="1" outlineLevel="1" x14ac:dyDescent="0.3">
      <c r="C294" s="283" t="str">
        <f>RES_BA!D143</f>
        <v>Equipment Category 14</v>
      </c>
      <c r="M294" s="279">
        <f>RES_BA!R143</f>
        <v>0</v>
      </c>
      <c r="O294" s="279">
        <f>RES_BA!S143</f>
        <v>0</v>
      </c>
      <c r="Q294" s="279">
        <f>RES_BA!T143</f>
        <v>0</v>
      </c>
      <c r="S294" s="279">
        <f>RES_BA!U143</f>
        <v>0</v>
      </c>
    </row>
    <row r="295" spans="3:19" s="277" customFormat="1" hidden="1" outlineLevel="1" x14ac:dyDescent="0.3">
      <c r="C295" s="283" t="str">
        <f>RES_BA!D144</f>
        <v>Equipment Category 15</v>
      </c>
      <c r="M295" s="279">
        <f>RES_BA!R144</f>
        <v>0</v>
      </c>
      <c r="O295" s="279">
        <f>RES_BA!S144</f>
        <v>0</v>
      </c>
      <c r="Q295" s="279">
        <f>RES_BA!T144</f>
        <v>0</v>
      </c>
      <c r="S295" s="279">
        <f>RES_BA!U144</f>
        <v>0</v>
      </c>
    </row>
    <row r="296" spans="3:19" s="277" customFormat="1" hidden="1" outlineLevel="1" x14ac:dyDescent="0.3">
      <c r="C296" s="283" t="str">
        <f>RES_BA!D145</f>
        <v>Equipment Category 16</v>
      </c>
      <c r="M296" s="279">
        <f>RES_BA!R145</f>
        <v>0</v>
      </c>
      <c r="O296" s="279">
        <f>RES_BA!S145</f>
        <v>0</v>
      </c>
      <c r="Q296" s="279">
        <f>RES_BA!T145</f>
        <v>0</v>
      </c>
      <c r="S296" s="279">
        <f>RES_BA!U145</f>
        <v>0</v>
      </c>
    </row>
    <row r="297" spans="3:19" s="277" customFormat="1" hidden="1" outlineLevel="1" x14ac:dyDescent="0.3">
      <c r="C297" s="283" t="str">
        <f>RES_BA!D146</f>
        <v>Equipment Category 17</v>
      </c>
      <c r="M297" s="279">
        <f>RES_BA!R146</f>
        <v>0</v>
      </c>
      <c r="O297" s="279">
        <f>RES_BA!S146</f>
        <v>0</v>
      </c>
      <c r="Q297" s="279">
        <f>RES_BA!T146</f>
        <v>0</v>
      </c>
      <c r="S297" s="279">
        <f>RES_BA!U146</f>
        <v>0</v>
      </c>
    </row>
    <row r="298" spans="3:19" s="277" customFormat="1" hidden="1" outlineLevel="1" x14ac:dyDescent="0.3">
      <c r="C298" s="283" t="str">
        <f>RES_BA!D147</f>
        <v>Equipment Category 18</v>
      </c>
      <c r="M298" s="279">
        <f>RES_BA!R147</f>
        <v>0</v>
      </c>
      <c r="O298" s="279">
        <f>RES_BA!S147</f>
        <v>0</v>
      </c>
      <c r="Q298" s="279">
        <f>RES_BA!T147</f>
        <v>0</v>
      </c>
      <c r="S298" s="279">
        <f>RES_BA!U147</f>
        <v>0</v>
      </c>
    </row>
    <row r="299" spans="3:19" s="277" customFormat="1" hidden="1" outlineLevel="1" x14ac:dyDescent="0.3">
      <c r="C299" s="283" t="str">
        <f>RES_BA!D148</f>
        <v>Equipment Category 19</v>
      </c>
      <c r="M299" s="279">
        <f>RES_BA!R148</f>
        <v>0</v>
      </c>
      <c r="O299" s="279">
        <f>RES_BA!S148</f>
        <v>0</v>
      </c>
      <c r="Q299" s="279">
        <f>RES_BA!T148</f>
        <v>0</v>
      </c>
      <c r="S299" s="279">
        <f>RES_BA!U148</f>
        <v>0</v>
      </c>
    </row>
    <row r="300" spans="3:19" s="277" customFormat="1" hidden="1" outlineLevel="1" x14ac:dyDescent="0.3">
      <c r="C300" s="283" t="str">
        <f>RES_BA!D149</f>
        <v>Equipment Category 20</v>
      </c>
      <c r="M300" s="279">
        <f>RES_BA!R149</f>
        <v>0</v>
      </c>
      <c r="O300" s="279">
        <f>RES_BA!S149</f>
        <v>0</v>
      </c>
      <c r="Q300" s="279">
        <f>RES_BA!T149</f>
        <v>0</v>
      </c>
      <c r="S300" s="279">
        <f>RES_BA!U149</f>
        <v>0</v>
      </c>
    </row>
    <row r="301" spans="3:19" s="277" customFormat="1" hidden="1" outlineLevel="1" x14ac:dyDescent="0.3">
      <c r="C301" s="283" t="str">
        <f>RES_BA!D150</f>
        <v>Equipment Category 21</v>
      </c>
      <c r="M301" s="279">
        <f>RES_BA!R150</f>
        <v>0</v>
      </c>
      <c r="O301" s="279">
        <f>RES_BA!S150</f>
        <v>0</v>
      </c>
      <c r="Q301" s="279">
        <f>RES_BA!T150</f>
        <v>0</v>
      </c>
      <c r="S301" s="279">
        <f>RES_BA!U150</f>
        <v>0</v>
      </c>
    </row>
    <row r="302" spans="3:19" s="277" customFormat="1" hidden="1" outlineLevel="1" x14ac:dyDescent="0.3">
      <c r="C302" s="283" t="str">
        <f>RES_BA!D151</f>
        <v>Equipment Category 22</v>
      </c>
      <c r="M302" s="279">
        <f>RES_BA!R151</f>
        <v>0</v>
      </c>
      <c r="O302" s="279">
        <f>RES_BA!S151</f>
        <v>0</v>
      </c>
      <c r="Q302" s="279">
        <f>RES_BA!T151</f>
        <v>0</v>
      </c>
      <c r="S302" s="279">
        <f>RES_BA!U151</f>
        <v>0</v>
      </c>
    </row>
    <row r="303" spans="3:19" s="277" customFormat="1" hidden="1" outlineLevel="1" x14ac:dyDescent="0.3">
      <c r="C303" s="283" t="str">
        <f>RES_BA!D152</f>
        <v>Equipment Category 23</v>
      </c>
      <c r="M303" s="279">
        <f>RES_BA!R152</f>
        <v>0</v>
      </c>
      <c r="O303" s="279">
        <f>RES_BA!S152</f>
        <v>0</v>
      </c>
      <c r="Q303" s="279">
        <f>RES_BA!T152</f>
        <v>0</v>
      </c>
      <c r="S303" s="279">
        <f>RES_BA!U152</f>
        <v>0</v>
      </c>
    </row>
    <row r="304" spans="3:19" s="277" customFormat="1" hidden="1" outlineLevel="1" collapsed="1" x14ac:dyDescent="0.3">
      <c r="C304" s="283" t="str">
        <f>RES_BA!D153</f>
        <v>Equipment Category 24</v>
      </c>
      <c r="M304" s="279">
        <f>RES_BA!R153</f>
        <v>0</v>
      </c>
      <c r="O304" s="279">
        <f>RES_BA!S153</f>
        <v>0</v>
      </c>
      <c r="Q304" s="279">
        <f>RES_BA!T153</f>
        <v>0</v>
      </c>
      <c r="S304" s="279">
        <f>RES_BA!U153</f>
        <v>0</v>
      </c>
    </row>
    <row r="305" spans="3:19" s="277" customFormat="1" hidden="1" outlineLevel="1" x14ac:dyDescent="0.3">
      <c r="C305" s="283" t="str">
        <f>RES_BA!D154</f>
        <v>Equipment Category 25</v>
      </c>
      <c r="M305" s="279">
        <f>RES_BA!R154</f>
        <v>0</v>
      </c>
      <c r="O305" s="279">
        <f>RES_BA!S154</f>
        <v>0</v>
      </c>
      <c r="Q305" s="279">
        <f>RES_BA!T154</f>
        <v>0</v>
      </c>
      <c r="S305" s="279">
        <f>RES_BA!U154</f>
        <v>0</v>
      </c>
    </row>
    <row r="306" spans="3:19" s="277" customFormat="1" hidden="1" outlineLevel="1" x14ac:dyDescent="0.3">
      <c r="C306" s="283" t="str">
        <f>RES_BA!D155</f>
        <v>Equipment Category 26</v>
      </c>
      <c r="M306" s="279">
        <f>RES_BA!R155</f>
        <v>0</v>
      </c>
      <c r="O306" s="279">
        <f>RES_BA!S155</f>
        <v>0</v>
      </c>
      <c r="Q306" s="279">
        <f>RES_BA!T155</f>
        <v>0</v>
      </c>
      <c r="S306" s="279">
        <f>RES_BA!U155</f>
        <v>0</v>
      </c>
    </row>
    <row r="307" spans="3:19" s="277" customFormat="1" hidden="1" outlineLevel="1" x14ac:dyDescent="0.3">
      <c r="C307" s="283" t="str">
        <f>RES_BA!D156</f>
        <v>Equipment Category 27</v>
      </c>
      <c r="M307" s="279">
        <f>RES_BA!R156</f>
        <v>0</v>
      </c>
      <c r="O307" s="279">
        <f>RES_BA!S156</f>
        <v>0</v>
      </c>
      <c r="Q307" s="279">
        <f>RES_BA!T156</f>
        <v>0</v>
      </c>
      <c r="S307" s="279">
        <f>RES_BA!U156</f>
        <v>0</v>
      </c>
    </row>
    <row r="308" spans="3:19" s="277" customFormat="1" hidden="1" outlineLevel="1" x14ac:dyDescent="0.3">
      <c r="C308" s="283" t="str">
        <f>RES_BA!D157</f>
        <v>Equipment Category 28</v>
      </c>
      <c r="M308" s="279">
        <f>RES_BA!R157</f>
        <v>0</v>
      </c>
      <c r="O308" s="279">
        <f>RES_BA!S157</f>
        <v>0</v>
      </c>
      <c r="Q308" s="279">
        <f>RES_BA!T157</f>
        <v>0</v>
      </c>
      <c r="S308" s="279">
        <f>RES_BA!U157</f>
        <v>0</v>
      </c>
    </row>
    <row r="309" spans="3:19" s="277" customFormat="1" hidden="1" outlineLevel="1" x14ac:dyDescent="0.3">
      <c r="C309" s="283" t="str">
        <f>RES_BA!D158</f>
        <v>Equipment Category 29</v>
      </c>
      <c r="M309" s="279">
        <f>RES_BA!R158</f>
        <v>0</v>
      </c>
      <c r="O309" s="279">
        <f>RES_BA!S158</f>
        <v>0</v>
      </c>
      <c r="Q309" s="279">
        <f>RES_BA!T158</f>
        <v>0</v>
      </c>
      <c r="S309" s="279">
        <f>RES_BA!U158</f>
        <v>0</v>
      </c>
    </row>
    <row r="310" spans="3:19" s="277" customFormat="1" hidden="1" outlineLevel="1" x14ac:dyDescent="0.3">
      <c r="C310" s="283" t="str">
        <f>RES_BA!D159</f>
        <v>Equipment Category 30</v>
      </c>
      <c r="M310" s="279">
        <f>RES_BA!R159</f>
        <v>0</v>
      </c>
      <c r="O310" s="279">
        <f>RES_BA!S159</f>
        <v>0</v>
      </c>
      <c r="Q310" s="279">
        <f>RES_BA!T159</f>
        <v>0</v>
      </c>
      <c r="S310" s="279">
        <f>RES_BA!U159</f>
        <v>0</v>
      </c>
    </row>
    <row r="311" spans="3:19" s="277" customFormat="1" hidden="1" outlineLevel="1" x14ac:dyDescent="0.3">
      <c r="C311" s="283" t="str">
        <f>RES_BA!D160</f>
        <v>Equipment Category 31</v>
      </c>
      <c r="M311" s="279">
        <f>RES_BA!R160</f>
        <v>0</v>
      </c>
      <c r="O311" s="279">
        <f>RES_BA!S160</f>
        <v>0</v>
      </c>
      <c r="Q311" s="279">
        <f>RES_BA!T160</f>
        <v>0</v>
      </c>
      <c r="S311" s="279">
        <f>RES_BA!U160</f>
        <v>0</v>
      </c>
    </row>
    <row r="312" spans="3:19" s="277" customFormat="1" hidden="1" outlineLevel="1" x14ac:dyDescent="0.3">
      <c r="C312" s="283" t="str">
        <f>RES_BA!D161</f>
        <v>Equipment Category 32</v>
      </c>
      <c r="M312" s="279">
        <f>RES_BA!R161</f>
        <v>0</v>
      </c>
      <c r="O312" s="279">
        <f>RES_BA!S161</f>
        <v>0</v>
      </c>
      <c r="Q312" s="279">
        <f>RES_BA!T161</f>
        <v>0</v>
      </c>
      <c r="S312" s="279">
        <f>RES_BA!U161</f>
        <v>0</v>
      </c>
    </row>
    <row r="313" spans="3:19" s="277" customFormat="1" hidden="1" outlineLevel="1" x14ac:dyDescent="0.3">
      <c r="C313" s="283" t="str">
        <f>RES_BA!D162</f>
        <v>Equipment Category 33</v>
      </c>
      <c r="M313" s="279">
        <f>RES_BA!R162</f>
        <v>0</v>
      </c>
      <c r="O313" s="279">
        <f>RES_BA!S162</f>
        <v>0</v>
      </c>
      <c r="Q313" s="279">
        <f>RES_BA!T162</f>
        <v>0</v>
      </c>
      <c r="S313" s="279">
        <f>RES_BA!U162</f>
        <v>0</v>
      </c>
    </row>
    <row r="314" spans="3:19" s="277" customFormat="1" hidden="1" outlineLevel="1" collapsed="1" x14ac:dyDescent="0.3">
      <c r="C314" s="283" t="str">
        <f>RES_BA!D163</f>
        <v>Equipment Category 34</v>
      </c>
      <c r="M314" s="279">
        <f>RES_BA!R163</f>
        <v>0</v>
      </c>
      <c r="O314" s="279">
        <f>RES_BA!S163</f>
        <v>0</v>
      </c>
      <c r="Q314" s="279">
        <f>RES_BA!T163</f>
        <v>0</v>
      </c>
      <c r="S314" s="279">
        <f>RES_BA!U163</f>
        <v>0</v>
      </c>
    </row>
    <row r="315" spans="3:19" s="277" customFormat="1" hidden="1" outlineLevel="1" x14ac:dyDescent="0.3">
      <c r="C315" s="283" t="str">
        <f>RES_BA!D164</f>
        <v>Equipment Category 35</v>
      </c>
      <c r="M315" s="279">
        <f>RES_BA!R164</f>
        <v>0</v>
      </c>
      <c r="O315" s="279">
        <f>RES_BA!S164</f>
        <v>0</v>
      </c>
      <c r="Q315" s="279">
        <f>RES_BA!T164</f>
        <v>0</v>
      </c>
      <c r="S315" s="279">
        <f>RES_BA!U164</f>
        <v>0</v>
      </c>
    </row>
    <row r="316" spans="3:19" hidden="1" outlineLevel="1" x14ac:dyDescent="0.3"/>
    <row r="317" spans="3:19" hidden="1" outlineLevel="1" x14ac:dyDescent="0.3"/>
    <row r="318" spans="3:19" hidden="1" outlineLevel="1" x14ac:dyDescent="0.3">
      <c r="M318" s="40" t="str">
        <f>$D$163</f>
        <v>USD</v>
      </c>
      <c r="O318" s="40" t="str">
        <f>$D$163</f>
        <v>USD</v>
      </c>
      <c r="Q318" s="40" t="str">
        <f>$D$164</f>
        <v>GOZ</v>
      </c>
      <c r="S318" s="40" t="str">
        <f>$D$164</f>
        <v>GOZ</v>
      </c>
    </row>
    <row r="319" spans="3:19" hidden="1" outlineLevel="1" x14ac:dyDescent="0.3">
      <c r="C319" s="89" t="str">
        <f>RES_BA!D169</f>
        <v>Other Direct Costs Category 1</v>
      </c>
      <c r="M319" s="40">
        <f>RES_BA!R169</f>
        <v>0</v>
      </c>
      <c r="O319" s="40">
        <f>RES_BA!S169</f>
        <v>0</v>
      </c>
      <c r="Q319" s="40">
        <f>RES_BA!T169</f>
        <v>0</v>
      </c>
      <c r="S319" s="40">
        <f>RES_BA!U169</f>
        <v>0</v>
      </c>
    </row>
    <row r="320" spans="3:19" hidden="1" outlineLevel="1" x14ac:dyDescent="0.3">
      <c r="C320" s="89" t="str">
        <f>RES_BA!D170</f>
        <v>Other Direct Costs Category 2</v>
      </c>
      <c r="M320" s="40">
        <f>RES_BA!R170</f>
        <v>0</v>
      </c>
      <c r="O320" s="40">
        <f>RES_BA!S170</f>
        <v>0</v>
      </c>
      <c r="Q320" s="40">
        <f>RES_BA!T170</f>
        <v>0</v>
      </c>
      <c r="S320" s="40">
        <f>RES_BA!U170</f>
        <v>0</v>
      </c>
    </row>
    <row r="321" spans="3:19" hidden="1" outlineLevel="1" x14ac:dyDescent="0.3">
      <c r="C321" s="89" t="str">
        <f>RES_BA!D171</f>
        <v>Other Direct Costs Category 3</v>
      </c>
      <c r="M321" s="40">
        <f>RES_BA!R171</f>
        <v>0</v>
      </c>
      <c r="O321" s="40">
        <f>RES_BA!S171</f>
        <v>0</v>
      </c>
      <c r="Q321" s="40">
        <f>RES_BA!T171</f>
        <v>0</v>
      </c>
      <c r="S321" s="40">
        <f>RES_BA!U171</f>
        <v>0</v>
      </c>
    </row>
    <row r="322" spans="3:19" s="277" customFormat="1" hidden="1" outlineLevel="1" collapsed="1" x14ac:dyDescent="0.3">
      <c r="C322" s="283" t="str">
        <f>RES_BA!D172</f>
        <v>Other Direct Costs Category 4</v>
      </c>
      <c r="M322" s="279">
        <f>RES_BA!R172</f>
        <v>0</v>
      </c>
      <c r="O322" s="279">
        <f>RES_BA!S172</f>
        <v>0</v>
      </c>
      <c r="Q322" s="279">
        <f>RES_BA!T172</f>
        <v>0</v>
      </c>
      <c r="S322" s="279">
        <f>RES_BA!U172</f>
        <v>0</v>
      </c>
    </row>
    <row r="323" spans="3:19" s="277" customFormat="1" hidden="1" outlineLevel="1" x14ac:dyDescent="0.3">
      <c r="C323" s="283" t="str">
        <f>RES_BA!D173</f>
        <v>Other Direct Costs Category 5</v>
      </c>
      <c r="M323" s="279">
        <f>RES_BA!R173</f>
        <v>0</v>
      </c>
      <c r="O323" s="279">
        <f>RES_BA!S173</f>
        <v>0</v>
      </c>
      <c r="Q323" s="279">
        <f>RES_BA!T173</f>
        <v>0</v>
      </c>
      <c r="S323" s="279">
        <f>RES_BA!U173</f>
        <v>0</v>
      </c>
    </row>
    <row r="324" spans="3:19" s="277" customFormat="1" hidden="1" outlineLevel="1" x14ac:dyDescent="0.3">
      <c r="C324" s="283" t="str">
        <f>RES_BA!D174</f>
        <v>Other Direct Costs Category 6</v>
      </c>
      <c r="M324" s="279">
        <f>RES_BA!R174</f>
        <v>0</v>
      </c>
      <c r="O324" s="279">
        <f>RES_BA!S174</f>
        <v>0</v>
      </c>
      <c r="Q324" s="279">
        <f>RES_BA!T174</f>
        <v>0</v>
      </c>
      <c r="S324" s="279">
        <f>RES_BA!U174</f>
        <v>0</v>
      </c>
    </row>
    <row r="325" spans="3:19" s="277" customFormat="1" hidden="1" outlineLevel="1" x14ac:dyDescent="0.3">
      <c r="C325" s="283" t="str">
        <f>RES_BA!D175</f>
        <v>Other Direct Costs Category 7</v>
      </c>
      <c r="M325" s="279">
        <f>RES_BA!R175</f>
        <v>0</v>
      </c>
      <c r="O325" s="279">
        <f>RES_BA!S175</f>
        <v>0</v>
      </c>
      <c r="Q325" s="279">
        <f>RES_BA!T175</f>
        <v>0</v>
      </c>
      <c r="S325" s="279">
        <f>RES_BA!U175</f>
        <v>0</v>
      </c>
    </row>
    <row r="326" spans="3:19" s="277" customFormat="1" hidden="1" outlineLevel="1" x14ac:dyDescent="0.3">
      <c r="C326" s="283" t="str">
        <f>RES_BA!D176</f>
        <v>Other Direct Costs Category 8</v>
      </c>
      <c r="M326" s="279">
        <f>RES_BA!R176</f>
        <v>0</v>
      </c>
      <c r="O326" s="279">
        <f>RES_BA!S176</f>
        <v>0</v>
      </c>
      <c r="Q326" s="279">
        <f>RES_BA!T176</f>
        <v>0</v>
      </c>
      <c r="S326" s="279">
        <f>RES_BA!U176</f>
        <v>0</v>
      </c>
    </row>
    <row r="327" spans="3:19" s="277" customFormat="1" hidden="1" outlineLevel="1" x14ac:dyDescent="0.3">
      <c r="C327" s="283" t="str">
        <f>RES_BA!D177</f>
        <v>Other Direct Costs Category 9</v>
      </c>
      <c r="M327" s="279">
        <f>RES_BA!R177</f>
        <v>0</v>
      </c>
      <c r="O327" s="279">
        <f>RES_BA!S177</f>
        <v>0</v>
      </c>
      <c r="Q327" s="279">
        <f>RES_BA!T177</f>
        <v>0</v>
      </c>
      <c r="S327" s="279">
        <f>RES_BA!U177</f>
        <v>0</v>
      </c>
    </row>
    <row r="328" spans="3:19" s="277" customFormat="1" hidden="1" outlineLevel="1" x14ac:dyDescent="0.3">
      <c r="C328" s="283" t="str">
        <f>RES_BA!D178</f>
        <v>Other Direct Costs Category 10</v>
      </c>
      <c r="M328" s="279">
        <f>RES_BA!R178</f>
        <v>0</v>
      </c>
      <c r="O328" s="279">
        <f>RES_BA!S178</f>
        <v>0</v>
      </c>
      <c r="Q328" s="279">
        <f>RES_BA!T178</f>
        <v>0</v>
      </c>
      <c r="S328" s="279">
        <f>RES_BA!U178</f>
        <v>0</v>
      </c>
    </row>
    <row r="329" spans="3:19" s="277" customFormat="1" hidden="1" outlineLevel="1" x14ac:dyDescent="0.3">
      <c r="C329" s="283" t="str">
        <f>RES_BA!D179</f>
        <v>Other Direct Costs Category 11</v>
      </c>
      <c r="M329" s="279">
        <f>RES_BA!R179</f>
        <v>0</v>
      </c>
      <c r="O329" s="279">
        <f>RES_BA!S179</f>
        <v>0</v>
      </c>
      <c r="Q329" s="279">
        <f>RES_BA!T179</f>
        <v>0</v>
      </c>
      <c r="S329" s="279">
        <f>RES_BA!U179</f>
        <v>0</v>
      </c>
    </row>
    <row r="330" spans="3:19" s="277" customFormat="1" hidden="1" outlineLevel="1" collapsed="1" x14ac:dyDescent="0.3">
      <c r="C330" s="283" t="str">
        <f>RES_BA!D180</f>
        <v>Other Direct Costs Category 12</v>
      </c>
      <c r="M330" s="279">
        <f>RES_BA!R180</f>
        <v>0</v>
      </c>
      <c r="O330" s="279">
        <f>RES_BA!S180</f>
        <v>0</v>
      </c>
      <c r="Q330" s="279">
        <f>RES_BA!T180</f>
        <v>0</v>
      </c>
      <c r="S330" s="279">
        <f>RES_BA!U180</f>
        <v>0</v>
      </c>
    </row>
    <row r="331" spans="3:19" s="277" customFormat="1" hidden="1" outlineLevel="1" x14ac:dyDescent="0.3">
      <c r="C331" s="283" t="str">
        <f>RES_BA!D181</f>
        <v>Other Direct Costs Category 13</v>
      </c>
      <c r="M331" s="279">
        <f>RES_BA!R181</f>
        <v>0</v>
      </c>
      <c r="O331" s="279">
        <f>RES_BA!S181</f>
        <v>0</v>
      </c>
      <c r="Q331" s="279">
        <f>RES_BA!T181</f>
        <v>0</v>
      </c>
      <c r="S331" s="279">
        <f>RES_BA!U181</f>
        <v>0</v>
      </c>
    </row>
    <row r="332" spans="3:19" s="277" customFormat="1" hidden="1" outlineLevel="1" x14ac:dyDescent="0.3">
      <c r="C332" s="283" t="str">
        <f>RES_BA!D182</f>
        <v>Other Direct Costs Category 14</v>
      </c>
      <c r="M332" s="279">
        <f>RES_BA!R182</f>
        <v>0</v>
      </c>
      <c r="O332" s="279">
        <f>RES_BA!S182</f>
        <v>0</v>
      </c>
      <c r="Q332" s="279">
        <f>RES_BA!T182</f>
        <v>0</v>
      </c>
      <c r="S332" s="279">
        <f>RES_BA!U182</f>
        <v>0</v>
      </c>
    </row>
    <row r="333" spans="3:19" s="277" customFormat="1" hidden="1" outlineLevel="1" x14ac:dyDescent="0.3">
      <c r="C333" s="283" t="str">
        <f>RES_BA!D183</f>
        <v>Other Direct Costs Category 15</v>
      </c>
      <c r="M333" s="279">
        <f>RES_BA!R183</f>
        <v>0</v>
      </c>
      <c r="O333" s="279">
        <f>RES_BA!S183</f>
        <v>0</v>
      </c>
      <c r="Q333" s="279">
        <f>RES_BA!T183</f>
        <v>0</v>
      </c>
      <c r="S333" s="279">
        <f>RES_BA!U183</f>
        <v>0</v>
      </c>
    </row>
    <row r="334" spans="3:19" s="277" customFormat="1" hidden="1" outlineLevel="1" x14ac:dyDescent="0.3">
      <c r="C334" s="283" t="str">
        <f>RES_BA!D184</f>
        <v>Other Direct Costs Category 16</v>
      </c>
      <c r="M334" s="279">
        <f>RES_BA!R184</f>
        <v>0</v>
      </c>
      <c r="O334" s="279">
        <f>RES_BA!S184</f>
        <v>0</v>
      </c>
      <c r="Q334" s="279">
        <f>RES_BA!T184</f>
        <v>0</v>
      </c>
      <c r="S334" s="279">
        <f>RES_BA!U184</f>
        <v>0</v>
      </c>
    </row>
    <row r="335" spans="3:19" s="277" customFormat="1" hidden="1" outlineLevel="1" x14ac:dyDescent="0.3">
      <c r="C335" s="283" t="str">
        <f>RES_BA!D185</f>
        <v>Other Direct Costs Category 17</v>
      </c>
      <c r="M335" s="279">
        <f>RES_BA!R185</f>
        <v>0</v>
      </c>
      <c r="O335" s="279">
        <f>RES_BA!S185</f>
        <v>0</v>
      </c>
      <c r="Q335" s="279">
        <f>RES_BA!T185</f>
        <v>0</v>
      </c>
      <c r="S335" s="279">
        <f>RES_BA!U185</f>
        <v>0</v>
      </c>
    </row>
    <row r="336" spans="3:19" s="277" customFormat="1" hidden="1" outlineLevel="1" x14ac:dyDescent="0.3">
      <c r="C336" s="283" t="str">
        <f>RES_BA!D186</f>
        <v>Other Direct Costs Category 18</v>
      </c>
      <c r="M336" s="279">
        <f>RES_BA!R186</f>
        <v>0</v>
      </c>
      <c r="O336" s="279">
        <f>RES_BA!S186</f>
        <v>0</v>
      </c>
      <c r="Q336" s="279">
        <f>RES_BA!T186</f>
        <v>0</v>
      </c>
      <c r="S336" s="279">
        <f>RES_BA!U186</f>
        <v>0</v>
      </c>
    </row>
    <row r="337" spans="3:19" s="277" customFormat="1" hidden="1" outlineLevel="1" x14ac:dyDescent="0.3">
      <c r="C337" s="283" t="str">
        <f>RES_BA!D187</f>
        <v>Other Direct Costs Category 19</v>
      </c>
      <c r="M337" s="279">
        <f>RES_BA!R187</f>
        <v>0</v>
      </c>
      <c r="O337" s="279">
        <f>RES_BA!S187</f>
        <v>0</v>
      </c>
      <c r="Q337" s="279">
        <f>RES_BA!T187</f>
        <v>0</v>
      </c>
      <c r="S337" s="279">
        <f>RES_BA!U187</f>
        <v>0</v>
      </c>
    </row>
    <row r="338" spans="3:19" s="277" customFormat="1" hidden="1" outlineLevel="1" x14ac:dyDescent="0.3">
      <c r="C338" s="283" t="str">
        <f>RES_BA!D188</f>
        <v>Other Direct Costs Category 20</v>
      </c>
      <c r="M338" s="279">
        <f>RES_BA!R188</f>
        <v>0</v>
      </c>
      <c r="O338" s="279">
        <f>RES_BA!S188</f>
        <v>0</v>
      </c>
      <c r="Q338" s="279">
        <f>RES_BA!T188</f>
        <v>0</v>
      </c>
      <c r="S338" s="279">
        <f>RES_BA!U188</f>
        <v>0</v>
      </c>
    </row>
    <row r="339" spans="3:19" s="277" customFormat="1" hidden="1" outlineLevel="1" x14ac:dyDescent="0.3">
      <c r="C339" s="283" t="str">
        <f>RES_BA!D189</f>
        <v>Other Direct Costs Category 21</v>
      </c>
      <c r="M339" s="279">
        <f>RES_BA!R189</f>
        <v>0</v>
      </c>
      <c r="O339" s="279">
        <f>RES_BA!S189</f>
        <v>0</v>
      </c>
      <c r="Q339" s="279">
        <f>RES_BA!T189</f>
        <v>0</v>
      </c>
      <c r="S339" s="279">
        <f>RES_BA!U189</f>
        <v>0</v>
      </c>
    </row>
    <row r="340" spans="3:19" s="277" customFormat="1" hidden="1" outlineLevel="1" x14ac:dyDescent="0.3">
      <c r="C340" s="283" t="str">
        <f>RES_BA!D190</f>
        <v>Other Direct Costs Category 22</v>
      </c>
      <c r="M340" s="279">
        <f>RES_BA!R190</f>
        <v>0</v>
      </c>
      <c r="O340" s="279">
        <f>RES_BA!S190</f>
        <v>0</v>
      </c>
      <c r="Q340" s="279">
        <f>RES_BA!T190</f>
        <v>0</v>
      </c>
      <c r="S340" s="279">
        <f>RES_BA!U190</f>
        <v>0</v>
      </c>
    </row>
    <row r="341" spans="3:19" s="277" customFormat="1" hidden="1" outlineLevel="1" x14ac:dyDescent="0.3">
      <c r="C341" s="283" t="str">
        <f>RES_BA!D191</f>
        <v>Other Direct Costs Category 23</v>
      </c>
      <c r="M341" s="279">
        <f>RES_BA!R191</f>
        <v>0</v>
      </c>
      <c r="O341" s="279">
        <f>RES_BA!S191</f>
        <v>0</v>
      </c>
      <c r="Q341" s="279">
        <f>RES_BA!T191</f>
        <v>0</v>
      </c>
      <c r="S341" s="279">
        <f>RES_BA!U191</f>
        <v>0</v>
      </c>
    </row>
    <row r="342" spans="3:19" s="277" customFormat="1" hidden="1" outlineLevel="1" collapsed="1" x14ac:dyDescent="0.3">
      <c r="C342" s="283" t="str">
        <f>RES_BA!D192</f>
        <v>Other Direct Costs Category 24</v>
      </c>
      <c r="M342" s="279">
        <f>RES_BA!R192</f>
        <v>0</v>
      </c>
      <c r="O342" s="279">
        <f>RES_BA!S192</f>
        <v>0</v>
      </c>
      <c r="Q342" s="279">
        <f>RES_BA!T192</f>
        <v>0</v>
      </c>
      <c r="S342" s="279">
        <f>RES_BA!U192</f>
        <v>0</v>
      </c>
    </row>
    <row r="343" spans="3:19" s="277" customFormat="1" hidden="1" outlineLevel="1" x14ac:dyDescent="0.3">
      <c r="C343" s="283" t="str">
        <f>RES_BA!D193</f>
        <v>Other Direct Costs Category 25</v>
      </c>
      <c r="M343" s="279">
        <f>RES_BA!R193</f>
        <v>0</v>
      </c>
      <c r="O343" s="279">
        <f>RES_BA!S193</f>
        <v>0</v>
      </c>
      <c r="Q343" s="279">
        <f>RES_BA!T193</f>
        <v>0</v>
      </c>
      <c r="S343" s="279">
        <f>RES_BA!U193</f>
        <v>0</v>
      </c>
    </row>
    <row r="344" spans="3:19" s="277" customFormat="1" hidden="1" outlineLevel="1" x14ac:dyDescent="0.3">
      <c r="C344" s="283" t="str">
        <f>RES_BA!D194</f>
        <v>Other Direct Costs Category 26</v>
      </c>
      <c r="M344" s="279">
        <f>RES_BA!R194</f>
        <v>0</v>
      </c>
      <c r="O344" s="279">
        <f>RES_BA!S194</f>
        <v>0</v>
      </c>
      <c r="Q344" s="279">
        <f>RES_BA!T194</f>
        <v>0</v>
      </c>
      <c r="S344" s="279">
        <f>RES_BA!U194</f>
        <v>0</v>
      </c>
    </row>
    <row r="345" spans="3:19" s="277" customFormat="1" hidden="1" outlineLevel="1" x14ac:dyDescent="0.3">
      <c r="C345" s="283" t="str">
        <f>RES_BA!D195</f>
        <v>Other Direct Costs Category 27</v>
      </c>
      <c r="M345" s="279">
        <f>RES_BA!R195</f>
        <v>0</v>
      </c>
      <c r="O345" s="279">
        <f>RES_BA!S195</f>
        <v>0</v>
      </c>
      <c r="Q345" s="279">
        <f>RES_BA!T195</f>
        <v>0</v>
      </c>
      <c r="S345" s="279">
        <f>RES_BA!U195</f>
        <v>0</v>
      </c>
    </row>
    <row r="346" spans="3:19" s="277" customFormat="1" hidden="1" outlineLevel="1" x14ac:dyDescent="0.3">
      <c r="C346" s="283" t="str">
        <f>RES_BA!D196</f>
        <v>Other Direct Costs Category 28</v>
      </c>
      <c r="M346" s="279">
        <f>RES_BA!R196</f>
        <v>0</v>
      </c>
      <c r="O346" s="279">
        <f>RES_BA!S196</f>
        <v>0</v>
      </c>
      <c r="Q346" s="279">
        <f>RES_BA!T196</f>
        <v>0</v>
      </c>
      <c r="S346" s="279">
        <f>RES_BA!U196</f>
        <v>0</v>
      </c>
    </row>
    <row r="347" spans="3:19" s="277" customFormat="1" hidden="1" outlineLevel="1" x14ac:dyDescent="0.3">
      <c r="C347" s="283" t="str">
        <f>RES_BA!D197</f>
        <v>Other Direct Costs Category 29</v>
      </c>
      <c r="M347" s="279">
        <f>RES_BA!R197</f>
        <v>0</v>
      </c>
      <c r="O347" s="279">
        <f>RES_BA!S197</f>
        <v>0</v>
      </c>
      <c r="Q347" s="279">
        <f>RES_BA!T197</f>
        <v>0</v>
      </c>
      <c r="S347" s="279">
        <f>RES_BA!U197</f>
        <v>0</v>
      </c>
    </row>
    <row r="348" spans="3:19" s="277" customFormat="1" hidden="1" outlineLevel="1" x14ac:dyDescent="0.3">
      <c r="C348" s="283" t="str">
        <f>RES_BA!D198</f>
        <v>Other Direct Costs Category 30</v>
      </c>
      <c r="M348" s="279">
        <f>RES_BA!R198</f>
        <v>0</v>
      </c>
      <c r="O348" s="279">
        <f>RES_BA!S198</f>
        <v>0</v>
      </c>
      <c r="Q348" s="279">
        <f>RES_BA!T198</f>
        <v>0</v>
      </c>
      <c r="S348" s="279">
        <f>RES_BA!U198</f>
        <v>0</v>
      </c>
    </row>
    <row r="349" spans="3:19" s="277" customFormat="1" hidden="1" outlineLevel="1" x14ac:dyDescent="0.3">
      <c r="C349" s="283" t="str">
        <f>RES_BA!D199</f>
        <v>Other Direct Costs Category 31</v>
      </c>
      <c r="M349" s="279">
        <f>RES_BA!R199</f>
        <v>0</v>
      </c>
      <c r="O349" s="279">
        <f>RES_BA!S199</f>
        <v>0</v>
      </c>
      <c r="Q349" s="279">
        <f>RES_BA!T199</f>
        <v>0</v>
      </c>
      <c r="S349" s="279">
        <f>RES_BA!U199</f>
        <v>0</v>
      </c>
    </row>
    <row r="350" spans="3:19" s="277" customFormat="1" hidden="1" outlineLevel="1" x14ac:dyDescent="0.3">
      <c r="C350" s="283" t="str">
        <f>RES_BA!D200</f>
        <v>Other Direct Costs Category 32</v>
      </c>
      <c r="M350" s="279">
        <f>RES_BA!R200</f>
        <v>0</v>
      </c>
      <c r="O350" s="279">
        <f>RES_BA!S200</f>
        <v>0</v>
      </c>
      <c r="Q350" s="279">
        <f>RES_BA!T200</f>
        <v>0</v>
      </c>
      <c r="S350" s="279">
        <f>RES_BA!U200</f>
        <v>0</v>
      </c>
    </row>
    <row r="351" spans="3:19" s="277" customFormat="1" hidden="1" outlineLevel="1" x14ac:dyDescent="0.3">
      <c r="C351" s="283" t="str">
        <f>RES_BA!D201</f>
        <v>Other Direct Costs Category 33</v>
      </c>
      <c r="M351" s="279">
        <f>RES_BA!R201</f>
        <v>0</v>
      </c>
      <c r="O351" s="279">
        <f>RES_BA!S201</f>
        <v>0</v>
      </c>
      <c r="Q351" s="279">
        <f>RES_BA!T201</f>
        <v>0</v>
      </c>
      <c r="S351" s="279">
        <f>RES_BA!U201</f>
        <v>0</v>
      </c>
    </row>
    <row r="352" spans="3:19" s="277" customFormat="1" hidden="1" outlineLevel="1" x14ac:dyDescent="0.3">
      <c r="C352" s="283" t="str">
        <f>RES_BA!D202</f>
        <v>Other Direct Costs Category 34</v>
      </c>
      <c r="M352" s="279">
        <f>RES_BA!R202</f>
        <v>0</v>
      </c>
      <c r="O352" s="279">
        <f>RES_BA!S202</f>
        <v>0</v>
      </c>
      <c r="Q352" s="279">
        <f>RES_BA!T202</f>
        <v>0</v>
      </c>
      <c r="S352" s="279">
        <f>RES_BA!U202</f>
        <v>0</v>
      </c>
    </row>
    <row r="353" spans="2:24" s="277" customFormat="1" hidden="1" outlineLevel="1" x14ac:dyDescent="0.3">
      <c r="C353" s="283" t="str">
        <f>RES_BA!D203</f>
        <v>Other Direct Costs Category 35</v>
      </c>
      <c r="M353" s="279">
        <f>RES_BA!R203</f>
        <v>0</v>
      </c>
      <c r="O353" s="279">
        <f>RES_BA!S203</f>
        <v>0</v>
      </c>
      <c r="Q353" s="279">
        <f>RES_BA!T203</f>
        <v>0</v>
      </c>
      <c r="S353" s="279">
        <f>RES_BA!U203</f>
        <v>0</v>
      </c>
    </row>
    <row r="354" spans="2:24" collapsed="1" x14ac:dyDescent="0.3"/>
    <row r="356" spans="2:24" ht="18" x14ac:dyDescent="0.3">
      <c r="B356" s="31" t="str">
        <f>I357</f>
        <v>Round 2 - Vacciination Activity #2 [not in use]</v>
      </c>
    </row>
    <row r="357" spans="2:24" x14ac:dyDescent="0.3">
      <c r="G357" s="41" t="s">
        <v>119</v>
      </c>
      <c r="I357" s="356" t="s">
        <v>1011</v>
      </c>
      <c r="J357" s="356"/>
      <c r="K357" s="356"/>
      <c r="L357" s="356"/>
      <c r="M357" s="356"/>
    </row>
    <row r="358" spans="2:24" ht="10.5" customHeight="1" x14ac:dyDescent="0.3">
      <c r="G358" s="41" t="s">
        <v>644</v>
      </c>
      <c r="I358" s="32">
        <v>2</v>
      </c>
    </row>
    <row r="359" spans="2:24" ht="15.6" x14ac:dyDescent="0.3">
      <c r="C359" s="92" t="s">
        <v>77</v>
      </c>
      <c r="M359" s="40" t="str">
        <f>IF(DD_ACT_15_Meet1_Curr=1,$D$512,$D$513)</f>
        <v>GOZ</v>
      </c>
      <c r="O359" s="40" t="str">
        <f>IF(DD_ACT_15_Meet1_Curr=1,$D$512,$D$513)</f>
        <v>GOZ</v>
      </c>
      <c r="Q359" s="40" t="str">
        <f>IF(DD_ACT_15_Meet1_Curr=1,$D$512,$D$513)</f>
        <v>GOZ</v>
      </c>
      <c r="S359" s="40" t="str">
        <f>IF(DD_ACT_15_Meet1_Curr=1,$D$512,$D$513)</f>
        <v>GOZ</v>
      </c>
    </row>
    <row r="360" spans="2:24" ht="27.6" x14ac:dyDescent="0.3">
      <c r="D360" s="90" t="s">
        <v>77</v>
      </c>
      <c r="I360" s="88" t="s">
        <v>80</v>
      </c>
      <c r="K360" s="91" t="s">
        <v>187</v>
      </c>
      <c r="M360" s="42" t="s">
        <v>103</v>
      </c>
      <c r="O360" s="42" t="s">
        <v>104</v>
      </c>
      <c r="Q360" s="42" t="s">
        <v>105</v>
      </c>
      <c r="S360" s="42" t="s">
        <v>106</v>
      </c>
      <c r="U360" s="350" t="s">
        <v>185</v>
      </c>
      <c r="V360" s="351"/>
      <c r="W360" s="351"/>
      <c r="X360" s="351"/>
    </row>
    <row r="361" spans="2:24" x14ac:dyDescent="0.3">
      <c r="D361" s="356" t="s">
        <v>188</v>
      </c>
      <c r="E361" s="356"/>
      <c r="F361" s="356"/>
      <c r="G361" s="356"/>
      <c r="I361" s="48">
        <v>0</v>
      </c>
      <c r="K361" s="48">
        <v>0</v>
      </c>
      <c r="M361" s="40">
        <f t="shared" ref="M361:M385" si="20">IFERROR(IF(DD_ACT_15_Meet1_Curr=1,INDEX($M$518:$M$552,MATCH(D361,LU_ACT_15_Pers_Res,0)),INDEX($Q$518:$Q$552,MATCH(D361,LU_ACT_15_Pers_Res,0))),0)</f>
        <v>0</v>
      </c>
      <c r="O361" s="40">
        <f t="shared" ref="O361:O385" si="21">IFERROR(IF(DD_ACT_15_Meet1_Curr=1,INDEX($O$518:$O$552,MATCH(D361,LU_ACT_15_Pers_Res,0)),INDEX($S$518:$S$552,MATCH(D361,LU_ACT_15_Pers_Res,0))),0)</f>
        <v>0</v>
      </c>
      <c r="Q361" s="293">
        <f t="shared" ref="Q361:Q385" si="22">I361*K361*M361</f>
        <v>0</v>
      </c>
      <c r="S361" s="293">
        <f t="shared" ref="S361:S385" si="23">I361*K361*O361</f>
        <v>0</v>
      </c>
      <c r="U361" s="356"/>
      <c r="V361" s="356"/>
      <c r="W361" s="356"/>
      <c r="X361" s="356"/>
    </row>
    <row r="362" spans="2:24" x14ac:dyDescent="0.3">
      <c r="D362" s="356" t="s">
        <v>189</v>
      </c>
      <c r="E362" s="356"/>
      <c r="F362" s="356"/>
      <c r="G362" s="356"/>
      <c r="I362" s="48">
        <v>0</v>
      </c>
      <c r="K362" s="48">
        <v>0</v>
      </c>
      <c r="M362" s="40">
        <f t="shared" si="20"/>
        <v>0</v>
      </c>
      <c r="O362" s="40">
        <f t="shared" si="21"/>
        <v>0</v>
      </c>
      <c r="Q362" s="293">
        <f t="shared" si="22"/>
        <v>0</v>
      </c>
      <c r="S362" s="293">
        <f t="shared" si="23"/>
        <v>0</v>
      </c>
      <c r="U362" s="356"/>
      <c r="V362" s="356"/>
      <c r="W362" s="356"/>
      <c r="X362" s="356"/>
    </row>
    <row r="363" spans="2:24" x14ac:dyDescent="0.3">
      <c r="D363" s="356" t="s">
        <v>190</v>
      </c>
      <c r="E363" s="356"/>
      <c r="F363" s="356"/>
      <c r="G363" s="356"/>
      <c r="I363" s="48">
        <v>0</v>
      </c>
      <c r="K363" s="48">
        <v>0</v>
      </c>
      <c r="M363" s="40">
        <f t="shared" si="20"/>
        <v>0</v>
      </c>
      <c r="O363" s="40">
        <f t="shared" si="21"/>
        <v>0</v>
      </c>
      <c r="Q363" s="293">
        <f t="shared" si="22"/>
        <v>0</v>
      </c>
      <c r="S363" s="293">
        <f t="shared" si="23"/>
        <v>0</v>
      </c>
      <c r="U363" s="356"/>
      <c r="V363" s="356"/>
      <c r="W363" s="356"/>
      <c r="X363" s="356"/>
    </row>
    <row r="364" spans="2:24" x14ac:dyDescent="0.3">
      <c r="D364" s="356" t="s">
        <v>191</v>
      </c>
      <c r="E364" s="356"/>
      <c r="F364" s="356"/>
      <c r="G364" s="356"/>
      <c r="I364" s="48">
        <v>0</v>
      </c>
      <c r="K364" s="48">
        <v>0</v>
      </c>
      <c r="M364" s="40">
        <f t="shared" si="20"/>
        <v>0</v>
      </c>
      <c r="O364" s="40">
        <f t="shared" si="21"/>
        <v>0</v>
      </c>
      <c r="Q364" s="293">
        <f t="shared" si="22"/>
        <v>0</v>
      </c>
      <c r="S364" s="293">
        <f t="shared" si="23"/>
        <v>0</v>
      </c>
      <c r="U364" s="356"/>
      <c r="V364" s="356"/>
      <c r="W364" s="356"/>
      <c r="X364" s="356"/>
    </row>
    <row r="365" spans="2:24" x14ac:dyDescent="0.3">
      <c r="D365" s="356" t="s">
        <v>192</v>
      </c>
      <c r="E365" s="356"/>
      <c r="F365" s="356"/>
      <c r="G365" s="356"/>
      <c r="I365" s="48">
        <v>0</v>
      </c>
      <c r="K365" s="48">
        <v>0</v>
      </c>
      <c r="M365" s="40">
        <f t="shared" si="20"/>
        <v>0</v>
      </c>
      <c r="O365" s="40">
        <f t="shared" si="21"/>
        <v>0</v>
      </c>
      <c r="Q365" s="293">
        <f t="shared" si="22"/>
        <v>0</v>
      </c>
      <c r="S365" s="293">
        <f t="shared" si="23"/>
        <v>0</v>
      </c>
      <c r="U365" s="356"/>
      <c r="V365" s="356"/>
      <c r="W365" s="356"/>
      <c r="X365" s="356"/>
    </row>
    <row r="366" spans="2:24" x14ac:dyDescent="0.3">
      <c r="D366" s="356" t="s">
        <v>193</v>
      </c>
      <c r="E366" s="356"/>
      <c r="F366" s="356"/>
      <c r="G366" s="356"/>
      <c r="I366" s="48">
        <v>0</v>
      </c>
      <c r="K366" s="48">
        <v>0</v>
      </c>
      <c r="M366" s="40">
        <f t="shared" si="20"/>
        <v>0</v>
      </c>
      <c r="O366" s="40">
        <f t="shared" si="21"/>
        <v>0</v>
      </c>
      <c r="Q366" s="293">
        <f t="shared" si="22"/>
        <v>0</v>
      </c>
      <c r="S366" s="293">
        <f t="shared" si="23"/>
        <v>0</v>
      </c>
      <c r="U366" s="356"/>
      <c r="V366" s="356"/>
      <c r="W366" s="356"/>
      <c r="X366" s="356"/>
    </row>
    <row r="367" spans="2:24" x14ac:dyDescent="0.3">
      <c r="D367" s="356" t="s">
        <v>120</v>
      </c>
      <c r="E367" s="356"/>
      <c r="F367" s="356"/>
      <c r="G367" s="356"/>
      <c r="I367" s="48">
        <v>0</v>
      </c>
      <c r="K367" s="48">
        <v>0</v>
      </c>
      <c r="M367" s="40">
        <f t="shared" si="20"/>
        <v>0</v>
      </c>
      <c r="O367" s="40">
        <f t="shared" si="21"/>
        <v>0</v>
      </c>
      <c r="Q367" s="293">
        <f t="shared" si="22"/>
        <v>0</v>
      </c>
      <c r="S367" s="293">
        <f t="shared" si="23"/>
        <v>0</v>
      </c>
      <c r="U367" s="356"/>
      <c r="V367" s="356"/>
      <c r="W367" s="356"/>
      <c r="X367" s="356"/>
    </row>
    <row r="368" spans="2:24" x14ac:dyDescent="0.3">
      <c r="D368" s="356" t="s">
        <v>121</v>
      </c>
      <c r="E368" s="356"/>
      <c r="F368" s="356"/>
      <c r="G368" s="356"/>
      <c r="I368" s="48">
        <v>0</v>
      </c>
      <c r="K368" s="48">
        <v>0</v>
      </c>
      <c r="M368" s="40">
        <f t="shared" si="20"/>
        <v>0</v>
      </c>
      <c r="O368" s="40">
        <f t="shared" si="21"/>
        <v>0</v>
      </c>
      <c r="Q368" s="293">
        <f t="shared" si="22"/>
        <v>0</v>
      </c>
      <c r="S368" s="293">
        <f t="shared" si="23"/>
        <v>0</v>
      </c>
      <c r="U368" s="356"/>
      <c r="V368" s="356"/>
      <c r="W368" s="356"/>
      <c r="X368" s="356"/>
    </row>
    <row r="369" spans="4:24" s="277" customFormat="1" x14ac:dyDescent="0.3">
      <c r="D369" s="356" t="s">
        <v>830</v>
      </c>
      <c r="E369" s="356"/>
      <c r="F369" s="356"/>
      <c r="G369" s="356"/>
      <c r="I369" s="48">
        <v>0</v>
      </c>
      <c r="K369" s="48">
        <v>0</v>
      </c>
      <c r="M369" s="279">
        <f t="shared" si="20"/>
        <v>0</v>
      </c>
      <c r="O369" s="279">
        <f t="shared" si="21"/>
        <v>0</v>
      </c>
      <c r="Q369" s="293">
        <f t="shared" si="22"/>
        <v>0</v>
      </c>
      <c r="S369" s="293">
        <f t="shared" si="23"/>
        <v>0</v>
      </c>
      <c r="U369" s="385"/>
      <c r="V369" s="385"/>
      <c r="W369" s="385"/>
      <c r="X369" s="385"/>
    </row>
    <row r="370" spans="4:24" s="277" customFormat="1" x14ac:dyDescent="0.3">
      <c r="D370" s="356" t="s">
        <v>831</v>
      </c>
      <c r="E370" s="356"/>
      <c r="F370" s="356"/>
      <c r="G370" s="356"/>
      <c r="I370" s="48">
        <v>0</v>
      </c>
      <c r="K370" s="48">
        <v>0</v>
      </c>
      <c r="M370" s="279">
        <f t="shared" si="20"/>
        <v>0</v>
      </c>
      <c r="O370" s="279">
        <f t="shared" si="21"/>
        <v>0</v>
      </c>
      <c r="Q370" s="293">
        <f t="shared" si="22"/>
        <v>0</v>
      </c>
      <c r="S370" s="293">
        <f t="shared" si="23"/>
        <v>0</v>
      </c>
      <c r="U370" s="385"/>
      <c r="V370" s="385"/>
      <c r="W370" s="385"/>
      <c r="X370" s="385"/>
    </row>
    <row r="371" spans="4:24" s="277" customFormat="1" x14ac:dyDescent="0.3">
      <c r="D371" s="356" t="s">
        <v>832</v>
      </c>
      <c r="E371" s="356"/>
      <c r="F371" s="356"/>
      <c r="G371" s="356"/>
      <c r="I371" s="48">
        <v>0</v>
      </c>
      <c r="K371" s="48">
        <v>0</v>
      </c>
      <c r="M371" s="279">
        <f t="shared" si="20"/>
        <v>0</v>
      </c>
      <c r="O371" s="279">
        <f t="shared" si="21"/>
        <v>0</v>
      </c>
      <c r="Q371" s="293">
        <f t="shared" si="22"/>
        <v>0</v>
      </c>
      <c r="S371" s="293">
        <f t="shared" si="23"/>
        <v>0</v>
      </c>
      <c r="U371" s="385"/>
      <c r="V371" s="385"/>
      <c r="W371" s="385"/>
      <c r="X371" s="385"/>
    </row>
    <row r="372" spans="4:24" s="277" customFormat="1" x14ac:dyDescent="0.3">
      <c r="D372" s="356" t="s">
        <v>833</v>
      </c>
      <c r="E372" s="356"/>
      <c r="F372" s="356"/>
      <c r="G372" s="356"/>
      <c r="I372" s="48">
        <v>0</v>
      </c>
      <c r="K372" s="48">
        <v>0</v>
      </c>
      <c r="M372" s="279">
        <f t="shared" si="20"/>
        <v>0</v>
      </c>
      <c r="O372" s="279">
        <f t="shared" si="21"/>
        <v>0</v>
      </c>
      <c r="Q372" s="293">
        <f t="shared" si="22"/>
        <v>0</v>
      </c>
      <c r="S372" s="293">
        <f t="shared" si="23"/>
        <v>0</v>
      </c>
      <c r="U372" s="385"/>
      <c r="V372" s="385"/>
      <c r="W372" s="385"/>
      <c r="X372" s="385"/>
    </row>
    <row r="373" spans="4:24" s="277" customFormat="1" x14ac:dyDescent="0.3">
      <c r="D373" s="356" t="s">
        <v>834</v>
      </c>
      <c r="E373" s="356"/>
      <c r="F373" s="356"/>
      <c r="G373" s="356"/>
      <c r="I373" s="48">
        <v>0</v>
      </c>
      <c r="K373" s="48">
        <v>0</v>
      </c>
      <c r="M373" s="279">
        <f t="shared" si="20"/>
        <v>0</v>
      </c>
      <c r="O373" s="279">
        <f t="shared" si="21"/>
        <v>0</v>
      </c>
      <c r="Q373" s="293">
        <f t="shared" si="22"/>
        <v>0</v>
      </c>
      <c r="S373" s="293">
        <f t="shared" si="23"/>
        <v>0</v>
      </c>
      <c r="U373" s="385"/>
      <c r="V373" s="385"/>
      <c r="W373" s="385"/>
      <c r="X373" s="385"/>
    </row>
    <row r="374" spans="4:24" s="277" customFormat="1" x14ac:dyDescent="0.3">
      <c r="D374" s="356" t="s">
        <v>835</v>
      </c>
      <c r="E374" s="356"/>
      <c r="F374" s="356"/>
      <c r="G374" s="356"/>
      <c r="I374" s="48">
        <v>0</v>
      </c>
      <c r="K374" s="48">
        <v>0</v>
      </c>
      <c r="M374" s="279">
        <f t="shared" si="20"/>
        <v>0</v>
      </c>
      <c r="O374" s="279">
        <f t="shared" si="21"/>
        <v>0</v>
      </c>
      <c r="Q374" s="293">
        <f t="shared" si="22"/>
        <v>0</v>
      </c>
      <c r="S374" s="293">
        <f t="shared" si="23"/>
        <v>0</v>
      </c>
      <c r="U374" s="385"/>
      <c r="V374" s="385"/>
      <c r="W374" s="385"/>
      <c r="X374" s="385"/>
    </row>
    <row r="375" spans="4:24" s="277" customFormat="1" x14ac:dyDescent="0.3">
      <c r="D375" s="356" t="s">
        <v>836</v>
      </c>
      <c r="E375" s="356"/>
      <c r="F375" s="356"/>
      <c r="G375" s="356"/>
      <c r="I375" s="48">
        <v>0</v>
      </c>
      <c r="K375" s="48">
        <v>0</v>
      </c>
      <c r="M375" s="279">
        <f t="shared" si="20"/>
        <v>0</v>
      </c>
      <c r="O375" s="279">
        <f t="shared" si="21"/>
        <v>0</v>
      </c>
      <c r="Q375" s="293">
        <f t="shared" si="22"/>
        <v>0</v>
      </c>
      <c r="S375" s="293">
        <f t="shared" si="23"/>
        <v>0</v>
      </c>
      <c r="U375" s="385"/>
      <c r="V375" s="385"/>
      <c r="W375" s="385"/>
      <c r="X375" s="385"/>
    </row>
    <row r="376" spans="4:24" s="277" customFormat="1" x14ac:dyDescent="0.3">
      <c r="D376" s="356" t="s">
        <v>837</v>
      </c>
      <c r="E376" s="356"/>
      <c r="F376" s="356"/>
      <c r="G376" s="356"/>
      <c r="I376" s="48">
        <v>0</v>
      </c>
      <c r="K376" s="48">
        <v>0</v>
      </c>
      <c r="M376" s="279">
        <f t="shared" si="20"/>
        <v>0</v>
      </c>
      <c r="O376" s="279">
        <f t="shared" si="21"/>
        <v>0</v>
      </c>
      <c r="Q376" s="293">
        <f t="shared" si="22"/>
        <v>0</v>
      </c>
      <c r="S376" s="293">
        <f t="shared" si="23"/>
        <v>0</v>
      </c>
      <c r="U376" s="385"/>
      <c r="V376" s="385"/>
      <c r="W376" s="385"/>
      <c r="X376" s="385"/>
    </row>
    <row r="377" spans="4:24" s="277" customFormat="1" x14ac:dyDescent="0.3">
      <c r="D377" s="356" t="s">
        <v>846</v>
      </c>
      <c r="E377" s="356"/>
      <c r="F377" s="356"/>
      <c r="G377" s="356"/>
      <c r="I377" s="48">
        <v>0</v>
      </c>
      <c r="K377" s="48">
        <v>0</v>
      </c>
      <c r="M377" s="279">
        <f t="shared" si="20"/>
        <v>0</v>
      </c>
      <c r="O377" s="279">
        <f t="shared" si="21"/>
        <v>0</v>
      </c>
      <c r="Q377" s="293">
        <f t="shared" si="22"/>
        <v>0</v>
      </c>
      <c r="S377" s="293">
        <f t="shared" si="23"/>
        <v>0</v>
      </c>
      <c r="U377" s="385"/>
      <c r="V377" s="385"/>
      <c r="W377" s="385"/>
      <c r="X377" s="385"/>
    </row>
    <row r="378" spans="4:24" s="277" customFormat="1" x14ac:dyDescent="0.3">
      <c r="D378" s="356" t="s">
        <v>847</v>
      </c>
      <c r="E378" s="356"/>
      <c r="F378" s="356"/>
      <c r="G378" s="356"/>
      <c r="I378" s="48">
        <v>0</v>
      </c>
      <c r="K378" s="48">
        <v>0</v>
      </c>
      <c r="M378" s="279">
        <f t="shared" si="20"/>
        <v>0</v>
      </c>
      <c r="O378" s="279">
        <f t="shared" si="21"/>
        <v>0</v>
      </c>
      <c r="Q378" s="293">
        <f t="shared" si="22"/>
        <v>0</v>
      </c>
      <c r="S378" s="293">
        <f t="shared" si="23"/>
        <v>0</v>
      </c>
      <c r="U378" s="385"/>
      <c r="V378" s="385"/>
      <c r="W378" s="385"/>
      <c r="X378" s="385"/>
    </row>
    <row r="379" spans="4:24" s="277" customFormat="1" x14ac:dyDescent="0.3">
      <c r="D379" s="356" t="s">
        <v>848</v>
      </c>
      <c r="E379" s="356"/>
      <c r="F379" s="356"/>
      <c r="G379" s="356"/>
      <c r="I379" s="48">
        <v>0</v>
      </c>
      <c r="K379" s="48">
        <v>0</v>
      </c>
      <c r="M379" s="279">
        <f t="shared" si="20"/>
        <v>0</v>
      </c>
      <c r="O379" s="279">
        <f t="shared" si="21"/>
        <v>0</v>
      </c>
      <c r="Q379" s="293">
        <f t="shared" si="22"/>
        <v>0</v>
      </c>
      <c r="S379" s="293">
        <f t="shared" si="23"/>
        <v>0</v>
      </c>
      <c r="U379" s="385"/>
      <c r="V379" s="385"/>
      <c r="W379" s="385"/>
      <c r="X379" s="385"/>
    </row>
    <row r="380" spans="4:24" s="277" customFormat="1" x14ac:dyDescent="0.3">
      <c r="D380" s="356" t="s">
        <v>849</v>
      </c>
      <c r="E380" s="356"/>
      <c r="F380" s="356"/>
      <c r="G380" s="356"/>
      <c r="I380" s="48">
        <v>0</v>
      </c>
      <c r="K380" s="48">
        <v>0</v>
      </c>
      <c r="M380" s="279">
        <f t="shared" si="20"/>
        <v>0</v>
      </c>
      <c r="O380" s="279">
        <f t="shared" si="21"/>
        <v>0</v>
      </c>
      <c r="Q380" s="293">
        <f t="shared" si="22"/>
        <v>0</v>
      </c>
      <c r="S380" s="293">
        <f t="shared" si="23"/>
        <v>0</v>
      </c>
      <c r="U380" s="385"/>
      <c r="V380" s="385"/>
      <c r="W380" s="385"/>
      <c r="X380" s="385"/>
    </row>
    <row r="381" spans="4:24" s="277" customFormat="1" x14ac:dyDescent="0.3">
      <c r="D381" s="356" t="s">
        <v>971</v>
      </c>
      <c r="E381" s="356"/>
      <c r="F381" s="356"/>
      <c r="G381" s="356"/>
      <c r="I381" s="48">
        <v>0</v>
      </c>
      <c r="K381" s="48">
        <v>0</v>
      </c>
      <c r="M381" s="279">
        <f t="shared" si="20"/>
        <v>0</v>
      </c>
      <c r="O381" s="279">
        <f t="shared" si="21"/>
        <v>0</v>
      </c>
      <c r="Q381" s="293">
        <f t="shared" si="22"/>
        <v>0</v>
      </c>
      <c r="S381" s="293">
        <f t="shared" si="23"/>
        <v>0</v>
      </c>
      <c r="U381" s="385"/>
      <c r="V381" s="385"/>
      <c r="W381" s="385"/>
      <c r="X381" s="385"/>
    </row>
    <row r="382" spans="4:24" s="277" customFormat="1" x14ac:dyDescent="0.3">
      <c r="D382" s="356" t="s">
        <v>973</v>
      </c>
      <c r="E382" s="356"/>
      <c r="F382" s="356"/>
      <c r="G382" s="356"/>
      <c r="I382" s="48">
        <v>0</v>
      </c>
      <c r="K382" s="48">
        <v>0</v>
      </c>
      <c r="M382" s="279">
        <f t="shared" si="20"/>
        <v>0</v>
      </c>
      <c r="O382" s="279">
        <f t="shared" si="21"/>
        <v>0</v>
      </c>
      <c r="Q382" s="293">
        <f t="shared" si="22"/>
        <v>0</v>
      </c>
      <c r="S382" s="293">
        <f t="shared" si="23"/>
        <v>0</v>
      </c>
      <c r="U382" s="385"/>
      <c r="V382" s="385"/>
      <c r="W382" s="385"/>
      <c r="X382" s="385"/>
    </row>
    <row r="383" spans="4:24" s="277" customFormat="1" x14ac:dyDescent="0.3">
      <c r="D383" s="356" t="s">
        <v>974</v>
      </c>
      <c r="E383" s="356"/>
      <c r="F383" s="356"/>
      <c r="G383" s="356"/>
      <c r="I383" s="48">
        <v>0</v>
      </c>
      <c r="K383" s="48">
        <v>0</v>
      </c>
      <c r="M383" s="279">
        <f t="shared" si="20"/>
        <v>0</v>
      </c>
      <c r="O383" s="279">
        <f t="shared" si="21"/>
        <v>0</v>
      </c>
      <c r="Q383" s="293">
        <f t="shared" si="22"/>
        <v>0</v>
      </c>
      <c r="S383" s="293">
        <f t="shared" si="23"/>
        <v>0</v>
      </c>
      <c r="U383" s="385"/>
      <c r="V383" s="385"/>
      <c r="W383" s="385"/>
      <c r="X383" s="385"/>
    </row>
    <row r="384" spans="4:24" s="277" customFormat="1" x14ac:dyDescent="0.3">
      <c r="D384" s="356" t="s">
        <v>975</v>
      </c>
      <c r="E384" s="356"/>
      <c r="F384" s="356"/>
      <c r="G384" s="356"/>
      <c r="I384" s="48">
        <v>0</v>
      </c>
      <c r="K384" s="48">
        <v>0</v>
      </c>
      <c r="M384" s="279">
        <f t="shared" si="20"/>
        <v>0</v>
      </c>
      <c r="O384" s="279">
        <f t="shared" si="21"/>
        <v>0</v>
      </c>
      <c r="Q384" s="293">
        <f t="shared" si="22"/>
        <v>0</v>
      </c>
      <c r="S384" s="293">
        <f t="shared" si="23"/>
        <v>0</v>
      </c>
      <c r="U384" s="385"/>
      <c r="V384" s="385"/>
      <c r="W384" s="385"/>
      <c r="X384" s="385"/>
    </row>
    <row r="385" spans="3:24" s="277" customFormat="1" x14ac:dyDescent="0.3">
      <c r="D385" s="356" t="s">
        <v>976</v>
      </c>
      <c r="E385" s="356"/>
      <c r="F385" s="356"/>
      <c r="G385" s="356"/>
      <c r="I385" s="48">
        <v>0</v>
      </c>
      <c r="K385" s="48">
        <v>0</v>
      </c>
      <c r="M385" s="279">
        <f t="shared" si="20"/>
        <v>0</v>
      </c>
      <c r="O385" s="279">
        <f t="shared" si="21"/>
        <v>0</v>
      </c>
      <c r="Q385" s="293">
        <f t="shared" si="22"/>
        <v>0</v>
      </c>
      <c r="S385" s="293">
        <f t="shared" si="23"/>
        <v>0</v>
      </c>
      <c r="U385" s="385"/>
      <c r="V385" s="385"/>
      <c r="W385" s="385"/>
      <c r="X385" s="385"/>
    </row>
    <row r="386" spans="3:24" ht="14.4" x14ac:dyDescent="0.3">
      <c r="D386" s="420" t="s">
        <v>79</v>
      </c>
      <c r="E386" s="421"/>
      <c r="F386" s="421"/>
      <c r="G386" s="421"/>
      <c r="I386" s="43"/>
      <c r="K386" s="43"/>
      <c r="M386" s="43"/>
      <c r="O386" s="43"/>
      <c r="Q386" s="294">
        <f>SUM(Q361:Q385)</f>
        <v>0</v>
      </c>
      <c r="S386" s="294">
        <f>SUM(S361:S385)</f>
        <v>0</v>
      </c>
    </row>
    <row r="388" spans="3:24" ht="15.6" x14ac:dyDescent="0.3">
      <c r="C388" s="92" t="s">
        <v>164</v>
      </c>
    </row>
    <row r="389" spans="3:24" ht="27.6" x14ac:dyDescent="0.3">
      <c r="D389" s="90" t="s">
        <v>102</v>
      </c>
      <c r="I389" s="91" t="s">
        <v>80</v>
      </c>
      <c r="K389" s="91" t="s">
        <v>187</v>
      </c>
      <c r="M389" s="42" t="s">
        <v>103</v>
      </c>
      <c r="O389" s="42" t="s">
        <v>104</v>
      </c>
      <c r="Q389" s="42" t="s">
        <v>105</v>
      </c>
      <c r="S389" s="42" t="s">
        <v>106</v>
      </c>
      <c r="U389" s="350" t="s">
        <v>185</v>
      </c>
      <c r="V389" s="351"/>
      <c r="W389" s="351"/>
      <c r="X389" s="351"/>
    </row>
    <row r="390" spans="3:24" x14ac:dyDescent="0.3">
      <c r="D390" s="356" t="s">
        <v>109</v>
      </c>
      <c r="E390" s="356"/>
      <c r="F390" s="356"/>
      <c r="G390" s="356"/>
      <c r="I390" s="48">
        <v>0</v>
      </c>
      <c r="K390" s="48">
        <v>0</v>
      </c>
      <c r="M390" s="40">
        <f t="shared" ref="M390:M414" si="24">IFERROR(IF(DD_ACT_15_Meet1_Curr=1,INDEX($M$555:$M$589,MATCH(D390,LU_ACT_15_Allowances,0)),INDEX($Q$555:$Q$589,MATCH(D390,LU_ACT_15_Allowances,0))),0)</f>
        <v>0</v>
      </c>
      <c r="O390" s="40">
        <f t="shared" ref="O390:O414" si="25">IFERROR(IF(DD_ACT_15_Meet1_Curr=1,INDEX($O$555:$O$589,MATCH(D390,LU_ACT_15_Allowances,0)),INDEX($S$555:$S$589,MATCH(D390,LU_ACT_15_Allowances,0))),0)</f>
        <v>0</v>
      </c>
      <c r="Q390" s="293">
        <f t="shared" ref="Q390:Q414" si="26">I390*K390*M390</f>
        <v>0</v>
      </c>
      <c r="S390" s="293">
        <f t="shared" ref="S390:S414" si="27">I390*K390*O390</f>
        <v>0</v>
      </c>
      <c r="U390" s="356"/>
      <c r="V390" s="356"/>
      <c r="W390" s="356"/>
      <c r="X390" s="356"/>
    </row>
    <row r="391" spans="3:24" x14ac:dyDescent="0.3">
      <c r="D391" s="356" t="s">
        <v>110</v>
      </c>
      <c r="E391" s="356"/>
      <c r="F391" s="356"/>
      <c r="G391" s="356"/>
      <c r="I391" s="48">
        <v>0</v>
      </c>
      <c r="K391" s="48">
        <v>0</v>
      </c>
      <c r="M391" s="40">
        <f t="shared" si="24"/>
        <v>0</v>
      </c>
      <c r="O391" s="40">
        <f t="shared" si="25"/>
        <v>0</v>
      </c>
      <c r="Q391" s="293">
        <f t="shared" si="26"/>
        <v>0</v>
      </c>
      <c r="S391" s="293">
        <f t="shared" si="27"/>
        <v>0</v>
      </c>
      <c r="U391" s="356"/>
      <c r="V391" s="356"/>
      <c r="W391" s="356"/>
      <c r="X391" s="356"/>
    </row>
    <row r="392" spans="3:24" x14ac:dyDescent="0.3">
      <c r="D392" s="356" t="s">
        <v>111</v>
      </c>
      <c r="E392" s="356"/>
      <c r="F392" s="356"/>
      <c r="G392" s="356"/>
      <c r="I392" s="48">
        <v>0</v>
      </c>
      <c r="K392" s="48">
        <v>0</v>
      </c>
      <c r="M392" s="40">
        <f t="shared" si="24"/>
        <v>0</v>
      </c>
      <c r="O392" s="40">
        <f t="shared" si="25"/>
        <v>0</v>
      </c>
      <c r="Q392" s="293">
        <f t="shared" si="26"/>
        <v>0</v>
      </c>
      <c r="S392" s="293">
        <f t="shared" si="27"/>
        <v>0</v>
      </c>
      <c r="U392" s="356"/>
      <c r="V392" s="356"/>
      <c r="W392" s="356"/>
      <c r="X392" s="356"/>
    </row>
    <row r="393" spans="3:24" x14ac:dyDescent="0.3">
      <c r="D393" s="356" t="s">
        <v>112</v>
      </c>
      <c r="E393" s="356"/>
      <c r="F393" s="356"/>
      <c r="G393" s="356"/>
      <c r="I393" s="48">
        <v>0</v>
      </c>
      <c r="K393" s="48">
        <v>0</v>
      </c>
      <c r="M393" s="40">
        <f t="shared" si="24"/>
        <v>0</v>
      </c>
      <c r="O393" s="40">
        <f t="shared" si="25"/>
        <v>0</v>
      </c>
      <c r="Q393" s="293">
        <f t="shared" si="26"/>
        <v>0</v>
      </c>
      <c r="S393" s="293">
        <f t="shared" si="27"/>
        <v>0</v>
      </c>
      <c r="U393" s="356"/>
      <c r="V393" s="356"/>
      <c r="W393" s="356"/>
      <c r="X393" s="356"/>
    </row>
    <row r="394" spans="3:24" x14ac:dyDescent="0.3">
      <c r="D394" s="356" t="s">
        <v>113</v>
      </c>
      <c r="E394" s="356"/>
      <c r="F394" s="356"/>
      <c r="G394" s="356"/>
      <c r="I394" s="48">
        <v>0</v>
      </c>
      <c r="K394" s="48">
        <v>0</v>
      </c>
      <c r="M394" s="40">
        <f t="shared" si="24"/>
        <v>0</v>
      </c>
      <c r="O394" s="40">
        <f t="shared" si="25"/>
        <v>0</v>
      </c>
      <c r="Q394" s="293">
        <f t="shared" si="26"/>
        <v>0</v>
      </c>
      <c r="S394" s="293">
        <f t="shared" si="27"/>
        <v>0</v>
      </c>
      <c r="U394" s="356"/>
      <c r="V394" s="356"/>
      <c r="W394" s="356"/>
      <c r="X394" s="356"/>
    </row>
    <row r="395" spans="3:24" x14ac:dyDescent="0.3">
      <c r="D395" s="356" t="s">
        <v>114</v>
      </c>
      <c r="E395" s="356"/>
      <c r="F395" s="356"/>
      <c r="G395" s="356"/>
      <c r="I395" s="48">
        <v>0</v>
      </c>
      <c r="K395" s="48">
        <v>0</v>
      </c>
      <c r="M395" s="40">
        <f t="shared" si="24"/>
        <v>0</v>
      </c>
      <c r="O395" s="40">
        <f t="shared" si="25"/>
        <v>0</v>
      </c>
      <c r="Q395" s="293">
        <f t="shared" si="26"/>
        <v>0</v>
      </c>
      <c r="S395" s="293">
        <f t="shared" si="27"/>
        <v>0</v>
      </c>
      <c r="U395" s="356"/>
      <c r="V395" s="356"/>
      <c r="W395" s="356"/>
      <c r="X395" s="356"/>
    </row>
    <row r="396" spans="3:24" x14ac:dyDescent="0.3">
      <c r="D396" s="356" t="s">
        <v>115</v>
      </c>
      <c r="E396" s="356"/>
      <c r="F396" s="356"/>
      <c r="G396" s="356"/>
      <c r="I396" s="48">
        <v>0</v>
      </c>
      <c r="K396" s="48">
        <v>0</v>
      </c>
      <c r="M396" s="40">
        <f t="shared" si="24"/>
        <v>0</v>
      </c>
      <c r="O396" s="40">
        <f t="shared" si="25"/>
        <v>0</v>
      </c>
      <c r="Q396" s="293">
        <f t="shared" si="26"/>
        <v>0</v>
      </c>
      <c r="S396" s="293">
        <f t="shared" si="27"/>
        <v>0</v>
      </c>
      <c r="U396" s="356"/>
      <c r="V396" s="356"/>
      <c r="W396" s="356"/>
      <c r="X396" s="356"/>
    </row>
    <row r="397" spans="3:24" x14ac:dyDescent="0.3">
      <c r="D397" s="356" t="s">
        <v>116</v>
      </c>
      <c r="E397" s="356"/>
      <c r="F397" s="356"/>
      <c r="G397" s="356"/>
      <c r="I397" s="48">
        <v>0</v>
      </c>
      <c r="K397" s="48">
        <v>0</v>
      </c>
      <c r="M397" s="40">
        <f t="shared" si="24"/>
        <v>0</v>
      </c>
      <c r="O397" s="40">
        <f t="shared" si="25"/>
        <v>0</v>
      </c>
      <c r="Q397" s="293">
        <f t="shared" si="26"/>
        <v>0</v>
      </c>
      <c r="S397" s="293">
        <f t="shared" si="27"/>
        <v>0</v>
      </c>
      <c r="U397" s="356"/>
      <c r="V397" s="356"/>
      <c r="W397" s="356"/>
      <c r="X397" s="356"/>
    </row>
    <row r="398" spans="3:24" s="277" customFormat="1" x14ac:dyDescent="0.3">
      <c r="D398" s="356" t="s">
        <v>838</v>
      </c>
      <c r="E398" s="356"/>
      <c r="F398" s="356"/>
      <c r="G398" s="356"/>
      <c r="I398" s="48">
        <v>0</v>
      </c>
      <c r="K398" s="48">
        <v>0</v>
      </c>
      <c r="M398" s="279">
        <f t="shared" si="24"/>
        <v>0</v>
      </c>
      <c r="O398" s="279">
        <f t="shared" si="25"/>
        <v>0</v>
      </c>
      <c r="Q398" s="293">
        <f t="shared" si="26"/>
        <v>0</v>
      </c>
      <c r="S398" s="293">
        <f t="shared" si="27"/>
        <v>0</v>
      </c>
      <c r="U398" s="385"/>
      <c r="V398" s="385"/>
      <c r="W398" s="385"/>
      <c r="X398" s="385"/>
    </row>
    <row r="399" spans="3:24" s="277" customFormat="1" x14ac:dyDescent="0.3">
      <c r="D399" s="356" t="s">
        <v>839</v>
      </c>
      <c r="E399" s="356"/>
      <c r="F399" s="356"/>
      <c r="G399" s="356"/>
      <c r="I399" s="48">
        <v>0</v>
      </c>
      <c r="K399" s="48">
        <v>0</v>
      </c>
      <c r="M399" s="279">
        <f t="shared" si="24"/>
        <v>0</v>
      </c>
      <c r="O399" s="279">
        <f t="shared" si="25"/>
        <v>0</v>
      </c>
      <c r="Q399" s="293">
        <f t="shared" si="26"/>
        <v>0</v>
      </c>
      <c r="S399" s="293">
        <f t="shared" si="27"/>
        <v>0</v>
      </c>
      <c r="U399" s="385"/>
      <c r="V399" s="385"/>
      <c r="W399" s="385"/>
      <c r="X399" s="385"/>
    </row>
    <row r="400" spans="3:24" s="277" customFormat="1" x14ac:dyDescent="0.3">
      <c r="D400" s="356" t="s">
        <v>840</v>
      </c>
      <c r="E400" s="356"/>
      <c r="F400" s="356"/>
      <c r="G400" s="356"/>
      <c r="I400" s="48">
        <v>0</v>
      </c>
      <c r="K400" s="48">
        <v>0</v>
      </c>
      <c r="M400" s="279">
        <f t="shared" si="24"/>
        <v>0</v>
      </c>
      <c r="O400" s="279">
        <f t="shared" si="25"/>
        <v>0</v>
      </c>
      <c r="Q400" s="293">
        <f t="shared" si="26"/>
        <v>0</v>
      </c>
      <c r="S400" s="293">
        <f t="shared" si="27"/>
        <v>0</v>
      </c>
      <c r="U400" s="385"/>
      <c r="V400" s="385"/>
      <c r="W400" s="385"/>
      <c r="X400" s="385"/>
    </row>
    <row r="401" spans="4:24" s="277" customFormat="1" x14ac:dyDescent="0.3">
      <c r="D401" s="356" t="s">
        <v>841</v>
      </c>
      <c r="E401" s="356"/>
      <c r="F401" s="356"/>
      <c r="G401" s="356"/>
      <c r="I401" s="48">
        <v>0</v>
      </c>
      <c r="K401" s="48">
        <v>0</v>
      </c>
      <c r="M401" s="279">
        <f t="shared" si="24"/>
        <v>0</v>
      </c>
      <c r="O401" s="279">
        <f t="shared" si="25"/>
        <v>0</v>
      </c>
      <c r="Q401" s="293">
        <f t="shared" si="26"/>
        <v>0</v>
      </c>
      <c r="S401" s="293">
        <f t="shared" si="27"/>
        <v>0</v>
      </c>
      <c r="U401" s="385"/>
      <c r="V401" s="385"/>
      <c r="W401" s="385"/>
      <c r="X401" s="385"/>
    </row>
    <row r="402" spans="4:24" s="277" customFormat="1" x14ac:dyDescent="0.3">
      <c r="D402" s="356" t="s">
        <v>842</v>
      </c>
      <c r="E402" s="356"/>
      <c r="F402" s="356"/>
      <c r="G402" s="356"/>
      <c r="I402" s="48">
        <v>0</v>
      </c>
      <c r="K402" s="48">
        <v>0</v>
      </c>
      <c r="M402" s="279">
        <f t="shared" si="24"/>
        <v>0</v>
      </c>
      <c r="O402" s="279">
        <f t="shared" si="25"/>
        <v>0</v>
      </c>
      <c r="Q402" s="293">
        <f t="shared" si="26"/>
        <v>0</v>
      </c>
      <c r="S402" s="293">
        <f t="shared" si="27"/>
        <v>0</v>
      </c>
      <c r="U402" s="385"/>
      <c r="V402" s="385"/>
      <c r="W402" s="385"/>
      <c r="X402" s="385"/>
    </row>
    <row r="403" spans="4:24" s="277" customFormat="1" x14ac:dyDescent="0.3">
      <c r="D403" s="356" t="s">
        <v>843</v>
      </c>
      <c r="E403" s="356"/>
      <c r="F403" s="356"/>
      <c r="G403" s="356"/>
      <c r="I403" s="48">
        <v>0</v>
      </c>
      <c r="K403" s="48">
        <v>0</v>
      </c>
      <c r="M403" s="279">
        <f t="shared" si="24"/>
        <v>0</v>
      </c>
      <c r="O403" s="279">
        <f t="shared" si="25"/>
        <v>0</v>
      </c>
      <c r="Q403" s="293">
        <f t="shared" si="26"/>
        <v>0</v>
      </c>
      <c r="S403" s="293">
        <f t="shared" si="27"/>
        <v>0</v>
      </c>
      <c r="U403" s="385"/>
      <c r="V403" s="385"/>
      <c r="W403" s="385"/>
      <c r="X403" s="385"/>
    </row>
    <row r="404" spans="4:24" s="277" customFormat="1" x14ac:dyDescent="0.3">
      <c r="D404" s="356" t="s">
        <v>844</v>
      </c>
      <c r="E404" s="356"/>
      <c r="F404" s="356"/>
      <c r="G404" s="356"/>
      <c r="I404" s="48">
        <v>0</v>
      </c>
      <c r="K404" s="48">
        <v>0</v>
      </c>
      <c r="M404" s="279">
        <f t="shared" si="24"/>
        <v>0</v>
      </c>
      <c r="O404" s="279">
        <f t="shared" si="25"/>
        <v>0</v>
      </c>
      <c r="Q404" s="293">
        <f t="shared" si="26"/>
        <v>0</v>
      </c>
      <c r="S404" s="293">
        <f t="shared" si="27"/>
        <v>0</v>
      </c>
      <c r="U404" s="385"/>
      <c r="V404" s="385"/>
      <c r="W404" s="385"/>
      <c r="X404" s="385"/>
    </row>
    <row r="405" spans="4:24" s="277" customFormat="1" x14ac:dyDescent="0.3">
      <c r="D405" s="356" t="s">
        <v>845</v>
      </c>
      <c r="E405" s="356"/>
      <c r="F405" s="356"/>
      <c r="G405" s="356"/>
      <c r="I405" s="48">
        <v>0</v>
      </c>
      <c r="K405" s="48">
        <v>0</v>
      </c>
      <c r="M405" s="279">
        <f t="shared" si="24"/>
        <v>0</v>
      </c>
      <c r="O405" s="279">
        <f t="shared" si="25"/>
        <v>0</v>
      </c>
      <c r="Q405" s="293">
        <f t="shared" si="26"/>
        <v>0</v>
      </c>
      <c r="S405" s="293">
        <f t="shared" si="27"/>
        <v>0</v>
      </c>
      <c r="U405" s="385"/>
      <c r="V405" s="385"/>
      <c r="W405" s="385"/>
      <c r="X405" s="385"/>
    </row>
    <row r="406" spans="4:24" s="277" customFormat="1" x14ac:dyDescent="0.3">
      <c r="D406" s="356" t="s">
        <v>850</v>
      </c>
      <c r="E406" s="356"/>
      <c r="F406" s="356"/>
      <c r="G406" s="356"/>
      <c r="I406" s="48">
        <v>0</v>
      </c>
      <c r="K406" s="48">
        <v>0</v>
      </c>
      <c r="M406" s="279">
        <f t="shared" si="24"/>
        <v>0</v>
      </c>
      <c r="O406" s="279">
        <f t="shared" si="25"/>
        <v>0</v>
      </c>
      <c r="Q406" s="293">
        <f t="shared" si="26"/>
        <v>0</v>
      </c>
      <c r="S406" s="293">
        <f t="shared" si="27"/>
        <v>0</v>
      </c>
      <c r="U406" s="385"/>
      <c r="V406" s="385"/>
      <c r="W406" s="385"/>
      <c r="X406" s="385"/>
    </row>
    <row r="407" spans="4:24" s="277" customFormat="1" x14ac:dyDescent="0.3">
      <c r="D407" s="356" t="s">
        <v>851</v>
      </c>
      <c r="E407" s="356"/>
      <c r="F407" s="356"/>
      <c r="G407" s="356"/>
      <c r="I407" s="48">
        <v>0</v>
      </c>
      <c r="K407" s="48">
        <v>0</v>
      </c>
      <c r="M407" s="279">
        <f t="shared" si="24"/>
        <v>0</v>
      </c>
      <c r="O407" s="279">
        <f t="shared" si="25"/>
        <v>0</v>
      </c>
      <c r="Q407" s="293">
        <f t="shared" si="26"/>
        <v>0</v>
      </c>
      <c r="S407" s="293">
        <f t="shared" si="27"/>
        <v>0</v>
      </c>
      <c r="U407" s="385"/>
      <c r="V407" s="385"/>
      <c r="W407" s="385"/>
      <c r="X407" s="385"/>
    </row>
    <row r="408" spans="4:24" s="277" customFormat="1" x14ac:dyDescent="0.3">
      <c r="D408" s="356" t="s">
        <v>852</v>
      </c>
      <c r="E408" s="356"/>
      <c r="F408" s="356"/>
      <c r="G408" s="356"/>
      <c r="I408" s="48">
        <v>0</v>
      </c>
      <c r="K408" s="48">
        <v>0</v>
      </c>
      <c r="M408" s="279">
        <f t="shared" si="24"/>
        <v>0</v>
      </c>
      <c r="O408" s="279">
        <f t="shared" si="25"/>
        <v>0</v>
      </c>
      <c r="Q408" s="293">
        <f t="shared" si="26"/>
        <v>0</v>
      </c>
      <c r="S408" s="293">
        <f t="shared" si="27"/>
        <v>0</v>
      </c>
      <c r="U408" s="385"/>
      <c r="V408" s="385"/>
      <c r="W408" s="385"/>
      <c r="X408" s="385"/>
    </row>
    <row r="409" spans="4:24" s="277" customFormat="1" x14ac:dyDescent="0.3">
      <c r="D409" s="356" t="s">
        <v>853</v>
      </c>
      <c r="E409" s="356"/>
      <c r="F409" s="356"/>
      <c r="G409" s="356"/>
      <c r="I409" s="48">
        <v>0</v>
      </c>
      <c r="K409" s="48">
        <v>0</v>
      </c>
      <c r="M409" s="279">
        <f t="shared" si="24"/>
        <v>0</v>
      </c>
      <c r="O409" s="279">
        <f t="shared" si="25"/>
        <v>0</v>
      </c>
      <c r="Q409" s="293">
        <f t="shared" si="26"/>
        <v>0</v>
      </c>
      <c r="S409" s="293">
        <f t="shared" si="27"/>
        <v>0</v>
      </c>
      <c r="U409" s="385"/>
      <c r="V409" s="385"/>
      <c r="W409" s="385"/>
      <c r="X409" s="385"/>
    </row>
    <row r="410" spans="4:24" s="277" customFormat="1" x14ac:dyDescent="0.3">
      <c r="D410" s="356" t="s">
        <v>972</v>
      </c>
      <c r="E410" s="356"/>
      <c r="F410" s="356"/>
      <c r="G410" s="356"/>
      <c r="I410" s="48">
        <v>0</v>
      </c>
      <c r="K410" s="48">
        <v>0</v>
      </c>
      <c r="M410" s="279">
        <f t="shared" si="24"/>
        <v>0</v>
      </c>
      <c r="O410" s="279">
        <f t="shared" si="25"/>
        <v>0</v>
      </c>
      <c r="Q410" s="293">
        <f t="shared" si="26"/>
        <v>0</v>
      </c>
      <c r="S410" s="293">
        <f t="shared" si="27"/>
        <v>0</v>
      </c>
      <c r="U410" s="385"/>
      <c r="V410" s="385"/>
      <c r="W410" s="385"/>
      <c r="X410" s="385"/>
    </row>
    <row r="411" spans="4:24" s="277" customFormat="1" x14ac:dyDescent="0.3">
      <c r="D411" s="356" t="s">
        <v>977</v>
      </c>
      <c r="E411" s="356"/>
      <c r="F411" s="356"/>
      <c r="G411" s="356"/>
      <c r="I411" s="48">
        <v>0</v>
      </c>
      <c r="K411" s="48">
        <v>0</v>
      </c>
      <c r="M411" s="279">
        <f t="shared" si="24"/>
        <v>0</v>
      </c>
      <c r="O411" s="279">
        <f t="shared" si="25"/>
        <v>0</v>
      </c>
      <c r="Q411" s="293">
        <f t="shared" si="26"/>
        <v>0</v>
      </c>
      <c r="S411" s="293">
        <f t="shared" si="27"/>
        <v>0</v>
      </c>
      <c r="U411" s="385"/>
      <c r="V411" s="385"/>
      <c r="W411" s="385"/>
      <c r="X411" s="385"/>
    </row>
    <row r="412" spans="4:24" s="277" customFormat="1" x14ac:dyDescent="0.3">
      <c r="D412" s="356" t="s">
        <v>978</v>
      </c>
      <c r="E412" s="356"/>
      <c r="F412" s="356"/>
      <c r="G412" s="356"/>
      <c r="I412" s="48">
        <v>0</v>
      </c>
      <c r="K412" s="48">
        <v>0</v>
      </c>
      <c r="M412" s="279">
        <f t="shared" si="24"/>
        <v>0</v>
      </c>
      <c r="O412" s="279">
        <f t="shared" si="25"/>
        <v>0</v>
      </c>
      <c r="Q412" s="293">
        <f t="shared" si="26"/>
        <v>0</v>
      </c>
      <c r="S412" s="293">
        <f t="shared" si="27"/>
        <v>0</v>
      </c>
      <c r="U412" s="385"/>
      <c r="V412" s="385"/>
      <c r="W412" s="385"/>
      <c r="X412" s="385"/>
    </row>
    <row r="413" spans="4:24" s="277" customFormat="1" x14ac:dyDescent="0.3">
      <c r="D413" s="356" t="s">
        <v>979</v>
      </c>
      <c r="E413" s="356"/>
      <c r="F413" s="356"/>
      <c r="G413" s="356"/>
      <c r="I413" s="48">
        <v>0</v>
      </c>
      <c r="K413" s="48">
        <v>0</v>
      </c>
      <c r="M413" s="279">
        <f t="shared" si="24"/>
        <v>0</v>
      </c>
      <c r="O413" s="279">
        <f t="shared" si="25"/>
        <v>0</v>
      </c>
      <c r="Q413" s="293">
        <f t="shared" si="26"/>
        <v>0</v>
      </c>
      <c r="S413" s="293">
        <f t="shared" si="27"/>
        <v>0</v>
      </c>
      <c r="U413" s="385"/>
      <c r="V413" s="385"/>
      <c r="W413" s="385"/>
      <c r="X413" s="385"/>
    </row>
    <row r="414" spans="4:24" s="277" customFormat="1" x14ac:dyDescent="0.3">
      <c r="D414" s="356" t="s">
        <v>980</v>
      </c>
      <c r="E414" s="356"/>
      <c r="F414" s="356"/>
      <c r="G414" s="356"/>
      <c r="I414" s="48">
        <v>0</v>
      </c>
      <c r="K414" s="48">
        <v>0</v>
      </c>
      <c r="M414" s="279">
        <f t="shared" si="24"/>
        <v>0</v>
      </c>
      <c r="O414" s="279">
        <f t="shared" si="25"/>
        <v>0</v>
      </c>
      <c r="Q414" s="293">
        <f t="shared" si="26"/>
        <v>0</v>
      </c>
      <c r="S414" s="293">
        <f t="shared" si="27"/>
        <v>0</v>
      </c>
      <c r="U414" s="385"/>
      <c r="V414" s="385"/>
      <c r="W414" s="385"/>
      <c r="X414" s="385"/>
    </row>
    <row r="415" spans="4:24" ht="14.4" x14ac:dyDescent="0.3">
      <c r="D415" s="420" t="s">
        <v>82</v>
      </c>
      <c r="E415" s="421"/>
      <c r="F415" s="421"/>
      <c r="G415" s="421"/>
      <c r="I415" s="43"/>
      <c r="K415" s="43"/>
      <c r="M415" s="43"/>
      <c r="O415" s="43"/>
      <c r="Q415" s="294">
        <f>SUM(Q390:Q414)</f>
        <v>0</v>
      </c>
      <c r="S415" s="294">
        <f>SUM(S390:S414)</f>
        <v>0</v>
      </c>
    </row>
    <row r="419" spans="3:24" ht="15.6" x14ac:dyDescent="0.3">
      <c r="C419" s="92" t="s">
        <v>84</v>
      </c>
    </row>
    <row r="420" spans="3:24" ht="27.6" x14ac:dyDescent="0.3">
      <c r="D420" s="90" t="s">
        <v>102</v>
      </c>
      <c r="I420" s="91" t="s">
        <v>87</v>
      </c>
      <c r="K420" s="91" t="s">
        <v>187</v>
      </c>
      <c r="M420" s="42" t="s">
        <v>107</v>
      </c>
      <c r="O420" s="42" t="s">
        <v>108</v>
      </c>
      <c r="Q420" s="42" t="s">
        <v>105</v>
      </c>
      <c r="S420" s="42" t="s">
        <v>106</v>
      </c>
      <c r="U420" s="350" t="s">
        <v>185</v>
      </c>
      <c r="V420" s="351"/>
      <c r="W420" s="351"/>
      <c r="X420" s="351"/>
    </row>
    <row r="421" spans="3:24" x14ac:dyDescent="0.3">
      <c r="D421" s="356" t="s">
        <v>892</v>
      </c>
      <c r="E421" s="356"/>
      <c r="F421" s="356"/>
      <c r="G421" s="356"/>
      <c r="I421" s="48">
        <v>0</v>
      </c>
      <c r="K421" s="48">
        <v>0</v>
      </c>
      <c r="M421" s="40">
        <f t="shared" ref="M421:M445" si="28">IFERROR(IF(DD_ACT_15_Meet1_Curr=1,INDEX($M$593:$M$627,MATCH(D421,LU_ACT_15_Supplies,0)),INDEX($Q$593:$Q$627,MATCH(D421,LU_ACT_15_Supplies,0))),0)</f>
        <v>0</v>
      </c>
      <c r="O421" s="40">
        <f t="shared" ref="O421:O445" si="29">IFERROR(IF(DD_ACT_15_Meet1_Curr=1,INDEX($O$593:$O$627,MATCH(D421,LU_ACT_15_Supplies,0)),INDEX($S$593:$S$627,MATCH(D421,LU_ACT_15_Supplies,0))),0)</f>
        <v>0</v>
      </c>
      <c r="Q421" s="295">
        <f t="shared" ref="Q421:Q445" si="30">I421*K421*M421</f>
        <v>0</v>
      </c>
      <c r="S421" s="293">
        <f t="shared" ref="S421:S445" si="31">I421*K421*O421</f>
        <v>0</v>
      </c>
      <c r="U421" s="356"/>
      <c r="V421" s="356"/>
      <c r="W421" s="356"/>
      <c r="X421" s="356"/>
    </row>
    <row r="422" spans="3:24" s="277" customFormat="1" x14ac:dyDescent="0.3">
      <c r="D422" s="356" t="s">
        <v>893</v>
      </c>
      <c r="E422" s="356"/>
      <c r="F422" s="356"/>
      <c r="G422" s="356"/>
      <c r="I422" s="48">
        <v>0</v>
      </c>
      <c r="K422" s="48">
        <v>0</v>
      </c>
      <c r="M422" s="279">
        <f t="shared" si="28"/>
        <v>0</v>
      </c>
      <c r="O422" s="279">
        <f t="shared" si="29"/>
        <v>0</v>
      </c>
      <c r="Q422" s="295">
        <f t="shared" si="30"/>
        <v>0</v>
      </c>
      <c r="S422" s="293">
        <f t="shared" si="31"/>
        <v>0</v>
      </c>
      <c r="U422" s="385"/>
      <c r="V422" s="385"/>
      <c r="W422" s="385"/>
      <c r="X422" s="385"/>
    </row>
    <row r="423" spans="3:24" s="277" customFormat="1" x14ac:dyDescent="0.3">
      <c r="D423" s="356" t="s">
        <v>854</v>
      </c>
      <c r="E423" s="356"/>
      <c r="F423" s="356"/>
      <c r="G423" s="356"/>
      <c r="I423" s="48">
        <v>0</v>
      </c>
      <c r="K423" s="48">
        <v>0</v>
      </c>
      <c r="M423" s="279">
        <f t="shared" si="28"/>
        <v>0</v>
      </c>
      <c r="O423" s="279">
        <f t="shared" si="29"/>
        <v>0</v>
      </c>
      <c r="Q423" s="295">
        <f t="shared" si="30"/>
        <v>0</v>
      </c>
      <c r="S423" s="293">
        <f t="shared" si="31"/>
        <v>0</v>
      </c>
      <c r="U423" s="385"/>
      <c r="V423" s="385"/>
      <c r="W423" s="385"/>
      <c r="X423" s="385"/>
    </row>
    <row r="424" spans="3:24" s="277" customFormat="1" x14ac:dyDescent="0.3">
      <c r="D424" s="356" t="s">
        <v>855</v>
      </c>
      <c r="E424" s="356"/>
      <c r="F424" s="356"/>
      <c r="G424" s="356"/>
      <c r="I424" s="48">
        <v>0</v>
      </c>
      <c r="K424" s="48">
        <v>0</v>
      </c>
      <c r="M424" s="279">
        <f t="shared" si="28"/>
        <v>0</v>
      </c>
      <c r="O424" s="279">
        <f t="shared" si="29"/>
        <v>0</v>
      </c>
      <c r="Q424" s="295">
        <f t="shared" si="30"/>
        <v>0</v>
      </c>
      <c r="S424" s="293">
        <f t="shared" si="31"/>
        <v>0</v>
      </c>
      <c r="U424" s="385"/>
      <c r="V424" s="385"/>
      <c r="W424" s="385"/>
      <c r="X424" s="385"/>
    </row>
    <row r="425" spans="3:24" s="277" customFormat="1" x14ac:dyDescent="0.3">
      <c r="D425" s="356" t="s">
        <v>856</v>
      </c>
      <c r="E425" s="356"/>
      <c r="F425" s="356"/>
      <c r="G425" s="356"/>
      <c r="I425" s="48">
        <v>0</v>
      </c>
      <c r="K425" s="48">
        <v>0</v>
      </c>
      <c r="M425" s="279">
        <f t="shared" si="28"/>
        <v>0</v>
      </c>
      <c r="O425" s="279">
        <f t="shared" si="29"/>
        <v>0</v>
      </c>
      <c r="Q425" s="295">
        <f t="shared" si="30"/>
        <v>0</v>
      </c>
      <c r="S425" s="293">
        <f t="shared" si="31"/>
        <v>0</v>
      </c>
      <c r="U425" s="385"/>
      <c r="V425" s="385"/>
      <c r="W425" s="385"/>
      <c r="X425" s="385"/>
    </row>
    <row r="426" spans="3:24" s="277" customFormat="1" x14ac:dyDescent="0.3">
      <c r="D426" s="356" t="s">
        <v>857</v>
      </c>
      <c r="E426" s="356"/>
      <c r="F426" s="356"/>
      <c r="G426" s="356"/>
      <c r="I426" s="48">
        <v>0</v>
      </c>
      <c r="K426" s="48">
        <v>0</v>
      </c>
      <c r="M426" s="279">
        <f t="shared" si="28"/>
        <v>0</v>
      </c>
      <c r="O426" s="279">
        <f t="shared" si="29"/>
        <v>0</v>
      </c>
      <c r="Q426" s="295">
        <f t="shared" si="30"/>
        <v>0</v>
      </c>
      <c r="S426" s="293">
        <f t="shared" si="31"/>
        <v>0</v>
      </c>
      <c r="U426" s="385"/>
      <c r="V426" s="385"/>
      <c r="W426" s="385"/>
      <c r="X426" s="385"/>
    </row>
    <row r="427" spans="3:24" s="277" customFormat="1" x14ac:dyDescent="0.3">
      <c r="D427" s="356" t="s">
        <v>858</v>
      </c>
      <c r="E427" s="356"/>
      <c r="F427" s="356"/>
      <c r="G427" s="356"/>
      <c r="I427" s="48">
        <v>0</v>
      </c>
      <c r="K427" s="48">
        <v>0</v>
      </c>
      <c r="M427" s="279">
        <f t="shared" si="28"/>
        <v>0</v>
      </c>
      <c r="O427" s="279">
        <f t="shared" si="29"/>
        <v>0</v>
      </c>
      <c r="Q427" s="295">
        <f t="shared" si="30"/>
        <v>0</v>
      </c>
      <c r="S427" s="293">
        <f t="shared" si="31"/>
        <v>0</v>
      </c>
      <c r="U427" s="385"/>
      <c r="V427" s="385"/>
      <c r="W427" s="385"/>
      <c r="X427" s="385"/>
    </row>
    <row r="428" spans="3:24" s="277" customFormat="1" x14ac:dyDescent="0.3">
      <c r="D428" s="356" t="s">
        <v>859</v>
      </c>
      <c r="E428" s="356"/>
      <c r="F428" s="356"/>
      <c r="G428" s="356"/>
      <c r="I428" s="48">
        <v>0</v>
      </c>
      <c r="K428" s="48">
        <v>0</v>
      </c>
      <c r="M428" s="279">
        <f t="shared" si="28"/>
        <v>0</v>
      </c>
      <c r="O428" s="279">
        <f t="shared" si="29"/>
        <v>0</v>
      </c>
      <c r="Q428" s="295">
        <f t="shared" si="30"/>
        <v>0</v>
      </c>
      <c r="S428" s="293">
        <f t="shared" si="31"/>
        <v>0</v>
      </c>
      <c r="U428" s="385"/>
      <c r="V428" s="385"/>
      <c r="W428" s="385"/>
      <c r="X428" s="385"/>
    </row>
    <row r="429" spans="3:24" s="277" customFormat="1" x14ac:dyDescent="0.3">
      <c r="D429" s="356" t="s">
        <v>860</v>
      </c>
      <c r="E429" s="356"/>
      <c r="F429" s="356"/>
      <c r="G429" s="356"/>
      <c r="I429" s="48">
        <v>0</v>
      </c>
      <c r="K429" s="48">
        <v>0</v>
      </c>
      <c r="M429" s="279">
        <f t="shared" si="28"/>
        <v>0</v>
      </c>
      <c r="O429" s="279">
        <f t="shared" si="29"/>
        <v>0</v>
      </c>
      <c r="Q429" s="295">
        <f t="shared" si="30"/>
        <v>0</v>
      </c>
      <c r="S429" s="293">
        <f t="shared" si="31"/>
        <v>0</v>
      </c>
      <c r="U429" s="385"/>
      <c r="V429" s="385"/>
      <c r="W429" s="385"/>
      <c r="X429" s="385"/>
    </row>
    <row r="430" spans="3:24" s="277" customFormat="1" x14ac:dyDescent="0.3">
      <c r="D430" s="356" t="s">
        <v>861</v>
      </c>
      <c r="E430" s="356"/>
      <c r="F430" s="356"/>
      <c r="G430" s="356"/>
      <c r="I430" s="48">
        <v>0</v>
      </c>
      <c r="K430" s="48">
        <v>0</v>
      </c>
      <c r="M430" s="279">
        <f t="shared" si="28"/>
        <v>0</v>
      </c>
      <c r="O430" s="279">
        <f t="shared" si="29"/>
        <v>0</v>
      </c>
      <c r="Q430" s="295">
        <f t="shared" si="30"/>
        <v>0</v>
      </c>
      <c r="S430" s="293">
        <f t="shared" si="31"/>
        <v>0</v>
      </c>
      <c r="U430" s="385"/>
      <c r="V430" s="385"/>
      <c r="W430" s="385"/>
      <c r="X430" s="385"/>
    </row>
    <row r="431" spans="3:24" s="277" customFormat="1" x14ac:dyDescent="0.3">
      <c r="D431" s="356" t="s">
        <v>862</v>
      </c>
      <c r="E431" s="356"/>
      <c r="F431" s="356"/>
      <c r="G431" s="356"/>
      <c r="I431" s="48">
        <v>0</v>
      </c>
      <c r="K431" s="48">
        <v>0</v>
      </c>
      <c r="M431" s="279">
        <f t="shared" si="28"/>
        <v>0</v>
      </c>
      <c r="O431" s="279">
        <f t="shared" si="29"/>
        <v>0</v>
      </c>
      <c r="Q431" s="295">
        <f t="shared" si="30"/>
        <v>0</v>
      </c>
      <c r="S431" s="293">
        <f t="shared" si="31"/>
        <v>0</v>
      </c>
      <c r="U431" s="385"/>
      <c r="V431" s="385"/>
      <c r="W431" s="385"/>
      <c r="X431" s="385"/>
    </row>
    <row r="432" spans="3:24" s="277" customFormat="1" x14ac:dyDescent="0.3">
      <c r="D432" s="356" t="s">
        <v>863</v>
      </c>
      <c r="E432" s="356"/>
      <c r="F432" s="356"/>
      <c r="G432" s="356"/>
      <c r="I432" s="48">
        <v>0</v>
      </c>
      <c r="K432" s="48">
        <v>0</v>
      </c>
      <c r="M432" s="279">
        <f t="shared" si="28"/>
        <v>0</v>
      </c>
      <c r="O432" s="279">
        <f t="shared" si="29"/>
        <v>0</v>
      </c>
      <c r="Q432" s="295">
        <f t="shared" si="30"/>
        <v>0</v>
      </c>
      <c r="S432" s="293">
        <f t="shared" si="31"/>
        <v>0</v>
      </c>
      <c r="U432" s="385"/>
      <c r="V432" s="385"/>
      <c r="W432" s="385"/>
      <c r="X432" s="385"/>
    </row>
    <row r="433" spans="3:24" s="277" customFormat="1" x14ac:dyDescent="0.3">
      <c r="D433" s="356" t="s">
        <v>864</v>
      </c>
      <c r="E433" s="356"/>
      <c r="F433" s="356"/>
      <c r="G433" s="356"/>
      <c r="I433" s="48">
        <v>0</v>
      </c>
      <c r="K433" s="48">
        <v>0</v>
      </c>
      <c r="M433" s="279">
        <f t="shared" si="28"/>
        <v>0</v>
      </c>
      <c r="O433" s="279">
        <f t="shared" si="29"/>
        <v>0</v>
      </c>
      <c r="Q433" s="295">
        <f t="shared" si="30"/>
        <v>0</v>
      </c>
      <c r="S433" s="293">
        <f t="shared" si="31"/>
        <v>0</v>
      </c>
      <c r="U433" s="385"/>
      <c r="V433" s="385"/>
      <c r="W433" s="385"/>
      <c r="X433" s="385"/>
    </row>
    <row r="434" spans="3:24" s="277" customFormat="1" x14ac:dyDescent="0.3">
      <c r="D434" s="356" t="s">
        <v>865</v>
      </c>
      <c r="E434" s="356"/>
      <c r="F434" s="356"/>
      <c r="G434" s="356"/>
      <c r="I434" s="48">
        <v>0</v>
      </c>
      <c r="K434" s="48">
        <v>0</v>
      </c>
      <c r="M434" s="279">
        <f t="shared" si="28"/>
        <v>0</v>
      </c>
      <c r="O434" s="279">
        <f t="shared" si="29"/>
        <v>0</v>
      </c>
      <c r="Q434" s="295">
        <f t="shared" si="30"/>
        <v>0</v>
      </c>
      <c r="S434" s="293">
        <f t="shared" si="31"/>
        <v>0</v>
      </c>
      <c r="U434" s="385"/>
      <c r="V434" s="385"/>
      <c r="W434" s="385"/>
      <c r="X434" s="385"/>
    </row>
    <row r="435" spans="3:24" s="277" customFormat="1" x14ac:dyDescent="0.3">
      <c r="D435" s="356" t="s">
        <v>866</v>
      </c>
      <c r="E435" s="356"/>
      <c r="F435" s="356"/>
      <c r="G435" s="356"/>
      <c r="I435" s="48">
        <v>0</v>
      </c>
      <c r="K435" s="48">
        <v>0</v>
      </c>
      <c r="M435" s="279">
        <f t="shared" si="28"/>
        <v>0</v>
      </c>
      <c r="O435" s="279">
        <f t="shared" si="29"/>
        <v>0</v>
      </c>
      <c r="Q435" s="295">
        <f t="shared" si="30"/>
        <v>0</v>
      </c>
      <c r="S435" s="293">
        <f t="shared" si="31"/>
        <v>0</v>
      </c>
      <c r="U435" s="385"/>
      <c r="V435" s="385"/>
      <c r="W435" s="385"/>
      <c r="X435" s="385"/>
    </row>
    <row r="436" spans="3:24" s="277" customFormat="1" x14ac:dyDescent="0.3">
      <c r="D436" s="356" t="s">
        <v>867</v>
      </c>
      <c r="E436" s="356"/>
      <c r="F436" s="356"/>
      <c r="G436" s="356"/>
      <c r="I436" s="48">
        <v>0</v>
      </c>
      <c r="K436" s="48">
        <v>0</v>
      </c>
      <c r="M436" s="279">
        <f t="shared" si="28"/>
        <v>0</v>
      </c>
      <c r="O436" s="279">
        <f t="shared" si="29"/>
        <v>0</v>
      </c>
      <c r="Q436" s="295">
        <f t="shared" si="30"/>
        <v>0</v>
      </c>
      <c r="S436" s="293">
        <f t="shared" si="31"/>
        <v>0</v>
      </c>
      <c r="U436" s="385"/>
      <c r="V436" s="385"/>
      <c r="W436" s="385"/>
      <c r="X436" s="385"/>
    </row>
    <row r="437" spans="3:24" s="277" customFormat="1" x14ac:dyDescent="0.3">
      <c r="D437" s="356" t="s">
        <v>868</v>
      </c>
      <c r="E437" s="356"/>
      <c r="F437" s="356"/>
      <c r="G437" s="356"/>
      <c r="I437" s="48">
        <v>0</v>
      </c>
      <c r="K437" s="48">
        <v>0</v>
      </c>
      <c r="M437" s="279">
        <f t="shared" si="28"/>
        <v>0</v>
      </c>
      <c r="O437" s="279">
        <f t="shared" si="29"/>
        <v>0</v>
      </c>
      <c r="Q437" s="295">
        <f t="shared" si="30"/>
        <v>0</v>
      </c>
      <c r="S437" s="293">
        <f t="shared" si="31"/>
        <v>0</v>
      </c>
      <c r="U437" s="385"/>
      <c r="V437" s="385"/>
      <c r="W437" s="385"/>
      <c r="X437" s="385"/>
    </row>
    <row r="438" spans="3:24" s="277" customFormat="1" x14ac:dyDescent="0.3">
      <c r="D438" s="356" t="s">
        <v>869</v>
      </c>
      <c r="E438" s="356"/>
      <c r="F438" s="356"/>
      <c r="G438" s="356"/>
      <c r="I438" s="48">
        <v>0</v>
      </c>
      <c r="K438" s="48">
        <v>0</v>
      </c>
      <c r="M438" s="279">
        <f t="shared" si="28"/>
        <v>0</v>
      </c>
      <c r="O438" s="279">
        <f t="shared" si="29"/>
        <v>0</v>
      </c>
      <c r="Q438" s="295">
        <f t="shared" si="30"/>
        <v>0</v>
      </c>
      <c r="S438" s="293">
        <f t="shared" si="31"/>
        <v>0</v>
      </c>
      <c r="U438" s="385"/>
      <c r="V438" s="385"/>
      <c r="W438" s="385"/>
      <c r="X438" s="385"/>
    </row>
    <row r="439" spans="3:24" s="277" customFormat="1" x14ac:dyDescent="0.3">
      <c r="D439" s="356" t="s">
        <v>870</v>
      </c>
      <c r="E439" s="356"/>
      <c r="F439" s="356"/>
      <c r="G439" s="356"/>
      <c r="I439" s="48">
        <v>0</v>
      </c>
      <c r="K439" s="48">
        <v>0</v>
      </c>
      <c r="M439" s="279">
        <f t="shared" si="28"/>
        <v>0</v>
      </c>
      <c r="O439" s="279">
        <f t="shared" si="29"/>
        <v>0</v>
      </c>
      <c r="Q439" s="295">
        <f t="shared" si="30"/>
        <v>0</v>
      </c>
      <c r="S439" s="293">
        <f t="shared" si="31"/>
        <v>0</v>
      </c>
      <c r="U439" s="385"/>
      <c r="V439" s="385"/>
      <c r="W439" s="385"/>
      <c r="X439" s="385"/>
    </row>
    <row r="440" spans="3:24" s="277" customFormat="1" x14ac:dyDescent="0.3">
      <c r="D440" s="356" t="s">
        <v>871</v>
      </c>
      <c r="E440" s="356"/>
      <c r="F440" s="356"/>
      <c r="G440" s="356"/>
      <c r="I440" s="48">
        <v>0</v>
      </c>
      <c r="K440" s="48">
        <v>0</v>
      </c>
      <c r="M440" s="279">
        <f t="shared" si="28"/>
        <v>0</v>
      </c>
      <c r="O440" s="279">
        <f t="shared" si="29"/>
        <v>0</v>
      </c>
      <c r="Q440" s="295">
        <f t="shared" si="30"/>
        <v>0</v>
      </c>
      <c r="S440" s="293">
        <f t="shared" si="31"/>
        <v>0</v>
      </c>
      <c r="U440" s="385"/>
      <c r="V440" s="385"/>
      <c r="W440" s="385"/>
      <c r="X440" s="385"/>
    </row>
    <row r="441" spans="3:24" s="277" customFormat="1" x14ac:dyDescent="0.3">
      <c r="D441" s="356" t="s">
        <v>981</v>
      </c>
      <c r="E441" s="356"/>
      <c r="F441" s="356"/>
      <c r="G441" s="356"/>
      <c r="I441" s="48">
        <v>0</v>
      </c>
      <c r="K441" s="48">
        <v>0</v>
      </c>
      <c r="M441" s="279">
        <f t="shared" si="28"/>
        <v>0</v>
      </c>
      <c r="O441" s="279">
        <f t="shared" si="29"/>
        <v>0</v>
      </c>
      <c r="Q441" s="295">
        <f t="shared" si="30"/>
        <v>0</v>
      </c>
      <c r="S441" s="293">
        <f t="shared" si="31"/>
        <v>0</v>
      </c>
      <c r="U441" s="385"/>
      <c r="V441" s="385"/>
      <c r="W441" s="385"/>
      <c r="X441" s="385"/>
    </row>
    <row r="442" spans="3:24" s="277" customFormat="1" x14ac:dyDescent="0.3">
      <c r="D442" s="356" t="s">
        <v>982</v>
      </c>
      <c r="E442" s="356"/>
      <c r="F442" s="356"/>
      <c r="G442" s="356"/>
      <c r="I442" s="48">
        <v>0</v>
      </c>
      <c r="K442" s="48">
        <v>0</v>
      </c>
      <c r="M442" s="279">
        <f t="shared" si="28"/>
        <v>0</v>
      </c>
      <c r="O442" s="279">
        <f t="shared" si="29"/>
        <v>0</v>
      </c>
      <c r="Q442" s="295">
        <f t="shared" si="30"/>
        <v>0</v>
      </c>
      <c r="S442" s="293">
        <f t="shared" si="31"/>
        <v>0</v>
      </c>
      <c r="U442" s="385"/>
      <c r="V442" s="385"/>
      <c r="W442" s="385"/>
      <c r="X442" s="385"/>
    </row>
    <row r="443" spans="3:24" s="277" customFormat="1" x14ac:dyDescent="0.3">
      <c r="D443" s="356" t="s">
        <v>983</v>
      </c>
      <c r="E443" s="356"/>
      <c r="F443" s="356"/>
      <c r="G443" s="356"/>
      <c r="I443" s="48">
        <v>0</v>
      </c>
      <c r="K443" s="48">
        <v>0</v>
      </c>
      <c r="M443" s="279">
        <f t="shared" si="28"/>
        <v>0</v>
      </c>
      <c r="O443" s="279">
        <f t="shared" si="29"/>
        <v>0</v>
      </c>
      <c r="Q443" s="295">
        <f t="shared" si="30"/>
        <v>0</v>
      </c>
      <c r="S443" s="293">
        <f t="shared" si="31"/>
        <v>0</v>
      </c>
      <c r="U443" s="385"/>
      <c r="V443" s="385"/>
      <c r="W443" s="385"/>
      <c r="X443" s="385"/>
    </row>
    <row r="444" spans="3:24" s="277" customFormat="1" x14ac:dyDescent="0.3">
      <c r="D444" s="356" t="s">
        <v>984</v>
      </c>
      <c r="E444" s="356"/>
      <c r="F444" s="356"/>
      <c r="G444" s="356"/>
      <c r="I444" s="48">
        <v>0</v>
      </c>
      <c r="K444" s="48">
        <v>0</v>
      </c>
      <c r="M444" s="279">
        <f t="shared" si="28"/>
        <v>0</v>
      </c>
      <c r="O444" s="279">
        <f t="shared" si="29"/>
        <v>0</v>
      </c>
      <c r="Q444" s="295">
        <f t="shared" si="30"/>
        <v>0</v>
      </c>
      <c r="S444" s="293">
        <f t="shared" si="31"/>
        <v>0</v>
      </c>
      <c r="U444" s="385"/>
      <c r="V444" s="385"/>
      <c r="W444" s="385"/>
      <c r="X444" s="385"/>
    </row>
    <row r="445" spans="3:24" s="277" customFormat="1" x14ac:dyDescent="0.3">
      <c r="D445" s="356" t="s">
        <v>985</v>
      </c>
      <c r="E445" s="356"/>
      <c r="F445" s="356"/>
      <c r="G445" s="356"/>
      <c r="I445" s="48">
        <v>0</v>
      </c>
      <c r="K445" s="48">
        <v>0</v>
      </c>
      <c r="M445" s="279">
        <f t="shared" si="28"/>
        <v>0</v>
      </c>
      <c r="O445" s="279">
        <f t="shared" si="29"/>
        <v>0</v>
      </c>
      <c r="Q445" s="295">
        <f t="shared" si="30"/>
        <v>0</v>
      </c>
      <c r="S445" s="293">
        <f t="shared" si="31"/>
        <v>0</v>
      </c>
      <c r="U445" s="385"/>
      <c r="V445" s="385"/>
      <c r="W445" s="385"/>
      <c r="X445" s="385"/>
    </row>
    <row r="446" spans="3:24" ht="14.4" x14ac:dyDescent="0.3">
      <c r="D446" s="420" t="s">
        <v>85</v>
      </c>
      <c r="E446" s="421"/>
      <c r="F446" s="421"/>
      <c r="G446" s="421"/>
      <c r="I446" s="43"/>
      <c r="K446" s="43"/>
      <c r="M446" s="43"/>
      <c r="O446" s="43"/>
      <c r="Q446" s="296">
        <f>SUM(Q421:Q445)</f>
        <v>0</v>
      </c>
      <c r="S446" s="294">
        <f>SUM(S421:S445)</f>
        <v>0</v>
      </c>
      <c r="U446" s="43"/>
      <c r="V446" s="43"/>
      <c r="W446" s="43"/>
      <c r="X446" s="43"/>
    </row>
    <row r="448" spans="3:24" ht="27.6" x14ac:dyDescent="0.3">
      <c r="C448" s="92" t="s">
        <v>130</v>
      </c>
      <c r="Q448" s="44" t="str">
        <f>"FINANCIAL COST ("&amp;INDEX(LU_ACT_15_Meet_Curr,DD_ACT_15_Meet1_Curr)&amp;")"</f>
        <v>FINANCIAL COST (GOZ)</v>
      </c>
      <c r="S448" s="44" t="str">
        <f>"ECONOMIC COST ("&amp;INDEX(LU_ACT_15_Meet_Curr,DD_ACT_15_Meet1_Curr)&amp;")"</f>
        <v>ECONOMIC COST (GOZ)</v>
      </c>
    </row>
    <row r="449" spans="4:24" ht="14.4" x14ac:dyDescent="0.3">
      <c r="D449" s="90" t="s">
        <v>86</v>
      </c>
      <c r="I449" s="91" t="s">
        <v>186</v>
      </c>
      <c r="M449" s="91" t="s">
        <v>81</v>
      </c>
      <c r="O449" s="91" t="s">
        <v>83</v>
      </c>
      <c r="U449" s="350" t="s">
        <v>185</v>
      </c>
      <c r="V449" s="351"/>
      <c r="W449" s="351"/>
      <c r="X449" s="351"/>
    </row>
    <row r="450" spans="4:24" x14ac:dyDescent="0.3">
      <c r="D450" s="356" t="s">
        <v>70</v>
      </c>
      <c r="E450" s="356"/>
      <c r="F450" s="356"/>
      <c r="G450" s="356"/>
      <c r="I450" s="48">
        <v>0</v>
      </c>
      <c r="M450" s="40">
        <f t="shared" ref="M450:M474" si="32">IFERROR(IF(DD_ACT_15_Meet1_Curr=1,INDEX($M$630:$M$664,MATCH(D450,LU_ACT_15_Equipment,0)),INDEX($Q$630:$Q$664,MATCH(D450,LU_ACT_15_Equipment,0))),0)</f>
        <v>0</v>
      </c>
      <c r="O450" s="40">
        <f t="shared" ref="O450:O474" si="33">IFERROR(IF(DD_ACT_15_Meet1_Curr=1,INDEX($O$630:$O$664,MATCH(D450,LU_ACT_15_Equipment,0)),INDEX($S$630:$S$664,MATCH(D450,LU_ACT_15_Equipment,0))),0)</f>
        <v>0</v>
      </c>
      <c r="Q450" s="279">
        <f t="shared" ref="Q450:Q474" si="34">I450*M450</f>
        <v>0</v>
      </c>
      <c r="S450" s="279">
        <f t="shared" ref="S450:S474" si="35">I450*O450</f>
        <v>0</v>
      </c>
      <c r="U450" s="356"/>
      <c r="V450" s="356"/>
      <c r="W450" s="356"/>
      <c r="X450" s="356"/>
    </row>
    <row r="451" spans="4:24" x14ac:dyDescent="0.3">
      <c r="D451" s="356" t="s">
        <v>122</v>
      </c>
      <c r="E451" s="356"/>
      <c r="F451" s="356"/>
      <c r="G451" s="356"/>
      <c r="I451" s="48">
        <v>0</v>
      </c>
      <c r="M451" s="40">
        <f t="shared" si="32"/>
        <v>0</v>
      </c>
      <c r="O451" s="40">
        <f t="shared" si="33"/>
        <v>0</v>
      </c>
      <c r="Q451" s="279">
        <f t="shared" si="34"/>
        <v>0</v>
      </c>
      <c r="S451" s="279">
        <f t="shared" si="35"/>
        <v>0</v>
      </c>
      <c r="U451" s="356"/>
      <c r="V451" s="356"/>
      <c r="W451" s="356"/>
      <c r="X451" s="356"/>
    </row>
    <row r="452" spans="4:24" x14ac:dyDescent="0.3">
      <c r="D452" s="356" t="s">
        <v>872</v>
      </c>
      <c r="E452" s="356"/>
      <c r="F452" s="356"/>
      <c r="G452" s="356"/>
      <c r="I452" s="48">
        <v>0</v>
      </c>
      <c r="M452" s="40">
        <f t="shared" si="32"/>
        <v>0</v>
      </c>
      <c r="O452" s="40">
        <f t="shared" si="33"/>
        <v>0</v>
      </c>
      <c r="Q452" s="279">
        <f t="shared" si="34"/>
        <v>0</v>
      </c>
      <c r="S452" s="279">
        <f t="shared" si="35"/>
        <v>0</v>
      </c>
      <c r="U452" s="356"/>
      <c r="V452" s="356"/>
      <c r="W452" s="356"/>
      <c r="X452" s="356"/>
    </row>
    <row r="453" spans="4:24" s="277" customFormat="1" x14ac:dyDescent="0.3">
      <c r="D453" s="356" t="s">
        <v>873</v>
      </c>
      <c r="E453" s="356"/>
      <c r="F453" s="356"/>
      <c r="G453" s="356"/>
      <c r="I453" s="48">
        <v>0</v>
      </c>
      <c r="M453" s="279">
        <f t="shared" si="32"/>
        <v>0</v>
      </c>
      <c r="O453" s="279">
        <f t="shared" si="33"/>
        <v>0</v>
      </c>
      <c r="Q453" s="279">
        <f t="shared" si="34"/>
        <v>0</v>
      </c>
      <c r="S453" s="279">
        <f t="shared" si="35"/>
        <v>0</v>
      </c>
      <c r="U453" s="385"/>
      <c r="V453" s="385"/>
      <c r="W453" s="385"/>
      <c r="X453" s="385"/>
    </row>
    <row r="454" spans="4:24" s="277" customFormat="1" x14ac:dyDescent="0.3">
      <c r="D454" s="356" t="s">
        <v>874</v>
      </c>
      <c r="E454" s="356"/>
      <c r="F454" s="356"/>
      <c r="G454" s="356"/>
      <c r="I454" s="48">
        <v>0</v>
      </c>
      <c r="M454" s="279">
        <f t="shared" si="32"/>
        <v>0</v>
      </c>
      <c r="O454" s="279">
        <f t="shared" si="33"/>
        <v>0</v>
      </c>
      <c r="Q454" s="279">
        <f t="shared" si="34"/>
        <v>0</v>
      </c>
      <c r="S454" s="279">
        <f t="shared" si="35"/>
        <v>0</v>
      </c>
      <c r="U454" s="385"/>
      <c r="V454" s="385"/>
      <c r="W454" s="385"/>
      <c r="X454" s="385"/>
    </row>
    <row r="455" spans="4:24" s="277" customFormat="1" x14ac:dyDescent="0.3">
      <c r="D455" s="356" t="s">
        <v>875</v>
      </c>
      <c r="E455" s="356"/>
      <c r="F455" s="356"/>
      <c r="G455" s="356"/>
      <c r="I455" s="48">
        <v>0</v>
      </c>
      <c r="M455" s="279">
        <f t="shared" si="32"/>
        <v>0</v>
      </c>
      <c r="O455" s="279">
        <f t="shared" si="33"/>
        <v>0</v>
      </c>
      <c r="Q455" s="279">
        <f t="shared" si="34"/>
        <v>0</v>
      </c>
      <c r="S455" s="279">
        <f t="shared" si="35"/>
        <v>0</v>
      </c>
      <c r="U455" s="385"/>
      <c r="V455" s="385"/>
      <c r="W455" s="385"/>
      <c r="X455" s="385"/>
    </row>
    <row r="456" spans="4:24" s="277" customFormat="1" x14ac:dyDescent="0.3">
      <c r="D456" s="356" t="s">
        <v>778</v>
      </c>
      <c r="E456" s="356"/>
      <c r="F456" s="356"/>
      <c r="G456" s="356"/>
      <c r="I456" s="48">
        <v>0</v>
      </c>
      <c r="M456" s="279">
        <f t="shared" si="32"/>
        <v>0</v>
      </c>
      <c r="O456" s="279">
        <f t="shared" si="33"/>
        <v>0</v>
      </c>
      <c r="Q456" s="279">
        <f t="shared" si="34"/>
        <v>0</v>
      </c>
      <c r="S456" s="279">
        <f t="shared" si="35"/>
        <v>0</v>
      </c>
      <c r="U456" s="385"/>
      <c r="V456" s="385"/>
      <c r="W456" s="385"/>
      <c r="X456" s="385"/>
    </row>
    <row r="457" spans="4:24" s="277" customFormat="1" x14ac:dyDescent="0.3">
      <c r="D457" s="356" t="s">
        <v>779</v>
      </c>
      <c r="E457" s="356"/>
      <c r="F457" s="356"/>
      <c r="G457" s="356"/>
      <c r="I457" s="48">
        <v>0</v>
      </c>
      <c r="M457" s="279">
        <f t="shared" si="32"/>
        <v>0</v>
      </c>
      <c r="O457" s="279">
        <f t="shared" si="33"/>
        <v>0</v>
      </c>
      <c r="Q457" s="279">
        <f t="shared" si="34"/>
        <v>0</v>
      </c>
      <c r="S457" s="279">
        <f t="shared" si="35"/>
        <v>0</v>
      </c>
      <c r="U457" s="385"/>
      <c r="V457" s="385"/>
      <c r="W457" s="385"/>
      <c r="X457" s="385"/>
    </row>
    <row r="458" spans="4:24" s="277" customFormat="1" x14ac:dyDescent="0.3">
      <c r="D458" s="356" t="s">
        <v>780</v>
      </c>
      <c r="E458" s="356"/>
      <c r="F458" s="356"/>
      <c r="G458" s="356"/>
      <c r="I458" s="48">
        <v>0</v>
      </c>
      <c r="M458" s="279">
        <f t="shared" si="32"/>
        <v>0</v>
      </c>
      <c r="O458" s="279">
        <f t="shared" si="33"/>
        <v>0</v>
      </c>
      <c r="Q458" s="279">
        <f t="shared" si="34"/>
        <v>0</v>
      </c>
      <c r="S458" s="279">
        <f t="shared" si="35"/>
        <v>0</v>
      </c>
      <c r="U458" s="385"/>
      <c r="V458" s="385"/>
      <c r="W458" s="385"/>
      <c r="X458" s="385"/>
    </row>
    <row r="459" spans="4:24" s="277" customFormat="1" x14ac:dyDescent="0.3">
      <c r="D459" s="356" t="s">
        <v>781</v>
      </c>
      <c r="E459" s="356"/>
      <c r="F459" s="356"/>
      <c r="G459" s="356"/>
      <c r="I459" s="48">
        <v>0</v>
      </c>
      <c r="M459" s="279">
        <f t="shared" si="32"/>
        <v>0</v>
      </c>
      <c r="O459" s="279">
        <f t="shared" si="33"/>
        <v>0</v>
      </c>
      <c r="Q459" s="279">
        <f t="shared" si="34"/>
        <v>0</v>
      </c>
      <c r="S459" s="279">
        <f t="shared" si="35"/>
        <v>0</v>
      </c>
      <c r="U459" s="385"/>
      <c r="V459" s="385"/>
      <c r="W459" s="385"/>
      <c r="X459" s="385"/>
    </row>
    <row r="460" spans="4:24" s="277" customFormat="1" x14ac:dyDescent="0.3">
      <c r="D460" s="356" t="s">
        <v>782</v>
      </c>
      <c r="E460" s="356"/>
      <c r="F460" s="356"/>
      <c r="G460" s="356"/>
      <c r="I460" s="48">
        <v>0</v>
      </c>
      <c r="M460" s="279">
        <f t="shared" si="32"/>
        <v>0</v>
      </c>
      <c r="O460" s="279">
        <f t="shared" si="33"/>
        <v>0</v>
      </c>
      <c r="Q460" s="279">
        <f t="shared" si="34"/>
        <v>0</v>
      </c>
      <c r="S460" s="279">
        <f t="shared" si="35"/>
        <v>0</v>
      </c>
      <c r="U460" s="385"/>
      <c r="V460" s="385"/>
      <c r="W460" s="385"/>
      <c r="X460" s="385"/>
    </row>
    <row r="461" spans="4:24" s="277" customFormat="1" x14ac:dyDescent="0.3">
      <c r="D461" s="356" t="s">
        <v>783</v>
      </c>
      <c r="E461" s="356"/>
      <c r="F461" s="356"/>
      <c r="G461" s="356"/>
      <c r="I461" s="48">
        <v>0</v>
      </c>
      <c r="M461" s="279">
        <f t="shared" si="32"/>
        <v>0</v>
      </c>
      <c r="O461" s="279">
        <f t="shared" si="33"/>
        <v>0</v>
      </c>
      <c r="Q461" s="279">
        <f t="shared" si="34"/>
        <v>0</v>
      </c>
      <c r="S461" s="279">
        <f t="shared" si="35"/>
        <v>0</v>
      </c>
      <c r="U461" s="385"/>
      <c r="V461" s="385"/>
      <c r="W461" s="385"/>
      <c r="X461" s="385"/>
    </row>
    <row r="462" spans="4:24" s="277" customFormat="1" x14ac:dyDescent="0.3">
      <c r="D462" s="356" t="s">
        <v>784</v>
      </c>
      <c r="E462" s="356"/>
      <c r="F462" s="356"/>
      <c r="G462" s="356"/>
      <c r="I462" s="48">
        <v>0</v>
      </c>
      <c r="M462" s="279">
        <f t="shared" si="32"/>
        <v>0</v>
      </c>
      <c r="O462" s="279">
        <f t="shared" si="33"/>
        <v>0</v>
      </c>
      <c r="Q462" s="279">
        <f t="shared" si="34"/>
        <v>0</v>
      </c>
      <c r="S462" s="279">
        <f t="shared" si="35"/>
        <v>0</v>
      </c>
      <c r="U462" s="385"/>
      <c r="V462" s="385"/>
      <c r="W462" s="385"/>
      <c r="X462" s="385"/>
    </row>
    <row r="463" spans="4:24" s="277" customFormat="1" x14ac:dyDescent="0.3">
      <c r="D463" s="356" t="s">
        <v>785</v>
      </c>
      <c r="E463" s="356"/>
      <c r="F463" s="356"/>
      <c r="G463" s="356"/>
      <c r="I463" s="48">
        <v>0</v>
      </c>
      <c r="M463" s="279">
        <f t="shared" si="32"/>
        <v>0</v>
      </c>
      <c r="O463" s="279">
        <f t="shared" si="33"/>
        <v>0</v>
      </c>
      <c r="Q463" s="279">
        <f t="shared" si="34"/>
        <v>0</v>
      </c>
      <c r="S463" s="279">
        <f t="shared" si="35"/>
        <v>0</v>
      </c>
      <c r="U463" s="385"/>
      <c r="V463" s="385"/>
      <c r="W463" s="385"/>
      <c r="X463" s="385"/>
    </row>
    <row r="464" spans="4:24" s="277" customFormat="1" x14ac:dyDescent="0.3">
      <c r="D464" s="356" t="s">
        <v>786</v>
      </c>
      <c r="E464" s="356"/>
      <c r="F464" s="356"/>
      <c r="G464" s="356"/>
      <c r="I464" s="48">
        <v>0</v>
      </c>
      <c r="M464" s="279">
        <f t="shared" si="32"/>
        <v>0</v>
      </c>
      <c r="O464" s="279">
        <f t="shared" si="33"/>
        <v>0</v>
      </c>
      <c r="Q464" s="279">
        <f t="shared" si="34"/>
        <v>0</v>
      </c>
      <c r="S464" s="279">
        <f t="shared" si="35"/>
        <v>0</v>
      </c>
      <c r="U464" s="385"/>
      <c r="V464" s="385"/>
      <c r="W464" s="385"/>
      <c r="X464" s="385"/>
    </row>
    <row r="465" spans="3:24" s="277" customFormat="1" x14ac:dyDescent="0.3">
      <c r="D465" s="356" t="s">
        <v>787</v>
      </c>
      <c r="E465" s="356"/>
      <c r="F465" s="356"/>
      <c r="G465" s="356"/>
      <c r="I465" s="48">
        <v>0</v>
      </c>
      <c r="M465" s="279">
        <f t="shared" si="32"/>
        <v>0</v>
      </c>
      <c r="O465" s="279">
        <f t="shared" si="33"/>
        <v>0</v>
      </c>
      <c r="Q465" s="279">
        <f t="shared" si="34"/>
        <v>0</v>
      </c>
      <c r="S465" s="279">
        <f t="shared" si="35"/>
        <v>0</v>
      </c>
      <c r="U465" s="385"/>
      <c r="V465" s="385"/>
      <c r="W465" s="385"/>
      <c r="X465" s="385"/>
    </row>
    <row r="466" spans="3:24" s="277" customFormat="1" x14ac:dyDescent="0.3">
      <c r="D466" s="356" t="s">
        <v>788</v>
      </c>
      <c r="E466" s="356"/>
      <c r="F466" s="356"/>
      <c r="G466" s="356"/>
      <c r="I466" s="48">
        <v>0</v>
      </c>
      <c r="M466" s="279">
        <f t="shared" si="32"/>
        <v>0</v>
      </c>
      <c r="O466" s="279">
        <f t="shared" si="33"/>
        <v>0</v>
      </c>
      <c r="Q466" s="279">
        <f t="shared" si="34"/>
        <v>0</v>
      </c>
      <c r="S466" s="279">
        <f t="shared" si="35"/>
        <v>0</v>
      </c>
      <c r="U466" s="385"/>
      <c r="V466" s="385"/>
      <c r="W466" s="385"/>
      <c r="X466" s="385"/>
    </row>
    <row r="467" spans="3:24" s="277" customFormat="1" x14ac:dyDescent="0.3">
      <c r="D467" s="356" t="s">
        <v>789</v>
      </c>
      <c r="E467" s="356"/>
      <c r="F467" s="356"/>
      <c r="G467" s="356"/>
      <c r="I467" s="48">
        <v>0</v>
      </c>
      <c r="M467" s="279">
        <f t="shared" si="32"/>
        <v>0</v>
      </c>
      <c r="O467" s="279">
        <f t="shared" si="33"/>
        <v>0</v>
      </c>
      <c r="Q467" s="279">
        <f t="shared" si="34"/>
        <v>0</v>
      </c>
      <c r="S467" s="279">
        <f t="shared" si="35"/>
        <v>0</v>
      </c>
      <c r="U467" s="385"/>
      <c r="V467" s="385"/>
      <c r="W467" s="385"/>
      <c r="X467" s="385"/>
    </row>
    <row r="468" spans="3:24" s="277" customFormat="1" x14ac:dyDescent="0.3">
      <c r="D468" s="356" t="s">
        <v>790</v>
      </c>
      <c r="E468" s="356"/>
      <c r="F468" s="356"/>
      <c r="G468" s="356"/>
      <c r="I468" s="48">
        <v>0</v>
      </c>
      <c r="M468" s="279">
        <f t="shared" si="32"/>
        <v>0</v>
      </c>
      <c r="O468" s="279">
        <f t="shared" si="33"/>
        <v>0</v>
      </c>
      <c r="Q468" s="279">
        <f t="shared" si="34"/>
        <v>0</v>
      </c>
      <c r="S468" s="279">
        <f t="shared" si="35"/>
        <v>0</v>
      </c>
      <c r="U468" s="385"/>
      <c r="V468" s="385"/>
      <c r="W468" s="385"/>
      <c r="X468" s="385"/>
    </row>
    <row r="469" spans="3:24" s="277" customFormat="1" x14ac:dyDescent="0.3">
      <c r="D469" s="356" t="s">
        <v>791</v>
      </c>
      <c r="E469" s="356"/>
      <c r="F469" s="356"/>
      <c r="G469" s="356"/>
      <c r="I469" s="48">
        <v>0</v>
      </c>
      <c r="M469" s="279">
        <f t="shared" si="32"/>
        <v>0</v>
      </c>
      <c r="O469" s="279">
        <f t="shared" si="33"/>
        <v>0</v>
      </c>
      <c r="Q469" s="279">
        <f t="shared" si="34"/>
        <v>0</v>
      </c>
      <c r="S469" s="279">
        <f t="shared" si="35"/>
        <v>0</v>
      </c>
      <c r="U469" s="385"/>
      <c r="V469" s="385"/>
      <c r="W469" s="385"/>
      <c r="X469" s="385"/>
    </row>
    <row r="470" spans="3:24" s="277" customFormat="1" x14ac:dyDescent="0.3">
      <c r="D470" s="356" t="s">
        <v>792</v>
      </c>
      <c r="E470" s="356"/>
      <c r="F470" s="356"/>
      <c r="G470" s="356"/>
      <c r="I470" s="48">
        <v>0</v>
      </c>
      <c r="M470" s="279">
        <f t="shared" si="32"/>
        <v>0</v>
      </c>
      <c r="O470" s="279">
        <f t="shared" si="33"/>
        <v>0</v>
      </c>
      <c r="Q470" s="279">
        <f t="shared" si="34"/>
        <v>0</v>
      </c>
      <c r="S470" s="279">
        <f t="shared" si="35"/>
        <v>0</v>
      </c>
      <c r="U470" s="385"/>
      <c r="V470" s="385"/>
      <c r="W470" s="385"/>
      <c r="X470" s="385"/>
    </row>
    <row r="471" spans="3:24" s="277" customFormat="1" x14ac:dyDescent="0.3">
      <c r="D471" s="356" t="s">
        <v>793</v>
      </c>
      <c r="E471" s="356"/>
      <c r="F471" s="356"/>
      <c r="G471" s="356"/>
      <c r="I471" s="48">
        <v>0</v>
      </c>
      <c r="M471" s="279">
        <f t="shared" si="32"/>
        <v>0</v>
      </c>
      <c r="O471" s="279">
        <f t="shared" si="33"/>
        <v>0</v>
      </c>
      <c r="Q471" s="279">
        <f t="shared" si="34"/>
        <v>0</v>
      </c>
      <c r="S471" s="279">
        <f t="shared" si="35"/>
        <v>0</v>
      </c>
      <c r="U471" s="385"/>
      <c r="V471" s="385"/>
      <c r="W471" s="385"/>
      <c r="X471" s="385"/>
    </row>
    <row r="472" spans="3:24" s="277" customFormat="1" x14ac:dyDescent="0.3">
      <c r="D472" s="356" t="s">
        <v>794</v>
      </c>
      <c r="E472" s="356"/>
      <c r="F472" s="356"/>
      <c r="G472" s="356"/>
      <c r="I472" s="48">
        <v>0</v>
      </c>
      <c r="M472" s="279">
        <f t="shared" si="32"/>
        <v>0</v>
      </c>
      <c r="O472" s="279">
        <f t="shared" si="33"/>
        <v>0</v>
      </c>
      <c r="Q472" s="279">
        <f t="shared" si="34"/>
        <v>0</v>
      </c>
      <c r="S472" s="279">
        <f t="shared" si="35"/>
        <v>0</v>
      </c>
      <c r="U472" s="385"/>
      <c r="V472" s="385"/>
      <c r="W472" s="385"/>
      <c r="X472" s="385"/>
    </row>
    <row r="473" spans="3:24" s="277" customFormat="1" x14ac:dyDescent="0.3">
      <c r="D473" s="356" t="s">
        <v>795</v>
      </c>
      <c r="E473" s="356"/>
      <c r="F473" s="356"/>
      <c r="G473" s="356"/>
      <c r="I473" s="48">
        <v>0</v>
      </c>
      <c r="M473" s="279">
        <f t="shared" si="32"/>
        <v>0</v>
      </c>
      <c r="O473" s="279">
        <f t="shared" si="33"/>
        <v>0</v>
      </c>
      <c r="Q473" s="279">
        <f t="shared" si="34"/>
        <v>0</v>
      </c>
      <c r="S473" s="279">
        <f t="shared" si="35"/>
        <v>0</v>
      </c>
      <c r="U473" s="385"/>
      <c r="V473" s="385"/>
      <c r="W473" s="385"/>
      <c r="X473" s="385"/>
    </row>
    <row r="474" spans="3:24" s="277" customFormat="1" x14ac:dyDescent="0.3">
      <c r="D474" s="356" t="s">
        <v>796</v>
      </c>
      <c r="E474" s="356"/>
      <c r="F474" s="356"/>
      <c r="G474" s="356"/>
      <c r="I474" s="48">
        <v>0</v>
      </c>
      <c r="M474" s="279">
        <f t="shared" si="32"/>
        <v>0</v>
      </c>
      <c r="O474" s="279">
        <f t="shared" si="33"/>
        <v>0</v>
      </c>
      <c r="Q474" s="279">
        <f t="shared" si="34"/>
        <v>0</v>
      </c>
      <c r="S474" s="279">
        <f t="shared" si="35"/>
        <v>0</v>
      </c>
      <c r="U474" s="385"/>
      <c r="V474" s="385"/>
      <c r="W474" s="385"/>
      <c r="X474" s="385"/>
    </row>
    <row r="475" spans="3:24" ht="14.4" x14ac:dyDescent="0.3">
      <c r="D475" s="420" t="s">
        <v>88</v>
      </c>
      <c r="E475" s="421"/>
      <c r="F475" s="421"/>
      <c r="G475" s="421"/>
      <c r="I475" s="40"/>
      <c r="M475" s="40"/>
      <c r="O475" s="40"/>
      <c r="Q475" s="294">
        <f>SUM(Q450:Q474)</f>
        <v>0</v>
      </c>
      <c r="S475" s="294">
        <f>SUM(S450:S474)</f>
        <v>0</v>
      </c>
    </row>
    <row r="477" spans="3:24" ht="15.6" x14ac:dyDescent="0.3">
      <c r="C477" s="92" t="s">
        <v>89</v>
      </c>
    </row>
    <row r="478" spans="3:24" ht="27.6" x14ac:dyDescent="0.3">
      <c r="Q478" s="44" t="str">
        <f>"FINANCIAL COST ("&amp;INDEX(LU_ACT_15_Meet_Curr,DD_ACT_15_Meet1_Curr)&amp;")"</f>
        <v>FINANCIAL COST (GOZ)</v>
      </c>
      <c r="S478" s="44" t="str">
        <f>"ECONOMIC COST ("&amp;INDEX(LU_ACT_15_Meet_Curr,DD_ACT_15_Meet1_Curr)&amp;")"</f>
        <v>ECONOMIC COST (GOZ)</v>
      </c>
    </row>
    <row r="479" spans="3:24" ht="27.6" x14ac:dyDescent="0.3">
      <c r="D479" s="90" t="s">
        <v>86</v>
      </c>
      <c r="I479" s="91" t="s">
        <v>186</v>
      </c>
      <c r="K479" s="91" t="s">
        <v>187</v>
      </c>
      <c r="M479" s="42" t="s">
        <v>81</v>
      </c>
      <c r="O479" s="42" t="s">
        <v>83</v>
      </c>
      <c r="U479" s="350" t="s">
        <v>185</v>
      </c>
      <c r="V479" s="351"/>
      <c r="W479" s="351"/>
      <c r="X479" s="351"/>
    </row>
    <row r="480" spans="3:24" x14ac:dyDescent="0.3">
      <c r="D480" s="356" t="s">
        <v>71</v>
      </c>
      <c r="E480" s="356"/>
      <c r="F480" s="356"/>
      <c r="G480" s="356"/>
      <c r="I480" s="48">
        <v>0</v>
      </c>
      <c r="K480" s="48">
        <v>0</v>
      </c>
      <c r="M480" s="40">
        <f t="shared" ref="M480:M504" si="36">IFERROR(IF(DD_ACT_15_Meet1_Curr=1,INDEX($M$668:$M$702,MATCH(D480,LU_ACT_15_ODCS,0)),INDEX($Q$668:$Q$702,MATCH(D480,LU_ACT_15_ODCS,0))),0)</f>
        <v>0</v>
      </c>
      <c r="O480" s="40">
        <f t="shared" ref="O480:O504" si="37">IFERROR(IF(DD_ACT_15_Meet1_Curr=1,INDEX($O$668:$O$702,MATCH(D480,LU_ACT_15_ODCS,0)),INDEX($S$668:$S$702,MATCH(D480,LU_ACT_15_ODCS,0))),0)</f>
        <v>0</v>
      </c>
      <c r="Q480" s="279">
        <f t="shared" ref="Q480:Q504" si="38">I480*K480*M480</f>
        <v>0</v>
      </c>
      <c r="S480" s="279">
        <f t="shared" ref="S480:S504" si="39">I480*K480*O480</f>
        <v>0</v>
      </c>
      <c r="U480" s="356"/>
      <c r="V480" s="356"/>
      <c r="W480" s="356"/>
      <c r="X480" s="356"/>
    </row>
    <row r="481" spans="4:24" x14ac:dyDescent="0.3">
      <c r="D481" s="356" t="s">
        <v>72</v>
      </c>
      <c r="E481" s="356"/>
      <c r="F481" s="356"/>
      <c r="G481" s="356"/>
      <c r="I481" s="48">
        <v>0</v>
      </c>
      <c r="K481" s="48">
        <v>0</v>
      </c>
      <c r="M481" s="40">
        <f t="shared" si="36"/>
        <v>0</v>
      </c>
      <c r="O481" s="40">
        <f t="shared" si="37"/>
        <v>0</v>
      </c>
      <c r="Q481" s="279">
        <f t="shared" si="38"/>
        <v>0</v>
      </c>
      <c r="S481" s="279">
        <f t="shared" si="39"/>
        <v>0</v>
      </c>
      <c r="U481" s="356"/>
      <c r="V481" s="356"/>
      <c r="W481" s="356"/>
      <c r="X481" s="356"/>
    </row>
    <row r="482" spans="4:24" x14ac:dyDescent="0.3">
      <c r="D482" s="356" t="s">
        <v>73</v>
      </c>
      <c r="E482" s="356"/>
      <c r="F482" s="356"/>
      <c r="G482" s="356"/>
      <c r="I482" s="48">
        <v>0</v>
      </c>
      <c r="K482" s="48">
        <v>0</v>
      </c>
      <c r="M482" s="40">
        <f t="shared" si="36"/>
        <v>0</v>
      </c>
      <c r="O482" s="40">
        <f t="shared" si="37"/>
        <v>0</v>
      </c>
      <c r="Q482" s="279">
        <f t="shared" si="38"/>
        <v>0</v>
      </c>
      <c r="S482" s="279">
        <f t="shared" si="39"/>
        <v>0</v>
      </c>
      <c r="U482" s="356"/>
      <c r="V482" s="356"/>
      <c r="W482" s="356"/>
      <c r="X482" s="356"/>
    </row>
    <row r="483" spans="4:24" x14ac:dyDescent="0.3">
      <c r="D483" s="356" t="s">
        <v>74</v>
      </c>
      <c r="E483" s="356"/>
      <c r="F483" s="356"/>
      <c r="G483" s="356"/>
      <c r="I483" s="48">
        <v>0</v>
      </c>
      <c r="K483" s="48">
        <v>0</v>
      </c>
      <c r="M483" s="40">
        <f t="shared" si="36"/>
        <v>0</v>
      </c>
      <c r="O483" s="40">
        <f t="shared" si="37"/>
        <v>0</v>
      </c>
      <c r="Q483" s="279">
        <f t="shared" si="38"/>
        <v>0</v>
      </c>
      <c r="S483" s="279">
        <f t="shared" si="39"/>
        <v>0</v>
      </c>
      <c r="U483" s="356"/>
      <c r="V483" s="356"/>
      <c r="W483" s="356"/>
      <c r="X483" s="356"/>
    </row>
    <row r="484" spans="4:24" x14ac:dyDescent="0.3">
      <c r="D484" s="356" t="s">
        <v>75</v>
      </c>
      <c r="E484" s="356"/>
      <c r="F484" s="356"/>
      <c r="G484" s="356"/>
      <c r="I484" s="48">
        <v>0</v>
      </c>
      <c r="K484" s="48">
        <v>0</v>
      </c>
      <c r="M484" s="40">
        <f t="shared" si="36"/>
        <v>0</v>
      </c>
      <c r="O484" s="40">
        <f t="shared" si="37"/>
        <v>0</v>
      </c>
      <c r="Q484" s="279">
        <f t="shared" si="38"/>
        <v>0</v>
      </c>
      <c r="S484" s="279">
        <f t="shared" si="39"/>
        <v>0</v>
      </c>
      <c r="U484" s="356"/>
      <c r="V484" s="356"/>
      <c r="W484" s="356"/>
      <c r="X484" s="356"/>
    </row>
    <row r="485" spans="4:24" s="277" customFormat="1" x14ac:dyDescent="0.3">
      <c r="D485" s="356" t="s">
        <v>876</v>
      </c>
      <c r="E485" s="356"/>
      <c r="F485" s="356"/>
      <c r="G485" s="356"/>
      <c r="I485" s="48">
        <v>0</v>
      </c>
      <c r="K485" s="48">
        <v>0</v>
      </c>
      <c r="M485" s="279">
        <f t="shared" si="36"/>
        <v>0</v>
      </c>
      <c r="O485" s="279">
        <f t="shared" si="37"/>
        <v>0</v>
      </c>
      <c r="Q485" s="279">
        <f t="shared" si="38"/>
        <v>0</v>
      </c>
      <c r="S485" s="279">
        <f t="shared" si="39"/>
        <v>0</v>
      </c>
      <c r="U485" s="385"/>
      <c r="V485" s="385"/>
      <c r="W485" s="385"/>
      <c r="X485" s="385"/>
    </row>
    <row r="486" spans="4:24" s="277" customFormat="1" x14ac:dyDescent="0.3">
      <c r="D486" s="356" t="s">
        <v>877</v>
      </c>
      <c r="E486" s="356"/>
      <c r="F486" s="356"/>
      <c r="G486" s="356"/>
      <c r="I486" s="48">
        <v>0</v>
      </c>
      <c r="K486" s="48">
        <v>0</v>
      </c>
      <c r="M486" s="279">
        <f t="shared" si="36"/>
        <v>0</v>
      </c>
      <c r="O486" s="279">
        <f t="shared" si="37"/>
        <v>0</v>
      </c>
      <c r="Q486" s="279">
        <f t="shared" si="38"/>
        <v>0</v>
      </c>
      <c r="S486" s="279">
        <f t="shared" si="39"/>
        <v>0</v>
      </c>
      <c r="U486" s="385"/>
      <c r="V486" s="385"/>
      <c r="W486" s="385"/>
      <c r="X486" s="385"/>
    </row>
    <row r="487" spans="4:24" s="277" customFormat="1" x14ac:dyDescent="0.3">
      <c r="D487" s="356" t="s">
        <v>878</v>
      </c>
      <c r="E487" s="356"/>
      <c r="F487" s="356"/>
      <c r="G487" s="356"/>
      <c r="I487" s="48">
        <v>0</v>
      </c>
      <c r="K487" s="48">
        <v>0</v>
      </c>
      <c r="M487" s="279">
        <f t="shared" si="36"/>
        <v>0</v>
      </c>
      <c r="O487" s="279">
        <f t="shared" si="37"/>
        <v>0</v>
      </c>
      <c r="Q487" s="279">
        <f t="shared" si="38"/>
        <v>0</v>
      </c>
      <c r="S487" s="279">
        <f t="shared" si="39"/>
        <v>0</v>
      </c>
      <c r="U487" s="385"/>
      <c r="V487" s="385"/>
      <c r="W487" s="385"/>
      <c r="X487" s="385"/>
    </row>
    <row r="488" spans="4:24" s="277" customFormat="1" x14ac:dyDescent="0.3">
      <c r="D488" s="356" t="s">
        <v>879</v>
      </c>
      <c r="E488" s="356"/>
      <c r="F488" s="356"/>
      <c r="G488" s="356"/>
      <c r="I488" s="48">
        <v>0</v>
      </c>
      <c r="K488" s="48">
        <v>0</v>
      </c>
      <c r="M488" s="279">
        <f t="shared" si="36"/>
        <v>0</v>
      </c>
      <c r="O488" s="279">
        <f t="shared" si="37"/>
        <v>0</v>
      </c>
      <c r="Q488" s="279">
        <f t="shared" si="38"/>
        <v>0</v>
      </c>
      <c r="S488" s="279">
        <f t="shared" si="39"/>
        <v>0</v>
      </c>
      <c r="U488" s="385"/>
      <c r="V488" s="385"/>
      <c r="W488" s="385"/>
      <c r="X488" s="385"/>
    </row>
    <row r="489" spans="4:24" s="277" customFormat="1" x14ac:dyDescent="0.3">
      <c r="D489" s="356" t="s">
        <v>880</v>
      </c>
      <c r="E489" s="356"/>
      <c r="F489" s="356"/>
      <c r="G489" s="356"/>
      <c r="I489" s="48">
        <v>0</v>
      </c>
      <c r="K489" s="48">
        <v>0</v>
      </c>
      <c r="M489" s="279">
        <f t="shared" si="36"/>
        <v>0</v>
      </c>
      <c r="O489" s="279">
        <f t="shared" si="37"/>
        <v>0</v>
      </c>
      <c r="Q489" s="279">
        <f t="shared" si="38"/>
        <v>0</v>
      </c>
      <c r="S489" s="279">
        <f t="shared" si="39"/>
        <v>0</v>
      </c>
      <c r="U489" s="385"/>
      <c r="V489" s="385"/>
      <c r="W489" s="385"/>
      <c r="X489" s="385"/>
    </row>
    <row r="490" spans="4:24" s="277" customFormat="1" x14ac:dyDescent="0.3">
      <c r="D490" s="356" t="s">
        <v>881</v>
      </c>
      <c r="E490" s="356"/>
      <c r="F490" s="356"/>
      <c r="G490" s="356"/>
      <c r="I490" s="48">
        <v>0</v>
      </c>
      <c r="K490" s="48">
        <v>0</v>
      </c>
      <c r="M490" s="279">
        <f t="shared" si="36"/>
        <v>0</v>
      </c>
      <c r="O490" s="279">
        <f t="shared" si="37"/>
        <v>0</v>
      </c>
      <c r="Q490" s="279">
        <f t="shared" si="38"/>
        <v>0</v>
      </c>
      <c r="S490" s="279">
        <f t="shared" si="39"/>
        <v>0</v>
      </c>
      <c r="U490" s="385"/>
      <c r="V490" s="385"/>
      <c r="W490" s="385"/>
      <c r="X490" s="385"/>
    </row>
    <row r="491" spans="4:24" s="277" customFormat="1" x14ac:dyDescent="0.3">
      <c r="D491" s="356" t="s">
        <v>882</v>
      </c>
      <c r="E491" s="356"/>
      <c r="F491" s="356"/>
      <c r="G491" s="356"/>
      <c r="I491" s="48">
        <v>0</v>
      </c>
      <c r="K491" s="48">
        <v>0</v>
      </c>
      <c r="M491" s="279">
        <f t="shared" si="36"/>
        <v>0</v>
      </c>
      <c r="O491" s="279">
        <f t="shared" si="37"/>
        <v>0</v>
      </c>
      <c r="Q491" s="279">
        <f t="shared" si="38"/>
        <v>0</v>
      </c>
      <c r="S491" s="279">
        <f t="shared" si="39"/>
        <v>0</v>
      </c>
      <c r="U491" s="385"/>
      <c r="V491" s="385"/>
      <c r="W491" s="385"/>
      <c r="X491" s="385"/>
    </row>
    <row r="492" spans="4:24" s="277" customFormat="1" x14ac:dyDescent="0.3">
      <c r="D492" s="356" t="s">
        <v>883</v>
      </c>
      <c r="E492" s="356"/>
      <c r="F492" s="356"/>
      <c r="G492" s="356"/>
      <c r="I492" s="48">
        <v>0</v>
      </c>
      <c r="K492" s="48">
        <v>0</v>
      </c>
      <c r="M492" s="279">
        <f t="shared" si="36"/>
        <v>0</v>
      </c>
      <c r="O492" s="279">
        <f t="shared" si="37"/>
        <v>0</v>
      </c>
      <c r="Q492" s="279">
        <f t="shared" si="38"/>
        <v>0</v>
      </c>
      <c r="S492" s="279">
        <f t="shared" si="39"/>
        <v>0</v>
      </c>
      <c r="U492" s="385"/>
      <c r="V492" s="385"/>
      <c r="W492" s="385"/>
      <c r="X492" s="385"/>
    </row>
    <row r="493" spans="4:24" s="277" customFormat="1" x14ac:dyDescent="0.3">
      <c r="D493" s="356" t="s">
        <v>884</v>
      </c>
      <c r="E493" s="356"/>
      <c r="F493" s="356"/>
      <c r="G493" s="356"/>
      <c r="I493" s="48">
        <v>0</v>
      </c>
      <c r="K493" s="48">
        <v>0</v>
      </c>
      <c r="M493" s="279">
        <f t="shared" si="36"/>
        <v>0</v>
      </c>
      <c r="O493" s="279">
        <f t="shared" si="37"/>
        <v>0</v>
      </c>
      <c r="Q493" s="279">
        <f t="shared" si="38"/>
        <v>0</v>
      </c>
      <c r="S493" s="279">
        <f t="shared" si="39"/>
        <v>0</v>
      </c>
      <c r="U493" s="385"/>
      <c r="V493" s="385"/>
      <c r="W493" s="385"/>
      <c r="X493" s="385"/>
    </row>
    <row r="494" spans="4:24" s="277" customFormat="1" x14ac:dyDescent="0.3">
      <c r="D494" s="356" t="s">
        <v>885</v>
      </c>
      <c r="E494" s="356"/>
      <c r="F494" s="356"/>
      <c r="G494" s="356"/>
      <c r="I494" s="48">
        <v>0</v>
      </c>
      <c r="K494" s="48">
        <v>0</v>
      </c>
      <c r="M494" s="279">
        <f t="shared" si="36"/>
        <v>0</v>
      </c>
      <c r="O494" s="279">
        <f t="shared" si="37"/>
        <v>0</v>
      </c>
      <c r="Q494" s="279">
        <f t="shared" si="38"/>
        <v>0</v>
      </c>
      <c r="S494" s="279">
        <f t="shared" si="39"/>
        <v>0</v>
      </c>
      <c r="U494" s="385"/>
      <c r="V494" s="385"/>
      <c r="W494" s="385"/>
      <c r="X494" s="385"/>
    </row>
    <row r="495" spans="4:24" s="277" customFormat="1" x14ac:dyDescent="0.3">
      <c r="D495" s="356" t="s">
        <v>886</v>
      </c>
      <c r="E495" s="356"/>
      <c r="F495" s="356"/>
      <c r="G495" s="356"/>
      <c r="I495" s="48">
        <v>0</v>
      </c>
      <c r="K495" s="48">
        <v>0</v>
      </c>
      <c r="M495" s="279">
        <f t="shared" si="36"/>
        <v>0</v>
      </c>
      <c r="O495" s="279">
        <f t="shared" si="37"/>
        <v>0</v>
      </c>
      <c r="Q495" s="279">
        <f t="shared" si="38"/>
        <v>0</v>
      </c>
      <c r="S495" s="279">
        <f t="shared" si="39"/>
        <v>0</v>
      </c>
      <c r="U495" s="385"/>
      <c r="V495" s="385"/>
      <c r="W495" s="385"/>
      <c r="X495" s="385"/>
    </row>
    <row r="496" spans="4:24" s="277" customFormat="1" x14ac:dyDescent="0.3">
      <c r="D496" s="356" t="s">
        <v>887</v>
      </c>
      <c r="E496" s="356"/>
      <c r="F496" s="356"/>
      <c r="G496" s="356"/>
      <c r="I496" s="48">
        <v>0</v>
      </c>
      <c r="K496" s="48">
        <v>0</v>
      </c>
      <c r="M496" s="279">
        <f t="shared" si="36"/>
        <v>0</v>
      </c>
      <c r="O496" s="279">
        <f t="shared" si="37"/>
        <v>0</v>
      </c>
      <c r="Q496" s="279">
        <f t="shared" si="38"/>
        <v>0</v>
      </c>
      <c r="S496" s="279">
        <f t="shared" si="39"/>
        <v>0</v>
      </c>
      <c r="U496" s="385"/>
      <c r="V496" s="385"/>
      <c r="W496" s="385"/>
      <c r="X496" s="385"/>
    </row>
    <row r="497" spans="2:24" s="277" customFormat="1" x14ac:dyDescent="0.3">
      <c r="D497" s="356" t="s">
        <v>888</v>
      </c>
      <c r="E497" s="356"/>
      <c r="F497" s="356"/>
      <c r="G497" s="356"/>
      <c r="I497" s="48">
        <v>0</v>
      </c>
      <c r="K497" s="48">
        <v>0</v>
      </c>
      <c r="M497" s="279">
        <f t="shared" si="36"/>
        <v>0</v>
      </c>
      <c r="O497" s="279">
        <f t="shared" si="37"/>
        <v>0</v>
      </c>
      <c r="Q497" s="279">
        <f t="shared" si="38"/>
        <v>0</v>
      </c>
      <c r="S497" s="279">
        <f t="shared" si="39"/>
        <v>0</v>
      </c>
      <c r="U497" s="385"/>
      <c r="V497" s="385"/>
      <c r="W497" s="385"/>
      <c r="X497" s="385"/>
    </row>
    <row r="498" spans="2:24" s="277" customFormat="1" x14ac:dyDescent="0.3">
      <c r="D498" s="356" t="s">
        <v>889</v>
      </c>
      <c r="E498" s="356"/>
      <c r="F498" s="356"/>
      <c r="G498" s="356"/>
      <c r="I498" s="48">
        <v>0</v>
      </c>
      <c r="K498" s="48">
        <v>0</v>
      </c>
      <c r="M498" s="279">
        <f t="shared" si="36"/>
        <v>0</v>
      </c>
      <c r="O498" s="279">
        <f t="shared" si="37"/>
        <v>0</v>
      </c>
      <c r="Q498" s="279">
        <f t="shared" si="38"/>
        <v>0</v>
      </c>
      <c r="S498" s="279">
        <f t="shared" si="39"/>
        <v>0</v>
      </c>
      <c r="U498" s="385"/>
      <c r="V498" s="385"/>
      <c r="W498" s="385"/>
      <c r="X498" s="385"/>
    </row>
    <row r="499" spans="2:24" s="277" customFormat="1" x14ac:dyDescent="0.3">
      <c r="D499" s="356" t="s">
        <v>890</v>
      </c>
      <c r="E499" s="356"/>
      <c r="F499" s="356"/>
      <c r="G499" s="356"/>
      <c r="I499" s="48">
        <v>0</v>
      </c>
      <c r="K499" s="48">
        <v>0</v>
      </c>
      <c r="M499" s="279">
        <f t="shared" si="36"/>
        <v>0</v>
      </c>
      <c r="O499" s="279">
        <f t="shared" si="37"/>
        <v>0</v>
      </c>
      <c r="Q499" s="279">
        <f t="shared" si="38"/>
        <v>0</v>
      </c>
      <c r="S499" s="279">
        <f t="shared" si="39"/>
        <v>0</v>
      </c>
      <c r="U499" s="385"/>
      <c r="V499" s="385"/>
      <c r="W499" s="385"/>
      <c r="X499" s="385"/>
    </row>
    <row r="500" spans="2:24" s="277" customFormat="1" x14ac:dyDescent="0.3">
      <c r="D500" s="356" t="s">
        <v>986</v>
      </c>
      <c r="E500" s="356"/>
      <c r="F500" s="356"/>
      <c r="G500" s="356"/>
      <c r="I500" s="48">
        <v>0</v>
      </c>
      <c r="K500" s="48">
        <v>0</v>
      </c>
      <c r="M500" s="279">
        <f t="shared" si="36"/>
        <v>0</v>
      </c>
      <c r="O500" s="279">
        <f t="shared" si="37"/>
        <v>0</v>
      </c>
      <c r="Q500" s="279">
        <f t="shared" si="38"/>
        <v>0</v>
      </c>
      <c r="S500" s="279">
        <f t="shared" si="39"/>
        <v>0</v>
      </c>
      <c r="U500" s="385"/>
      <c r="V500" s="385"/>
      <c r="W500" s="385"/>
      <c r="X500" s="385"/>
    </row>
    <row r="501" spans="2:24" s="277" customFormat="1" x14ac:dyDescent="0.3">
      <c r="D501" s="356" t="s">
        <v>987</v>
      </c>
      <c r="E501" s="356"/>
      <c r="F501" s="356"/>
      <c r="G501" s="356"/>
      <c r="I501" s="48">
        <v>0</v>
      </c>
      <c r="K501" s="48">
        <v>0</v>
      </c>
      <c r="M501" s="279">
        <f t="shared" si="36"/>
        <v>0</v>
      </c>
      <c r="O501" s="279">
        <f t="shared" si="37"/>
        <v>0</v>
      </c>
      <c r="Q501" s="279">
        <f t="shared" si="38"/>
        <v>0</v>
      </c>
      <c r="S501" s="279">
        <f t="shared" si="39"/>
        <v>0</v>
      </c>
      <c r="U501" s="385"/>
      <c r="V501" s="385"/>
      <c r="W501" s="385"/>
      <c r="X501" s="385"/>
    </row>
    <row r="502" spans="2:24" s="277" customFormat="1" x14ac:dyDescent="0.3">
      <c r="D502" s="356" t="s">
        <v>988</v>
      </c>
      <c r="E502" s="356"/>
      <c r="F502" s="356"/>
      <c r="G502" s="356"/>
      <c r="I502" s="48">
        <v>0</v>
      </c>
      <c r="K502" s="48">
        <v>0</v>
      </c>
      <c r="M502" s="279">
        <f t="shared" si="36"/>
        <v>0</v>
      </c>
      <c r="O502" s="279">
        <f t="shared" si="37"/>
        <v>0</v>
      </c>
      <c r="Q502" s="279">
        <f t="shared" si="38"/>
        <v>0</v>
      </c>
      <c r="S502" s="279">
        <f t="shared" si="39"/>
        <v>0</v>
      </c>
      <c r="U502" s="385"/>
      <c r="V502" s="385"/>
      <c r="W502" s="385"/>
      <c r="X502" s="385"/>
    </row>
    <row r="503" spans="2:24" s="277" customFormat="1" x14ac:dyDescent="0.3">
      <c r="D503" s="356" t="s">
        <v>989</v>
      </c>
      <c r="E503" s="356"/>
      <c r="F503" s="356"/>
      <c r="G503" s="356"/>
      <c r="I503" s="48">
        <v>0</v>
      </c>
      <c r="K503" s="48">
        <v>0</v>
      </c>
      <c r="M503" s="279">
        <f t="shared" si="36"/>
        <v>0</v>
      </c>
      <c r="O503" s="279">
        <f t="shared" si="37"/>
        <v>0</v>
      </c>
      <c r="Q503" s="279">
        <f t="shared" si="38"/>
        <v>0</v>
      </c>
      <c r="S503" s="279">
        <f t="shared" si="39"/>
        <v>0</v>
      </c>
      <c r="U503" s="385"/>
      <c r="V503" s="385"/>
      <c r="W503" s="385"/>
      <c r="X503" s="385"/>
    </row>
    <row r="504" spans="2:24" s="277" customFormat="1" x14ac:dyDescent="0.3">
      <c r="D504" s="356" t="s">
        <v>990</v>
      </c>
      <c r="E504" s="356"/>
      <c r="F504" s="356"/>
      <c r="G504" s="356"/>
      <c r="I504" s="48">
        <v>0</v>
      </c>
      <c r="K504" s="48">
        <v>0</v>
      </c>
      <c r="M504" s="279">
        <f t="shared" si="36"/>
        <v>0</v>
      </c>
      <c r="O504" s="279">
        <f t="shared" si="37"/>
        <v>0</v>
      </c>
      <c r="Q504" s="279">
        <f t="shared" si="38"/>
        <v>0</v>
      </c>
      <c r="S504" s="279">
        <f t="shared" si="39"/>
        <v>0</v>
      </c>
      <c r="U504" s="385"/>
      <c r="V504" s="385"/>
      <c r="W504" s="385"/>
      <c r="X504" s="385"/>
    </row>
    <row r="505" spans="2:24" ht="14.4" x14ac:dyDescent="0.3">
      <c r="D505" s="420" t="s">
        <v>90</v>
      </c>
      <c r="E505" s="421"/>
      <c r="F505" s="421"/>
      <c r="G505" s="421"/>
      <c r="I505" s="40"/>
      <c r="K505" s="40">
        <f>SUM(K480:K504)</f>
        <v>0</v>
      </c>
      <c r="M505" s="40"/>
      <c r="O505" s="40"/>
      <c r="Q505" s="294">
        <f>SUM(Q480:Q504)</f>
        <v>0</v>
      </c>
      <c r="S505" s="294">
        <f>SUM(S480:S504)</f>
        <v>0</v>
      </c>
    </row>
    <row r="507" spans="2:24" ht="27.6" x14ac:dyDescent="0.3">
      <c r="Q507" s="44" t="str">
        <f>"FINANCIAL COST ("&amp;INDEX(LU_ACT_15_Meet_Curr,DD_ACT_15_Meet1_Curr)&amp;")"</f>
        <v>FINANCIAL COST (GOZ)</v>
      </c>
      <c r="S507" s="44" t="str">
        <f>"ECONOMIC COST ("&amp;INDEX(LU_ACT_15_Meet_Curr,DD_ACT_15_Meet1_Curr)&amp;")"</f>
        <v>ECONOMIC COST (GOZ)</v>
      </c>
      <c r="U507" s="44" t="str">
        <f>"FINANCIAL COST ("&amp;IF(DD_ACT_15_Meet1_Curr=2,$D$512,$D$513)&amp;")"</f>
        <v>FINANCIAL COST (USD)</v>
      </c>
      <c r="W507" s="44" t="str">
        <f>"ECONOMIC COST ("&amp;IF(DD_ACT_15_Meet1_Curr=2,$D$512,$D$513)&amp;")"</f>
        <v>ECONOMIC COST (USD)</v>
      </c>
    </row>
    <row r="508" spans="2:24" ht="18.600000000000001" thickBot="1" x14ac:dyDescent="0.35">
      <c r="B508" s="99" t="s">
        <v>91</v>
      </c>
      <c r="Q508" s="46">
        <f>SUM(Q386,Q415,Q446,Q475,Q505)</f>
        <v>0</v>
      </c>
      <c r="S508" s="46">
        <f>SUM(S386,S415,S446,S475,S505)</f>
        <v>0</v>
      </c>
      <c r="U508" s="47">
        <f>IFERROR(IF(DD_ACT_15_Meet1_Curr=2,$Q508/$I$513,$Q508*$I$513), 0)</f>
        <v>0</v>
      </c>
      <c r="W508" s="47">
        <f>IFERROR(IF(DD_ACT_15_Meet1_Curr=2,$S508/$I$513,$S508*$I$513), 0)</f>
        <v>0</v>
      </c>
    </row>
    <row r="509" spans="2:24" ht="14.4" thickTop="1" x14ac:dyDescent="0.3"/>
    <row r="510" spans="2:24" x14ac:dyDescent="0.3">
      <c r="C510" s="91" t="s">
        <v>584</v>
      </c>
    </row>
    <row r="511" spans="2:24" hidden="1" outlineLevel="1" x14ac:dyDescent="0.3"/>
    <row r="512" spans="2:24" ht="12.9" hidden="1" customHeight="1" outlineLevel="1" x14ac:dyDescent="0.3">
      <c r="D512" s="422" t="str">
        <f>CURR_TA!D13</f>
        <v>USD</v>
      </c>
      <c r="E512" s="423"/>
      <c r="F512" s="423"/>
      <c r="G512" s="423"/>
      <c r="I512" s="279">
        <f>CURR_TA!J13</f>
        <v>1</v>
      </c>
      <c r="J512" s="279">
        <f>CURR_TA!K13</f>
        <v>0</v>
      </c>
      <c r="K512" s="279">
        <f>CURR_TA!L13</f>
        <v>0</v>
      </c>
      <c r="L512" s="279">
        <f>CURR_TA!M13</f>
        <v>0</v>
      </c>
    </row>
    <row r="513" spans="3:19" ht="12.9" hidden="1" customHeight="1" outlineLevel="1" x14ac:dyDescent="0.3">
      <c r="D513" s="422" t="str">
        <f>CURR_TA!D14</f>
        <v>GOZ</v>
      </c>
      <c r="E513" s="423"/>
      <c r="F513" s="423"/>
      <c r="G513" s="423"/>
      <c r="I513" s="279">
        <f>CURR_TA!J14</f>
        <v>0</v>
      </c>
      <c r="J513" s="279">
        <f>CURR_TA!K14</f>
        <v>0</v>
      </c>
      <c r="K513" s="279">
        <f>CURR_TA!L14</f>
        <v>0</v>
      </c>
      <c r="L513" s="279">
        <f>CURR_TA!M14</f>
        <v>0</v>
      </c>
    </row>
    <row r="514" spans="3:19" collapsed="1" x14ac:dyDescent="0.3"/>
    <row r="516" spans="3:19" x14ac:dyDescent="0.3">
      <c r="C516" s="91" t="s">
        <v>590</v>
      </c>
    </row>
    <row r="517" spans="3:19" hidden="1" outlineLevel="1" x14ac:dyDescent="0.3">
      <c r="M517" s="40" t="str">
        <f>$D$512</f>
        <v>USD</v>
      </c>
      <c r="O517" s="40" t="str">
        <f>$D$512</f>
        <v>USD</v>
      </c>
      <c r="Q517" s="40" t="str">
        <f>$D$513</f>
        <v>GOZ</v>
      </c>
      <c r="S517" s="40" t="str">
        <f>$D$513</f>
        <v>GOZ</v>
      </c>
    </row>
    <row r="518" spans="3:19" hidden="1" outlineLevel="1" x14ac:dyDescent="0.3">
      <c r="C518" s="89" t="str">
        <f>RES_BA!D14</f>
        <v>Personnel Cadre - Other 1</v>
      </c>
      <c r="M518" s="40">
        <f>RES_BA!R14</f>
        <v>0</v>
      </c>
      <c r="O518" s="40">
        <f>RES_BA!S14</f>
        <v>0</v>
      </c>
      <c r="Q518" s="40">
        <f>RES_BA!T14</f>
        <v>0</v>
      </c>
      <c r="S518" s="40">
        <f>RES_BA!U14</f>
        <v>0</v>
      </c>
    </row>
    <row r="519" spans="3:19" hidden="1" outlineLevel="1" x14ac:dyDescent="0.3">
      <c r="C519" s="89" t="str">
        <f>RES_BA!D15</f>
        <v>Personnel Cadre - Other 2</v>
      </c>
      <c r="M519" s="40">
        <f>RES_BA!R15</f>
        <v>0</v>
      </c>
      <c r="O519" s="40">
        <f>RES_BA!S15</f>
        <v>0</v>
      </c>
      <c r="Q519" s="40">
        <f>RES_BA!T15</f>
        <v>0</v>
      </c>
      <c r="S519" s="40">
        <f>RES_BA!U15</f>
        <v>0</v>
      </c>
    </row>
    <row r="520" spans="3:19" hidden="1" outlineLevel="1" x14ac:dyDescent="0.3">
      <c r="C520" s="89" t="str">
        <f>RES_BA!D16</f>
        <v>Personnel Cadre - Other 3</v>
      </c>
      <c r="M520" s="40">
        <f>RES_BA!R16</f>
        <v>0</v>
      </c>
      <c r="O520" s="40">
        <f>RES_BA!S16</f>
        <v>0</v>
      </c>
      <c r="Q520" s="40">
        <f>RES_BA!T16</f>
        <v>0</v>
      </c>
      <c r="S520" s="40">
        <f>RES_BA!U16</f>
        <v>0</v>
      </c>
    </row>
    <row r="521" spans="3:19" hidden="1" outlineLevel="1" x14ac:dyDescent="0.3">
      <c r="C521" s="89" t="str">
        <f>RES_BA!D17</f>
        <v>Personnel Cadre - Other 4</v>
      </c>
      <c r="M521" s="40">
        <f>RES_BA!R17</f>
        <v>0</v>
      </c>
      <c r="O521" s="40">
        <f>RES_BA!S17</f>
        <v>0</v>
      </c>
      <c r="Q521" s="40">
        <f>RES_BA!T17</f>
        <v>0</v>
      </c>
      <c r="S521" s="40">
        <f>RES_BA!U17</f>
        <v>0</v>
      </c>
    </row>
    <row r="522" spans="3:19" hidden="1" outlineLevel="1" x14ac:dyDescent="0.3">
      <c r="C522" s="89" t="str">
        <f>RES_BA!D18</f>
        <v>Personnel Cadre - Other 5</v>
      </c>
      <c r="M522" s="40">
        <f>RES_BA!R18</f>
        <v>0</v>
      </c>
      <c r="O522" s="40">
        <f>RES_BA!S18</f>
        <v>0</v>
      </c>
      <c r="Q522" s="40">
        <f>RES_BA!T18</f>
        <v>0</v>
      </c>
      <c r="S522" s="40">
        <f>RES_BA!U18</f>
        <v>0</v>
      </c>
    </row>
    <row r="523" spans="3:19" hidden="1" outlineLevel="1" x14ac:dyDescent="0.3">
      <c r="C523" s="89" t="str">
        <f>RES_BA!D19</f>
        <v>Personnel Cadre - Other 6</v>
      </c>
      <c r="M523" s="40">
        <f>RES_BA!R19</f>
        <v>0</v>
      </c>
      <c r="O523" s="40">
        <f>RES_BA!S19</f>
        <v>0</v>
      </c>
      <c r="Q523" s="40">
        <f>RES_BA!T19</f>
        <v>0</v>
      </c>
      <c r="S523" s="40">
        <f>RES_BA!U19</f>
        <v>0</v>
      </c>
    </row>
    <row r="524" spans="3:19" hidden="1" outlineLevel="1" x14ac:dyDescent="0.3">
      <c r="C524" s="89" t="str">
        <f>RES_BA!D20</f>
        <v>Personnel Cadre - Other 7</v>
      </c>
      <c r="M524" s="40">
        <f>RES_BA!R20</f>
        <v>0</v>
      </c>
      <c r="O524" s="40">
        <f>RES_BA!S20</f>
        <v>0</v>
      </c>
      <c r="Q524" s="40">
        <f>RES_BA!T20</f>
        <v>0</v>
      </c>
      <c r="S524" s="40">
        <f>RES_BA!U20</f>
        <v>0</v>
      </c>
    </row>
    <row r="525" spans="3:19" hidden="1" outlineLevel="1" x14ac:dyDescent="0.3">
      <c r="C525" s="89" t="str">
        <f>RES_BA!D21</f>
        <v>Personnel Cadre - Other 8</v>
      </c>
      <c r="M525" s="40">
        <f>RES_BA!R21</f>
        <v>0</v>
      </c>
      <c r="O525" s="40">
        <f>RES_BA!S21</f>
        <v>0</v>
      </c>
      <c r="Q525" s="40">
        <f>RES_BA!T21</f>
        <v>0</v>
      </c>
      <c r="S525" s="40">
        <f>RES_BA!U21</f>
        <v>0</v>
      </c>
    </row>
    <row r="526" spans="3:19" hidden="1" outlineLevel="1" x14ac:dyDescent="0.3">
      <c r="C526" s="89" t="str">
        <f>RES_BA!D22</f>
        <v>Personnel Cadre - Other 9</v>
      </c>
      <c r="M526" s="40">
        <f>RES_BA!R22</f>
        <v>0</v>
      </c>
      <c r="O526" s="40">
        <f>RES_BA!S22</f>
        <v>0</v>
      </c>
      <c r="Q526" s="40">
        <f>RES_BA!T22</f>
        <v>0</v>
      </c>
      <c r="S526" s="40">
        <f>RES_BA!U22</f>
        <v>0</v>
      </c>
    </row>
    <row r="527" spans="3:19" hidden="1" outlineLevel="1" x14ac:dyDescent="0.3">
      <c r="C527" s="89" t="str">
        <f>RES_BA!D23</f>
        <v>Personnel Cadre - Other 10</v>
      </c>
      <c r="M527" s="40">
        <f>RES_BA!R23</f>
        <v>0</v>
      </c>
      <c r="O527" s="40">
        <f>RES_BA!S23</f>
        <v>0</v>
      </c>
      <c r="Q527" s="40">
        <f>RES_BA!T23</f>
        <v>0</v>
      </c>
      <c r="S527" s="40">
        <f>RES_BA!U23</f>
        <v>0</v>
      </c>
    </row>
    <row r="528" spans="3:19" hidden="1" outlineLevel="1" x14ac:dyDescent="0.3">
      <c r="C528" s="89" t="str">
        <f>RES_BA!D24</f>
        <v>Personnel Cadre - Other 11</v>
      </c>
      <c r="M528" s="40">
        <f>RES_BA!R24</f>
        <v>0</v>
      </c>
      <c r="O528" s="40">
        <f>RES_BA!S24</f>
        <v>0</v>
      </c>
      <c r="Q528" s="40">
        <f>RES_BA!T24</f>
        <v>0</v>
      </c>
      <c r="S528" s="40">
        <f>RES_BA!U24</f>
        <v>0</v>
      </c>
    </row>
    <row r="529" spans="3:19" hidden="1" outlineLevel="1" x14ac:dyDescent="0.3">
      <c r="C529" s="89" t="str">
        <f>RES_BA!D25</f>
        <v>Personnel Cadre - Other 12</v>
      </c>
      <c r="M529" s="40">
        <f>RES_BA!R25</f>
        <v>0</v>
      </c>
      <c r="O529" s="40">
        <f>RES_BA!S25</f>
        <v>0</v>
      </c>
      <c r="Q529" s="40">
        <f>RES_BA!T25</f>
        <v>0</v>
      </c>
      <c r="S529" s="40">
        <f>RES_BA!U25</f>
        <v>0</v>
      </c>
    </row>
    <row r="530" spans="3:19" hidden="1" outlineLevel="1" x14ac:dyDescent="0.3">
      <c r="C530" s="89" t="str">
        <f>RES_BA!D26</f>
        <v>Personnel Cadre - Other 13</v>
      </c>
      <c r="M530" s="40">
        <f>RES_BA!R26</f>
        <v>0</v>
      </c>
      <c r="O530" s="40">
        <f>RES_BA!S26</f>
        <v>0</v>
      </c>
      <c r="Q530" s="40">
        <f>RES_BA!T26</f>
        <v>0</v>
      </c>
      <c r="S530" s="40">
        <f>RES_BA!U26</f>
        <v>0</v>
      </c>
    </row>
    <row r="531" spans="3:19" hidden="1" outlineLevel="1" x14ac:dyDescent="0.3">
      <c r="C531" s="89" t="str">
        <f>RES_BA!D27</f>
        <v>Personnel Cadre - Other 14</v>
      </c>
      <c r="M531" s="40">
        <f>RES_BA!R27</f>
        <v>0</v>
      </c>
      <c r="O531" s="40">
        <f>RES_BA!S27</f>
        <v>0</v>
      </c>
      <c r="Q531" s="40">
        <f>RES_BA!T27</f>
        <v>0</v>
      </c>
      <c r="S531" s="40">
        <f>RES_BA!U27</f>
        <v>0</v>
      </c>
    </row>
    <row r="532" spans="3:19" hidden="1" outlineLevel="1" x14ac:dyDescent="0.3">
      <c r="C532" s="89" t="str">
        <f>RES_BA!D28</f>
        <v>Personnel Cadre - Other 15</v>
      </c>
      <c r="M532" s="40">
        <f>RES_BA!R28</f>
        <v>0</v>
      </c>
      <c r="O532" s="40">
        <f>RES_BA!S28</f>
        <v>0</v>
      </c>
      <c r="Q532" s="40">
        <f>RES_BA!T28</f>
        <v>0</v>
      </c>
      <c r="S532" s="40">
        <f>RES_BA!U28</f>
        <v>0</v>
      </c>
    </row>
    <row r="533" spans="3:19" s="277" customFormat="1" hidden="1" outlineLevel="1" collapsed="1" x14ac:dyDescent="0.3">
      <c r="C533" s="283" t="str">
        <f>RES_BA!D29</f>
        <v>Personnel Cadre - Other 16</v>
      </c>
      <c r="M533" s="279">
        <f>RES_BA!R29</f>
        <v>0</v>
      </c>
      <c r="O533" s="279">
        <f>RES_BA!S29</f>
        <v>0</v>
      </c>
      <c r="Q533" s="279">
        <f>RES_BA!T29</f>
        <v>0</v>
      </c>
      <c r="S533" s="279">
        <f>RES_BA!U29</f>
        <v>0</v>
      </c>
    </row>
    <row r="534" spans="3:19" s="277" customFormat="1" hidden="1" outlineLevel="1" collapsed="1" x14ac:dyDescent="0.3">
      <c r="C534" s="283" t="str">
        <f>RES_BA!D30</f>
        <v>Personnel Cadre - Other 17</v>
      </c>
      <c r="M534" s="279">
        <f>RES_BA!R30</f>
        <v>0</v>
      </c>
      <c r="O534" s="279">
        <f>RES_BA!S30</f>
        <v>0</v>
      </c>
      <c r="Q534" s="279">
        <f>RES_BA!T30</f>
        <v>0</v>
      </c>
      <c r="S534" s="279">
        <f>RES_BA!U30</f>
        <v>0</v>
      </c>
    </row>
    <row r="535" spans="3:19" s="277" customFormat="1" hidden="1" outlineLevel="1" collapsed="1" x14ac:dyDescent="0.3">
      <c r="C535" s="283" t="str">
        <f>RES_BA!D31</f>
        <v>Personnel Cadre - Other 18</v>
      </c>
      <c r="M535" s="279">
        <f>RES_BA!R31</f>
        <v>0</v>
      </c>
      <c r="O535" s="279">
        <f>RES_BA!S31</f>
        <v>0</v>
      </c>
      <c r="Q535" s="279">
        <f>RES_BA!T31</f>
        <v>0</v>
      </c>
      <c r="S535" s="279">
        <f>RES_BA!U31</f>
        <v>0</v>
      </c>
    </row>
    <row r="536" spans="3:19" s="277" customFormat="1" hidden="1" outlineLevel="1" x14ac:dyDescent="0.3">
      <c r="C536" s="283" t="str">
        <f>RES_BA!D32</f>
        <v>Personnel Cadre - Other 19</v>
      </c>
      <c r="M536" s="279">
        <f>RES_BA!R32</f>
        <v>0</v>
      </c>
      <c r="O536" s="279">
        <f>RES_BA!S32</f>
        <v>0</v>
      </c>
      <c r="Q536" s="279">
        <f>RES_BA!T32</f>
        <v>0</v>
      </c>
      <c r="S536" s="279">
        <f>RES_BA!U32</f>
        <v>0</v>
      </c>
    </row>
    <row r="537" spans="3:19" s="277" customFormat="1" hidden="1" outlineLevel="1" x14ac:dyDescent="0.3">
      <c r="C537" s="283" t="str">
        <f>RES_BA!D33</f>
        <v>Personnel Cadre - Other 20</v>
      </c>
      <c r="M537" s="279">
        <f>RES_BA!R33</f>
        <v>0</v>
      </c>
      <c r="O537" s="279">
        <f>RES_BA!S33</f>
        <v>0</v>
      </c>
      <c r="Q537" s="279">
        <f>RES_BA!T33</f>
        <v>0</v>
      </c>
      <c r="S537" s="279">
        <f>RES_BA!U33</f>
        <v>0</v>
      </c>
    </row>
    <row r="538" spans="3:19" s="277" customFormat="1" hidden="1" outlineLevel="1" collapsed="1" x14ac:dyDescent="0.3">
      <c r="C538" s="283" t="str">
        <f>RES_BA!D34</f>
        <v>Personnel Cadre - Other 21</v>
      </c>
      <c r="M538" s="279">
        <f>RES_BA!R34</f>
        <v>0</v>
      </c>
      <c r="O538" s="279">
        <f>RES_BA!S34</f>
        <v>0</v>
      </c>
      <c r="Q538" s="279">
        <f>RES_BA!T34</f>
        <v>0</v>
      </c>
      <c r="S538" s="279">
        <f>RES_BA!U34</f>
        <v>0</v>
      </c>
    </row>
    <row r="539" spans="3:19" s="277" customFormat="1" hidden="1" outlineLevel="1" x14ac:dyDescent="0.3">
      <c r="C539" s="283" t="str">
        <f>RES_BA!D35</f>
        <v>Personnel Cadre - Other 22</v>
      </c>
      <c r="M539" s="279">
        <f>RES_BA!R35</f>
        <v>0</v>
      </c>
      <c r="O539" s="279">
        <f>RES_BA!S35</f>
        <v>0</v>
      </c>
      <c r="Q539" s="279">
        <f>RES_BA!T35</f>
        <v>0</v>
      </c>
      <c r="S539" s="279">
        <f>RES_BA!U35</f>
        <v>0</v>
      </c>
    </row>
    <row r="540" spans="3:19" s="277" customFormat="1" hidden="1" outlineLevel="1" x14ac:dyDescent="0.3">
      <c r="C540" s="283" t="str">
        <f>RES_BA!D36</f>
        <v>Personnel Cadre - Other 23</v>
      </c>
      <c r="M540" s="279">
        <f>RES_BA!R36</f>
        <v>0</v>
      </c>
      <c r="O540" s="279">
        <f>RES_BA!S36</f>
        <v>0</v>
      </c>
      <c r="Q540" s="279">
        <f>RES_BA!T36</f>
        <v>0</v>
      </c>
      <c r="S540" s="279">
        <f>RES_BA!U36</f>
        <v>0</v>
      </c>
    </row>
    <row r="541" spans="3:19" s="277" customFormat="1" hidden="1" outlineLevel="1" x14ac:dyDescent="0.3">
      <c r="C541" s="283" t="str">
        <f>RES_BA!D37</f>
        <v>Personnel Cadre - Other 24</v>
      </c>
      <c r="M541" s="279">
        <f>RES_BA!R37</f>
        <v>0</v>
      </c>
      <c r="O541" s="279">
        <f>RES_BA!S37</f>
        <v>0</v>
      </c>
      <c r="Q541" s="279">
        <f>RES_BA!T37</f>
        <v>0</v>
      </c>
      <c r="S541" s="279">
        <f>RES_BA!U37</f>
        <v>0</v>
      </c>
    </row>
    <row r="542" spans="3:19" s="277" customFormat="1" hidden="1" outlineLevel="1" x14ac:dyDescent="0.3">
      <c r="C542" s="283" t="str">
        <f>RES_BA!D38</f>
        <v>Personnel Cadre - Other 25</v>
      </c>
      <c r="M542" s="279">
        <f>RES_BA!R38</f>
        <v>0</v>
      </c>
      <c r="O542" s="279">
        <f>RES_BA!S38</f>
        <v>0</v>
      </c>
      <c r="Q542" s="279">
        <f>RES_BA!T38</f>
        <v>0</v>
      </c>
      <c r="S542" s="279">
        <f>RES_BA!U38</f>
        <v>0</v>
      </c>
    </row>
    <row r="543" spans="3:19" s="277" customFormat="1" hidden="1" outlineLevel="1" x14ac:dyDescent="0.3">
      <c r="C543" s="283" t="str">
        <f>RES_BA!D39</f>
        <v>Personnel Cadre - Other 26</v>
      </c>
      <c r="M543" s="279">
        <f>RES_BA!R39</f>
        <v>0</v>
      </c>
      <c r="O543" s="279">
        <f>RES_BA!S39</f>
        <v>0</v>
      </c>
      <c r="Q543" s="279">
        <f>RES_BA!T39</f>
        <v>0</v>
      </c>
      <c r="S543" s="279">
        <f>RES_BA!U39</f>
        <v>0</v>
      </c>
    </row>
    <row r="544" spans="3:19" s="277" customFormat="1" hidden="1" outlineLevel="1" x14ac:dyDescent="0.3">
      <c r="C544" s="283" t="str">
        <f>RES_BA!D40</f>
        <v>Personnel Cadre - Other 27</v>
      </c>
      <c r="M544" s="279">
        <f>RES_BA!R40</f>
        <v>0</v>
      </c>
      <c r="O544" s="279">
        <f>RES_BA!S40</f>
        <v>0</v>
      </c>
      <c r="Q544" s="279">
        <f>RES_BA!T40</f>
        <v>0</v>
      </c>
      <c r="S544" s="279">
        <f>RES_BA!U40</f>
        <v>0</v>
      </c>
    </row>
    <row r="545" spans="3:19" s="277" customFormat="1" hidden="1" outlineLevel="1" x14ac:dyDescent="0.3">
      <c r="C545" s="283" t="str">
        <f>RES_BA!D41</f>
        <v>Personnel Cadre - Other 28</v>
      </c>
      <c r="M545" s="279">
        <f>RES_BA!R41</f>
        <v>0</v>
      </c>
      <c r="O545" s="279">
        <f>RES_BA!S41</f>
        <v>0</v>
      </c>
      <c r="Q545" s="279">
        <f>RES_BA!T41</f>
        <v>0</v>
      </c>
      <c r="S545" s="279">
        <f>RES_BA!U41</f>
        <v>0</v>
      </c>
    </row>
    <row r="546" spans="3:19" s="277" customFormat="1" hidden="1" outlineLevel="1" x14ac:dyDescent="0.3">
      <c r="C546" s="283" t="str">
        <f>RES_BA!D42</f>
        <v>Personnel Cadre - Other 29</v>
      </c>
      <c r="M546" s="279">
        <f>RES_BA!R42</f>
        <v>0</v>
      </c>
      <c r="O546" s="279">
        <f>RES_BA!S42</f>
        <v>0</v>
      </c>
      <c r="Q546" s="279">
        <f>RES_BA!T42</f>
        <v>0</v>
      </c>
      <c r="S546" s="279">
        <f>RES_BA!U42</f>
        <v>0</v>
      </c>
    </row>
    <row r="547" spans="3:19" s="277" customFormat="1" hidden="1" outlineLevel="1" x14ac:dyDescent="0.3">
      <c r="C547" s="283" t="str">
        <f>RES_BA!D43</f>
        <v>Personnel Cadre - Other 30</v>
      </c>
      <c r="M547" s="279">
        <f>RES_BA!R43</f>
        <v>0</v>
      </c>
      <c r="O547" s="279">
        <f>RES_BA!S43</f>
        <v>0</v>
      </c>
      <c r="Q547" s="279">
        <f>RES_BA!T43</f>
        <v>0</v>
      </c>
      <c r="S547" s="279">
        <f>RES_BA!U43</f>
        <v>0</v>
      </c>
    </row>
    <row r="548" spans="3:19" s="277" customFormat="1" hidden="1" outlineLevel="1" x14ac:dyDescent="0.3">
      <c r="C548" s="283" t="str">
        <f>RES_BA!D44</f>
        <v>Personnel Cadre - Other 31</v>
      </c>
      <c r="M548" s="279">
        <f>RES_BA!R44</f>
        <v>0</v>
      </c>
      <c r="O548" s="279">
        <f>RES_BA!S44</f>
        <v>0</v>
      </c>
      <c r="Q548" s="279">
        <f>RES_BA!T44</f>
        <v>0</v>
      </c>
      <c r="S548" s="279">
        <f>RES_BA!U44</f>
        <v>0</v>
      </c>
    </row>
    <row r="549" spans="3:19" s="277" customFormat="1" hidden="1" outlineLevel="1" x14ac:dyDescent="0.3">
      <c r="C549" s="283" t="str">
        <f>RES_BA!D45</f>
        <v>Personnel Cadre - Other 32</v>
      </c>
      <c r="M549" s="279">
        <f>RES_BA!R45</f>
        <v>0</v>
      </c>
      <c r="O549" s="279">
        <f>RES_BA!S45</f>
        <v>0</v>
      </c>
      <c r="Q549" s="279">
        <f>RES_BA!T45</f>
        <v>0</v>
      </c>
      <c r="S549" s="279">
        <f>RES_BA!U45</f>
        <v>0</v>
      </c>
    </row>
    <row r="550" spans="3:19" s="277" customFormat="1" hidden="1" outlineLevel="1" x14ac:dyDescent="0.3">
      <c r="C550" s="283" t="str">
        <f>RES_BA!D46</f>
        <v>Personnel Cadre - Other 33</v>
      </c>
      <c r="M550" s="279">
        <f>RES_BA!R46</f>
        <v>0</v>
      </c>
      <c r="O550" s="279">
        <f>RES_BA!S46</f>
        <v>0</v>
      </c>
      <c r="Q550" s="279">
        <f>RES_BA!T46</f>
        <v>0</v>
      </c>
      <c r="S550" s="279">
        <f>RES_BA!U46</f>
        <v>0</v>
      </c>
    </row>
    <row r="551" spans="3:19" s="277" customFormat="1" hidden="1" outlineLevel="1" x14ac:dyDescent="0.3">
      <c r="C551" s="283" t="str">
        <f>RES_BA!D47</f>
        <v>Personnel Cadre - Other 34</v>
      </c>
      <c r="M551" s="279">
        <f>RES_BA!R47</f>
        <v>0</v>
      </c>
      <c r="O551" s="279">
        <f>RES_BA!S47</f>
        <v>0</v>
      </c>
      <c r="Q551" s="279">
        <f>RES_BA!T47</f>
        <v>0</v>
      </c>
      <c r="S551" s="279">
        <f>RES_BA!U47</f>
        <v>0</v>
      </c>
    </row>
    <row r="552" spans="3:19" s="277" customFormat="1" hidden="1" outlineLevel="1" x14ac:dyDescent="0.3">
      <c r="C552" s="283" t="str">
        <f>RES_BA!D48</f>
        <v>Personnel Cadre - Other 35</v>
      </c>
      <c r="M552" s="279">
        <f>RES_BA!R48</f>
        <v>0</v>
      </c>
      <c r="O552" s="279">
        <f>RES_BA!S48</f>
        <v>0</v>
      </c>
      <c r="Q552" s="279">
        <f>RES_BA!T48</f>
        <v>0</v>
      </c>
      <c r="S552" s="279">
        <f>RES_BA!U48</f>
        <v>0</v>
      </c>
    </row>
    <row r="553" spans="3:19" hidden="1" outlineLevel="1" x14ac:dyDescent="0.3"/>
    <row r="554" spans="3:19" hidden="1" outlineLevel="1" x14ac:dyDescent="0.3">
      <c r="M554" s="40" t="str">
        <f>$D$512</f>
        <v>USD</v>
      </c>
      <c r="O554" s="40" t="str">
        <f>$D$512</f>
        <v>USD</v>
      </c>
      <c r="Q554" s="40" t="str">
        <f>$D$513</f>
        <v>GOZ</v>
      </c>
      <c r="S554" s="40" t="str">
        <f>$D$513</f>
        <v>GOZ</v>
      </c>
    </row>
    <row r="555" spans="3:19" hidden="1" outlineLevel="1" x14ac:dyDescent="0.3">
      <c r="C555" s="89" t="str">
        <f>RES_BA!D53</f>
        <v>Allowances Category 1</v>
      </c>
      <c r="M555" s="40">
        <f>RES_BA!R53</f>
        <v>0</v>
      </c>
      <c r="O555" s="40">
        <f>RES_BA!S53</f>
        <v>0</v>
      </c>
      <c r="Q555" s="40">
        <f>RES_BA!T53</f>
        <v>0</v>
      </c>
      <c r="S555" s="40">
        <f>RES_BA!U53</f>
        <v>0</v>
      </c>
    </row>
    <row r="556" spans="3:19" hidden="1" outlineLevel="1" x14ac:dyDescent="0.3">
      <c r="C556" s="89" t="str">
        <f>RES_BA!D54</f>
        <v>Allowances Category 2</v>
      </c>
      <c r="M556" s="40">
        <f>RES_BA!R54</f>
        <v>0</v>
      </c>
      <c r="O556" s="40">
        <f>RES_BA!S54</f>
        <v>0</v>
      </c>
      <c r="Q556" s="40">
        <f>RES_BA!T54</f>
        <v>0</v>
      </c>
      <c r="S556" s="40">
        <f>RES_BA!U54</f>
        <v>0</v>
      </c>
    </row>
    <row r="557" spans="3:19" hidden="1" outlineLevel="1" x14ac:dyDescent="0.3">
      <c r="C557" s="89" t="str">
        <f>RES_BA!D55</f>
        <v>Allowances Category 3</v>
      </c>
      <c r="M557" s="40">
        <f>RES_BA!R55</f>
        <v>0</v>
      </c>
      <c r="O557" s="40">
        <f>RES_BA!S55</f>
        <v>0</v>
      </c>
      <c r="Q557" s="40">
        <f>RES_BA!T55</f>
        <v>0</v>
      </c>
      <c r="S557" s="40">
        <f>RES_BA!U55</f>
        <v>0</v>
      </c>
    </row>
    <row r="558" spans="3:19" hidden="1" outlineLevel="1" x14ac:dyDescent="0.3">
      <c r="C558" s="89" t="str">
        <f>RES_BA!D56</f>
        <v>Allowances Category 4</v>
      </c>
      <c r="M558" s="40">
        <f>RES_BA!R56</f>
        <v>0</v>
      </c>
      <c r="O558" s="40">
        <f>RES_BA!S56</f>
        <v>0</v>
      </c>
      <c r="Q558" s="40">
        <f>RES_BA!T56</f>
        <v>0</v>
      </c>
      <c r="S558" s="40">
        <f>RES_BA!U56</f>
        <v>0</v>
      </c>
    </row>
    <row r="559" spans="3:19" hidden="1" outlineLevel="1" x14ac:dyDescent="0.3">
      <c r="C559" s="89" t="str">
        <f>RES_BA!D57</f>
        <v>Allowances Category 5</v>
      </c>
      <c r="M559" s="40">
        <f>RES_BA!R57</f>
        <v>0</v>
      </c>
      <c r="O559" s="40">
        <f>RES_BA!S57</f>
        <v>0</v>
      </c>
      <c r="Q559" s="40">
        <f>RES_BA!T57</f>
        <v>0</v>
      </c>
      <c r="S559" s="40">
        <f>RES_BA!U57</f>
        <v>0</v>
      </c>
    </row>
    <row r="560" spans="3:19" s="277" customFormat="1" hidden="1" outlineLevel="1" collapsed="1" x14ac:dyDescent="0.3">
      <c r="C560" s="283" t="str">
        <f>RES_BA!D58</f>
        <v>Allowances Category 6</v>
      </c>
      <c r="M560" s="279">
        <f>RES_BA!R58</f>
        <v>0</v>
      </c>
      <c r="O560" s="279">
        <f>RES_BA!S58</f>
        <v>0</v>
      </c>
      <c r="Q560" s="279">
        <f>RES_BA!T58</f>
        <v>0</v>
      </c>
      <c r="S560" s="279">
        <f>RES_BA!U58</f>
        <v>0</v>
      </c>
    </row>
    <row r="561" spans="3:19" s="277" customFormat="1" hidden="1" outlineLevel="1" x14ac:dyDescent="0.3">
      <c r="C561" s="283" t="str">
        <f>RES_BA!D59</f>
        <v>Allowances Category 7</v>
      </c>
      <c r="M561" s="279">
        <f>RES_BA!R59</f>
        <v>0</v>
      </c>
      <c r="O561" s="279">
        <f>RES_BA!S59</f>
        <v>0</v>
      </c>
      <c r="Q561" s="279">
        <f>RES_BA!T59</f>
        <v>0</v>
      </c>
      <c r="S561" s="279">
        <f>RES_BA!U59</f>
        <v>0</v>
      </c>
    </row>
    <row r="562" spans="3:19" s="277" customFormat="1" hidden="1" outlineLevel="1" x14ac:dyDescent="0.3">
      <c r="C562" s="283" t="str">
        <f>RES_BA!D60</f>
        <v>Allowances Category 8</v>
      </c>
      <c r="M562" s="279">
        <f>RES_BA!R60</f>
        <v>0</v>
      </c>
      <c r="O562" s="279">
        <f>RES_BA!S60</f>
        <v>0</v>
      </c>
      <c r="Q562" s="279">
        <f>RES_BA!T60</f>
        <v>0</v>
      </c>
      <c r="S562" s="279">
        <f>RES_BA!U60</f>
        <v>0</v>
      </c>
    </row>
    <row r="563" spans="3:19" s="277" customFormat="1" hidden="1" outlineLevel="1" x14ac:dyDescent="0.3">
      <c r="C563" s="283" t="str">
        <f>RES_BA!D61</f>
        <v>Allowances Category 9</v>
      </c>
      <c r="M563" s="279">
        <f>RES_BA!R61</f>
        <v>0</v>
      </c>
      <c r="O563" s="279">
        <f>RES_BA!S61</f>
        <v>0</v>
      </c>
      <c r="Q563" s="279">
        <f>RES_BA!T61</f>
        <v>0</v>
      </c>
      <c r="S563" s="279">
        <f>RES_BA!U61</f>
        <v>0</v>
      </c>
    </row>
    <row r="564" spans="3:19" s="277" customFormat="1" hidden="1" outlineLevel="1" x14ac:dyDescent="0.3">
      <c r="C564" s="283" t="str">
        <f>RES_BA!D62</f>
        <v>Allowances Category 10</v>
      </c>
      <c r="M564" s="279">
        <f>RES_BA!R62</f>
        <v>0</v>
      </c>
      <c r="O564" s="279">
        <f>RES_BA!S62</f>
        <v>0</v>
      </c>
      <c r="Q564" s="279">
        <f>RES_BA!T62</f>
        <v>0</v>
      </c>
      <c r="S564" s="279">
        <f>RES_BA!U62</f>
        <v>0</v>
      </c>
    </row>
    <row r="565" spans="3:19" s="277" customFormat="1" hidden="1" outlineLevel="1" x14ac:dyDescent="0.3">
      <c r="C565" s="283" t="str">
        <f>RES_BA!D63</f>
        <v>Allowances Category 11</v>
      </c>
      <c r="M565" s="279">
        <f>RES_BA!R63</f>
        <v>0</v>
      </c>
      <c r="O565" s="279">
        <f>RES_BA!S63</f>
        <v>0</v>
      </c>
      <c r="Q565" s="279">
        <f>RES_BA!T63</f>
        <v>0</v>
      </c>
      <c r="S565" s="279">
        <f>RES_BA!U63</f>
        <v>0</v>
      </c>
    </row>
    <row r="566" spans="3:19" s="277" customFormat="1" hidden="1" outlineLevel="1" x14ac:dyDescent="0.3">
      <c r="C566" s="283" t="str">
        <f>RES_BA!D64</f>
        <v>Allowances Category 12</v>
      </c>
      <c r="M566" s="279">
        <f>RES_BA!R64</f>
        <v>0</v>
      </c>
      <c r="O566" s="279">
        <f>RES_BA!S64</f>
        <v>0</v>
      </c>
      <c r="Q566" s="279">
        <f>RES_BA!T64</f>
        <v>0</v>
      </c>
      <c r="S566" s="279">
        <f>RES_BA!U64</f>
        <v>0</v>
      </c>
    </row>
    <row r="567" spans="3:19" s="277" customFormat="1" hidden="1" outlineLevel="1" x14ac:dyDescent="0.3">
      <c r="C567" s="283" t="str">
        <f>RES_BA!D65</f>
        <v>Allowances Category 13</v>
      </c>
      <c r="M567" s="279">
        <f>RES_BA!R65</f>
        <v>0</v>
      </c>
      <c r="O567" s="279">
        <f>RES_BA!S65</f>
        <v>0</v>
      </c>
      <c r="Q567" s="279">
        <f>RES_BA!T65</f>
        <v>0</v>
      </c>
      <c r="S567" s="279">
        <f>RES_BA!U65</f>
        <v>0</v>
      </c>
    </row>
    <row r="568" spans="3:19" s="277" customFormat="1" hidden="1" outlineLevel="1" x14ac:dyDescent="0.3">
      <c r="C568" s="283" t="str">
        <f>RES_BA!D66</f>
        <v>Allowances Category 14</v>
      </c>
      <c r="M568" s="279">
        <f>RES_BA!R66</f>
        <v>0</v>
      </c>
      <c r="O568" s="279">
        <f>RES_BA!S66</f>
        <v>0</v>
      </c>
      <c r="Q568" s="279">
        <f>RES_BA!T66</f>
        <v>0</v>
      </c>
      <c r="S568" s="279">
        <f>RES_BA!U66</f>
        <v>0</v>
      </c>
    </row>
    <row r="569" spans="3:19" s="277" customFormat="1" hidden="1" outlineLevel="1" x14ac:dyDescent="0.3">
      <c r="C569" s="283" t="str">
        <f>RES_BA!D67</f>
        <v>Allowances Category 15</v>
      </c>
      <c r="M569" s="279">
        <f>RES_BA!R67</f>
        <v>0</v>
      </c>
      <c r="O569" s="279">
        <f>RES_BA!S67</f>
        <v>0</v>
      </c>
      <c r="Q569" s="279">
        <f>RES_BA!T67</f>
        <v>0</v>
      </c>
      <c r="S569" s="279">
        <f>RES_BA!U67</f>
        <v>0</v>
      </c>
    </row>
    <row r="570" spans="3:19" s="277" customFormat="1" hidden="1" outlineLevel="1" x14ac:dyDescent="0.3">
      <c r="C570" s="283" t="str">
        <f>RES_BA!D68</f>
        <v>Allowances Category 16</v>
      </c>
      <c r="M570" s="279">
        <f>RES_BA!R68</f>
        <v>0</v>
      </c>
      <c r="O570" s="279">
        <f>RES_BA!S68</f>
        <v>0</v>
      </c>
      <c r="Q570" s="279">
        <f>RES_BA!T68</f>
        <v>0</v>
      </c>
      <c r="S570" s="279">
        <f>RES_BA!U68</f>
        <v>0</v>
      </c>
    </row>
    <row r="571" spans="3:19" hidden="1" outlineLevel="1" x14ac:dyDescent="0.3">
      <c r="C571" s="89" t="str">
        <f>RES_BA!D69</f>
        <v>Allowances Category 17</v>
      </c>
      <c r="M571" s="40">
        <f>RES_BA!R69</f>
        <v>0</v>
      </c>
      <c r="O571" s="40">
        <f>RES_BA!S69</f>
        <v>0</v>
      </c>
      <c r="Q571" s="40">
        <f>RES_BA!T69</f>
        <v>0</v>
      </c>
      <c r="S571" s="40">
        <f>RES_BA!U69</f>
        <v>0</v>
      </c>
    </row>
    <row r="572" spans="3:19" hidden="1" outlineLevel="1" x14ac:dyDescent="0.3">
      <c r="C572" s="89" t="str">
        <f>RES_BA!D70</f>
        <v>Allowances Category 18</v>
      </c>
      <c r="M572" s="40">
        <f>RES_BA!R70</f>
        <v>0</v>
      </c>
      <c r="O572" s="40">
        <f>RES_BA!S70</f>
        <v>0</v>
      </c>
      <c r="Q572" s="40">
        <f>RES_BA!T70</f>
        <v>0</v>
      </c>
      <c r="S572" s="40">
        <f>RES_BA!U70</f>
        <v>0</v>
      </c>
    </row>
    <row r="573" spans="3:19" hidden="1" outlineLevel="1" x14ac:dyDescent="0.3">
      <c r="C573" s="89" t="str">
        <f>RES_BA!D71</f>
        <v>Allowances Category 19</v>
      </c>
      <c r="M573" s="40">
        <f>RES_BA!R71</f>
        <v>0</v>
      </c>
      <c r="O573" s="40">
        <f>RES_BA!S71</f>
        <v>0</v>
      </c>
      <c r="Q573" s="40">
        <f>RES_BA!T71</f>
        <v>0</v>
      </c>
      <c r="S573" s="40">
        <f>RES_BA!U71</f>
        <v>0</v>
      </c>
    </row>
    <row r="574" spans="3:19" hidden="1" outlineLevel="1" x14ac:dyDescent="0.3">
      <c r="C574" s="89" t="str">
        <f>RES_BA!D72</f>
        <v>Allowances Category 20</v>
      </c>
      <c r="M574" s="40">
        <f>RES_BA!R72</f>
        <v>0</v>
      </c>
      <c r="O574" s="40">
        <f>RES_BA!S72</f>
        <v>0</v>
      </c>
      <c r="Q574" s="40">
        <f>RES_BA!T72</f>
        <v>0</v>
      </c>
      <c r="S574" s="40">
        <f>RES_BA!U72</f>
        <v>0</v>
      </c>
    </row>
    <row r="575" spans="3:19" hidden="1" outlineLevel="1" x14ac:dyDescent="0.3">
      <c r="C575" s="89" t="str">
        <f>RES_BA!D73</f>
        <v>Allowances Category 21</v>
      </c>
      <c r="M575" s="40">
        <f>RES_BA!R73</f>
        <v>0</v>
      </c>
      <c r="O575" s="40">
        <f>RES_BA!S73</f>
        <v>0</v>
      </c>
      <c r="Q575" s="40">
        <f>RES_BA!T73</f>
        <v>0</v>
      </c>
      <c r="S575" s="40">
        <f>RES_BA!U73</f>
        <v>0</v>
      </c>
    </row>
    <row r="576" spans="3:19" hidden="1" outlineLevel="1" x14ac:dyDescent="0.3">
      <c r="C576" s="89" t="str">
        <f>RES_BA!D74</f>
        <v>Allowances Category 22</v>
      </c>
      <c r="M576" s="40">
        <f>RES_BA!R74</f>
        <v>0</v>
      </c>
      <c r="O576" s="40">
        <f>RES_BA!S74</f>
        <v>0</v>
      </c>
      <c r="Q576" s="40">
        <f>RES_BA!T74</f>
        <v>0</v>
      </c>
      <c r="S576" s="40">
        <f>RES_BA!U74</f>
        <v>0</v>
      </c>
    </row>
    <row r="577" spans="3:19" hidden="1" outlineLevel="1" x14ac:dyDescent="0.3">
      <c r="C577" s="89" t="str">
        <f>RES_BA!D75</f>
        <v>Allowances Category 23</v>
      </c>
      <c r="M577" s="40">
        <f>RES_BA!R75</f>
        <v>0</v>
      </c>
      <c r="O577" s="40">
        <f>RES_BA!S75</f>
        <v>0</v>
      </c>
      <c r="Q577" s="40">
        <f>RES_BA!T75</f>
        <v>0</v>
      </c>
      <c r="S577" s="40">
        <f>RES_BA!U75</f>
        <v>0</v>
      </c>
    </row>
    <row r="578" spans="3:19" s="277" customFormat="1" hidden="1" outlineLevel="1" collapsed="1" x14ac:dyDescent="0.3">
      <c r="C578" s="283" t="str">
        <f>RES_BA!D76</f>
        <v>Allowances Category 24</v>
      </c>
      <c r="M578" s="279">
        <f>RES_BA!R76</f>
        <v>0</v>
      </c>
      <c r="O578" s="279">
        <f>RES_BA!S76</f>
        <v>0</v>
      </c>
      <c r="Q578" s="279">
        <f>RES_BA!T76</f>
        <v>0</v>
      </c>
      <c r="S578" s="279">
        <f>RES_BA!U76</f>
        <v>0</v>
      </c>
    </row>
    <row r="579" spans="3:19" s="277" customFormat="1" hidden="1" outlineLevel="1" x14ac:dyDescent="0.3">
      <c r="C579" s="283" t="str">
        <f>RES_BA!D77</f>
        <v>Allowances Category 25</v>
      </c>
      <c r="M579" s="279">
        <f>RES_BA!R77</f>
        <v>0</v>
      </c>
      <c r="O579" s="279">
        <f>RES_BA!S77</f>
        <v>0</v>
      </c>
      <c r="Q579" s="279">
        <f>RES_BA!T77</f>
        <v>0</v>
      </c>
      <c r="S579" s="279">
        <f>RES_BA!U77</f>
        <v>0</v>
      </c>
    </row>
    <row r="580" spans="3:19" s="277" customFormat="1" hidden="1" outlineLevel="1" x14ac:dyDescent="0.3">
      <c r="C580" s="283" t="str">
        <f>RES_BA!D78</f>
        <v>Allowances Category 26</v>
      </c>
      <c r="M580" s="279">
        <f>RES_BA!R78</f>
        <v>0</v>
      </c>
      <c r="O580" s="279">
        <f>RES_BA!S78</f>
        <v>0</v>
      </c>
      <c r="Q580" s="279">
        <f>RES_BA!T78</f>
        <v>0</v>
      </c>
      <c r="S580" s="279">
        <f>RES_BA!U78</f>
        <v>0</v>
      </c>
    </row>
    <row r="581" spans="3:19" s="277" customFormat="1" hidden="1" outlineLevel="1" x14ac:dyDescent="0.3">
      <c r="C581" s="283" t="str">
        <f>RES_BA!D79</f>
        <v>Allowances Category 27</v>
      </c>
      <c r="M581" s="279">
        <f>RES_BA!R79</f>
        <v>0</v>
      </c>
      <c r="O581" s="279">
        <f>RES_BA!S79</f>
        <v>0</v>
      </c>
      <c r="Q581" s="279">
        <f>RES_BA!T79</f>
        <v>0</v>
      </c>
      <c r="S581" s="279">
        <f>RES_BA!U79</f>
        <v>0</v>
      </c>
    </row>
    <row r="582" spans="3:19" s="277" customFormat="1" hidden="1" outlineLevel="1" x14ac:dyDescent="0.3">
      <c r="C582" s="283" t="str">
        <f>RES_BA!D80</f>
        <v>Allowances Category 28</v>
      </c>
      <c r="M582" s="279">
        <f>RES_BA!R80</f>
        <v>0</v>
      </c>
      <c r="O582" s="279">
        <f>RES_BA!S80</f>
        <v>0</v>
      </c>
      <c r="Q582" s="279">
        <f>RES_BA!T80</f>
        <v>0</v>
      </c>
      <c r="S582" s="279">
        <f>RES_BA!U80</f>
        <v>0</v>
      </c>
    </row>
    <row r="583" spans="3:19" s="277" customFormat="1" hidden="1" outlineLevel="1" x14ac:dyDescent="0.3">
      <c r="C583" s="283" t="str">
        <f>RES_BA!D81</f>
        <v>Allowances Category 29</v>
      </c>
      <c r="M583" s="279">
        <f>RES_BA!R81</f>
        <v>0</v>
      </c>
      <c r="O583" s="279">
        <f>RES_BA!S81</f>
        <v>0</v>
      </c>
      <c r="Q583" s="279">
        <f>RES_BA!T81</f>
        <v>0</v>
      </c>
      <c r="S583" s="279">
        <f>RES_BA!U81</f>
        <v>0</v>
      </c>
    </row>
    <row r="584" spans="3:19" s="277" customFormat="1" hidden="1" outlineLevel="1" x14ac:dyDescent="0.3">
      <c r="C584" s="283" t="str">
        <f>RES_BA!D82</f>
        <v>Allowances Category 30</v>
      </c>
      <c r="M584" s="279">
        <f>RES_BA!R82</f>
        <v>0</v>
      </c>
      <c r="O584" s="279">
        <f>RES_BA!S82</f>
        <v>0</v>
      </c>
      <c r="Q584" s="279">
        <f>RES_BA!T82</f>
        <v>0</v>
      </c>
      <c r="S584" s="279">
        <f>RES_BA!U82</f>
        <v>0</v>
      </c>
    </row>
    <row r="585" spans="3:19" hidden="1" outlineLevel="1" x14ac:dyDescent="0.3">
      <c r="C585" s="89" t="str">
        <f>RES_BA!D83</f>
        <v>Allowances Category 31</v>
      </c>
      <c r="M585" s="40">
        <f>RES_BA!R83</f>
        <v>0</v>
      </c>
      <c r="O585" s="40">
        <f>RES_BA!S83</f>
        <v>0</v>
      </c>
      <c r="Q585" s="40">
        <f>RES_BA!T83</f>
        <v>0</v>
      </c>
      <c r="S585" s="40">
        <f>RES_BA!U83</f>
        <v>0</v>
      </c>
    </row>
    <row r="586" spans="3:19" hidden="1" outlineLevel="1" x14ac:dyDescent="0.3">
      <c r="C586" s="89" t="str">
        <f>RES_BA!D84</f>
        <v>Allowances Category 32</v>
      </c>
      <c r="M586" s="40">
        <f>RES_BA!R84</f>
        <v>0</v>
      </c>
      <c r="O586" s="40">
        <f>RES_BA!S84</f>
        <v>0</v>
      </c>
      <c r="Q586" s="40">
        <f>RES_BA!T84</f>
        <v>0</v>
      </c>
      <c r="S586" s="40">
        <f>RES_BA!U84</f>
        <v>0</v>
      </c>
    </row>
    <row r="587" spans="3:19" hidden="1" outlineLevel="1" x14ac:dyDescent="0.3">
      <c r="C587" s="89" t="str">
        <f>RES_BA!D85</f>
        <v>Allowances Category 33</v>
      </c>
      <c r="M587" s="40">
        <f>RES_BA!R85</f>
        <v>0</v>
      </c>
      <c r="O587" s="40">
        <f>RES_BA!S85</f>
        <v>0</v>
      </c>
      <c r="Q587" s="40">
        <f>RES_BA!T85</f>
        <v>0</v>
      </c>
      <c r="S587" s="40">
        <f>RES_BA!U85</f>
        <v>0</v>
      </c>
    </row>
    <row r="588" spans="3:19" hidden="1" outlineLevel="1" x14ac:dyDescent="0.3">
      <c r="C588" s="89" t="str">
        <f>RES_BA!D86</f>
        <v>Allowances Category 34</v>
      </c>
      <c r="M588" s="40">
        <f>RES_BA!R86</f>
        <v>0</v>
      </c>
      <c r="O588" s="40">
        <f>RES_BA!S86</f>
        <v>0</v>
      </c>
      <c r="Q588" s="40">
        <f>RES_BA!T86</f>
        <v>0</v>
      </c>
      <c r="S588" s="40">
        <f>RES_BA!U86</f>
        <v>0</v>
      </c>
    </row>
    <row r="589" spans="3:19" hidden="1" outlineLevel="1" x14ac:dyDescent="0.3">
      <c r="C589" s="89" t="str">
        <f>RES_BA!D87</f>
        <v>Allowances Category 35</v>
      </c>
      <c r="M589" s="40">
        <f>RES_BA!R87</f>
        <v>0</v>
      </c>
      <c r="O589" s="40">
        <f>RES_BA!S87</f>
        <v>0</v>
      </c>
      <c r="Q589" s="40">
        <f>RES_BA!T87</f>
        <v>0</v>
      </c>
      <c r="S589" s="40">
        <f>RES_BA!U87</f>
        <v>0</v>
      </c>
    </row>
    <row r="590" spans="3:19" hidden="1" outlineLevel="1" x14ac:dyDescent="0.3"/>
    <row r="591" spans="3:19" hidden="1" outlineLevel="1" x14ac:dyDescent="0.3"/>
    <row r="592" spans="3:19" hidden="1" outlineLevel="1" x14ac:dyDescent="0.3">
      <c r="M592" s="40" t="str">
        <f>$D$512</f>
        <v>USD</v>
      </c>
      <c r="O592" s="40" t="str">
        <f>$D$512</f>
        <v>USD</v>
      </c>
      <c r="Q592" s="40" t="str">
        <f>$D$513</f>
        <v>GOZ</v>
      </c>
      <c r="S592" s="40" t="str">
        <f>$D$513</f>
        <v>GOZ</v>
      </c>
    </row>
    <row r="593" spans="3:19" hidden="1" outlineLevel="1" x14ac:dyDescent="0.3">
      <c r="C593" s="89" t="str">
        <f>RES_BA!D91</f>
        <v>Supplies Category 1</v>
      </c>
      <c r="M593" s="40">
        <f>RES_BA!R91</f>
        <v>0</v>
      </c>
      <c r="O593" s="40">
        <f>RES_BA!S91</f>
        <v>0</v>
      </c>
      <c r="Q593" s="40">
        <f>RES_BA!T91</f>
        <v>0</v>
      </c>
      <c r="S593" s="40">
        <f>RES_BA!U91</f>
        <v>0</v>
      </c>
    </row>
    <row r="594" spans="3:19" hidden="1" outlineLevel="1" x14ac:dyDescent="0.3">
      <c r="C594" s="89" t="str">
        <f>RES_BA!D92</f>
        <v>Supplies Category 2</v>
      </c>
      <c r="M594" s="40">
        <f>RES_BA!R92</f>
        <v>0</v>
      </c>
      <c r="O594" s="40">
        <f>RES_BA!S92</f>
        <v>0</v>
      </c>
      <c r="Q594" s="40">
        <f>RES_BA!T92</f>
        <v>0</v>
      </c>
      <c r="S594" s="40">
        <f>RES_BA!U92</f>
        <v>0</v>
      </c>
    </row>
    <row r="595" spans="3:19" hidden="1" outlineLevel="1" x14ac:dyDescent="0.3">
      <c r="C595" s="89" t="str">
        <f>RES_BA!D93</f>
        <v>Supplies Category 3</v>
      </c>
      <c r="M595" s="40">
        <f>RES_BA!R93</f>
        <v>0</v>
      </c>
      <c r="O595" s="40">
        <f>RES_BA!S93</f>
        <v>0</v>
      </c>
      <c r="Q595" s="40">
        <f>RES_BA!T93</f>
        <v>0</v>
      </c>
      <c r="S595" s="40">
        <f>RES_BA!U93</f>
        <v>0</v>
      </c>
    </row>
    <row r="596" spans="3:19" hidden="1" outlineLevel="1" x14ac:dyDescent="0.3">
      <c r="C596" s="89" t="str">
        <f>RES_BA!D94</f>
        <v>Supplies Category 4</v>
      </c>
      <c r="M596" s="40">
        <f>RES_BA!R94</f>
        <v>0</v>
      </c>
      <c r="O596" s="40">
        <f>RES_BA!S94</f>
        <v>0</v>
      </c>
      <c r="Q596" s="40">
        <f>RES_BA!T94</f>
        <v>0</v>
      </c>
      <c r="S596" s="40">
        <f>RES_BA!U94</f>
        <v>0</v>
      </c>
    </row>
    <row r="597" spans="3:19" hidden="1" outlineLevel="1" x14ac:dyDescent="0.3">
      <c r="C597" s="89" t="str">
        <f>RES_BA!D95</f>
        <v>Supplies Category 5</v>
      </c>
      <c r="M597" s="40">
        <f>RES_BA!R95</f>
        <v>0</v>
      </c>
      <c r="O597" s="40">
        <f>RES_BA!S95</f>
        <v>0</v>
      </c>
      <c r="Q597" s="40">
        <f>RES_BA!T95</f>
        <v>0</v>
      </c>
      <c r="S597" s="40">
        <f>RES_BA!U95</f>
        <v>0</v>
      </c>
    </row>
    <row r="598" spans="3:19" hidden="1" outlineLevel="1" x14ac:dyDescent="0.3">
      <c r="C598" s="89" t="str">
        <f>RES_BA!D96</f>
        <v>Supplies Category 6</v>
      </c>
      <c r="M598" s="40">
        <f>RES_BA!R96</f>
        <v>0</v>
      </c>
      <c r="O598" s="40">
        <f>RES_BA!S96</f>
        <v>0</v>
      </c>
      <c r="Q598" s="40">
        <f>RES_BA!T96</f>
        <v>0</v>
      </c>
      <c r="S598" s="40">
        <f>RES_BA!U96</f>
        <v>0</v>
      </c>
    </row>
    <row r="599" spans="3:19" hidden="1" outlineLevel="1" x14ac:dyDescent="0.3">
      <c r="C599" s="89" t="str">
        <f>RES_BA!D97</f>
        <v>Supplies Category 7</v>
      </c>
      <c r="M599" s="40">
        <f>RES_BA!R97</f>
        <v>0</v>
      </c>
      <c r="O599" s="40">
        <f>RES_BA!S97</f>
        <v>0</v>
      </c>
      <c r="Q599" s="40">
        <f>RES_BA!T97</f>
        <v>0</v>
      </c>
      <c r="S599" s="40">
        <f>RES_BA!U97</f>
        <v>0</v>
      </c>
    </row>
    <row r="600" spans="3:19" hidden="1" outlineLevel="1" x14ac:dyDescent="0.3">
      <c r="C600" s="89" t="str">
        <f>RES_BA!D98</f>
        <v>Supplies Category 8</v>
      </c>
      <c r="M600" s="40">
        <f>RES_BA!R98</f>
        <v>0</v>
      </c>
      <c r="O600" s="40">
        <f>RES_BA!S98</f>
        <v>0</v>
      </c>
      <c r="Q600" s="40">
        <f>RES_BA!T98</f>
        <v>0</v>
      </c>
      <c r="S600" s="40">
        <f>RES_BA!U98</f>
        <v>0</v>
      </c>
    </row>
    <row r="601" spans="3:19" hidden="1" outlineLevel="1" x14ac:dyDescent="0.3">
      <c r="C601" s="89" t="str">
        <f>RES_BA!D99</f>
        <v>Supplies Category 9</v>
      </c>
      <c r="M601" s="40">
        <f>RES_BA!R99</f>
        <v>0</v>
      </c>
      <c r="O601" s="40">
        <f>RES_BA!S99</f>
        <v>0</v>
      </c>
      <c r="Q601" s="40">
        <f>RES_BA!T99</f>
        <v>0</v>
      </c>
      <c r="S601" s="40">
        <f>RES_BA!U99</f>
        <v>0</v>
      </c>
    </row>
    <row r="602" spans="3:19" hidden="1" outlineLevel="1" x14ac:dyDescent="0.3">
      <c r="C602" s="89" t="str">
        <f>RES_BA!D100</f>
        <v>Supplies Category 10</v>
      </c>
      <c r="M602" s="40">
        <f>RES_BA!R100</f>
        <v>0</v>
      </c>
      <c r="O602" s="40">
        <f>RES_BA!S100</f>
        <v>0</v>
      </c>
      <c r="Q602" s="40">
        <f>RES_BA!T100</f>
        <v>0</v>
      </c>
      <c r="S602" s="40">
        <f>RES_BA!U100</f>
        <v>0</v>
      </c>
    </row>
    <row r="603" spans="3:19" hidden="1" outlineLevel="1" x14ac:dyDescent="0.3">
      <c r="C603" s="89" t="str">
        <f>RES_BA!D101</f>
        <v>Supplies Category 11</v>
      </c>
      <c r="M603" s="40">
        <f>RES_BA!R101</f>
        <v>0</v>
      </c>
      <c r="O603" s="40">
        <f>RES_BA!S101</f>
        <v>0</v>
      </c>
      <c r="Q603" s="40">
        <f>RES_BA!T101</f>
        <v>0</v>
      </c>
      <c r="S603" s="40">
        <f>RES_BA!U101</f>
        <v>0</v>
      </c>
    </row>
    <row r="604" spans="3:19" hidden="1" outlineLevel="1" x14ac:dyDescent="0.3">
      <c r="C604" s="89" t="str">
        <f>RES_BA!D102</f>
        <v>Supplies Category 12</v>
      </c>
      <c r="M604" s="40">
        <f>RES_BA!R102</f>
        <v>0</v>
      </c>
      <c r="O604" s="40">
        <f>RES_BA!S102</f>
        <v>0</v>
      </c>
      <c r="Q604" s="40">
        <f>RES_BA!T102</f>
        <v>0</v>
      </c>
      <c r="S604" s="40">
        <f>RES_BA!U102</f>
        <v>0</v>
      </c>
    </row>
    <row r="605" spans="3:19" hidden="1" outlineLevel="1" x14ac:dyDescent="0.3">
      <c r="C605" s="89" t="str">
        <f>RES_BA!D103</f>
        <v>Supplies Category 13</v>
      </c>
      <c r="M605" s="40">
        <f>RES_BA!R103</f>
        <v>0</v>
      </c>
      <c r="O605" s="40">
        <f>RES_BA!S103</f>
        <v>0</v>
      </c>
      <c r="Q605" s="40">
        <f>RES_BA!T103</f>
        <v>0</v>
      </c>
      <c r="S605" s="40">
        <f>RES_BA!U103</f>
        <v>0</v>
      </c>
    </row>
    <row r="606" spans="3:19" hidden="1" outlineLevel="1" x14ac:dyDescent="0.3">
      <c r="C606" s="89" t="str">
        <f>RES_BA!D104</f>
        <v>Supplies Category 14</v>
      </c>
      <c r="M606" s="40">
        <f>RES_BA!R104</f>
        <v>0</v>
      </c>
      <c r="O606" s="40">
        <f>RES_BA!S104</f>
        <v>0</v>
      </c>
      <c r="Q606" s="40">
        <f>RES_BA!T104</f>
        <v>0</v>
      </c>
      <c r="S606" s="40">
        <f>RES_BA!U104</f>
        <v>0</v>
      </c>
    </row>
    <row r="607" spans="3:19" hidden="1" outlineLevel="1" x14ac:dyDescent="0.3">
      <c r="C607" s="89" t="str">
        <f>RES_BA!D105</f>
        <v>Supplies Category 15</v>
      </c>
      <c r="M607" s="40">
        <f>RES_BA!R105</f>
        <v>0</v>
      </c>
      <c r="O607" s="40">
        <f>RES_BA!S105</f>
        <v>0</v>
      </c>
      <c r="Q607" s="40">
        <f>RES_BA!T105</f>
        <v>0</v>
      </c>
      <c r="S607" s="40">
        <f>RES_BA!U105</f>
        <v>0</v>
      </c>
    </row>
    <row r="608" spans="3:19" hidden="1" outlineLevel="1" x14ac:dyDescent="0.3">
      <c r="C608" s="89" t="str">
        <f>RES_BA!D106</f>
        <v>Supplies Category 16</v>
      </c>
      <c r="M608" s="40">
        <f>RES_BA!R106</f>
        <v>0</v>
      </c>
      <c r="O608" s="40">
        <f>RES_BA!S106</f>
        <v>0</v>
      </c>
      <c r="Q608" s="40">
        <f>RES_BA!T106</f>
        <v>0</v>
      </c>
      <c r="S608" s="40">
        <f>RES_BA!U106</f>
        <v>0</v>
      </c>
    </row>
    <row r="609" spans="3:19" s="277" customFormat="1" hidden="1" outlineLevel="1" collapsed="1" x14ac:dyDescent="0.3">
      <c r="C609" s="283" t="str">
        <f>RES_BA!D107</f>
        <v>Supplies Category 17</v>
      </c>
      <c r="M609" s="279">
        <f>RES_BA!R107</f>
        <v>0</v>
      </c>
      <c r="O609" s="279">
        <f>RES_BA!S107</f>
        <v>0</v>
      </c>
      <c r="Q609" s="279">
        <f>RES_BA!T107</f>
        <v>0</v>
      </c>
      <c r="S609" s="279">
        <f>RES_BA!U107</f>
        <v>0</v>
      </c>
    </row>
    <row r="610" spans="3:19" s="277" customFormat="1" hidden="1" outlineLevel="1" x14ac:dyDescent="0.3">
      <c r="C610" s="283" t="str">
        <f>RES_BA!D108</f>
        <v>Supplies Category 18</v>
      </c>
      <c r="M610" s="279">
        <f>RES_BA!R108</f>
        <v>0</v>
      </c>
      <c r="O610" s="279">
        <f>RES_BA!S108</f>
        <v>0</v>
      </c>
      <c r="Q610" s="279">
        <f>RES_BA!T108</f>
        <v>0</v>
      </c>
      <c r="S610" s="279">
        <f>RES_BA!U108</f>
        <v>0</v>
      </c>
    </row>
    <row r="611" spans="3:19" s="277" customFormat="1" hidden="1" outlineLevel="1" x14ac:dyDescent="0.3">
      <c r="C611" s="283" t="str">
        <f>RES_BA!D109</f>
        <v>Supplies Category 19</v>
      </c>
      <c r="M611" s="279">
        <f>RES_BA!R109</f>
        <v>0</v>
      </c>
      <c r="O611" s="279">
        <f>RES_BA!S109</f>
        <v>0</v>
      </c>
      <c r="Q611" s="279">
        <f>RES_BA!T109</f>
        <v>0</v>
      </c>
      <c r="S611" s="279">
        <f>RES_BA!U109</f>
        <v>0</v>
      </c>
    </row>
    <row r="612" spans="3:19" s="277" customFormat="1" hidden="1" outlineLevel="1" x14ac:dyDescent="0.3">
      <c r="C612" s="283" t="str">
        <f>RES_BA!D110</f>
        <v>Supplies Category 20</v>
      </c>
      <c r="M612" s="279">
        <f>RES_BA!R110</f>
        <v>0</v>
      </c>
      <c r="O612" s="279">
        <f>RES_BA!S110</f>
        <v>0</v>
      </c>
      <c r="Q612" s="279">
        <f>RES_BA!T110</f>
        <v>0</v>
      </c>
      <c r="S612" s="279">
        <f>RES_BA!U110</f>
        <v>0</v>
      </c>
    </row>
    <row r="613" spans="3:19" s="277" customFormat="1" hidden="1" outlineLevel="1" x14ac:dyDescent="0.3">
      <c r="C613" s="283" t="str">
        <f>RES_BA!D111</f>
        <v>Supplies Category 21</v>
      </c>
      <c r="M613" s="279">
        <f>RES_BA!R111</f>
        <v>0</v>
      </c>
      <c r="O613" s="279">
        <f>RES_BA!S111</f>
        <v>0</v>
      </c>
      <c r="Q613" s="279">
        <f>RES_BA!T111</f>
        <v>0</v>
      </c>
      <c r="S613" s="279">
        <f>RES_BA!U111</f>
        <v>0</v>
      </c>
    </row>
    <row r="614" spans="3:19" s="277" customFormat="1" hidden="1" outlineLevel="1" x14ac:dyDescent="0.3">
      <c r="C614" s="283" t="str">
        <f>RES_BA!D112</f>
        <v>Supplies Category 22</v>
      </c>
      <c r="M614" s="279">
        <f>RES_BA!R112</f>
        <v>0</v>
      </c>
      <c r="O614" s="279">
        <f>RES_BA!S112</f>
        <v>0</v>
      </c>
      <c r="Q614" s="279">
        <f>RES_BA!T112</f>
        <v>0</v>
      </c>
      <c r="S614" s="279">
        <f>RES_BA!U112</f>
        <v>0</v>
      </c>
    </row>
    <row r="615" spans="3:19" s="277" customFormat="1" hidden="1" outlineLevel="1" x14ac:dyDescent="0.3">
      <c r="C615" s="283" t="str">
        <f>RES_BA!D113</f>
        <v>Supplies Category 23</v>
      </c>
      <c r="M615" s="279">
        <f>RES_BA!R113</f>
        <v>0</v>
      </c>
      <c r="O615" s="279">
        <f>RES_BA!S113</f>
        <v>0</v>
      </c>
      <c r="Q615" s="279">
        <f>RES_BA!T113</f>
        <v>0</v>
      </c>
      <c r="S615" s="279">
        <f>RES_BA!U113</f>
        <v>0</v>
      </c>
    </row>
    <row r="616" spans="3:19" s="277" customFormat="1" hidden="1" outlineLevel="1" x14ac:dyDescent="0.3">
      <c r="C616" s="283" t="str">
        <f>RES_BA!D114</f>
        <v>Supplies Category 24</v>
      </c>
      <c r="M616" s="279">
        <f>RES_BA!R114</f>
        <v>0</v>
      </c>
      <c r="O616" s="279">
        <f>RES_BA!S114</f>
        <v>0</v>
      </c>
      <c r="Q616" s="279">
        <f>RES_BA!T114</f>
        <v>0</v>
      </c>
      <c r="S616" s="279">
        <f>RES_BA!U114</f>
        <v>0</v>
      </c>
    </row>
    <row r="617" spans="3:19" s="277" customFormat="1" hidden="1" outlineLevel="1" x14ac:dyDescent="0.3">
      <c r="C617" s="283" t="str">
        <f>RES_BA!D115</f>
        <v>Supplies Category 25</v>
      </c>
      <c r="M617" s="279">
        <f>RES_BA!R115</f>
        <v>0</v>
      </c>
      <c r="O617" s="279">
        <f>RES_BA!S115</f>
        <v>0</v>
      </c>
      <c r="Q617" s="279">
        <f>RES_BA!T115</f>
        <v>0</v>
      </c>
      <c r="S617" s="279">
        <f>RES_BA!U115</f>
        <v>0</v>
      </c>
    </row>
    <row r="618" spans="3:19" s="277" customFormat="1" hidden="1" outlineLevel="1" x14ac:dyDescent="0.3">
      <c r="C618" s="283" t="str">
        <f>RES_BA!D116</f>
        <v>Supplies Category 26</v>
      </c>
      <c r="M618" s="279">
        <f>RES_BA!R116</f>
        <v>0</v>
      </c>
      <c r="O618" s="279">
        <f>RES_BA!S116</f>
        <v>0</v>
      </c>
      <c r="Q618" s="279">
        <f>RES_BA!T116</f>
        <v>0</v>
      </c>
      <c r="S618" s="279">
        <f>RES_BA!U116</f>
        <v>0</v>
      </c>
    </row>
    <row r="619" spans="3:19" s="277" customFormat="1" hidden="1" outlineLevel="1" x14ac:dyDescent="0.3">
      <c r="C619" s="283" t="str">
        <f>RES_BA!D117</f>
        <v>Supplies Category 27</v>
      </c>
      <c r="M619" s="279">
        <f>RES_BA!R117</f>
        <v>0</v>
      </c>
      <c r="O619" s="279">
        <f>RES_BA!S117</f>
        <v>0</v>
      </c>
      <c r="Q619" s="279">
        <f>RES_BA!T117</f>
        <v>0</v>
      </c>
      <c r="S619" s="279">
        <f>RES_BA!U117</f>
        <v>0</v>
      </c>
    </row>
    <row r="620" spans="3:19" s="277" customFormat="1" hidden="1" outlineLevel="1" x14ac:dyDescent="0.3">
      <c r="C620" s="283" t="str">
        <f>RES_BA!D118</f>
        <v>Supplies Category 28</v>
      </c>
      <c r="M620" s="279">
        <f>RES_BA!R118</f>
        <v>0</v>
      </c>
      <c r="O620" s="279">
        <f>RES_BA!S118</f>
        <v>0</v>
      </c>
      <c r="Q620" s="279">
        <f>RES_BA!T118</f>
        <v>0</v>
      </c>
      <c r="S620" s="279">
        <f>RES_BA!U118</f>
        <v>0</v>
      </c>
    </row>
    <row r="621" spans="3:19" s="277" customFormat="1" hidden="1" outlineLevel="1" x14ac:dyDescent="0.3">
      <c r="C621" s="283" t="str">
        <f>RES_BA!D119</f>
        <v>Supplies Category 29</v>
      </c>
      <c r="M621" s="279">
        <f>RES_BA!R119</f>
        <v>0</v>
      </c>
      <c r="O621" s="279">
        <f>RES_BA!S119</f>
        <v>0</v>
      </c>
      <c r="Q621" s="279">
        <f>RES_BA!T119</f>
        <v>0</v>
      </c>
      <c r="S621" s="279">
        <f>RES_BA!U119</f>
        <v>0</v>
      </c>
    </row>
    <row r="622" spans="3:19" s="277" customFormat="1" hidden="1" outlineLevel="1" collapsed="1" x14ac:dyDescent="0.3">
      <c r="C622" s="283" t="str">
        <f>RES_BA!D120</f>
        <v>Supplies Category 30</v>
      </c>
      <c r="M622" s="279">
        <f>RES_BA!R120</f>
        <v>0</v>
      </c>
      <c r="O622" s="279">
        <f>RES_BA!S120</f>
        <v>0</v>
      </c>
      <c r="Q622" s="279">
        <f>RES_BA!T120</f>
        <v>0</v>
      </c>
      <c r="S622" s="279">
        <f>RES_BA!U120</f>
        <v>0</v>
      </c>
    </row>
    <row r="623" spans="3:19" s="277" customFormat="1" hidden="1" outlineLevel="1" x14ac:dyDescent="0.3">
      <c r="C623" s="283" t="str">
        <f>RES_BA!D121</f>
        <v>Supplies Category 31</v>
      </c>
      <c r="M623" s="279">
        <f>RES_BA!R121</f>
        <v>0</v>
      </c>
      <c r="O623" s="279">
        <f>RES_BA!S121</f>
        <v>0</v>
      </c>
      <c r="Q623" s="279">
        <f>RES_BA!T121</f>
        <v>0</v>
      </c>
      <c r="S623" s="279">
        <f>RES_BA!U121</f>
        <v>0</v>
      </c>
    </row>
    <row r="624" spans="3:19" s="277" customFormat="1" hidden="1" outlineLevel="1" x14ac:dyDescent="0.3">
      <c r="C624" s="283" t="str">
        <f>RES_BA!D122</f>
        <v>Supplies Category 32</v>
      </c>
      <c r="M624" s="279">
        <f>RES_BA!R122</f>
        <v>0</v>
      </c>
      <c r="O624" s="279">
        <f>RES_BA!S122</f>
        <v>0</v>
      </c>
      <c r="Q624" s="279">
        <f>RES_BA!T122</f>
        <v>0</v>
      </c>
      <c r="S624" s="279">
        <f>RES_BA!U122</f>
        <v>0</v>
      </c>
    </row>
    <row r="625" spans="3:19" s="277" customFormat="1" hidden="1" outlineLevel="1" x14ac:dyDescent="0.3">
      <c r="C625" s="283" t="str">
        <f>RES_BA!D123</f>
        <v>Supplies Category 33</v>
      </c>
      <c r="M625" s="279">
        <f>RES_BA!R123</f>
        <v>0</v>
      </c>
      <c r="O625" s="279">
        <f>RES_BA!S123</f>
        <v>0</v>
      </c>
      <c r="Q625" s="279">
        <f>RES_BA!T123</f>
        <v>0</v>
      </c>
      <c r="S625" s="279">
        <f>RES_BA!U123</f>
        <v>0</v>
      </c>
    </row>
    <row r="626" spans="3:19" s="277" customFormat="1" hidden="1" outlineLevel="1" x14ac:dyDescent="0.3">
      <c r="C626" s="283" t="str">
        <f>RES_BA!D124</f>
        <v>Supplies Category 34</v>
      </c>
      <c r="M626" s="279">
        <f>RES_BA!R124</f>
        <v>0</v>
      </c>
      <c r="O626" s="279">
        <f>RES_BA!S124</f>
        <v>0</v>
      </c>
      <c r="Q626" s="279">
        <f>RES_BA!T124</f>
        <v>0</v>
      </c>
      <c r="S626" s="279">
        <f>RES_BA!U124</f>
        <v>0</v>
      </c>
    </row>
    <row r="627" spans="3:19" s="277" customFormat="1" hidden="1" outlineLevel="1" x14ac:dyDescent="0.3">
      <c r="C627" s="283" t="str">
        <f>RES_BA!D125</f>
        <v>Supplies Category 35</v>
      </c>
      <c r="M627" s="279">
        <f>RES_BA!R125</f>
        <v>0</v>
      </c>
      <c r="O627" s="279">
        <f>RES_BA!S125</f>
        <v>0</v>
      </c>
      <c r="Q627" s="279">
        <f>RES_BA!T125</f>
        <v>0</v>
      </c>
      <c r="S627" s="279">
        <f>RES_BA!U125</f>
        <v>0</v>
      </c>
    </row>
    <row r="628" spans="3:19" hidden="1" outlineLevel="1" x14ac:dyDescent="0.3"/>
    <row r="629" spans="3:19" hidden="1" outlineLevel="1" x14ac:dyDescent="0.3">
      <c r="M629" s="40" t="str">
        <f>$D$512</f>
        <v>USD</v>
      </c>
      <c r="O629" s="40" t="str">
        <f>$D$512</f>
        <v>USD</v>
      </c>
      <c r="Q629" s="40" t="str">
        <f>$D$513</f>
        <v>GOZ</v>
      </c>
      <c r="S629" s="40" t="str">
        <f>$D$513</f>
        <v>GOZ</v>
      </c>
    </row>
    <row r="630" spans="3:19" hidden="1" outlineLevel="1" x14ac:dyDescent="0.3">
      <c r="C630" s="89" t="str">
        <f>RES_BA!D130</f>
        <v>Equipment Category 1</v>
      </c>
      <c r="M630" s="40">
        <f>RES_BA!R130</f>
        <v>0</v>
      </c>
      <c r="O630" s="40">
        <f>RES_BA!S130</f>
        <v>0</v>
      </c>
      <c r="Q630" s="40">
        <f>RES_BA!T130</f>
        <v>0</v>
      </c>
      <c r="S630" s="40">
        <f>RES_BA!U130</f>
        <v>0</v>
      </c>
    </row>
    <row r="631" spans="3:19" hidden="1" outlineLevel="1" x14ac:dyDescent="0.3">
      <c r="C631" s="89" t="str">
        <f>RES_BA!D131</f>
        <v>Equipment Category 2</v>
      </c>
      <c r="M631" s="40">
        <f>RES_BA!R131</f>
        <v>0</v>
      </c>
      <c r="O631" s="40">
        <f>RES_BA!S131</f>
        <v>0</v>
      </c>
      <c r="Q631" s="40">
        <f>RES_BA!T131</f>
        <v>0</v>
      </c>
      <c r="S631" s="40">
        <f>RES_BA!U131</f>
        <v>0</v>
      </c>
    </row>
    <row r="632" spans="3:19" hidden="1" outlineLevel="1" x14ac:dyDescent="0.3">
      <c r="C632" s="89" t="str">
        <f>RES_BA!D132</f>
        <v>Equipment Category 3</v>
      </c>
      <c r="M632" s="40">
        <f>RES_BA!R132</f>
        <v>0</v>
      </c>
      <c r="O632" s="40">
        <f>RES_BA!S132</f>
        <v>0</v>
      </c>
      <c r="Q632" s="40">
        <f>RES_BA!T132</f>
        <v>0</v>
      </c>
      <c r="S632" s="40">
        <f>RES_BA!U132</f>
        <v>0</v>
      </c>
    </row>
    <row r="633" spans="3:19" hidden="1" outlineLevel="1" x14ac:dyDescent="0.3">
      <c r="C633" s="89" t="str">
        <f>RES_BA!D133</f>
        <v>Equipment Category 4</v>
      </c>
      <c r="M633" s="40">
        <f>RES_BA!R133</f>
        <v>0</v>
      </c>
      <c r="O633" s="40">
        <f>RES_BA!S133</f>
        <v>0</v>
      </c>
      <c r="Q633" s="40">
        <f>RES_BA!T133</f>
        <v>0</v>
      </c>
      <c r="S633" s="40">
        <f>RES_BA!U133</f>
        <v>0</v>
      </c>
    </row>
    <row r="634" spans="3:19" hidden="1" outlineLevel="1" x14ac:dyDescent="0.3">
      <c r="C634" s="89" t="str">
        <f>RES_BA!D134</f>
        <v>Equipment Category 5</v>
      </c>
      <c r="M634" s="40">
        <f>RES_BA!R134</f>
        <v>0</v>
      </c>
      <c r="O634" s="40">
        <f>RES_BA!S134</f>
        <v>0</v>
      </c>
      <c r="Q634" s="40">
        <f>RES_BA!T134</f>
        <v>0</v>
      </c>
      <c r="S634" s="40">
        <f>RES_BA!U134</f>
        <v>0</v>
      </c>
    </row>
    <row r="635" spans="3:19" hidden="1" outlineLevel="1" x14ac:dyDescent="0.3">
      <c r="C635" s="89" t="str">
        <f>RES_BA!D135</f>
        <v>Equipment Category 6</v>
      </c>
      <c r="M635" s="40">
        <f>RES_BA!R135</f>
        <v>0</v>
      </c>
      <c r="O635" s="40">
        <f>RES_BA!S135</f>
        <v>0</v>
      </c>
      <c r="Q635" s="40">
        <f>RES_BA!T135</f>
        <v>0</v>
      </c>
      <c r="S635" s="40">
        <f>RES_BA!U135</f>
        <v>0</v>
      </c>
    </row>
    <row r="636" spans="3:19" s="277" customFormat="1" hidden="1" outlineLevel="1" collapsed="1" x14ac:dyDescent="0.3">
      <c r="C636" s="283" t="str">
        <f>RES_BA!D136</f>
        <v>Equipment Category 7</v>
      </c>
      <c r="M636" s="279">
        <f>RES_BA!R136</f>
        <v>0</v>
      </c>
      <c r="O636" s="279">
        <f>RES_BA!S136</f>
        <v>0</v>
      </c>
      <c r="Q636" s="279">
        <f>RES_BA!T136</f>
        <v>0</v>
      </c>
      <c r="S636" s="279">
        <f>RES_BA!U136</f>
        <v>0</v>
      </c>
    </row>
    <row r="637" spans="3:19" s="277" customFormat="1" hidden="1" outlineLevel="1" x14ac:dyDescent="0.3">
      <c r="C637" s="283" t="str">
        <f>RES_BA!D137</f>
        <v>Equipment Category 8</v>
      </c>
      <c r="M637" s="279">
        <f>RES_BA!R137</f>
        <v>0</v>
      </c>
      <c r="O637" s="279">
        <f>RES_BA!S137</f>
        <v>0</v>
      </c>
      <c r="Q637" s="279">
        <f>RES_BA!T137</f>
        <v>0</v>
      </c>
      <c r="S637" s="279">
        <f>RES_BA!U137</f>
        <v>0</v>
      </c>
    </row>
    <row r="638" spans="3:19" s="277" customFormat="1" hidden="1" outlineLevel="1" x14ac:dyDescent="0.3">
      <c r="C638" s="283" t="str">
        <f>RES_BA!D138</f>
        <v>Equipment Category 9</v>
      </c>
      <c r="M638" s="279">
        <f>RES_BA!R138</f>
        <v>0</v>
      </c>
      <c r="O638" s="279">
        <f>RES_BA!S138</f>
        <v>0</v>
      </c>
      <c r="Q638" s="279">
        <f>RES_BA!T138</f>
        <v>0</v>
      </c>
      <c r="S638" s="279">
        <f>RES_BA!U138</f>
        <v>0</v>
      </c>
    </row>
    <row r="639" spans="3:19" s="277" customFormat="1" hidden="1" outlineLevel="1" x14ac:dyDescent="0.3">
      <c r="C639" s="283" t="str">
        <f>RES_BA!D139</f>
        <v>Equipment Category 10</v>
      </c>
      <c r="M639" s="279">
        <f>RES_BA!R139</f>
        <v>0</v>
      </c>
      <c r="O639" s="279">
        <f>RES_BA!S139</f>
        <v>0</v>
      </c>
      <c r="Q639" s="279">
        <f>RES_BA!T139</f>
        <v>0</v>
      </c>
      <c r="S639" s="279">
        <f>RES_BA!U139</f>
        <v>0</v>
      </c>
    </row>
    <row r="640" spans="3:19" s="277" customFormat="1" hidden="1" outlineLevel="1" x14ac:dyDescent="0.3">
      <c r="C640" s="283" t="str">
        <f>RES_BA!D140</f>
        <v>Equipment Category 11</v>
      </c>
      <c r="M640" s="279">
        <f>RES_BA!R140</f>
        <v>0</v>
      </c>
      <c r="O640" s="279">
        <f>RES_BA!S140</f>
        <v>0</v>
      </c>
      <c r="Q640" s="279">
        <f>RES_BA!T140</f>
        <v>0</v>
      </c>
      <c r="S640" s="279">
        <f>RES_BA!U140</f>
        <v>0</v>
      </c>
    </row>
    <row r="641" spans="3:19" s="277" customFormat="1" hidden="1" outlineLevel="1" x14ac:dyDescent="0.3">
      <c r="C641" s="283" t="str">
        <f>RES_BA!D141</f>
        <v>Equipment Category 12</v>
      </c>
      <c r="M641" s="279">
        <f>RES_BA!R141</f>
        <v>0</v>
      </c>
      <c r="O641" s="279">
        <f>RES_BA!S141</f>
        <v>0</v>
      </c>
      <c r="Q641" s="279">
        <f>RES_BA!T141</f>
        <v>0</v>
      </c>
      <c r="S641" s="279">
        <f>RES_BA!U141</f>
        <v>0</v>
      </c>
    </row>
    <row r="642" spans="3:19" s="277" customFormat="1" hidden="1" outlineLevel="1" collapsed="1" x14ac:dyDescent="0.3">
      <c r="C642" s="283" t="str">
        <f>RES_BA!D142</f>
        <v>Equipment Category 13</v>
      </c>
      <c r="M642" s="279">
        <f>RES_BA!R142</f>
        <v>0</v>
      </c>
      <c r="O642" s="279">
        <f>RES_BA!S142</f>
        <v>0</v>
      </c>
      <c r="Q642" s="279">
        <f>RES_BA!T142</f>
        <v>0</v>
      </c>
      <c r="S642" s="279">
        <f>RES_BA!U142</f>
        <v>0</v>
      </c>
    </row>
    <row r="643" spans="3:19" s="277" customFormat="1" hidden="1" outlineLevel="1" x14ac:dyDescent="0.3">
      <c r="C643" s="283" t="str">
        <f>RES_BA!D143</f>
        <v>Equipment Category 14</v>
      </c>
      <c r="M643" s="279">
        <f>RES_BA!R143</f>
        <v>0</v>
      </c>
      <c r="O643" s="279">
        <f>RES_BA!S143</f>
        <v>0</v>
      </c>
      <c r="Q643" s="279">
        <f>RES_BA!T143</f>
        <v>0</v>
      </c>
      <c r="S643" s="279">
        <f>RES_BA!U143</f>
        <v>0</v>
      </c>
    </row>
    <row r="644" spans="3:19" s="277" customFormat="1" hidden="1" outlineLevel="1" x14ac:dyDescent="0.3">
      <c r="C644" s="283" t="str">
        <f>RES_BA!D144</f>
        <v>Equipment Category 15</v>
      </c>
      <c r="M644" s="279">
        <f>RES_BA!R144</f>
        <v>0</v>
      </c>
      <c r="O644" s="279">
        <f>RES_BA!S144</f>
        <v>0</v>
      </c>
      <c r="Q644" s="279">
        <f>RES_BA!T144</f>
        <v>0</v>
      </c>
      <c r="S644" s="279">
        <f>RES_BA!U144</f>
        <v>0</v>
      </c>
    </row>
    <row r="645" spans="3:19" s="277" customFormat="1" hidden="1" outlineLevel="1" x14ac:dyDescent="0.3">
      <c r="C645" s="283" t="str">
        <f>RES_BA!D145</f>
        <v>Equipment Category 16</v>
      </c>
      <c r="M645" s="279">
        <f>RES_BA!R145</f>
        <v>0</v>
      </c>
      <c r="O645" s="279">
        <f>RES_BA!S145</f>
        <v>0</v>
      </c>
      <c r="Q645" s="279">
        <f>RES_BA!T145</f>
        <v>0</v>
      </c>
      <c r="S645" s="279">
        <f>RES_BA!U145</f>
        <v>0</v>
      </c>
    </row>
    <row r="646" spans="3:19" s="277" customFormat="1" hidden="1" outlineLevel="1" x14ac:dyDescent="0.3">
      <c r="C646" s="283" t="str">
        <f>RES_BA!D146</f>
        <v>Equipment Category 17</v>
      </c>
      <c r="M646" s="279">
        <f>RES_BA!R146</f>
        <v>0</v>
      </c>
      <c r="O646" s="279">
        <f>RES_BA!S146</f>
        <v>0</v>
      </c>
      <c r="Q646" s="279">
        <f>RES_BA!T146</f>
        <v>0</v>
      </c>
      <c r="S646" s="279">
        <f>RES_BA!U146</f>
        <v>0</v>
      </c>
    </row>
    <row r="647" spans="3:19" s="277" customFormat="1" hidden="1" outlineLevel="1" x14ac:dyDescent="0.3">
      <c r="C647" s="283" t="str">
        <f>RES_BA!D147</f>
        <v>Equipment Category 18</v>
      </c>
      <c r="M647" s="279">
        <f>RES_BA!R147</f>
        <v>0</v>
      </c>
      <c r="O647" s="279">
        <f>RES_BA!S147</f>
        <v>0</v>
      </c>
      <c r="Q647" s="279">
        <f>RES_BA!T147</f>
        <v>0</v>
      </c>
      <c r="S647" s="279">
        <f>RES_BA!U147</f>
        <v>0</v>
      </c>
    </row>
    <row r="648" spans="3:19" s="277" customFormat="1" hidden="1" outlineLevel="1" x14ac:dyDescent="0.3">
      <c r="C648" s="283" t="str">
        <f>RES_BA!D148</f>
        <v>Equipment Category 19</v>
      </c>
      <c r="M648" s="279">
        <f>RES_BA!R148</f>
        <v>0</v>
      </c>
      <c r="O648" s="279">
        <f>RES_BA!S148</f>
        <v>0</v>
      </c>
      <c r="Q648" s="279">
        <f>RES_BA!T148</f>
        <v>0</v>
      </c>
      <c r="S648" s="279">
        <f>RES_BA!U148</f>
        <v>0</v>
      </c>
    </row>
    <row r="649" spans="3:19" s="277" customFormat="1" hidden="1" outlineLevel="1" x14ac:dyDescent="0.3">
      <c r="C649" s="283" t="str">
        <f>RES_BA!D149</f>
        <v>Equipment Category 20</v>
      </c>
      <c r="M649" s="279">
        <f>RES_BA!R149</f>
        <v>0</v>
      </c>
      <c r="O649" s="279">
        <f>RES_BA!S149</f>
        <v>0</v>
      </c>
      <c r="Q649" s="279">
        <f>RES_BA!T149</f>
        <v>0</v>
      </c>
      <c r="S649" s="279">
        <f>RES_BA!U149</f>
        <v>0</v>
      </c>
    </row>
    <row r="650" spans="3:19" s="277" customFormat="1" hidden="1" outlineLevel="1" x14ac:dyDescent="0.3">
      <c r="C650" s="283" t="str">
        <f>RES_BA!D150</f>
        <v>Equipment Category 21</v>
      </c>
      <c r="M650" s="279">
        <f>RES_BA!R150</f>
        <v>0</v>
      </c>
      <c r="O650" s="279">
        <f>RES_BA!S150</f>
        <v>0</v>
      </c>
      <c r="Q650" s="279">
        <f>RES_BA!T150</f>
        <v>0</v>
      </c>
      <c r="S650" s="279">
        <f>RES_BA!U150</f>
        <v>0</v>
      </c>
    </row>
    <row r="651" spans="3:19" s="277" customFormat="1" hidden="1" outlineLevel="1" x14ac:dyDescent="0.3">
      <c r="C651" s="283" t="str">
        <f>RES_BA!D151</f>
        <v>Equipment Category 22</v>
      </c>
      <c r="M651" s="279">
        <f>RES_BA!R151</f>
        <v>0</v>
      </c>
      <c r="O651" s="279">
        <f>RES_BA!S151</f>
        <v>0</v>
      </c>
      <c r="Q651" s="279">
        <f>RES_BA!T151</f>
        <v>0</v>
      </c>
      <c r="S651" s="279">
        <f>RES_BA!U151</f>
        <v>0</v>
      </c>
    </row>
    <row r="652" spans="3:19" s="277" customFormat="1" hidden="1" outlineLevel="1" x14ac:dyDescent="0.3">
      <c r="C652" s="283" t="str">
        <f>RES_BA!D152</f>
        <v>Equipment Category 23</v>
      </c>
      <c r="M652" s="279">
        <f>RES_BA!R152</f>
        <v>0</v>
      </c>
      <c r="O652" s="279">
        <f>RES_BA!S152</f>
        <v>0</v>
      </c>
      <c r="Q652" s="279">
        <f>RES_BA!T152</f>
        <v>0</v>
      </c>
      <c r="S652" s="279">
        <f>RES_BA!U152</f>
        <v>0</v>
      </c>
    </row>
    <row r="653" spans="3:19" s="277" customFormat="1" hidden="1" outlineLevel="1" collapsed="1" x14ac:dyDescent="0.3">
      <c r="C653" s="283" t="str">
        <f>RES_BA!D153</f>
        <v>Equipment Category 24</v>
      </c>
      <c r="M653" s="279">
        <f>RES_BA!R153</f>
        <v>0</v>
      </c>
      <c r="O653" s="279">
        <f>RES_BA!S153</f>
        <v>0</v>
      </c>
      <c r="Q653" s="279">
        <f>RES_BA!T153</f>
        <v>0</v>
      </c>
      <c r="S653" s="279">
        <f>RES_BA!U153</f>
        <v>0</v>
      </c>
    </row>
    <row r="654" spans="3:19" s="277" customFormat="1" hidden="1" outlineLevel="1" x14ac:dyDescent="0.3">
      <c r="C654" s="283" t="str">
        <f>RES_BA!D154</f>
        <v>Equipment Category 25</v>
      </c>
      <c r="M654" s="279">
        <f>RES_BA!R154</f>
        <v>0</v>
      </c>
      <c r="O654" s="279">
        <f>RES_BA!S154</f>
        <v>0</v>
      </c>
      <c r="Q654" s="279">
        <f>RES_BA!T154</f>
        <v>0</v>
      </c>
      <c r="S654" s="279">
        <f>RES_BA!U154</f>
        <v>0</v>
      </c>
    </row>
    <row r="655" spans="3:19" s="277" customFormat="1" hidden="1" outlineLevel="1" x14ac:dyDescent="0.3">
      <c r="C655" s="283" t="str">
        <f>RES_BA!D155</f>
        <v>Equipment Category 26</v>
      </c>
      <c r="M655" s="279">
        <f>RES_BA!R155</f>
        <v>0</v>
      </c>
      <c r="O655" s="279">
        <f>RES_BA!S155</f>
        <v>0</v>
      </c>
      <c r="Q655" s="279">
        <f>RES_BA!T155</f>
        <v>0</v>
      </c>
      <c r="S655" s="279">
        <f>RES_BA!U155</f>
        <v>0</v>
      </c>
    </row>
    <row r="656" spans="3:19" s="277" customFormat="1" hidden="1" outlineLevel="1" x14ac:dyDescent="0.3">
      <c r="C656" s="283" t="str">
        <f>RES_BA!D156</f>
        <v>Equipment Category 27</v>
      </c>
      <c r="M656" s="279">
        <f>RES_BA!R156</f>
        <v>0</v>
      </c>
      <c r="O656" s="279">
        <f>RES_BA!S156</f>
        <v>0</v>
      </c>
      <c r="Q656" s="279">
        <f>RES_BA!T156</f>
        <v>0</v>
      </c>
      <c r="S656" s="279">
        <f>RES_BA!U156</f>
        <v>0</v>
      </c>
    </row>
    <row r="657" spans="3:19" s="277" customFormat="1" hidden="1" outlineLevel="1" x14ac:dyDescent="0.3">
      <c r="C657" s="283" t="str">
        <f>RES_BA!D157</f>
        <v>Equipment Category 28</v>
      </c>
      <c r="M657" s="279">
        <f>RES_BA!R157</f>
        <v>0</v>
      </c>
      <c r="O657" s="279">
        <f>RES_BA!S157</f>
        <v>0</v>
      </c>
      <c r="Q657" s="279">
        <f>RES_BA!T157</f>
        <v>0</v>
      </c>
      <c r="S657" s="279">
        <f>RES_BA!U157</f>
        <v>0</v>
      </c>
    </row>
    <row r="658" spans="3:19" s="277" customFormat="1" hidden="1" outlineLevel="1" x14ac:dyDescent="0.3">
      <c r="C658" s="283" t="str">
        <f>RES_BA!D158</f>
        <v>Equipment Category 29</v>
      </c>
      <c r="M658" s="279">
        <f>RES_BA!R158</f>
        <v>0</v>
      </c>
      <c r="O658" s="279">
        <f>RES_BA!S158</f>
        <v>0</v>
      </c>
      <c r="Q658" s="279">
        <f>RES_BA!T158</f>
        <v>0</v>
      </c>
      <c r="S658" s="279">
        <f>RES_BA!U158</f>
        <v>0</v>
      </c>
    </row>
    <row r="659" spans="3:19" s="277" customFormat="1" hidden="1" outlineLevel="1" x14ac:dyDescent="0.3">
      <c r="C659" s="283" t="str">
        <f>RES_BA!D159</f>
        <v>Equipment Category 30</v>
      </c>
      <c r="M659" s="279">
        <f>RES_BA!R159</f>
        <v>0</v>
      </c>
      <c r="O659" s="279">
        <f>RES_BA!S159</f>
        <v>0</v>
      </c>
      <c r="Q659" s="279">
        <f>RES_BA!T159</f>
        <v>0</v>
      </c>
      <c r="S659" s="279">
        <f>RES_BA!U159</f>
        <v>0</v>
      </c>
    </row>
    <row r="660" spans="3:19" s="277" customFormat="1" hidden="1" outlineLevel="1" x14ac:dyDescent="0.3">
      <c r="C660" s="283" t="str">
        <f>RES_BA!D160</f>
        <v>Equipment Category 31</v>
      </c>
      <c r="M660" s="279">
        <f>RES_BA!R160</f>
        <v>0</v>
      </c>
      <c r="O660" s="279">
        <f>RES_BA!S160</f>
        <v>0</v>
      </c>
      <c r="Q660" s="279">
        <f>RES_BA!T160</f>
        <v>0</v>
      </c>
      <c r="S660" s="279">
        <f>RES_BA!U160</f>
        <v>0</v>
      </c>
    </row>
    <row r="661" spans="3:19" s="277" customFormat="1" hidden="1" outlineLevel="1" x14ac:dyDescent="0.3">
      <c r="C661" s="283" t="str">
        <f>RES_BA!D161</f>
        <v>Equipment Category 32</v>
      </c>
      <c r="M661" s="279">
        <f>RES_BA!R161</f>
        <v>0</v>
      </c>
      <c r="O661" s="279">
        <f>RES_BA!S161</f>
        <v>0</v>
      </c>
      <c r="Q661" s="279">
        <f>RES_BA!T161</f>
        <v>0</v>
      </c>
      <c r="S661" s="279">
        <f>RES_BA!U161</f>
        <v>0</v>
      </c>
    </row>
    <row r="662" spans="3:19" s="277" customFormat="1" hidden="1" outlineLevel="1" x14ac:dyDescent="0.3">
      <c r="C662" s="283" t="str">
        <f>RES_BA!D162</f>
        <v>Equipment Category 33</v>
      </c>
      <c r="M662" s="279">
        <f>RES_BA!R162</f>
        <v>0</v>
      </c>
      <c r="O662" s="279">
        <f>RES_BA!S162</f>
        <v>0</v>
      </c>
      <c r="Q662" s="279">
        <f>RES_BA!T162</f>
        <v>0</v>
      </c>
      <c r="S662" s="279">
        <f>RES_BA!U162</f>
        <v>0</v>
      </c>
    </row>
    <row r="663" spans="3:19" s="277" customFormat="1" hidden="1" outlineLevel="1" collapsed="1" x14ac:dyDescent="0.3">
      <c r="C663" s="283" t="str">
        <f>RES_BA!D163</f>
        <v>Equipment Category 34</v>
      </c>
      <c r="M663" s="279">
        <f>RES_BA!R163</f>
        <v>0</v>
      </c>
      <c r="O663" s="279">
        <f>RES_BA!S163</f>
        <v>0</v>
      </c>
      <c r="Q663" s="279">
        <f>RES_BA!T163</f>
        <v>0</v>
      </c>
      <c r="S663" s="279">
        <f>RES_BA!U163</f>
        <v>0</v>
      </c>
    </row>
    <row r="664" spans="3:19" s="277" customFormat="1" hidden="1" outlineLevel="1" x14ac:dyDescent="0.3">
      <c r="C664" s="283" t="str">
        <f>RES_BA!D164</f>
        <v>Equipment Category 35</v>
      </c>
      <c r="M664" s="279">
        <f>RES_BA!R164</f>
        <v>0</v>
      </c>
      <c r="O664" s="279">
        <f>RES_BA!S164</f>
        <v>0</v>
      </c>
      <c r="Q664" s="279">
        <f>RES_BA!T164</f>
        <v>0</v>
      </c>
      <c r="S664" s="279">
        <f>RES_BA!U164</f>
        <v>0</v>
      </c>
    </row>
    <row r="665" spans="3:19" hidden="1" outlineLevel="1" x14ac:dyDescent="0.3"/>
    <row r="666" spans="3:19" hidden="1" outlineLevel="1" x14ac:dyDescent="0.3"/>
    <row r="667" spans="3:19" hidden="1" outlineLevel="1" x14ac:dyDescent="0.3">
      <c r="M667" s="40" t="str">
        <f>$D$512</f>
        <v>USD</v>
      </c>
      <c r="O667" s="40" t="str">
        <f>$D$512</f>
        <v>USD</v>
      </c>
      <c r="Q667" s="40" t="str">
        <f>$D$513</f>
        <v>GOZ</v>
      </c>
      <c r="S667" s="40" t="str">
        <f>$D$513</f>
        <v>GOZ</v>
      </c>
    </row>
    <row r="668" spans="3:19" hidden="1" outlineLevel="1" x14ac:dyDescent="0.3">
      <c r="C668" s="89" t="str">
        <f>RES_BA!D169</f>
        <v>Other Direct Costs Category 1</v>
      </c>
      <c r="M668" s="40">
        <f>RES_BA!R169</f>
        <v>0</v>
      </c>
      <c r="O668" s="40">
        <f>RES_BA!S169</f>
        <v>0</v>
      </c>
      <c r="Q668" s="40">
        <f>RES_BA!T169</f>
        <v>0</v>
      </c>
      <c r="S668" s="40">
        <f>RES_BA!U169</f>
        <v>0</v>
      </c>
    </row>
    <row r="669" spans="3:19" hidden="1" outlineLevel="1" x14ac:dyDescent="0.3">
      <c r="C669" s="89" t="str">
        <f>RES_BA!D170</f>
        <v>Other Direct Costs Category 2</v>
      </c>
      <c r="M669" s="40">
        <f>RES_BA!R170</f>
        <v>0</v>
      </c>
      <c r="O669" s="40">
        <f>RES_BA!S170</f>
        <v>0</v>
      </c>
      <c r="Q669" s="40">
        <f>RES_BA!T170</f>
        <v>0</v>
      </c>
      <c r="S669" s="40">
        <f>RES_BA!U170</f>
        <v>0</v>
      </c>
    </row>
    <row r="670" spans="3:19" hidden="1" outlineLevel="1" x14ac:dyDescent="0.3">
      <c r="C670" s="89" t="str">
        <f>RES_BA!D171</f>
        <v>Other Direct Costs Category 3</v>
      </c>
      <c r="M670" s="40">
        <f>RES_BA!R171</f>
        <v>0</v>
      </c>
      <c r="O670" s="40">
        <f>RES_BA!S171</f>
        <v>0</v>
      </c>
      <c r="Q670" s="40">
        <f>RES_BA!T171</f>
        <v>0</v>
      </c>
      <c r="S670" s="40">
        <f>RES_BA!U171</f>
        <v>0</v>
      </c>
    </row>
    <row r="671" spans="3:19" s="277" customFormat="1" hidden="1" outlineLevel="1" collapsed="1" x14ac:dyDescent="0.3">
      <c r="C671" s="283" t="str">
        <f>RES_BA!D172</f>
        <v>Other Direct Costs Category 4</v>
      </c>
      <c r="M671" s="279">
        <f>RES_BA!R172</f>
        <v>0</v>
      </c>
      <c r="O671" s="279">
        <f>RES_BA!S172</f>
        <v>0</v>
      </c>
      <c r="Q671" s="279">
        <f>RES_BA!T172</f>
        <v>0</v>
      </c>
      <c r="S671" s="279">
        <f>RES_BA!U172</f>
        <v>0</v>
      </c>
    </row>
    <row r="672" spans="3:19" s="277" customFormat="1" hidden="1" outlineLevel="1" x14ac:dyDescent="0.3">
      <c r="C672" s="283" t="str">
        <f>RES_BA!D173</f>
        <v>Other Direct Costs Category 5</v>
      </c>
      <c r="M672" s="279">
        <f>RES_BA!R173</f>
        <v>0</v>
      </c>
      <c r="O672" s="279">
        <f>RES_BA!S173</f>
        <v>0</v>
      </c>
      <c r="Q672" s="279">
        <f>RES_BA!T173</f>
        <v>0</v>
      </c>
      <c r="S672" s="279">
        <f>RES_BA!U173</f>
        <v>0</v>
      </c>
    </row>
    <row r="673" spans="3:19" s="277" customFormat="1" hidden="1" outlineLevel="1" x14ac:dyDescent="0.3">
      <c r="C673" s="283" t="str">
        <f>RES_BA!D174</f>
        <v>Other Direct Costs Category 6</v>
      </c>
      <c r="M673" s="279">
        <f>RES_BA!R174</f>
        <v>0</v>
      </c>
      <c r="O673" s="279">
        <f>RES_BA!S174</f>
        <v>0</v>
      </c>
      <c r="Q673" s="279">
        <f>RES_BA!T174</f>
        <v>0</v>
      </c>
      <c r="S673" s="279">
        <f>RES_BA!U174</f>
        <v>0</v>
      </c>
    </row>
    <row r="674" spans="3:19" s="277" customFormat="1" hidden="1" outlineLevel="1" x14ac:dyDescent="0.3">
      <c r="C674" s="283" t="str">
        <f>RES_BA!D175</f>
        <v>Other Direct Costs Category 7</v>
      </c>
      <c r="M674" s="279">
        <f>RES_BA!R175</f>
        <v>0</v>
      </c>
      <c r="O674" s="279">
        <f>RES_BA!S175</f>
        <v>0</v>
      </c>
      <c r="Q674" s="279">
        <f>RES_BA!T175</f>
        <v>0</v>
      </c>
      <c r="S674" s="279">
        <f>RES_BA!U175</f>
        <v>0</v>
      </c>
    </row>
    <row r="675" spans="3:19" s="277" customFormat="1" hidden="1" outlineLevel="1" x14ac:dyDescent="0.3">
      <c r="C675" s="283" t="str">
        <f>RES_BA!D176</f>
        <v>Other Direct Costs Category 8</v>
      </c>
      <c r="M675" s="279">
        <f>RES_BA!R176</f>
        <v>0</v>
      </c>
      <c r="O675" s="279">
        <f>RES_BA!S176</f>
        <v>0</v>
      </c>
      <c r="Q675" s="279">
        <f>RES_BA!T176</f>
        <v>0</v>
      </c>
      <c r="S675" s="279">
        <f>RES_BA!U176</f>
        <v>0</v>
      </c>
    </row>
    <row r="676" spans="3:19" s="277" customFormat="1" hidden="1" outlineLevel="1" x14ac:dyDescent="0.3">
      <c r="C676" s="283" t="str">
        <f>RES_BA!D177</f>
        <v>Other Direct Costs Category 9</v>
      </c>
      <c r="M676" s="279">
        <f>RES_BA!R177</f>
        <v>0</v>
      </c>
      <c r="O676" s="279">
        <f>RES_BA!S177</f>
        <v>0</v>
      </c>
      <c r="Q676" s="279">
        <f>RES_BA!T177</f>
        <v>0</v>
      </c>
      <c r="S676" s="279">
        <f>RES_BA!U177</f>
        <v>0</v>
      </c>
    </row>
    <row r="677" spans="3:19" s="277" customFormat="1" hidden="1" outlineLevel="1" x14ac:dyDescent="0.3">
      <c r="C677" s="283" t="str">
        <f>RES_BA!D178</f>
        <v>Other Direct Costs Category 10</v>
      </c>
      <c r="M677" s="279">
        <f>RES_BA!R178</f>
        <v>0</v>
      </c>
      <c r="O677" s="279">
        <f>RES_BA!S178</f>
        <v>0</v>
      </c>
      <c r="Q677" s="279">
        <f>RES_BA!T178</f>
        <v>0</v>
      </c>
      <c r="S677" s="279">
        <f>RES_BA!U178</f>
        <v>0</v>
      </c>
    </row>
    <row r="678" spans="3:19" s="277" customFormat="1" hidden="1" outlineLevel="1" x14ac:dyDescent="0.3">
      <c r="C678" s="283" t="str">
        <f>RES_BA!D179</f>
        <v>Other Direct Costs Category 11</v>
      </c>
      <c r="M678" s="279">
        <f>RES_BA!R179</f>
        <v>0</v>
      </c>
      <c r="O678" s="279">
        <f>RES_BA!S179</f>
        <v>0</v>
      </c>
      <c r="Q678" s="279">
        <f>RES_BA!T179</f>
        <v>0</v>
      </c>
      <c r="S678" s="279">
        <f>RES_BA!U179</f>
        <v>0</v>
      </c>
    </row>
    <row r="679" spans="3:19" s="277" customFormat="1" hidden="1" outlineLevel="1" collapsed="1" x14ac:dyDescent="0.3">
      <c r="C679" s="283" t="str">
        <f>RES_BA!D180</f>
        <v>Other Direct Costs Category 12</v>
      </c>
      <c r="M679" s="279">
        <f>RES_BA!R180</f>
        <v>0</v>
      </c>
      <c r="O679" s="279">
        <f>RES_BA!S180</f>
        <v>0</v>
      </c>
      <c r="Q679" s="279">
        <f>RES_BA!T180</f>
        <v>0</v>
      </c>
      <c r="S679" s="279">
        <f>RES_BA!U180</f>
        <v>0</v>
      </c>
    </row>
    <row r="680" spans="3:19" s="277" customFormat="1" hidden="1" outlineLevel="1" x14ac:dyDescent="0.3">
      <c r="C680" s="283" t="str">
        <f>RES_BA!D181</f>
        <v>Other Direct Costs Category 13</v>
      </c>
      <c r="M680" s="279">
        <f>RES_BA!R181</f>
        <v>0</v>
      </c>
      <c r="O680" s="279">
        <f>RES_BA!S181</f>
        <v>0</v>
      </c>
      <c r="Q680" s="279">
        <f>RES_BA!T181</f>
        <v>0</v>
      </c>
      <c r="S680" s="279">
        <f>RES_BA!U181</f>
        <v>0</v>
      </c>
    </row>
    <row r="681" spans="3:19" s="277" customFormat="1" hidden="1" outlineLevel="1" x14ac:dyDescent="0.3">
      <c r="C681" s="283" t="str">
        <f>RES_BA!D182</f>
        <v>Other Direct Costs Category 14</v>
      </c>
      <c r="M681" s="279">
        <f>RES_BA!R182</f>
        <v>0</v>
      </c>
      <c r="O681" s="279">
        <f>RES_BA!S182</f>
        <v>0</v>
      </c>
      <c r="Q681" s="279">
        <f>RES_BA!T182</f>
        <v>0</v>
      </c>
      <c r="S681" s="279">
        <f>RES_BA!U182</f>
        <v>0</v>
      </c>
    </row>
    <row r="682" spans="3:19" s="277" customFormat="1" hidden="1" outlineLevel="1" x14ac:dyDescent="0.3">
      <c r="C682" s="283" t="str">
        <f>RES_BA!D183</f>
        <v>Other Direct Costs Category 15</v>
      </c>
      <c r="M682" s="279">
        <f>RES_BA!R183</f>
        <v>0</v>
      </c>
      <c r="O682" s="279">
        <f>RES_BA!S183</f>
        <v>0</v>
      </c>
      <c r="Q682" s="279">
        <f>RES_BA!T183</f>
        <v>0</v>
      </c>
      <c r="S682" s="279">
        <f>RES_BA!U183</f>
        <v>0</v>
      </c>
    </row>
    <row r="683" spans="3:19" s="277" customFormat="1" hidden="1" outlineLevel="1" x14ac:dyDescent="0.3">
      <c r="C683" s="283" t="str">
        <f>RES_BA!D184</f>
        <v>Other Direct Costs Category 16</v>
      </c>
      <c r="M683" s="279">
        <f>RES_BA!R184</f>
        <v>0</v>
      </c>
      <c r="O683" s="279">
        <f>RES_BA!S184</f>
        <v>0</v>
      </c>
      <c r="Q683" s="279">
        <f>RES_BA!T184</f>
        <v>0</v>
      </c>
      <c r="S683" s="279">
        <f>RES_BA!U184</f>
        <v>0</v>
      </c>
    </row>
    <row r="684" spans="3:19" s="277" customFormat="1" hidden="1" outlineLevel="1" x14ac:dyDescent="0.3">
      <c r="C684" s="283" t="str">
        <f>RES_BA!D185</f>
        <v>Other Direct Costs Category 17</v>
      </c>
      <c r="M684" s="279">
        <f>RES_BA!R185</f>
        <v>0</v>
      </c>
      <c r="O684" s="279">
        <f>RES_BA!S185</f>
        <v>0</v>
      </c>
      <c r="Q684" s="279">
        <f>RES_BA!T185</f>
        <v>0</v>
      </c>
      <c r="S684" s="279">
        <f>RES_BA!U185</f>
        <v>0</v>
      </c>
    </row>
    <row r="685" spans="3:19" s="277" customFormat="1" hidden="1" outlineLevel="1" x14ac:dyDescent="0.3">
      <c r="C685" s="283" t="str">
        <f>RES_BA!D186</f>
        <v>Other Direct Costs Category 18</v>
      </c>
      <c r="M685" s="279">
        <f>RES_BA!R186</f>
        <v>0</v>
      </c>
      <c r="O685" s="279">
        <f>RES_BA!S186</f>
        <v>0</v>
      </c>
      <c r="Q685" s="279">
        <f>RES_BA!T186</f>
        <v>0</v>
      </c>
      <c r="S685" s="279">
        <f>RES_BA!U186</f>
        <v>0</v>
      </c>
    </row>
    <row r="686" spans="3:19" s="277" customFormat="1" hidden="1" outlineLevel="1" x14ac:dyDescent="0.3">
      <c r="C686" s="283" t="str">
        <f>RES_BA!D187</f>
        <v>Other Direct Costs Category 19</v>
      </c>
      <c r="M686" s="279">
        <f>RES_BA!R187</f>
        <v>0</v>
      </c>
      <c r="O686" s="279">
        <f>RES_BA!S187</f>
        <v>0</v>
      </c>
      <c r="Q686" s="279">
        <f>RES_BA!T187</f>
        <v>0</v>
      </c>
      <c r="S686" s="279">
        <f>RES_BA!U187</f>
        <v>0</v>
      </c>
    </row>
    <row r="687" spans="3:19" s="277" customFormat="1" hidden="1" outlineLevel="1" x14ac:dyDescent="0.3">
      <c r="C687" s="283" t="str">
        <f>RES_BA!D188</f>
        <v>Other Direct Costs Category 20</v>
      </c>
      <c r="M687" s="279">
        <f>RES_BA!R188</f>
        <v>0</v>
      </c>
      <c r="O687" s="279">
        <f>RES_BA!S188</f>
        <v>0</v>
      </c>
      <c r="Q687" s="279">
        <f>RES_BA!T188</f>
        <v>0</v>
      </c>
      <c r="S687" s="279">
        <f>RES_BA!U188</f>
        <v>0</v>
      </c>
    </row>
    <row r="688" spans="3:19" s="277" customFormat="1" hidden="1" outlineLevel="1" x14ac:dyDescent="0.3">
      <c r="C688" s="283" t="str">
        <f>RES_BA!D189</f>
        <v>Other Direct Costs Category 21</v>
      </c>
      <c r="M688" s="279">
        <f>RES_BA!R189</f>
        <v>0</v>
      </c>
      <c r="O688" s="279">
        <f>RES_BA!S189</f>
        <v>0</v>
      </c>
      <c r="Q688" s="279">
        <f>RES_BA!T189</f>
        <v>0</v>
      </c>
      <c r="S688" s="279">
        <f>RES_BA!U189</f>
        <v>0</v>
      </c>
    </row>
    <row r="689" spans="3:19" s="277" customFormat="1" hidden="1" outlineLevel="1" x14ac:dyDescent="0.3">
      <c r="C689" s="283" t="str">
        <f>RES_BA!D190</f>
        <v>Other Direct Costs Category 22</v>
      </c>
      <c r="M689" s="279">
        <f>RES_BA!R190</f>
        <v>0</v>
      </c>
      <c r="O689" s="279">
        <f>RES_BA!S190</f>
        <v>0</v>
      </c>
      <c r="Q689" s="279">
        <f>RES_BA!T190</f>
        <v>0</v>
      </c>
      <c r="S689" s="279">
        <f>RES_BA!U190</f>
        <v>0</v>
      </c>
    </row>
    <row r="690" spans="3:19" s="277" customFormat="1" hidden="1" outlineLevel="1" x14ac:dyDescent="0.3">
      <c r="C690" s="283" t="str">
        <f>RES_BA!D191</f>
        <v>Other Direct Costs Category 23</v>
      </c>
      <c r="M690" s="279">
        <f>RES_BA!R191</f>
        <v>0</v>
      </c>
      <c r="O690" s="279">
        <f>RES_BA!S191</f>
        <v>0</v>
      </c>
      <c r="Q690" s="279">
        <f>RES_BA!T191</f>
        <v>0</v>
      </c>
      <c r="S690" s="279">
        <f>RES_BA!U191</f>
        <v>0</v>
      </c>
    </row>
    <row r="691" spans="3:19" s="277" customFormat="1" hidden="1" outlineLevel="1" collapsed="1" x14ac:dyDescent="0.3">
      <c r="C691" s="283" t="str">
        <f>RES_BA!D192</f>
        <v>Other Direct Costs Category 24</v>
      </c>
      <c r="M691" s="279">
        <f>RES_BA!R192</f>
        <v>0</v>
      </c>
      <c r="O691" s="279">
        <f>RES_BA!S192</f>
        <v>0</v>
      </c>
      <c r="Q691" s="279">
        <f>RES_BA!T192</f>
        <v>0</v>
      </c>
      <c r="S691" s="279">
        <f>RES_BA!U192</f>
        <v>0</v>
      </c>
    </row>
    <row r="692" spans="3:19" s="277" customFormat="1" hidden="1" outlineLevel="1" x14ac:dyDescent="0.3">
      <c r="C692" s="283" t="str">
        <f>RES_BA!D193</f>
        <v>Other Direct Costs Category 25</v>
      </c>
      <c r="M692" s="279">
        <f>RES_BA!R193</f>
        <v>0</v>
      </c>
      <c r="O692" s="279">
        <f>RES_BA!S193</f>
        <v>0</v>
      </c>
      <c r="Q692" s="279">
        <f>RES_BA!T193</f>
        <v>0</v>
      </c>
      <c r="S692" s="279">
        <f>RES_BA!U193</f>
        <v>0</v>
      </c>
    </row>
    <row r="693" spans="3:19" s="277" customFormat="1" hidden="1" outlineLevel="1" x14ac:dyDescent="0.3">
      <c r="C693" s="283" t="str">
        <f>RES_BA!D194</f>
        <v>Other Direct Costs Category 26</v>
      </c>
      <c r="M693" s="279">
        <f>RES_BA!R194</f>
        <v>0</v>
      </c>
      <c r="O693" s="279">
        <f>RES_BA!S194</f>
        <v>0</v>
      </c>
      <c r="Q693" s="279">
        <f>RES_BA!T194</f>
        <v>0</v>
      </c>
      <c r="S693" s="279">
        <f>RES_BA!U194</f>
        <v>0</v>
      </c>
    </row>
    <row r="694" spans="3:19" s="277" customFormat="1" hidden="1" outlineLevel="1" x14ac:dyDescent="0.3">
      <c r="C694" s="283" t="str">
        <f>RES_BA!D195</f>
        <v>Other Direct Costs Category 27</v>
      </c>
      <c r="M694" s="279">
        <f>RES_BA!R195</f>
        <v>0</v>
      </c>
      <c r="O694" s="279">
        <f>RES_BA!S195</f>
        <v>0</v>
      </c>
      <c r="Q694" s="279">
        <f>RES_BA!T195</f>
        <v>0</v>
      </c>
      <c r="S694" s="279">
        <f>RES_BA!U195</f>
        <v>0</v>
      </c>
    </row>
    <row r="695" spans="3:19" s="277" customFormat="1" hidden="1" outlineLevel="1" x14ac:dyDescent="0.3">
      <c r="C695" s="283" t="str">
        <f>RES_BA!D196</f>
        <v>Other Direct Costs Category 28</v>
      </c>
      <c r="M695" s="279">
        <f>RES_BA!R196</f>
        <v>0</v>
      </c>
      <c r="O695" s="279">
        <f>RES_BA!S196</f>
        <v>0</v>
      </c>
      <c r="Q695" s="279">
        <f>RES_BA!T196</f>
        <v>0</v>
      </c>
      <c r="S695" s="279">
        <f>RES_BA!U196</f>
        <v>0</v>
      </c>
    </row>
    <row r="696" spans="3:19" s="277" customFormat="1" hidden="1" outlineLevel="1" x14ac:dyDescent="0.3">
      <c r="C696" s="283" t="str">
        <f>RES_BA!D197</f>
        <v>Other Direct Costs Category 29</v>
      </c>
      <c r="M696" s="279">
        <f>RES_BA!R197</f>
        <v>0</v>
      </c>
      <c r="O696" s="279">
        <f>RES_BA!S197</f>
        <v>0</v>
      </c>
      <c r="Q696" s="279">
        <f>RES_BA!T197</f>
        <v>0</v>
      </c>
      <c r="S696" s="279">
        <f>RES_BA!U197</f>
        <v>0</v>
      </c>
    </row>
    <row r="697" spans="3:19" s="277" customFormat="1" hidden="1" outlineLevel="1" x14ac:dyDescent="0.3">
      <c r="C697" s="283" t="str">
        <f>RES_BA!D198</f>
        <v>Other Direct Costs Category 30</v>
      </c>
      <c r="M697" s="279">
        <f>RES_BA!R198</f>
        <v>0</v>
      </c>
      <c r="O697" s="279">
        <f>RES_BA!S198</f>
        <v>0</v>
      </c>
      <c r="Q697" s="279">
        <f>RES_BA!T198</f>
        <v>0</v>
      </c>
      <c r="S697" s="279">
        <f>RES_BA!U198</f>
        <v>0</v>
      </c>
    </row>
    <row r="698" spans="3:19" s="277" customFormat="1" hidden="1" outlineLevel="1" x14ac:dyDescent="0.3">
      <c r="C698" s="283" t="str">
        <f>RES_BA!D199</f>
        <v>Other Direct Costs Category 31</v>
      </c>
      <c r="M698" s="279">
        <f>RES_BA!R199</f>
        <v>0</v>
      </c>
      <c r="O698" s="279">
        <f>RES_BA!S199</f>
        <v>0</v>
      </c>
      <c r="Q698" s="279">
        <f>RES_BA!T199</f>
        <v>0</v>
      </c>
      <c r="S698" s="279">
        <f>RES_BA!U199</f>
        <v>0</v>
      </c>
    </row>
    <row r="699" spans="3:19" s="277" customFormat="1" hidden="1" outlineLevel="1" x14ac:dyDescent="0.3">
      <c r="C699" s="283" t="str">
        <f>RES_BA!D200</f>
        <v>Other Direct Costs Category 32</v>
      </c>
      <c r="M699" s="279">
        <f>RES_BA!R200</f>
        <v>0</v>
      </c>
      <c r="O699" s="279">
        <f>RES_BA!S200</f>
        <v>0</v>
      </c>
      <c r="Q699" s="279">
        <f>RES_BA!T200</f>
        <v>0</v>
      </c>
      <c r="S699" s="279">
        <f>RES_BA!U200</f>
        <v>0</v>
      </c>
    </row>
    <row r="700" spans="3:19" s="277" customFormat="1" hidden="1" outlineLevel="1" x14ac:dyDescent="0.3">
      <c r="C700" s="283" t="str">
        <f>RES_BA!D201</f>
        <v>Other Direct Costs Category 33</v>
      </c>
      <c r="M700" s="279">
        <f>RES_BA!R201</f>
        <v>0</v>
      </c>
      <c r="O700" s="279">
        <f>RES_BA!S201</f>
        <v>0</v>
      </c>
      <c r="Q700" s="279">
        <f>RES_BA!T201</f>
        <v>0</v>
      </c>
      <c r="S700" s="279">
        <f>RES_BA!U201</f>
        <v>0</v>
      </c>
    </row>
    <row r="701" spans="3:19" s="277" customFormat="1" hidden="1" outlineLevel="1" x14ac:dyDescent="0.3">
      <c r="C701" s="283" t="str">
        <f>RES_BA!D202</f>
        <v>Other Direct Costs Category 34</v>
      </c>
      <c r="M701" s="279">
        <f>RES_BA!R202</f>
        <v>0</v>
      </c>
      <c r="O701" s="279">
        <f>RES_BA!S202</f>
        <v>0</v>
      </c>
      <c r="Q701" s="279">
        <f>RES_BA!T202</f>
        <v>0</v>
      </c>
      <c r="S701" s="279">
        <f>RES_BA!U202</f>
        <v>0</v>
      </c>
    </row>
    <row r="702" spans="3:19" s="277" customFormat="1" hidden="1" outlineLevel="1" x14ac:dyDescent="0.3">
      <c r="C702" s="283" t="str">
        <f>RES_BA!D203</f>
        <v>Other Direct Costs Category 35</v>
      </c>
      <c r="M702" s="279">
        <f>RES_BA!R203</f>
        <v>0</v>
      </c>
      <c r="O702" s="279">
        <f>RES_BA!S203</f>
        <v>0</v>
      </c>
      <c r="Q702" s="279">
        <f>RES_BA!T203</f>
        <v>0</v>
      </c>
      <c r="S702" s="279">
        <f>RES_BA!U203</f>
        <v>0</v>
      </c>
    </row>
    <row r="703" spans="3:19" collapsed="1" x14ac:dyDescent="0.3"/>
    <row r="705" spans="2:24" ht="18" x14ac:dyDescent="0.3">
      <c r="B705" s="31" t="str">
        <f>I706</f>
        <v>Round 2 - Vacciination Activity #3 [not in use]</v>
      </c>
    </row>
    <row r="706" spans="2:24" x14ac:dyDescent="0.3">
      <c r="G706" s="41" t="s">
        <v>119</v>
      </c>
      <c r="I706" s="356" t="s">
        <v>1012</v>
      </c>
      <c r="J706" s="356"/>
      <c r="K706" s="356"/>
      <c r="L706" s="356"/>
      <c r="M706" s="356"/>
    </row>
    <row r="707" spans="2:24" ht="10.5" customHeight="1" x14ac:dyDescent="0.3">
      <c r="G707" s="41" t="s">
        <v>644</v>
      </c>
      <c r="I707" s="32">
        <v>2</v>
      </c>
    </row>
    <row r="708" spans="2:24" ht="15.6" x14ac:dyDescent="0.3">
      <c r="C708" s="92" t="s">
        <v>77</v>
      </c>
      <c r="M708" s="40" t="str">
        <f>IF(DD_ACT_16_Meet1_Curr=1,$D$861,$D$862)</f>
        <v>GOZ</v>
      </c>
      <c r="O708" s="40" t="str">
        <f>IF(DD_ACT_16_Meet1_Curr=1,$D$861,$D$862)</f>
        <v>GOZ</v>
      </c>
      <c r="Q708" s="40" t="str">
        <f>IF(DD_ACT_16_Meet1_Curr=1,$D$861,$D$862)</f>
        <v>GOZ</v>
      </c>
      <c r="S708" s="40" t="str">
        <f>IF(DD_ACT_16_Meet1_Curr=1,$D$861,$D$862)</f>
        <v>GOZ</v>
      </c>
    </row>
    <row r="709" spans="2:24" ht="27.6" x14ac:dyDescent="0.3">
      <c r="D709" s="90" t="s">
        <v>77</v>
      </c>
      <c r="I709" s="88" t="s">
        <v>80</v>
      </c>
      <c r="K709" s="91" t="s">
        <v>432</v>
      </c>
      <c r="M709" s="42" t="s">
        <v>103</v>
      </c>
      <c r="O709" s="42" t="s">
        <v>104</v>
      </c>
      <c r="Q709" s="42" t="s">
        <v>105</v>
      </c>
      <c r="S709" s="42" t="s">
        <v>106</v>
      </c>
      <c r="U709" s="350" t="s">
        <v>185</v>
      </c>
      <c r="V709" s="351"/>
      <c r="W709" s="351"/>
      <c r="X709" s="351"/>
    </row>
    <row r="710" spans="2:24" x14ac:dyDescent="0.3">
      <c r="D710" s="356" t="s">
        <v>188</v>
      </c>
      <c r="E710" s="356"/>
      <c r="F710" s="356"/>
      <c r="G710" s="356"/>
      <c r="I710" s="48">
        <v>0</v>
      </c>
      <c r="K710" s="48">
        <v>0</v>
      </c>
      <c r="M710" s="40">
        <f t="shared" ref="M710:M734" si="40">IFERROR(IF(DD_ACT_16_Meet1_Curr=1,INDEX($M$867:$M$901,MATCH(D710,LU_ACT_16_Pers_Res,0)),INDEX($Q$867:$Q$901,MATCH(D710,LU_ACT_16_Pers_Res,0))),0)</f>
        <v>0</v>
      </c>
      <c r="O710" s="40">
        <f t="shared" ref="O710:O734" si="41">IFERROR(IF(DD_ACT_16_Meet1_Curr=1,INDEX($O$867:$O$901,MATCH(D710,LU_ACT_16_Pers_Res,0)),INDEX($S$867:$S$901,MATCH(D710,LU_ACT_16_Pers_Res,0))),0)</f>
        <v>0</v>
      </c>
      <c r="Q710" s="293">
        <f t="shared" ref="Q710:Q734" si="42">I710*K710*M710</f>
        <v>0</v>
      </c>
      <c r="S710" s="293">
        <f t="shared" ref="S710:S734" si="43">I710*K710*O710</f>
        <v>0</v>
      </c>
      <c r="U710" s="356"/>
      <c r="V710" s="356"/>
      <c r="W710" s="356"/>
      <c r="X710" s="356"/>
    </row>
    <row r="711" spans="2:24" x14ac:dyDescent="0.3">
      <c r="D711" s="356" t="s">
        <v>189</v>
      </c>
      <c r="E711" s="356"/>
      <c r="F711" s="356"/>
      <c r="G711" s="356"/>
      <c r="I711" s="48">
        <v>0</v>
      </c>
      <c r="K711" s="48">
        <v>0</v>
      </c>
      <c r="M711" s="40">
        <f t="shared" si="40"/>
        <v>0</v>
      </c>
      <c r="O711" s="40">
        <f t="shared" si="41"/>
        <v>0</v>
      </c>
      <c r="Q711" s="293">
        <f t="shared" si="42"/>
        <v>0</v>
      </c>
      <c r="S711" s="293">
        <f t="shared" si="43"/>
        <v>0</v>
      </c>
      <c r="U711" s="356"/>
      <c r="V711" s="356"/>
      <c r="W711" s="356"/>
      <c r="X711" s="356"/>
    </row>
    <row r="712" spans="2:24" x14ac:dyDescent="0.3">
      <c r="D712" s="356" t="s">
        <v>190</v>
      </c>
      <c r="E712" s="356"/>
      <c r="F712" s="356"/>
      <c r="G712" s="356"/>
      <c r="I712" s="48">
        <v>0</v>
      </c>
      <c r="K712" s="48">
        <v>0</v>
      </c>
      <c r="M712" s="40">
        <f t="shared" si="40"/>
        <v>0</v>
      </c>
      <c r="O712" s="40">
        <f t="shared" si="41"/>
        <v>0</v>
      </c>
      <c r="Q712" s="293">
        <f t="shared" si="42"/>
        <v>0</v>
      </c>
      <c r="S712" s="293">
        <f t="shared" si="43"/>
        <v>0</v>
      </c>
      <c r="U712" s="356"/>
      <c r="V712" s="356"/>
      <c r="W712" s="356"/>
      <c r="X712" s="356"/>
    </row>
    <row r="713" spans="2:24" x14ac:dyDescent="0.3">
      <c r="D713" s="356" t="s">
        <v>191</v>
      </c>
      <c r="E713" s="356"/>
      <c r="F713" s="356"/>
      <c r="G713" s="356"/>
      <c r="I713" s="48">
        <v>0</v>
      </c>
      <c r="K713" s="48">
        <v>0</v>
      </c>
      <c r="M713" s="40">
        <f t="shared" si="40"/>
        <v>0</v>
      </c>
      <c r="O713" s="40">
        <f t="shared" si="41"/>
        <v>0</v>
      </c>
      <c r="Q713" s="293">
        <f t="shared" si="42"/>
        <v>0</v>
      </c>
      <c r="S713" s="293">
        <f t="shared" si="43"/>
        <v>0</v>
      </c>
      <c r="U713" s="356"/>
      <c r="V713" s="356"/>
      <c r="W713" s="356"/>
      <c r="X713" s="356"/>
    </row>
    <row r="714" spans="2:24" x14ac:dyDescent="0.3">
      <c r="D714" s="356" t="s">
        <v>192</v>
      </c>
      <c r="E714" s="356"/>
      <c r="F714" s="356"/>
      <c r="G714" s="356"/>
      <c r="I714" s="48">
        <v>0</v>
      </c>
      <c r="K714" s="48">
        <v>0</v>
      </c>
      <c r="M714" s="40">
        <f t="shared" si="40"/>
        <v>0</v>
      </c>
      <c r="O714" s="40">
        <f t="shared" si="41"/>
        <v>0</v>
      </c>
      <c r="Q714" s="293">
        <f t="shared" si="42"/>
        <v>0</v>
      </c>
      <c r="S714" s="293">
        <f t="shared" si="43"/>
        <v>0</v>
      </c>
      <c r="U714" s="356"/>
      <c r="V714" s="356"/>
      <c r="W714" s="356"/>
      <c r="X714" s="356"/>
    </row>
    <row r="715" spans="2:24" x14ac:dyDescent="0.3">
      <c r="D715" s="356" t="s">
        <v>193</v>
      </c>
      <c r="E715" s="356"/>
      <c r="F715" s="356"/>
      <c r="G715" s="356"/>
      <c r="I715" s="48">
        <v>0</v>
      </c>
      <c r="K715" s="48">
        <v>0</v>
      </c>
      <c r="M715" s="40">
        <f t="shared" si="40"/>
        <v>0</v>
      </c>
      <c r="O715" s="40">
        <f t="shared" si="41"/>
        <v>0</v>
      </c>
      <c r="Q715" s="293">
        <f t="shared" si="42"/>
        <v>0</v>
      </c>
      <c r="S715" s="293">
        <f t="shared" si="43"/>
        <v>0</v>
      </c>
      <c r="U715" s="356"/>
      <c r="V715" s="356"/>
      <c r="W715" s="356"/>
      <c r="X715" s="356"/>
    </row>
    <row r="716" spans="2:24" x14ac:dyDescent="0.3">
      <c r="D716" s="356" t="s">
        <v>120</v>
      </c>
      <c r="E716" s="356"/>
      <c r="F716" s="356"/>
      <c r="G716" s="356"/>
      <c r="I716" s="48">
        <v>0</v>
      </c>
      <c r="K716" s="48">
        <v>0</v>
      </c>
      <c r="M716" s="40">
        <f t="shared" si="40"/>
        <v>0</v>
      </c>
      <c r="O716" s="40">
        <f t="shared" si="41"/>
        <v>0</v>
      </c>
      <c r="Q716" s="293">
        <f t="shared" si="42"/>
        <v>0</v>
      </c>
      <c r="S716" s="293">
        <f t="shared" si="43"/>
        <v>0</v>
      </c>
      <c r="U716" s="356"/>
      <c r="V716" s="356"/>
      <c r="W716" s="356"/>
      <c r="X716" s="356"/>
    </row>
    <row r="717" spans="2:24" x14ac:dyDescent="0.3">
      <c r="D717" s="356" t="s">
        <v>121</v>
      </c>
      <c r="E717" s="356"/>
      <c r="F717" s="356"/>
      <c r="G717" s="356"/>
      <c r="I717" s="48">
        <v>0</v>
      </c>
      <c r="K717" s="48">
        <v>0</v>
      </c>
      <c r="M717" s="40">
        <f t="shared" si="40"/>
        <v>0</v>
      </c>
      <c r="O717" s="40">
        <f t="shared" si="41"/>
        <v>0</v>
      </c>
      <c r="Q717" s="293">
        <f t="shared" si="42"/>
        <v>0</v>
      </c>
      <c r="S717" s="293">
        <f t="shared" si="43"/>
        <v>0</v>
      </c>
      <c r="U717" s="356"/>
      <c r="V717" s="356"/>
      <c r="W717" s="356"/>
      <c r="X717" s="356"/>
    </row>
    <row r="718" spans="2:24" s="277" customFormat="1" x14ac:dyDescent="0.3">
      <c r="D718" s="356" t="s">
        <v>830</v>
      </c>
      <c r="E718" s="356"/>
      <c r="F718" s="356"/>
      <c r="G718" s="356"/>
      <c r="I718" s="48">
        <v>0</v>
      </c>
      <c r="K718" s="48">
        <v>0</v>
      </c>
      <c r="M718" s="279">
        <f t="shared" si="40"/>
        <v>0</v>
      </c>
      <c r="O718" s="279">
        <f t="shared" si="41"/>
        <v>0</v>
      </c>
      <c r="Q718" s="293">
        <f t="shared" si="42"/>
        <v>0</v>
      </c>
      <c r="S718" s="293">
        <f t="shared" si="43"/>
        <v>0</v>
      </c>
      <c r="U718" s="385"/>
      <c r="V718" s="385"/>
      <c r="W718" s="385"/>
      <c r="X718" s="385"/>
    </row>
    <row r="719" spans="2:24" s="277" customFormat="1" x14ac:dyDescent="0.3">
      <c r="D719" s="356" t="s">
        <v>831</v>
      </c>
      <c r="E719" s="356"/>
      <c r="F719" s="356"/>
      <c r="G719" s="356"/>
      <c r="I719" s="48">
        <v>0</v>
      </c>
      <c r="K719" s="48">
        <v>0</v>
      </c>
      <c r="M719" s="279">
        <f t="shared" si="40"/>
        <v>0</v>
      </c>
      <c r="O719" s="279">
        <f t="shared" si="41"/>
        <v>0</v>
      </c>
      <c r="Q719" s="293">
        <f t="shared" si="42"/>
        <v>0</v>
      </c>
      <c r="S719" s="293">
        <f t="shared" si="43"/>
        <v>0</v>
      </c>
      <c r="U719" s="385"/>
      <c r="V719" s="385"/>
      <c r="W719" s="385"/>
      <c r="X719" s="385"/>
    </row>
    <row r="720" spans="2:24" s="277" customFormat="1" x14ac:dyDescent="0.3">
      <c r="D720" s="356" t="s">
        <v>832</v>
      </c>
      <c r="E720" s="356"/>
      <c r="F720" s="356"/>
      <c r="G720" s="356"/>
      <c r="I720" s="48">
        <v>0</v>
      </c>
      <c r="K720" s="48">
        <v>0</v>
      </c>
      <c r="M720" s="279">
        <f t="shared" si="40"/>
        <v>0</v>
      </c>
      <c r="O720" s="279">
        <f t="shared" si="41"/>
        <v>0</v>
      </c>
      <c r="Q720" s="293">
        <f t="shared" si="42"/>
        <v>0</v>
      </c>
      <c r="S720" s="293">
        <f t="shared" si="43"/>
        <v>0</v>
      </c>
      <c r="U720" s="385"/>
      <c r="V720" s="385"/>
      <c r="W720" s="385"/>
      <c r="X720" s="385"/>
    </row>
    <row r="721" spans="4:24" s="277" customFormat="1" x14ac:dyDescent="0.3">
      <c r="D721" s="356" t="s">
        <v>833</v>
      </c>
      <c r="E721" s="356"/>
      <c r="F721" s="356"/>
      <c r="G721" s="356"/>
      <c r="I721" s="48">
        <v>0</v>
      </c>
      <c r="K721" s="48">
        <v>0</v>
      </c>
      <c r="M721" s="279">
        <f t="shared" si="40"/>
        <v>0</v>
      </c>
      <c r="O721" s="279">
        <f t="shared" si="41"/>
        <v>0</v>
      </c>
      <c r="Q721" s="293">
        <f t="shared" si="42"/>
        <v>0</v>
      </c>
      <c r="S721" s="293">
        <f t="shared" si="43"/>
        <v>0</v>
      </c>
      <c r="U721" s="385"/>
      <c r="V721" s="385"/>
      <c r="W721" s="385"/>
      <c r="X721" s="385"/>
    </row>
    <row r="722" spans="4:24" s="277" customFormat="1" x14ac:dyDescent="0.3">
      <c r="D722" s="356" t="s">
        <v>834</v>
      </c>
      <c r="E722" s="356"/>
      <c r="F722" s="356"/>
      <c r="G722" s="356"/>
      <c r="I722" s="48">
        <v>0</v>
      </c>
      <c r="K722" s="48">
        <v>0</v>
      </c>
      <c r="M722" s="279">
        <f t="shared" si="40"/>
        <v>0</v>
      </c>
      <c r="O722" s="279">
        <f t="shared" si="41"/>
        <v>0</v>
      </c>
      <c r="Q722" s="293">
        <f t="shared" si="42"/>
        <v>0</v>
      </c>
      <c r="S722" s="293">
        <f t="shared" si="43"/>
        <v>0</v>
      </c>
      <c r="U722" s="385"/>
      <c r="V722" s="385"/>
      <c r="W722" s="385"/>
      <c r="X722" s="385"/>
    </row>
    <row r="723" spans="4:24" s="277" customFormat="1" x14ac:dyDescent="0.3">
      <c r="D723" s="356" t="s">
        <v>835</v>
      </c>
      <c r="E723" s="356"/>
      <c r="F723" s="356"/>
      <c r="G723" s="356"/>
      <c r="I723" s="48">
        <v>0</v>
      </c>
      <c r="K723" s="48">
        <v>0</v>
      </c>
      <c r="M723" s="279">
        <f t="shared" si="40"/>
        <v>0</v>
      </c>
      <c r="O723" s="279">
        <f t="shared" si="41"/>
        <v>0</v>
      </c>
      <c r="Q723" s="293">
        <f t="shared" si="42"/>
        <v>0</v>
      </c>
      <c r="S723" s="293">
        <f t="shared" si="43"/>
        <v>0</v>
      </c>
      <c r="U723" s="385"/>
      <c r="V723" s="385"/>
      <c r="W723" s="385"/>
      <c r="X723" s="385"/>
    </row>
    <row r="724" spans="4:24" s="277" customFormat="1" x14ac:dyDescent="0.3">
      <c r="D724" s="356" t="s">
        <v>836</v>
      </c>
      <c r="E724" s="356"/>
      <c r="F724" s="356"/>
      <c r="G724" s="356"/>
      <c r="I724" s="48">
        <v>0</v>
      </c>
      <c r="K724" s="48">
        <v>0</v>
      </c>
      <c r="M724" s="279">
        <f t="shared" si="40"/>
        <v>0</v>
      </c>
      <c r="O724" s="279">
        <f t="shared" si="41"/>
        <v>0</v>
      </c>
      <c r="Q724" s="293">
        <f t="shared" si="42"/>
        <v>0</v>
      </c>
      <c r="S724" s="293">
        <f t="shared" si="43"/>
        <v>0</v>
      </c>
      <c r="U724" s="385"/>
      <c r="V724" s="385"/>
      <c r="W724" s="385"/>
      <c r="X724" s="385"/>
    </row>
    <row r="725" spans="4:24" s="277" customFormat="1" x14ac:dyDescent="0.3">
      <c r="D725" s="356" t="s">
        <v>837</v>
      </c>
      <c r="E725" s="356"/>
      <c r="F725" s="356"/>
      <c r="G725" s="356"/>
      <c r="I725" s="48">
        <v>0</v>
      </c>
      <c r="K725" s="48">
        <v>0</v>
      </c>
      <c r="M725" s="279">
        <f t="shared" si="40"/>
        <v>0</v>
      </c>
      <c r="O725" s="279">
        <f t="shared" si="41"/>
        <v>0</v>
      </c>
      <c r="Q725" s="293">
        <f t="shared" si="42"/>
        <v>0</v>
      </c>
      <c r="S725" s="293">
        <f t="shared" si="43"/>
        <v>0</v>
      </c>
      <c r="U725" s="385"/>
      <c r="V725" s="385"/>
      <c r="W725" s="385"/>
      <c r="X725" s="385"/>
    </row>
    <row r="726" spans="4:24" s="277" customFormat="1" x14ac:dyDescent="0.3">
      <c r="D726" s="356" t="s">
        <v>846</v>
      </c>
      <c r="E726" s="356"/>
      <c r="F726" s="356"/>
      <c r="G726" s="356"/>
      <c r="I726" s="48">
        <v>0</v>
      </c>
      <c r="K726" s="48">
        <v>0</v>
      </c>
      <c r="M726" s="279">
        <f t="shared" si="40"/>
        <v>0</v>
      </c>
      <c r="O726" s="279">
        <f t="shared" si="41"/>
        <v>0</v>
      </c>
      <c r="Q726" s="293">
        <f t="shared" si="42"/>
        <v>0</v>
      </c>
      <c r="S726" s="293">
        <f t="shared" si="43"/>
        <v>0</v>
      </c>
      <c r="U726" s="385"/>
      <c r="V726" s="385"/>
      <c r="W726" s="385"/>
      <c r="X726" s="385"/>
    </row>
    <row r="727" spans="4:24" s="277" customFormat="1" x14ac:dyDescent="0.3">
      <c r="D727" s="356" t="s">
        <v>847</v>
      </c>
      <c r="E727" s="356"/>
      <c r="F727" s="356"/>
      <c r="G727" s="356"/>
      <c r="I727" s="48">
        <v>0</v>
      </c>
      <c r="K727" s="48">
        <v>0</v>
      </c>
      <c r="M727" s="279">
        <f t="shared" si="40"/>
        <v>0</v>
      </c>
      <c r="O727" s="279">
        <f t="shared" si="41"/>
        <v>0</v>
      </c>
      <c r="Q727" s="293">
        <f t="shared" si="42"/>
        <v>0</v>
      </c>
      <c r="S727" s="293">
        <f t="shared" si="43"/>
        <v>0</v>
      </c>
      <c r="U727" s="385"/>
      <c r="V727" s="385"/>
      <c r="W727" s="385"/>
      <c r="X727" s="385"/>
    </row>
    <row r="728" spans="4:24" s="277" customFormat="1" x14ac:dyDescent="0.3">
      <c r="D728" s="356" t="s">
        <v>848</v>
      </c>
      <c r="E728" s="356"/>
      <c r="F728" s="356"/>
      <c r="G728" s="356"/>
      <c r="I728" s="48">
        <v>0</v>
      </c>
      <c r="K728" s="48">
        <v>0</v>
      </c>
      <c r="M728" s="279">
        <f t="shared" si="40"/>
        <v>0</v>
      </c>
      <c r="O728" s="279">
        <f t="shared" si="41"/>
        <v>0</v>
      </c>
      <c r="Q728" s="293">
        <f t="shared" si="42"/>
        <v>0</v>
      </c>
      <c r="S728" s="293">
        <f t="shared" si="43"/>
        <v>0</v>
      </c>
      <c r="U728" s="385"/>
      <c r="V728" s="385"/>
      <c r="W728" s="385"/>
      <c r="X728" s="385"/>
    </row>
    <row r="729" spans="4:24" s="277" customFormat="1" x14ac:dyDescent="0.3">
      <c r="D729" s="356" t="s">
        <v>849</v>
      </c>
      <c r="E729" s="356"/>
      <c r="F729" s="356"/>
      <c r="G729" s="356"/>
      <c r="I729" s="48">
        <v>0</v>
      </c>
      <c r="K729" s="48">
        <v>0</v>
      </c>
      <c r="M729" s="279">
        <f t="shared" si="40"/>
        <v>0</v>
      </c>
      <c r="O729" s="279">
        <f t="shared" si="41"/>
        <v>0</v>
      </c>
      <c r="Q729" s="293">
        <f t="shared" si="42"/>
        <v>0</v>
      </c>
      <c r="S729" s="293">
        <f t="shared" si="43"/>
        <v>0</v>
      </c>
      <c r="U729" s="385"/>
      <c r="V729" s="385"/>
      <c r="W729" s="385"/>
      <c r="X729" s="385"/>
    </row>
    <row r="730" spans="4:24" s="277" customFormat="1" x14ac:dyDescent="0.3">
      <c r="D730" s="356" t="s">
        <v>971</v>
      </c>
      <c r="E730" s="356"/>
      <c r="F730" s="356"/>
      <c r="G730" s="356"/>
      <c r="I730" s="48">
        <v>0</v>
      </c>
      <c r="K730" s="48">
        <v>0</v>
      </c>
      <c r="M730" s="279">
        <f t="shared" si="40"/>
        <v>0</v>
      </c>
      <c r="O730" s="279">
        <f t="shared" si="41"/>
        <v>0</v>
      </c>
      <c r="Q730" s="293">
        <f t="shared" si="42"/>
        <v>0</v>
      </c>
      <c r="S730" s="293">
        <f t="shared" si="43"/>
        <v>0</v>
      </c>
      <c r="U730" s="385"/>
      <c r="V730" s="385"/>
      <c r="W730" s="385"/>
      <c r="X730" s="385"/>
    </row>
    <row r="731" spans="4:24" s="277" customFormat="1" x14ac:dyDescent="0.3">
      <c r="D731" s="356" t="s">
        <v>973</v>
      </c>
      <c r="E731" s="356"/>
      <c r="F731" s="356"/>
      <c r="G731" s="356"/>
      <c r="I731" s="48">
        <v>0</v>
      </c>
      <c r="K731" s="48">
        <v>0</v>
      </c>
      <c r="M731" s="279">
        <f t="shared" si="40"/>
        <v>0</v>
      </c>
      <c r="O731" s="279">
        <f t="shared" si="41"/>
        <v>0</v>
      </c>
      <c r="Q731" s="293">
        <f t="shared" si="42"/>
        <v>0</v>
      </c>
      <c r="S731" s="293">
        <f t="shared" si="43"/>
        <v>0</v>
      </c>
      <c r="U731" s="385"/>
      <c r="V731" s="385"/>
      <c r="W731" s="385"/>
      <c r="X731" s="385"/>
    </row>
    <row r="732" spans="4:24" s="277" customFormat="1" x14ac:dyDescent="0.3">
      <c r="D732" s="356" t="s">
        <v>974</v>
      </c>
      <c r="E732" s="356"/>
      <c r="F732" s="356"/>
      <c r="G732" s="356"/>
      <c r="I732" s="48">
        <v>0</v>
      </c>
      <c r="K732" s="48">
        <v>0</v>
      </c>
      <c r="M732" s="279">
        <f t="shared" si="40"/>
        <v>0</v>
      </c>
      <c r="O732" s="279">
        <f t="shared" si="41"/>
        <v>0</v>
      </c>
      <c r="Q732" s="293">
        <f t="shared" si="42"/>
        <v>0</v>
      </c>
      <c r="S732" s="293">
        <f t="shared" si="43"/>
        <v>0</v>
      </c>
      <c r="U732" s="385"/>
      <c r="V732" s="385"/>
      <c r="W732" s="385"/>
      <c r="X732" s="385"/>
    </row>
    <row r="733" spans="4:24" s="277" customFormat="1" x14ac:dyDescent="0.3">
      <c r="D733" s="356" t="s">
        <v>975</v>
      </c>
      <c r="E733" s="356"/>
      <c r="F733" s="356"/>
      <c r="G733" s="356"/>
      <c r="I733" s="48">
        <v>0</v>
      </c>
      <c r="K733" s="48">
        <v>0</v>
      </c>
      <c r="M733" s="279">
        <f t="shared" si="40"/>
        <v>0</v>
      </c>
      <c r="O733" s="279">
        <f t="shared" si="41"/>
        <v>0</v>
      </c>
      <c r="Q733" s="293">
        <f t="shared" si="42"/>
        <v>0</v>
      </c>
      <c r="S733" s="293">
        <f t="shared" si="43"/>
        <v>0</v>
      </c>
      <c r="U733" s="385"/>
      <c r="V733" s="385"/>
      <c r="W733" s="385"/>
      <c r="X733" s="385"/>
    </row>
    <row r="734" spans="4:24" s="277" customFormat="1" x14ac:dyDescent="0.3">
      <c r="D734" s="356" t="s">
        <v>976</v>
      </c>
      <c r="E734" s="356"/>
      <c r="F734" s="356"/>
      <c r="G734" s="356"/>
      <c r="I734" s="48">
        <v>0</v>
      </c>
      <c r="K734" s="48">
        <v>0</v>
      </c>
      <c r="M734" s="279">
        <f t="shared" si="40"/>
        <v>0</v>
      </c>
      <c r="O734" s="279">
        <f t="shared" si="41"/>
        <v>0</v>
      </c>
      <c r="Q734" s="293">
        <f t="shared" si="42"/>
        <v>0</v>
      </c>
      <c r="S734" s="293">
        <f t="shared" si="43"/>
        <v>0</v>
      </c>
      <c r="U734" s="385"/>
      <c r="V734" s="385"/>
      <c r="W734" s="385"/>
      <c r="X734" s="385"/>
    </row>
    <row r="735" spans="4:24" ht="14.4" x14ac:dyDescent="0.3">
      <c r="D735" s="420" t="s">
        <v>79</v>
      </c>
      <c r="E735" s="421"/>
      <c r="F735" s="421"/>
      <c r="G735" s="421"/>
      <c r="I735" s="43"/>
      <c r="K735" s="43"/>
      <c r="M735" s="43"/>
      <c r="O735" s="43"/>
      <c r="Q735" s="294">
        <f>SUM(Q710:Q734)</f>
        <v>0</v>
      </c>
      <c r="S735" s="294">
        <f>SUM(S710:S734)</f>
        <v>0</v>
      </c>
    </row>
    <row r="737" spans="3:24" ht="15.6" x14ac:dyDescent="0.3">
      <c r="C737" s="92" t="s">
        <v>164</v>
      </c>
    </row>
    <row r="738" spans="3:24" ht="27.6" x14ac:dyDescent="0.3">
      <c r="D738" s="90" t="s">
        <v>102</v>
      </c>
      <c r="I738" s="91" t="s">
        <v>80</v>
      </c>
      <c r="K738" s="91" t="s">
        <v>432</v>
      </c>
      <c r="M738" s="42" t="s">
        <v>103</v>
      </c>
      <c r="O738" s="42" t="s">
        <v>104</v>
      </c>
      <c r="Q738" s="42" t="s">
        <v>105</v>
      </c>
      <c r="S738" s="42" t="s">
        <v>106</v>
      </c>
      <c r="U738" s="350" t="s">
        <v>185</v>
      </c>
      <c r="V738" s="351"/>
      <c r="W738" s="351"/>
      <c r="X738" s="351"/>
    </row>
    <row r="739" spans="3:24" x14ac:dyDescent="0.3">
      <c r="D739" s="356" t="s">
        <v>109</v>
      </c>
      <c r="E739" s="356"/>
      <c r="F739" s="356"/>
      <c r="G739" s="356"/>
      <c r="I739" s="48">
        <v>0</v>
      </c>
      <c r="K739" s="48">
        <v>0</v>
      </c>
      <c r="M739" s="40">
        <f t="shared" ref="M739:M763" si="44">IFERROR(IF(DD_ACT_16_Meet1_Curr=1,INDEX($M$904:$M$938,MATCH(D739,LU_ACT_16_Allowances,0)),INDEX($Q$904:$Q$938,MATCH(D739,LU_ACT_16_Allowances,0))),0)</f>
        <v>0</v>
      </c>
      <c r="O739" s="40">
        <f t="shared" ref="O739:O763" si="45">IFERROR(IF(DD_ACT_16_Meet1_Curr=1,INDEX($O$904:$O$938,MATCH(D739,LU_ACT_16_Allowances,0)),INDEX($S$904:$S$938,MATCH(D739,LU_ACT_16_Allowances,0))),0)</f>
        <v>0</v>
      </c>
      <c r="Q739" s="293">
        <f t="shared" ref="Q739:Q763" si="46">I739*K739*M739</f>
        <v>0</v>
      </c>
      <c r="S739" s="293">
        <f t="shared" ref="S739:S763" si="47">I739*K739*O739</f>
        <v>0</v>
      </c>
      <c r="U739" s="356"/>
      <c r="V739" s="356"/>
      <c r="W739" s="356"/>
      <c r="X739" s="356"/>
    </row>
    <row r="740" spans="3:24" x14ac:dyDescent="0.3">
      <c r="D740" s="356" t="s">
        <v>110</v>
      </c>
      <c r="E740" s="356"/>
      <c r="F740" s="356"/>
      <c r="G740" s="356"/>
      <c r="I740" s="48">
        <v>0</v>
      </c>
      <c r="K740" s="48">
        <v>0</v>
      </c>
      <c r="M740" s="40">
        <f t="shared" si="44"/>
        <v>0</v>
      </c>
      <c r="O740" s="40">
        <f t="shared" si="45"/>
        <v>0</v>
      </c>
      <c r="Q740" s="293">
        <f t="shared" si="46"/>
        <v>0</v>
      </c>
      <c r="S740" s="293">
        <f t="shared" si="47"/>
        <v>0</v>
      </c>
      <c r="U740" s="356"/>
      <c r="V740" s="356"/>
      <c r="W740" s="356"/>
      <c r="X740" s="356"/>
    </row>
    <row r="741" spans="3:24" x14ac:dyDescent="0.3">
      <c r="D741" s="356" t="s">
        <v>111</v>
      </c>
      <c r="E741" s="356"/>
      <c r="F741" s="356"/>
      <c r="G741" s="356"/>
      <c r="I741" s="48">
        <v>0</v>
      </c>
      <c r="K741" s="48">
        <v>0</v>
      </c>
      <c r="M741" s="40">
        <f t="shared" si="44"/>
        <v>0</v>
      </c>
      <c r="O741" s="40">
        <f t="shared" si="45"/>
        <v>0</v>
      </c>
      <c r="Q741" s="293">
        <f t="shared" si="46"/>
        <v>0</v>
      </c>
      <c r="S741" s="293">
        <f t="shared" si="47"/>
        <v>0</v>
      </c>
      <c r="U741" s="356"/>
      <c r="V741" s="356"/>
      <c r="W741" s="356"/>
      <c r="X741" s="356"/>
    </row>
    <row r="742" spans="3:24" x14ac:dyDescent="0.3">
      <c r="D742" s="356" t="s">
        <v>112</v>
      </c>
      <c r="E742" s="356"/>
      <c r="F742" s="356"/>
      <c r="G742" s="356"/>
      <c r="I742" s="48">
        <v>0</v>
      </c>
      <c r="K742" s="48">
        <v>0</v>
      </c>
      <c r="M742" s="40">
        <f t="shared" si="44"/>
        <v>0</v>
      </c>
      <c r="O742" s="40">
        <f t="shared" si="45"/>
        <v>0</v>
      </c>
      <c r="Q742" s="293">
        <f t="shared" si="46"/>
        <v>0</v>
      </c>
      <c r="S742" s="293">
        <f t="shared" si="47"/>
        <v>0</v>
      </c>
      <c r="U742" s="356"/>
      <c r="V742" s="356"/>
      <c r="W742" s="356"/>
      <c r="X742" s="356"/>
    </row>
    <row r="743" spans="3:24" x14ac:dyDescent="0.3">
      <c r="D743" s="356" t="s">
        <v>113</v>
      </c>
      <c r="E743" s="356"/>
      <c r="F743" s="356"/>
      <c r="G743" s="356"/>
      <c r="I743" s="48">
        <v>0</v>
      </c>
      <c r="K743" s="48">
        <v>0</v>
      </c>
      <c r="M743" s="40">
        <f t="shared" si="44"/>
        <v>0</v>
      </c>
      <c r="O743" s="40">
        <f t="shared" si="45"/>
        <v>0</v>
      </c>
      <c r="Q743" s="293">
        <f t="shared" si="46"/>
        <v>0</v>
      </c>
      <c r="S743" s="293">
        <f t="shared" si="47"/>
        <v>0</v>
      </c>
      <c r="U743" s="356"/>
      <c r="V743" s="356"/>
      <c r="W743" s="356"/>
      <c r="X743" s="356"/>
    </row>
    <row r="744" spans="3:24" x14ac:dyDescent="0.3">
      <c r="D744" s="356" t="s">
        <v>114</v>
      </c>
      <c r="E744" s="356"/>
      <c r="F744" s="356"/>
      <c r="G744" s="356"/>
      <c r="I744" s="48">
        <v>0</v>
      </c>
      <c r="K744" s="48">
        <v>0</v>
      </c>
      <c r="M744" s="40">
        <f t="shared" si="44"/>
        <v>0</v>
      </c>
      <c r="O744" s="40">
        <f t="shared" si="45"/>
        <v>0</v>
      </c>
      <c r="Q744" s="293">
        <f t="shared" si="46"/>
        <v>0</v>
      </c>
      <c r="S744" s="293">
        <f t="shared" si="47"/>
        <v>0</v>
      </c>
      <c r="U744" s="356"/>
      <c r="V744" s="356"/>
      <c r="W744" s="356"/>
      <c r="X744" s="356"/>
    </row>
    <row r="745" spans="3:24" x14ac:dyDescent="0.3">
      <c r="D745" s="356" t="s">
        <v>115</v>
      </c>
      <c r="E745" s="356"/>
      <c r="F745" s="356"/>
      <c r="G745" s="356"/>
      <c r="I745" s="48">
        <v>0</v>
      </c>
      <c r="K745" s="48">
        <v>0</v>
      </c>
      <c r="M745" s="40">
        <f t="shared" si="44"/>
        <v>0</v>
      </c>
      <c r="O745" s="40">
        <f t="shared" si="45"/>
        <v>0</v>
      </c>
      <c r="Q745" s="293">
        <f t="shared" si="46"/>
        <v>0</v>
      </c>
      <c r="S745" s="293">
        <f t="shared" si="47"/>
        <v>0</v>
      </c>
      <c r="U745" s="356"/>
      <c r="V745" s="356"/>
      <c r="W745" s="356"/>
      <c r="X745" s="356"/>
    </row>
    <row r="746" spans="3:24" x14ac:dyDescent="0.3">
      <c r="D746" s="356" t="s">
        <v>116</v>
      </c>
      <c r="E746" s="356"/>
      <c r="F746" s="356"/>
      <c r="G746" s="356"/>
      <c r="I746" s="48">
        <v>0</v>
      </c>
      <c r="K746" s="48">
        <v>0</v>
      </c>
      <c r="M746" s="40">
        <f t="shared" si="44"/>
        <v>0</v>
      </c>
      <c r="O746" s="40">
        <f t="shared" si="45"/>
        <v>0</v>
      </c>
      <c r="Q746" s="293">
        <f t="shared" si="46"/>
        <v>0</v>
      </c>
      <c r="S746" s="293">
        <f t="shared" si="47"/>
        <v>0</v>
      </c>
      <c r="U746" s="356"/>
      <c r="V746" s="356"/>
      <c r="W746" s="356"/>
      <c r="X746" s="356"/>
    </row>
    <row r="747" spans="3:24" s="277" customFormat="1" x14ac:dyDescent="0.3">
      <c r="D747" s="356" t="s">
        <v>838</v>
      </c>
      <c r="E747" s="356"/>
      <c r="F747" s="356"/>
      <c r="G747" s="356"/>
      <c r="I747" s="48">
        <v>0</v>
      </c>
      <c r="K747" s="48">
        <v>0</v>
      </c>
      <c r="M747" s="279">
        <f t="shared" si="44"/>
        <v>0</v>
      </c>
      <c r="O747" s="279">
        <f t="shared" si="45"/>
        <v>0</v>
      </c>
      <c r="Q747" s="293">
        <f t="shared" si="46"/>
        <v>0</v>
      </c>
      <c r="S747" s="293">
        <f t="shared" si="47"/>
        <v>0</v>
      </c>
      <c r="U747" s="385"/>
      <c r="V747" s="385"/>
      <c r="W747" s="385"/>
      <c r="X747" s="385"/>
    </row>
    <row r="748" spans="3:24" s="277" customFormat="1" x14ac:dyDescent="0.3">
      <c r="D748" s="356" t="s">
        <v>839</v>
      </c>
      <c r="E748" s="356"/>
      <c r="F748" s="356"/>
      <c r="G748" s="356"/>
      <c r="I748" s="48">
        <v>0</v>
      </c>
      <c r="K748" s="48">
        <v>0</v>
      </c>
      <c r="M748" s="279">
        <f t="shared" si="44"/>
        <v>0</v>
      </c>
      <c r="O748" s="279">
        <f t="shared" si="45"/>
        <v>0</v>
      </c>
      <c r="Q748" s="293">
        <f t="shared" si="46"/>
        <v>0</v>
      </c>
      <c r="S748" s="293">
        <f t="shared" si="47"/>
        <v>0</v>
      </c>
      <c r="U748" s="385"/>
      <c r="V748" s="385"/>
      <c r="W748" s="385"/>
      <c r="X748" s="385"/>
    </row>
    <row r="749" spans="3:24" s="277" customFormat="1" x14ac:dyDescent="0.3">
      <c r="D749" s="356" t="s">
        <v>840</v>
      </c>
      <c r="E749" s="356"/>
      <c r="F749" s="356"/>
      <c r="G749" s="356"/>
      <c r="I749" s="48">
        <v>0</v>
      </c>
      <c r="K749" s="48">
        <v>0</v>
      </c>
      <c r="M749" s="279">
        <f t="shared" si="44"/>
        <v>0</v>
      </c>
      <c r="O749" s="279">
        <f t="shared" si="45"/>
        <v>0</v>
      </c>
      <c r="Q749" s="293">
        <f t="shared" si="46"/>
        <v>0</v>
      </c>
      <c r="S749" s="293">
        <f t="shared" si="47"/>
        <v>0</v>
      </c>
      <c r="U749" s="385"/>
      <c r="V749" s="385"/>
      <c r="W749" s="385"/>
      <c r="X749" s="385"/>
    </row>
    <row r="750" spans="3:24" s="277" customFormat="1" x14ac:dyDescent="0.3">
      <c r="D750" s="356" t="s">
        <v>841</v>
      </c>
      <c r="E750" s="356"/>
      <c r="F750" s="356"/>
      <c r="G750" s="356"/>
      <c r="I750" s="48">
        <v>0</v>
      </c>
      <c r="K750" s="48">
        <v>0</v>
      </c>
      <c r="M750" s="279">
        <f t="shared" si="44"/>
        <v>0</v>
      </c>
      <c r="O750" s="279">
        <f t="shared" si="45"/>
        <v>0</v>
      </c>
      <c r="Q750" s="293">
        <f t="shared" si="46"/>
        <v>0</v>
      </c>
      <c r="S750" s="293">
        <f t="shared" si="47"/>
        <v>0</v>
      </c>
      <c r="U750" s="385"/>
      <c r="V750" s="385"/>
      <c r="W750" s="385"/>
      <c r="X750" s="385"/>
    </row>
    <row r="751" spans="3:24" s="277" customFormat="1" x14ac:dyDescent="0.3">
      <c r="D751" s="356" t="s">
        <v>842</v>
      </c>
      <c r="E751" s="356"/>
      <c r="F751" s="356"/>
      <c r="G751" s="356"/>
      <c r="I751" s="48">
        <v>0</v>
      </c>
      <c r="K751" s="48">
        <v>0</v>
      </c>
      <c r="M751" s="279">
        <f t="shared" si="44"/>
        <v>0</v>
      </c>
      <c r="O751" s="279">
        <f t="shared" si="45"/>
        <v>0</v>
      </c>
      <c r="Q751" s="293">
        <f t="shared" si="46"/>
        <v>0</v>
      </c>
      <c r="S751" s="293">
        <f t="shared" si="47"/>
        <v>0</v>
      </c>
      <c r="U751" s="385"/>
      <c r="V751" s="385"/>
      <c r="W751" s="385"/>
      <c r="X751" s="385"/>
    </row>
    <row r="752" spans="3:24" s="277" customFormat="1" x14ac:dyDescent="0.3">
      <c r="D752" s="356" t="s">
        <v>843</v>
      </c>
      <c r="E752" s="356"/>
      <c r="F752" s="356"/>
      <c r="G752" s="356"/>
      <c r="I752" s="48">
        <v>0</v>
      </c>
      <c r="K752" s="48">
        <v>0</v>
      </c>
      <c r="M752" s="279">
        <f t="shared" si="44"/>
        <v>0</v>
      </c>
      <c r="O752" s="279">
        <f t="shared" si="45"/>
        <v>0</v>
      </c>
      <c r="Q752" s="293">
        <f t="shared" si="46"/>
        <v>0</v>
      </c>
      <c r="S752" s="293">
        <f t="shared" si="47"/>
        <v>0</v>
      </c>
      <c r="U752" s="385"/>
      <c r="V752" s="385"/>
      <c r="W752" s="385"/>
      <c r="X752" s="385"/>
    </row>
    <row r="753" spans="3:24" s="277" customFormat="1" x14ac:dyDescent="0.3">
      <c r="D753" s="356" t="s">
        <v>844</v>
      </c>
      <c r="E753" s="356"/>
      <c r="F753" s="356"/>
      <c r="G753" s="356"/>
      <c r="I753" s="48">
        <v>0</v>
      </c>
      <c r="K753" s="48">
        <v>0</v>
      </c>
      <c r="M753" s="279">
        <f t="shared" si="44"/>
        <v>0</v>
      </c>
      <c r="O753" s="279">
        <f t="shared" si="45"/>
        <v>0</v>
      </c>
      <c r="Q753" s="293">
        <f t="shared" si="46"/>
        <v>0</v>
      </c>
      <c r="S753" s="293">
        <f t="shared" si="47"/>
        <v>0</v>
      </c>
      <c r="U753" s="385"/>
      <c r="V753" s="385"/>
      <c r="W753" s="385"/>
      <c r="X753" s="385"/>
    </row>
    <row r="754" spans="3:24" s="277" customFormat="1" x14ac:dyDescent="0.3">
      <c r="D754" s="356" t="s">
        <v>845</v>
      </c>
      <c r="E754" s="356"/>
      <c r="F754" s="356"/>
      <c r="G754" s="356"/>
      <c r="I754" s="48">
        <v>0</v>
      </c>
      <c r="K754" s="48">
        <v>0</v>
      </c>
      <c r="M754" s="279">
        <f t="shared" si="44"/>
        <v>0</v>
      </c>
      <c r="O754" s="279">
        <f t="shared" si="45"/>
        <v>0</v>
      </c>
      <c r="Q754" s="293">
        <f t="shared" si="46"/>
        <v>0</v>
      </c>
      <c r="S754" s="293">
        <f t="shared" si="47"/>
        <v>0</v>
      </c>
      <c r="U754" s="385"/>
      <c r="V754" s="385"/>
      <c r="W754" s="385"/>
      <c r="X754" s="385"/>
    </row>
    <row r="755" spans="3:24" s="277" customFormat="1" x14ac:dyDescent="0.3">
      <c r="D755" s="356" t="s">
        <v>850</v>
      </c>
      <c r="E755" s="356"/>
      <c r="F755" s="356"/>
      <c r="G755" s="356"/>
      <c r="I755" s="48">
        <v>0</v>
      </c>
      <c r="K755" s="48">
        <v>0</v>
      </c>
      <c r="M755" s="279">
        <f t="shared" si="44"/>
        <v>0</v>
      </c>
      <c r="O755" s="279">
        <f t="shared" si="45"/>
        <v>0</v>
      </c>
      <c r="Q755" s="293">
        <f t="shared" si="46"/>
        <v>0</v>
      </c>
      <c r="S755" s="293">
        <f t="shared" si="47"/>
        <v>0</v>
      </c>
      <c r="U755" s="385"/>
      <c r="V755" s="385"/>
      <c r="W755" s="385"/>
      <c r="X755" s="385"/>
    </row>
    <row r="756" spans="3:24" s="277" customFormat="1" x14ac:dyDescent="0.3">
      <c r="D756" s="356" t="s">
        <v>851</v>
      </c>
      <c r="E756" s="356"/>
      <c r="F756" s="356"/>
      <c r="G756" s="356"/>
      <c r="I756" s="48">
        <v>0</v>
      </c>
      <c r="K756" s="48">
        <v>0</v>
      </c>
      <c r="M756" s="279">
        <f t="shared" si="44"/>
        <v>0</v>
      </c>
      <c r="O756" s="279">
        <f t="shared" si="45"/>
        <v>0</v>
      </c>
      <c r="Q756" s="293">
        <f t="shared" si="46"/>
        <v>0</v>
      </c>
      <c r="S756" s="293">
        <f t="shared" si="47"/>
        <v>0</v>
      </c>
      <c r="U756" s="385"/>
      <c r="V756" s="385"/>
      <c r="W756" s="385"/>
      <c r="X756" s="385"/>
    </row>
    <row r="757" spans="3:24" s="277" customFormat="1" x14ac:dyDescent="0.3">
      <c r="D757" s="356" t="s">
        <v>852</v>
      </c>
      <c r="E757" s="356"/>
      <c r="F757" s="356"/>
      <c r="G757" s="356"/>
      <c r="I757" s="48">
        <v>0</v>
      </c>
      <c r="K757" s="48">
        <v>0</v>
      </c>
      <c r="M757" s="279">
        <f t="shared" si="44"/>
        <v>0</v>
      </c>
      <c r="O757" s="279">
        <f t="shared" si="45"/>
        <v>0</v>
      </c>
      <c r="Q757" s="293">
        <f t="shared" si="46"/>
        <v>0</v>
      </c>
      <c r="S757" s="293">
        <f t="shared" si="47"/>
        <v>0</v>
      </c>
      <c r="U757" s="385"/>
      <c r="V757" s="385"/>
      <c r="W757" s="385"/>
      <c r="X757" s="385"/>
    </row>
    <row r="758" spans="3:24" s="277" customFormat="1" x14ac:dyDescent="0.3">
      <c r="D758" s="356" t="s">
        <v>853</v>
      </c>
      <c r="E758" s="356"/>
      <c r="F758" s="356"/>
      <c r="G758" s="356"/>
      <c r="I758" s="48">
        <v>0</v>
      </c>
      <c r="K758" s="48">
        <v>0</v>
      </c>
      <c r="M758" s="279">
        <f t="shared" si="44"/>
        <v>0</v>
      </c>
      <c r="O758" s="279">
        <f t="shared" si="45"/>
        <v>0</v>
      </c>
      <c r="Q758" s="293">
        <f t="shared" si="46"/>
        <v>0</v>
      </c>
      <c r="S758" s="293">
        <f t="shared" si="47"/>
        <v>0</v>
      </c>
      <c r="U758" s="385"/>
      <c r="V758" s="385"/>
      <c r="W758" s="385"/>
      <c r="X758" s="385"/>
    </row>
    <row r="759" spans="3:24" s="277" customFormat="1" x14ac:dyDescent="0.3">
      <c r="D759" s="356" t="s">
        <v>972</v>
      </c>
      <c r="E759" s="356"/>
      <c r="F759" s="356"/>
      <c r="G759" s="356"/>
      <c r="I759" s="48">
        <v>0</v>
      </c>
      <c r="K759" s="48">
        <v>0</v>
      </c>
      <c r="M759" s="279">
        <f t="shared" si="44"/>
        <v>0</v>
      </c>
      <c r="O759" s="279">
        <f t="shared" si="45"/>
        <v>0</v>
      </c>
      <c r="Q759" s="293">
        <f t="shared" si="46"/>
        <v>0</v>
      </c>
      <c r="S759" s="293">
        <f t="shared" si="47"/>
        <v>0</v>
      </c>
      <c r="U759" s="385"/>
      <c r="V759" s="385"/>
      <c r="W759" s="385"/>
      <c r="X759" s="385"/>
    </row>
    <row r="760" spans="3:24" s="277" customFormat="1" x14ac:dyDescent="0.3">
      <c r="D760" s="356" t="s">
        <v>977</v>
      </c>
      <c r="E760" s="356"/>
      <c r="F760" s="356"/>
      <c r="G760" s="356"/>
      <c r="I760" s="48">
        <v>0</v>
      </c>
      <c r="K760" s="48">
        <v>0</v>
      </c>
      <c r="M760" s="279">
        <f t="shared" si="44"/>
        <v>0</v>
      </c>
      <c r="O760" s="279">
        <f t="shared" si="45"/>
        <v>0</v>
      </c>
      <c r="Q760" s="293">
        <f t="shared" si="46"/>
        <v>0</v>
      </c>
      <c r="S760" s="293">
        <f t="shared" si="47"/>
        <v>0</v>
      </c>
      <c r="U760" s="385"/>
      <c r="V760" s="385"/>
      <c r="W760" s="385"/>
      <c r="X760" s="385"/>
    </row>
    <row r="761" spans="3:24" s="277" customFormat="1" x14ac:dyDescent="0.3">
      <c r="D761" s="356" t="s">
        <v>978</v>
      </c>
      <c r="E761" s="356"/>
      <c r="F761" s="356"/>
      <c r="G761" s="356"/>
      <c r="I761" s="48">
        <v>0</v>
      </c>
      <c r="K761" s="48">
        <v>0</v>
      </c>
      <c r="M761" s="279">
        <f t="shared" si="44"/>
        <v>0</v>
      </c>
      <c r="O761" s="279">
        <f t="shared" si="45"/>
        <v>0</v>
      </c>
      <c r="Q761" s="293">
        <f t="shared" si="46"/>
        <v>0</v>
      </c>
      <c r="S761" s="293">
        <f t="shared" si="47"/>
        <v>0</v>
      </c>
      <c r="U761" s="385"/>
      <c r="V761" s="385"/>
      <c r="W761" s="385"/>
      <c r="X761" s="385"/>
    </row>
    <row r="762" spans="3:24" s="277" customFormat="1" x14ac:dyDescent="0.3">
      <c r="D762" s="356" t="s">
        <v>979</v>
      </c>
      <c r="E762" s="356"/>
      <c r="F762" s="356"/>
      <c r="G762" s="356"/>
      <c r="I762" s="48">
        <v>0</v>
      </c>
      <c r="K762" s="48">
        <v>0</v>
      </c>
      <c r="M762" s="279">
        <f t="shared" si="44"/>
        <v>0</v>
      </c>
      <c r="O762" s="279">
        <f t="shared" si="45"/>
        <v>0</v>
      </c>
      <c r="Q762" s="293">
        <f t="shared" si="46"/>
        <v>0</v>
      </c>
      <c r="S762" s="293">
        <f t="shared" si="47"/>
        <v>0</v>
      </c>
      <c r="U762" s="385"/>
      <c r="V762" s="385"/>
      <c r="W762" s="385"/>
      <c r="X762" s="385"/>
    </row>
    <row r="763" spans="3:24" s="277" customFormat="1" x14ac:dyDescent="0.3">
      <c r="D763" s="356" t="s">
        <v>980</v>
      </c>
      <c r="E763" s="356"/>
      <c r="F763" s="356"/>
      <c r="G763" s="356"/>
      <c r="I763" s="48">
        <v>0</v>
      </c>
      <c r="K763" s="48">
        <v>0</v>
      </c>
      <c r="M763" s="279">
        <f t="shared" si="44"/>
        <v>0</v>
      </c>
      <c r="O763" s="279">
        <f t="shared" si="45"/>
        <v>0</v>
      </c>
      <c r="Q763" s="293">
        <f t="shared" si="46"/>
        <v>0</v>
      </c>
      <c r="S763" s="293">
        <f t="shared" si="47"/>
        <v>0</v>
      </c>
      <c r="U763" s="385"/>
      <c r="V763" s="385"/>
      <c r="W763" s="385"/>
      <c r="X763" s="385"/>
    </row>
    <row r="764" spans="3:24" ht="14.4" x14ac:dyDescent="0.3">
      <c r="D764" s="420" t="s">
        <v>82</v>
      </c>
      <c r="E764" s="421"/>
      <c r="F764" s="421"/>
      <c r="G764" s="421"/>
      <c r="I764" s="43"/>
      <c r="K764" s="43"/>
      <c r="M764" s="43"/>
      <c r="O764" s="43"/>
      <c r="Q764" s="294">
        <f>SUM(Q739:Q763)</f>
        <v>0</v>
      </c>
      <c r="S764" s="294">
        <f>SUM(S739:S763)</f>
        <v>0</v>
      </c>
    </row>
    <row r="768" spans="3:24" ht="15.6" x14ac:dyDescent="0.3">
      <c r="C768" s="92" t="s">
        <v>84</v>
      </c>
    </row>
    <row r="769" spans="4:24" ht="27.6" x14ac:dyDescent="0.3">
      <c r="D769" s="90" t="s">
        <v>102</v>
      </c>
      <c r="I769" s="91" t="s">
        <v>87</v>
      </c>
      <c r="K769" s="91" t="s">
        <v>432</v>
      </c>
      <c r="M769" s="42" t="s">
        <v>107</v>
      </c>
      <c r="O769" s="42" t="s">
        <v>108</v>
      </c>
      <c r="Q769" s="42" t="s">
        <v>105</v>
      </c>
      <c r="S769" s="42" t="s">
        <v>106</v>
      </c>
      <c r="U769" s="350" t="s">
        <v>185</v>
      </c>
      <c r="V769" s="351"/>
      <c r="W769" s="351"/>
      <c r="X769" s="351"/>
    </row>
    <row r="770" spans="4:24" x14ac:dyDescent="0.3">
      <c r="D770" s="356" t="s">
        <v>892</v>
      </c>
      <c r="E770" s="356"/>
      <c r="F770" s="356"/>
      <c r="G770" s="356"/>
      <c r="I770" s="48">
        <v>0</v>
      </c>
      <c r="K770" s="48">
        <v>0</v>
      </c>
      <c r="M770" s="40">
        <f t="shared" ref="M770:M794" si="48">IFERROR(IF(DD_ACT_16_Meet1_Curr=1,INDEX($M$942:$M$976,MATCH(D770,LU_ACT_16_Supplies,0)),INDEX($Q$942:$Q$976,MATCH(D770,LU_ACT_16_Supplies,0))),0)</f>
        <v>0</v>
      </c>
      <c r="O770" s="40">
        <f t="shared" ref="O770:O794" si="49">IFERROR(IF(DD_ACT_16_Meet1_Curr=1,INDEX($O$942:$O$976,MATCH(D770,LU_ACT_16_Supplies,0)),INDEX($S$942:$S$976,MATCH(D770,LU_ACT_16_Supplies,0))),0)</f>
        <v>0</v>
      </c>
      <c r="Q770" s="295">
        <f t="shared" ref="Q770:Q794" si="50">I770*K770*M770</f>
        <v>0</v>
      </c>
      <c r="S770" s="293">
        <f t="shared" ref="S770:S794" si="51">I770*K770*O770</f>
        <v>0</v>
      </c>
      <c r="U770" s="356"/>
      <c r="V770" s="356"/>
      <c r="W770" s="356"/>
      <c r="X770" s="356"/>
    </row>
    <row r="771" spans="4:24" x14ac:dyDescent="0.3">
      <c r="D771" s="356" t="s">
        <v>893</v>
      </c>
      <c r="E771" s="356"/>
      <c r="F771" s="356"/>
      <c r="G771" s="356"/>
      <c r="I771" s="48">
        <v>0</v>
      </c>
      <c r="K771" s="48">
        <v>0</v>
      </c>
      <c r="M771" s="40">
        <f t="shared" si="48"/>
        <v>0</v>
      </c>
      <c r="O771" s="40">
        <f t="shared" si="49"/>
        <v>0</v>
      </c>
      <c r="Q771" s="295">
        <f t="shared" si="50"/>
        <v>0</v>
      </c>
      <c r="S771" s="293">
        <f t="shared" si="51"/>
        <v>0</v>
      </c>
      <c r="U771" s="356"/>
      <c r="V771" s="356"/>
      <c r="W771" s="356"/>
      <c r="X771" s="356"/>
    </row>
    <row r="772" spans="4:24" s="277" customFormat="1" x14ac:dyDescent="0.3">
      <c r="D772" s="356" t="s">
        <v>854</v>
      </c>
      <c r="E772" s="356"/>
      <c r="F772" s="356"/>
      <c r="G772" s="356"/>
      <c r="I772" s="48">
        <v>0</v>
      </c>
      <c r="K772" s="48">
        <v>0</v>
      </c>
      <c r="M772" s="279">
        <f t="shared" si="48"/>
        <v>0</v>
      </c>
      <c r="O772" s="279">
        <f t="shared" si="49"/>
        <v>0</v>
      </c>
      <c r="Q772" s="295">
        <f t="shared" si="50"/>
        <v>0</v>
      </c>
      <c r="S772" s="293">
        <f t="shared" si="51"/>
        <v>0</v>
      </c>
      <c r="U772" s="385"/>
      <c r="V772" s="385"/>
      <c r="W772" s="385"/>
      <c r="X772" s="385"/>
    </row>
    <row r="773" spans="4:24" s="277" customFormat="1" x14ac:dyDescent="0.3">
      <c r="D773" s="356" t="s">
        <v>855</v>
      </c>
      <c r="E773" s="356"/>
      <c r="F773" s="356"/>
      <c r="G773" s="356"/>
      <c r="I773" s="48">
        <v>0</v>
      </c>
      <c r="K773" s="48">
        <v>0</v>
      </c>
      <c r="M773" s="279">
        <f t="shared" si="48"/>
        <v>0</v>
      </c>
      <c r="O773" s="279">
        <f t="shared" si="49"/>
        <v>0</v>
      </c>
      <c r="Q773" s="295">
        <f t="shared" si="50"/>
        <v>0</v>
      </c>
      <c r="S773" s="293">
        <f t="shared" si="51"/>
        <v>0</v>
      </c>
      <c r="U773" s="385"/>
      <c r="V773" s="385"/>
      <c r="W773" s="385"/>
      <c r="X773" s="385"/>
    </row>
    <row r="774" spans="4:24" s="277" customFormat="1" x14ac:dyDescent="0.3">
      <c r="D774" s="356" t="s">
        <v>856</v>
      </c>
      <c r="E774" s="356"/>
      <c r="F774" s="356"/>
      <c r="G774" s="356"/>
      <c r="I774" s="48">
        <v>0</v>
      </c>
      <c r="K774" s="48">
        <v>0</v>
      </c>
      <c r="M774" s="279">
        <f t="shared" si="48"/>
        <v>0</v>
      </c>
      <c r="O774" s="279">
        <f t="shared" si="49"/>
        <v>0</v>
      </c>
      <c r="Q774" s="295">
        <f t="shared" si="50"/>
        <v>0</v>
      </c>
      <c r="S774" s="293">
        <f t="shared" si="51"/>
        <v>0</v>
      </c>
      <c r="U774" s="385"/>
      <c r="V774" s="385"/>
      <c r="W774" s="385"/>
      <c r="X774" s="385"/>
    </row>
    <row r="775" spans="4:24" s="277" customFormat="1" x14ac:dyDescent="0.3">
      <c r="D775" s="356" t="s">
        <v>857</v>
      </c>
      <c r="E775" s="356"/>
      <c r="F775" s="356"/>
      <c r="G775" s="356"/>
      <c r="I775" s="48">
        <v>0</v>
      </c>
      <c r="K775" s="48">
        <v>0</v>
      </c>
      <c r="M775" s="279">
        <f t="shared" si="48"/>
        <v>0</v>
      </c>
      <c r="O775" s="279">
        <f t="shared" si="49"/>
        <v>0</v>
      </c>
      <c r="Q775" s="295">
        <f t="shared" si="50"/>
        <v>0</v>
      </c>
      <c r="S775" s="293">
        <f t="shared" si="51"/>
        <v>0</v>
      </c>
      <c r="U775" s="385"/>
      <c r="V775" s="385"/>
      <c r="W775" s="385"/>
      <c r="X775" s="385"/>
    </row>
    <row r="776" spans="4:24" s="277" customFormat="1" x14ac:dyDescent="0.3">
      <c r="D776" s="356" t="s">
        <v>858</v>
      </c>
      <c r="E776" s="356"/>
      <c r="F776" s="356"/>
      <c r="G776" s="356"/>
      <c r="I776" s="48">
        <v>0</v>
      </c>
      <c r="K776" s="48">
        <v>0</v>
      </c>
      <c r="M776" s="279">
        <f t="shared" si="48"/>
        <v>0</v>
      </c>
      <c r="O776" s="279">
        <f t="shared" si="49"/>
        <v>0</v>
      </c>
      <c r="Q776" s="295">
        <f t="shared" si="50"/>
        <v>0</v>
      </c>
      <c r="S776" s="293">
        <f t="shared" si="51"/>
        <v>0</v>
      </c>
      <c r="U776" s="385"/>
      <c r="V776" s="385"/>
      <c r="W776" s="385"/>
      <c r="X776" s="385"/>
    </row>
    <row r="777" spans="4:24" s="277" customFormat="1" x14ac:dyDescent="0.3">
      <c r="D777" s="356" t="s">
        <v>859</v>
      </c>
      <c r="E777" s="356"/>
      <c r="F777" s="356"/>
      <c r="G777" s="356"/>
      <c r="I777" s="48">
        <v>0</v>
      </c>
      <c r="K777" s="48">
        <v>0</v>
      </c>
      <c r="M777" s="279">
        <f t="shared" si="48"/>
        <v>0</v>
      </c>
      <c r="O777" s="279">
        <f t="shared" si="49"/>
        <v>0</v>
      </c>
      <c r="Q777" s="295">
        <f t="shared" si="50"/>
        <v>0</v>
      </c>
      <c r="S777" s="293">
        <f t="shared" si="51"/>
        <v>0</v>
      </c>
      <c r="U777" s="385"/>
      <c r="V777" s="385"/>
      <c r="W777" s="385"/>
      <c r="X777" s="385"/>
    </row>
    <row r="778" spans="4:24" s="277" customFormat="1" x14ac:dyDescent="0.3">
      <c r="D778" s="356" t="s">
        <v>860</v>
      </c>
      <c r="E778" s="356"/>
      <c r="F778" s="356"/>
      <c r="G778" s="356"/>
      <c r="I778" s="48">
        <v>0</v>
      </c>
      <c r="K778" s="48">
        <v>0</v>
      </c>
      <c r="M778" s="279">
        <f t="shared" si="48"/>
        <v>0</v>
      </c>
      <c r="O778" s="279">
        <f t="shared" si="49"/>
        <v>0</v>
      </c>
      <c r="Q778" s="295">
        <f t="shared" si="50"/>
        <v>0</v>
      </c>
      <c r="S778" s="293">
        <f t="shared" si="51"/>
        <v>0</v>
      </c>
      <c r="U778" s="385"/>
      <c r="V778" s="385"/>
      <c r="W778" s="385"/>
      <c r="X778" s="385"/>
    </row>
    <row r="779" spans="4:24" s="277" customFormat="1" x14ac:dyDescent="0.3">
      <c r="D779" s="356" t="s">
        <v>861</v>
      </c>
      <c r="E779" s="356"/>
      <c r="F779" s="356"/>
      <c r="G779" s="356"/>
      <c r="I779" s="48">
        <v>0</v>
      </c>
      <c r="K779" s="48">
        <v>0</v>
      </c>
      <c r="M779" s="279">
        <f t="shared" si="48"/>
        <v>0</v>
      </c>
      <c r="O779" s="279">
        <f t="shared" si="49"/>
        <v>0</v>
      </c>
      <c r="Q779" s="295">
        <f t="shared" si="50"/>
        <v>0</v>
      </c>
      <c r="S779" s="293">
        <f t="shared" si="51"/>
        <v>0</v>
      </c>
      <c r="U779" s="385"/>
      <c r="V779" s="385"/>
      <c r="W779" s="385"/>
      <c r="X779" s="385"/>
    </row>
    <row r="780" spans="4:24" s="277" customFormat="1" x14ac:dyDescent="0.3">
      <c r="D780" s="356" t="s">
        <v>862</v>
      </c>
      <c r="E780" s="356"/>
      <c r="F780" s="356"/>
      <c r="G780" s="356"/>
      <c r="I780" s="48">
        <v>0</v>
      </c>
      <c r="K780" s="48">
        <v>0</v>
      </c>
      <c r="M780" s="279">
        <f t="shared" si="48"/>
        <v>0</v>
      </c>
      <c r="O780" s="279">
        <f t="shared" si="49"/>
        <v>0</v>
      </c>
      <c r="Q780" s="295">
        <f t="shared" si="50"/>
        <v>0</v>
      </c>
      <c r="S780" s="293">
        <f t="shared" si="51"/>
        <v>0</v>
      </c>
      <c r="U780" s="385"/>
      <c r="V780" s="385"/>
      <c r="W780" s="385"/>
      <c r="X780" s="385"/>
    </row>
    <row r="781" spans="4:24" s="277" customFormat="1" x14ac:dyDescent="0.3">
      <c r="D781" s="356" t="s">
        <v>863</v>
      </c>
      <c r="E781" s="356"/>
      <c r="F781" s="356"/>
      <c r="G781" s="356"/>
      <c r="I781" s="48">
        <v>0</v>
      </c>
      <c r="K781" s="48">
        <v>0</v>
      </c>
      <c r="M781" s="279">
        <f t="shared" si="48"/>
        <v>0</v>
      </c>
      <c r="O781" s="279">
        <f t="shared" si="49"/>
        <v>0</v>
      </c>
      <c r="Q781" s="295">
        <f t="shared" si="50"/>
        <v>0</v>
      </c>
      <c r="S781" s="293">
        <f t="shared" si="51"/>
        <v>0</v>
      </c>
      <c r="U781" s="385"/>
      <c r="V781" s="385"/>
      <c r="W781" s="385"/>
      <c r="X781" s="385"/>
    </row>
    <row r="782" spans="4:24" s="277" customFormat="1" x14ac:dyDescent="0.3">
      <c r="D782" s="356" t="s">
        <v>864</v>
      </c>
      <c r="E782" s="356"/>
      <c r="F782" s="356"/>
      <c r="G782" s="356"/>
      <c r="I782" s="48">
        <v>0</v>
      </c>
      <c r="K782" s="48">
        <v>0</v>
      </c>
      <c r="M782" s="279">
        <f t="shared" si="48"/>
        <v>0</v>
      </c>
      <c r="O782" s="279">
        <f t="shared" si="49"/>
        <v>0</v>
      </c>
      <c r="Q782" s="295">
        <f t="shared" si="50"/>
        <v>0</v>
      </c>
      <c r="S782" s="293">
        <f t="shared" si="51"/>
        <v>0</v>
      </c>
      <c r="U782" s="385"/>
      <c r="V782" s="385"/>
      <c r="W782" s="385"/>
      <c r="X782" s="385"/>
    </row>
    <row r="783" spans="4:24" s="277" customFormat="1" x14ac:dyDescent="0.3">
      <c r="D783" s="356" t="s">
        <v>865</v>
      </c>
      <c r="E783" s="356"/>
      <c r="F783" s="356"/>
      <c r="G783" s="356"/>
      <c r="I783" s="48">
        <v>0</v>
      </c>
      <c r="K783" s="48">
        <v>0</v>
      </c>
      <c r="M783" s="279">
        <f t="shared" si="48"/>
        <v>0</v>
      </c>
      <c r="O783" s="279">
        <f t="shared" si="49"/>
        <v>0</v>
      </c>
      <c r="Q783" s="295">
        <f t="shared" si="50"/>
        <v>0</v>
      </c>
      <c r="S783" s="293">
        <f t="shared" si="51"/>
        <v>0</v>
      </c>
      <c r="U783" s="385"/>
      <c r="V783" s="385"/>
      <c r="W783" s="385"/>
      <c r="X783" s="385"/>
    </row>
    <row r="784" spans="4:24" s="277" customFormat="1" x14ac:dyDescent="0.3">
      <c r="D784" s="356" t="s">
        <v>866</v>
      </c>
      <c r="E784" s="356"/>
      <c r="F784" s="356"/>
      <c r="G784" s="356"/>
      <c r="I784" s="48">
        <v>0</v>
      </c>
      <c r="K784" s="48">
        <v>0</v>
      </c>
      <c r="M784" s="279">
        <f t="shared" si="48"/>
        <v>0</v>
      </c>
      <c r="O784" s="279">
        <f t="shared" si="49"/>
        <v>0</v>
      </c>
      <c r="Q784" s="295">
        <f t="shared" si="50"/>
        <v>0</v>
      </c>
      <c r="S784" s="293">
        <f t="shared" si="51"/>
        <v>0</v>
      </c>
      <c r="U784" s="385"/>
      <c r="V784" s="385"/>
      <c r="W784" s="385"/>
      <c r="X784" s="385"/>
    </row>
    <row r="785" spans="3:24" s="277" customFormat="1" x14ac:dyDescent="0.3">
      <c r="D785" s="356" t="s">
        <v>867</v>
      </c>
      <c r="E785" s="356"/>
      <c r="F785" s="356"/>
      <c r="G785" s="356"/>
      <c r="I785" s="48">
        <v>0</v>
      </c>
      <c r="K785" s="48">
        <v>0</v>
      </c>
      <c r="M785" s="279">
        <f t="shared" si="48"/>
        <v>0</v>
      </c>
      <c r="O785" s="279">
        <f t="shared" si="49"/>
        <v>0</v>
      </c>
      <c r="Q785" s="295">
        <f t="shared" si="50"/>
        <v>0</v>
      </c>
      <c r="S785" s="293">
        <f t="shared" si="51"/>
        <v>0</v>
      </c>
      <c r="U785" s="385"/>
      <c r="V785" s="385"/>
      <c r="W785" s="385"/>
      <c r="X785" s="385"/>
    </row>
    <row r="786" spans="3:24" s="277" customFormat="1" x14ac:dyDescent="0.3">
      <c r="D786" s="356" t="s">
        <v>868</v>
      </c>
      <c r="E786" s="356"/>
      <c r="F786" s="356"/>
      <c r="G786" s="356"/>
      <c r="I786" s="48">
        <v>0</v>
      </c>
      <c r="K786" s="48">
        <v>0</v>
      </c>
      <c r="M786" s="279">
        <f t="shared" si="48"/>
        <v>0</v>
      </c>
      <c r="O786" s="279">
        <f t="shared" si="49"/>
        <v>0</v>
      </c>
      <c r="Q786" s="295">
        <f t="shared" si="50"/>
        <v>0</v>
      </c>
      <c r="S786" s="293">
        <f t="shared" si="51"/>
        <v>0</v>
      </c>
      <c r="U786" s="385"/>
      <c r="V786" s="385"/>
      <c r="W786" s="385"/>
      <c r="X786" s="385"/>
    </row>
    <row r="787" spans="3:24" s="277" customFormat="1" x14ac:dyDescent="0.3">
      <c r="D787" s="356" t="s">
        <v>869</v>
      </c>
      <c r="E787" s="356"/>
      <c r="F787" s="356"/>
      <c r="G787" s="356"/>
      <c r="I787" s="48">
        <v>0</v>
      </c>
      <c r="K787" s="48">
        <v>0</v>
      </c>
      <c r="M787" s="279">
        <f t="shared" si="48"/>
        <v>0</v>
      </c>
      <c r="O787" s="279">
        <f t="shared" si="49"/>
        <v>0</v>
      </c>
      <c r="Q787" s="295">
        <f t="shared" si="50"/>
        <v>0</v>
      </c>
      <c r="S787" s="293">
        <f t="shared" si="51"/>
        <v>0</v>
      </c>
      <c r="U787" s="385"/>
      <c r="V787" s="385"/>
      <c r="W787" s="385"/>
      <c r="X787" s="385"/>
    </row>
    <row r="788" spans="3:24" s="277" customFormat="1" x14ac:dyDescent="0.3">
      <c r="D788" s="356" t="s">
        <v>870</v>
      </c>
      <c r="E788" s="356"/>
      <c r="F788" s="356"/>
      <c r="G788" s="356"/>
      <c r="I788" s="48">
        <v>0</v>
      </c>
      <c r="K788" s="48">
        <v>0</v>
      </c>
      <c r="M788" s="279">
        <f t="shared" si="48"/>
        <v>0</v>
      </c>
      <c r="O788" s="279">
        <f t="shared" si="49"/>
        <v>0</v>
      </c>
      <c r="Q788" s="295">
        <f t="shared" si="50"/>
        <v>0</v>
      </c>
      <c r="S788" s="293">
        <f t="shared" si="51"/>
        <v>0</v>
      </c>
      <c r="U788" s="385"/>
      <c r="V788" s="385"/>
      <c r="W788" s="385"/>
      <c r="X788" s="385"/>
    </row>
    <row r="789" spans="3:24" s="277" customFormat="1" x14ac:dyDescent="0.3">
      <c r="D789" s="356" t="s">
        <v>871</v>
      </c>
      <c r="E789" s="356"/>
      <c r="F789" s="356"/>
      <c r="G789" s="356"/>
      <c r="I789" s="48">
        <v>0</v>
      </c>
      <c r="K789" s="48">
        <v>0</v>
      </c>
      <c r="M789" s="279">
        <f t="shared" si="48"/>
        <v>0</v>
      </c>
      <c r="O789" s="279">
        <f t="shared" si="49"/>
        <v>0</v>
      </c>
      <c r="Q789" s="295">
        <f t="shared" si="50"/>
        <v>0</v>
      </c>
      <c r="S789" s="293">
        <f t="shared" si="51"/>
        <v>0</v>
      </c>
      <c r="U789" s="385"/>
      <c r="V789" s="385"/>
      <c r="W789" s="385"/>
      <c r="X789" s="385"/>
    </row>
    <row r="790" spans="3:24" s="277" customFormat="1" x14ac:dyDescent="0.3">
      <c r="D790" s="356" t="s">
        <v>981</v>
      </c>
      <c r="E790" s="356"/>
      <c r="F790" s="356"/>
      <c r="G790" s="356"/>
      <c r="I790" s="48">
        <v>0</v>
      </c>
      <c r="K790" s="48">
        <v>0</v>
      </c>
      <c r="M790" s="279">
        <f t="shared" si="48"/>
        <v>0</v>
      </c>
      <c r="O790" s="279">
        <f t="shared" si="49"/>
        <v>0</v>
      </c>
      <c r="Q790" s="295">
        <f t="shared" si="50"/>
        <v>0</v>
      </c>
      <c r="S790" s="293">
        <f t="shared" si="51"/>
        <v>0</v>
      </c>
      <c r="U790" s="385"/>
      <c r="V790" s="385"/>
      <c r="W790" s="385"/>
      <c r="X790" s="385"/>
    </row>
    <row r="791" spans="3:24" s="277" customFormat="1" x14ac:dyDescent="0.3">
      <c r="D791" s="356" t="s">
        <v>982</v>
      </c>
      <c r="E791" s="356"/>
      <c r="F791" s="356"/>
      <c r="G791" s="356"/>
      <c r="I791" s="48">
        <v>0</v>
      </c>
      <c r="K791" s="48">
        <v>0</v>
      </c>
      <c r="M791" s="279">
        <f t="shared" si="48"/>
        <v>0</v>
      </c>
      <c r="O791" s="279">
        <f t="shared" si="49"/>
        <v>0</v>
      </c>
      <c r="Q791" s="295">
        <f t="shared" si="50"/>
        <v>0</v>
      </c>
      <c r="S791" s="293">
        <f t="shared" si="51"/>
        <v>0</v>
      </c>
      <c r="U791" s="385"/>
      <c r="V791" s="385"/>
      <c r="W791" s="385"/>
      <c r="X791" s="385"/>
    </row>
    <row r="792" spans="3:24" s="277" customFormat="1" x14ac:dyDescent="0.3">
      <c r="D792" s="356" t="s">
        <v>983</v>
      </c>
      <c r="E792" s="356"/>
      <c r="F792" s="356"/>
      <c r="G792" s="356"/>
      <c r="I792" s="48">
        <v>0</v>
      </c>
      <c r="K792" s="48">
        <v>0</v>
      </c>
      <c r="M792" s="279">
        <f t="shared" si="48"/>
        <v>0</v>
      </c>
      <c r="O792" s="279">
        <f t="shared" si="49"/>
        <v>0</v>
      </c>
      <c r="Q792" s="295">
        <f t="shared" si="50"/>
        <v>0</v>
      </c>
      <c r="S792" s="293">
        <f t="shared" si="51"/>
        <v>0</v>
      </c>
      <c r="U792" s="385"/>
      <c r="V792" s="385"/>
      <c r="W792" s="385"/>
      <c r="X792" s="385"/>
    </row>
    <row r="793" spans="3:24" s="277" customFormat="1" x14ac:dyDescent="0.3">
      <c r="D793" s="356" t="s">
        <v>984</v>
      </c>
      <c r="E793" s="356"/>
      <c r="F793" s="356"/>
      <c r="G793" s="356"/>
      <c r="I793" s="48">
        <v>0</v>
      </c>
      <c r="K793" s="48">
        <v>0</v>
      </c>
      <c r="M793" s="279">
        <f t="shared" si="48"/>
        <v>0</v>
      </c>
      <c r="O793" s="279">
        <f t="shared" si="49"/>
        <v>0</v>
      </c>
      <c r="Q793" s="295">
        <f t="shared" si="50"/>
        <v>0</v>
      </c>
      <c r="S793" s="293">
        <f t="shared" si="51"/>
        <v>0</v>
      </c>
      <c r="U793" s="385"/>
      <c r="V793" s="385"/>
      <c r="W793" s="385"/>
      <c r="X793" s="385"/>
    </row>
    <row r="794" spans="3:24" s="277" customFormat="1" x14ac:dyDescent="0.3">
      <c r="D794" s="356" t="s">
        <v>985</v>
      </c>
      <c r="E794" s="356"/>
      <c r="F794" s="356"/>
      <c r="G794" s="356"/>
      <c r="I794" s="48">
        <v>0</v>
      </c>
      <c r="K794" s="48">
        <v>0</v>
      </c>
      <c r="M794" s="279">
        <f t="shared" si="48"/>
        <v>0</v>
      </c>
      <c r="O794" s="279">
        <f t="shared" si="49"/>
        <v>0</v>
      </c>
      <c r="Q794" s="295">
        <f t="shared" si="50"/>
        <v>0</v>
      </c>
      <c r="S794" s="293">
        <f t="shared" si="51"/>
        <v>0</v>
      </c>
      <c r="U794" s="385"/>
      <c r="V794" s="385"/>
      <c r="W794" s="385"/>
      <c r="X794" s="385"/>
    </row>
    <row r="795" spans="3:24" ht="14.4" x14ac:dyDescent="0.3">
      <c r="D795" s="420" t="s">
        <v>85</v>
      </c>
      <c r="E795" s="421"/>
      <c r="F795" s="421"/>
      <c r="G795" s="421"/>
      <c r="I795" s="43"/>
      <c r="K795" s="43"/>
      <c r="M795" s="43"/>
      <c r="O795" s="43"/>
      <c r="Q795" s="296">
        <f>SUM(Q770:Q794)</f>
        <v>0</v>
      </c>
      <c r="S795" s="294">
        <f>SUM(S770:S794)</f>
        <v>0</v>
      </c>
      <c r="U795" s="43"/>
      <c r="V795" s="43"/>
      <c r="W795" s="43"/>
      <c r="X795" s="43"/>
    </row>
    <row r="797" spans="3:24" ht="27.6" x14ac:dyDescent="0.3">
      <c r="C797" s="92" t="s">
        <v>130</v>
      </c>
      <c r="Q797" s="44" t="str">
        <f>"FINANCIAL COST ("&amp;INDEX(LU_ACT_16_Meet_Curr,DD_ACT_16_Meet1_Curr)&amp;")"</f>
        <v>FINANCIAL COST (GOZ)</v>
      </c>
      <c r="S797" s="44" t="str">
        <f>"ECONOMIC COST ("&amp;INDEX(LU_ACT_16_Meet_Curr,DD_ACT_16_Meet1_Curr)&amp;")"</f>
        <v>ECONOMIC COST (GOZ)</v>
      </c>
    </row>
    <row r="798" spans="3:24" ht="14.4" x14ac:dyDescent="0.3">
      <c r="D798" s="90" t="s">
        <v>86</v>
      </c>
      <c r="I798" s="91" t="s">
        <v>186</v>
      </c>
      <c r="M798" s="91" t="s">
        <v>81</v>
      </c>
      <c r="O798" s="91" t="s">
        <v>83</v>
      </c>
      <c r="U798" s="350" t="s">
        <v>185</v>
      </c>
      <c r="V798" s="351"/>
      <c r="W798" s="351"/>
      <c r="X798" s="351"/>
    </row>
    <row r="799" spans="3:24" x14ac:dyDescent="0.3">
      <c r="D799" s="356" t="s">
        <v>70</v>
      </c>
      <c r="E799" s="356"/>
      <c r="F799" s="356"/>
      <c r="G799" s="356"/>
      <c r="I799" s="48">
        <v>0</v>
      </c>
      <c r="M799" s="40">
        <f t="shared" ref="M799:M823" si="52">IFERROR(IF(DD_ACT_16_Meet1_Curr=1,INDEX($M$979:$M$1013,MATCH(D799,LU_ACT_16_Equipment,0)),INDEX($Q$979:$Q$1013,MATCH(D799,LU_ACT_16_Equipment,0))),0)</f>
        <v>0</v>
      </c>
      <c r="O799" s="40">
        <f t="shared" ref="O799:O823" si="53">IFERROR(IF(DD_ACT_16_Meet1_Curr=1,INDEX($O$979:$O$1013,MATCH(D799,LU_ACT_16_Equipment,0)),INDEX($S$979:$S$1013,MATCH(D799,LU_ACT_16_Equipment,0))),0)</f>
        <v>0</v>
      </c>
      <c r="Q799" s="279">
        <f t="shared" ref="Q799:Q823" si="54">I799*M799</f>
        <v>0</v>
      </c>
      <c r="S799" s="279">
        <f t="shared" ref="S799:S823" si="55">I799*O799</f>
        <v>0</v>
      </c>
      <c r="U799" s="356"/>
      <c r="V799" s="356"/>
      <c r="W799" s="356"/>
      <c r="X799" s="356"/>
    </row>
    <row r="800" spans="3:24" x14ac:dyDescent="0.3">
      <c r="D800" s="356" t="s">
        <v>122</v>
      </c>
      <c r="E800" s="356"/>
      <c r="F800" s="356"/>
      <c r="G800" s="356"/>
      <c r="I800" s="48">
        <v>0</v>
      </c>
      <c r="M800" s="40">
        <f t="shared" si="52"/>
        <v>0</v>
      </c>
      <c r="O800" s="40">
        <f t="shared" si="53"/>
        <v>0</v>
      </c>
      <c r="Q800" s="279">
        <f t="shared" si="54"/>
        <v>0</v>
      </c>
      <c r="S800" s="279">
        <f t="shared" si="55"/>
        <v>0</v>
      </c>
      <c r="U800" s="356"/>
      <c r="V800" s="356"/>
      <c r="W800" s="356"/>
      <c r="X800" s="356"/>
    </row>
    <row r="801" spans="4:24" s="277" customFormat="1" x14ac:dyDescent="0.3">
      <c r="D801" s="356" t="s">
        <v>872</v>
      </c>
      <c r="E801" s="356"/>
      <c r="F801" s="356"/>
      <c r="G801" s="356"/>
      <c r="I801" s="48">
        <v>0</v>
      </c>
      <c r="M801" s="279">
        <f t="shared" si="52"/>
        <v>0</v>
      </c>
      <c r="O801" s="279">
        <f t="shared" si="53"/>
        <v>0</v>
      </c>
      <c r="Q801" s="279">
        <f t="shared" si="54"/>
        <v>0</v>
      </c>
      <c r="S801" s="279">
        <f t="shared" si="55"/>
        <v>0</v>
      </c>
      <c r="U801" s="385"/>
      <c r="V801" s="385"/>
      <c r="W801" s="385"/>
      <c r="X801" s="385"/>
    </row>
    <row r="802" spans="4:24" s="277" customFormat="1" x14ac:dyDescent="0.3">
      <c r="D802" s="356" t="s">
        <v>873</v>
      </c>
      <c r="E802" s="356"/>
      <c r="F802" s="356"/>
      <c r="G802" s="356"/>
      <c r="I802" s="48">
        <v>0</v>
      </c>
      <c r="M802" s="279">
        <f t="shared" si="52"/>
        <v>0</v>
      </c>
      <c r="O802" s="279">
        <f t="shared" si="53"/>
        <v>0</v>
      </c>
      <c r="Q802" s="279">
        <f t="shared" si="54"/>
        <v>0</v>
      </c>
      <c r="S802" s="279">
        <f t="shared" si="55"/>
        <v>0</v>
      </c>
      <c r="U802" s="385"/>
      <c r="V802" s="385"/>
      <c r="W802" s="385"/>
      <c r="X802" s="385"/>
    </row>
    <row r="803" spans="4:24" s="277" customFormat="1" x14ac:dyDescent="0.3">
      <c r="D803" s="356" t="s">
        <v>874</v>
      </c>
      <c r="E803" s="356"/>
      <c r="F803" s="356"/>
      <c r="G803" s="356"/>
      <c r="I803" s="48">
        <v>0</v>
      </c>
      <c r="M803" s="279">
        <f t="shared" si="52"/>
        <v>0</v>
      </c>
      <c r="O803" s="279">
        <f t="shared" si="53"/>
        <v>0</v>
      </c>
      <c r="Q803" s="279">
        <f t="shared" si="54"/>
        <v>0</v>
      </c>
      <c r="S803" s="279">
        <f t="shared" si="55"/>
        <v>0</v>
      </c>
      <c r="U803" s="385"/>
      <c r="V803" s="385"/>
      <c r="W803" s="385"/>
      <c r="X803" s="385"/>
    </row>
    <row r="804" spans="4:24" s="277" customFormat="1" x14ac:dyDescent="0.3">
      <c r="D804" s="356" t="s">
        <v>875</v>
      </c>
      <c r="E804" s="356"/>
      <c r="F804" s="356"/>
      <c r="G804" s="356"/>
      <c r="I804" s="48">
        <v>0</v>
      </c>
      <c r="M804" s="279">
        <f t="shared" si="52"/>
        <v>0</v>
      </c>
      <c r="O804" s="279">
        <f t="shared" si="53"/>
        <v>0</v>
      </c>
      <c r="Q804" s="279">
        <f t="shared" si="54"/>
        <v>0</v>
      </c>
      <c r="S804" s="279">
        <f t="shared" si="55"/>
        <v>0</v>
      </c>
      <c r="U804" s="385"/>
      <c r="V804" s="385"/>
      <c r="W804" s="385"/>
      <c r="X804" s="385"/>
    </row>
    <row r="805" spans="4:24" s="277" customFormat="1" x14ac:dyDescent="0.3">
      <c r="D805" s="356" t="s">
        <v>778</v>
      </c>
      <c r="E805" s="356"/>
      <c r="F805" s="356"/>
      <c r="G805" s="356"/>
      <c r="I805" s="48">
        <v>0</v>
      </c>
      <c r="M805" s="279">
        <f t="shared" si="52"/>
        <v>0</v>
      </c>
      <c r="O805" s="279">
        <f t="shared" si="53"/>
        <v>0</v>
      </c>
      <c r="Q805" s="279">
        <f t="shared" si="54"/>
        <v>0</v>
      </c>
      <c r="S805" s="279">
        <f t="shared" si="55"/>
        <v>0</v>
      </c>
      <c r="U805" s="385"/>
      <c r="V805" s="385"/>
      <c r="W805" s="385"/>
      <c r="X805" s="385"/>
    </row>
    <row r="806" spans="4:24" s="277" customFormat="1" x14ac:dyDescent="0.3">
      <c r="D806" s="356" t="s">
        <v>779</v>
      </c>
      <c r="E806" s="356"/>
      <c r="F806" s="356"/>
      <c r="G806" s="356"/>
      <c r="I806" s="48">
        <v>0</v>
      </c>
      <c r="M806" s="279">
        <f t="shared" si="52"/>
        <v>0</v>
      </c>
      <c r="O806" s="279">
        <f t="shared" si="53"/>
        <v>0</v>
      </c>
      <c r="Q806" s="279">
        <f t="shared" si="54"/>
        <v>0</v>
      </c>
      <c r="S806" s="279">
        <f t="shared" si="55"/>
        <v>0</v>
      </c>
      <c r="U806" s="385"/>
      <c r="V806" s="385"/>
      <c r="W806" s="385"/>
      <c r="X806" s="385"/>
    </row>
    <row r="807" spans="4:24" s="277" customFormat="1" x14ac:dyDescent="0.3">
      <c r="D807" s="356" t="s">
        <v>780</v>
      </c>
      <c r="E807" s="356"/>
      <c r="F807" s="356"/>
      <c r="G807" s="356"/>
      <c r="I807" s="48">
        <v>0</v>
      </c>
      <c r="M807" s="279">
        <f t="shared" si="52"/>
        <v>0</v>
      </c>
      <c r="O807" s="279">
        <f t="shared" si="53"/>
        <v>0</v>
      </c>
      <c r="Q807" s="279">
        <f t="shared" si="54"/>
        <v>0</v>
      </c>
      <c r="S807" s="279">
        <f t="shared" si="55"/>
        <v>0</v>
      </c>
      <c r="U807" s="385"/>
      <c r="V807" s="385"/>
      <c r="W807" s="385"/>
      <c r="X807" s="385"/>
    </row>
    <row r="808" spans="4:24" s="277" customFormat="1" x14ac:dyDescent="0.3">
      <c r="D808" s="356" t="s">
        <v>781</v>
      </c>
      <c r="E808" s="356"/>
      <c r="F808" s="356"/>
      <c r="G808" s="356"/>
      <c r="I808" s="48">
        <v>0</v>
      </c>
      <c r="M808" s="279">
        <f t="shared" si="52"/>
        <v>0</v>
      </c>
      <c r="O808" s="279">
        <f t="shared" si="53"/>
        <v>0</v>
      </c>
      <c r="Q808" s="279">
        <f t="shared" si="54"/>
        <v>0</v>
      </c>
      <c r="S808" s="279">
        <f t="shared" si="55"/>
        <v>0</v>
      </c>
      <c r="U808" s="385"/>
      <c r="V808" s="385"/>
      <c r="W808" s="385"/>
      <c r="X808" s="385"/>
    </row>
    <row r="809" spans="4:24" s="277" customFormat="1" x14ac:dyDescent="0.3">
      <c r="D809" s="356" t="s">
        <v>782</v>
      </c>
      <c r="E809" s="356"/>
      <c r="F809" s="356"/>
      <c r="G809" s="356"/>
      <c r="I809" s="48">
        <v>0</v>
      </c>
      <c r="M809" s="279">
        <f t="shared" si="52"/>
        <v>0</v>
      </c>
      <c r="O809" s="279">
        <f t="shared" si="53"/>
        <v>0</v>
      </c>
      <c r="Q809" s="279">
        <f t="shared" si="54"/>
        <v>0</v>
      </c>
      <c r="S809" s="279">
        <f t="shared" si="55"/>
        <v>0</v>
      </c>
      <c r="U809" s="385"/>
      <c r="V809" s="385"/>
      <c r="W809" s="385"/>
      <c r="X809" s="385"/>
    </row>
    <row r="810" spans="4:24" s="277" customFormat="1" x14ac:dyDescent="0.3">
      <c r="D810" s="356" t="s">
        <v>783</v>
      </c>
      <c r="E810" s="356"/>
      <c r="F810" s="356"/>
      <c r="G810" s="356"/>
      <c r="I810" s="48">
        <v>0</v>
      </c>
      <c r="M810" s="279">
        <f t="shared" si="52"/>
        <v>0</v>
      </c>
      <c r="O810" s="279">
        <f t="shared" si="53"/>
        <v>0</v>
      </c>
      <c r="Q810" s="279">
        <f t="shared" si="54"/>
        <v>0</v>
      </c>
      <c r="S810" s="279">
        <f t="shared" si="55"/>
        <v>0</v>
      </c>
      <c r="U810" s="385"/>
      <c r="V810" s="385"/>
      <c r="W810" s="385"/>
      <c r="X810" s="385"/>
    </row>
    <row r="811" spans="4:24" s="277" customFormat="1" x14ac:dyDescent="0.3">
      <c r="D811" s="356" t="s">
        <v>784</v>
      </c>
      <c r="E811" s="356"/>
      <c r="F811" s="356"/>
      <c r="G811" s="356"/>
      <c r="I811" s="48">
        <v>0</v>
      </c>
      <c r="M811" s="279">
        <f t="shared" si="52"/>
        <v>0</v>
      </c>
      <c r="O811" s="279">
        <f t="shared" si="53"/>
        <v>0</v>
      </c>
      <c r="Q811" s="279">
        <f t="shared" si="54"/>
        <v>0</v>
      </c>
      <c r="S811" s="279">
        <f t="shared" si="55"/>
        <v>0</v>
      </c>
      <c r="U811" s="385"/>
      <c r="V811" s="385"/>
      <c r="W811" s="385"/>
      <c r="X811" s="385"/>
    </row>
    <row r="812" spans="4:24" s="277" customFormat="1" x14ac:dyDescent="0.3">
      <c r="D812" s="356" t="s">
        <v>785</v>
      </c>
      <c r="E812" s="356"/>
      <c r="F812" s="356"/>
      <c r="G812" s="356"/>
      <c r="I812" s="48">
        <v>0</v>
      </c>
      <c r="M812" s="279">
        <f t="shared" si="52"/>
        <v>0</v>
      </c>
      <c r="O812" s="279">
        <f t="shared" si="53"/>
        <v>0</v>
      </c>
      <c r="Q812" s="279">
        <f t="shared" si="54"/>
        <v>0</v>
      </c>
      <c r="S812" s="279">
        <f t="shared" si="55"/>
        <v>0</v>
      </c>
      <c r="U812" s="385"/>
      <c r="V812" s="385"/>
      <c r="W812" s="385"/>
      <c r="X812" s="385"/>
    </row>
    <row r="813" spans="4:24" s="277" customFormat="1" x14ac:dyDescent="0.3">
      <c r="D813" s="356" t="s">
        <v>786</v>
      </c>
      <c r="E813" s="356"/>
      <c r="F813" s="356"/>
      <c r="G813" s="356"/>
      <c r="I813" s="48">
        <v>0</v>
      </c>
      <c r="M813" s="279">
        <f t="shared" si="52"/>
        <v>0</v>
      </c>
      <c r="O813" s="279">
        <f t="shared" si="53"/>
        <v>0</v>
      </c>
      <c r="Q813" s="279">
        <f t="shared" si="54"/>
        <v>0</v>
      </c>
      <c r="S813" s="279">
        <f t="shared" si="55"/>
        <v>0</v>
      </c>
      <c r="U813" s="385"/>
      <c r="V813" s="385"/>
      <c r="W813" s="385"/>
      <c r="X813" s="385"/>
    </row>
    <row r="814" spans="4:24" s="277" customFormat="1" x14ac:dyDescent="0.3">
      <c r="D814" s="356" t="s">
        <v>787</v>
      </c>
      <c r="E814" s="356"/>
      <c r="F814" s="356"/>
      <c r="G814" s="356"/>
      <c r="I814" s="48">
        <v>0</v>
      </c>
      <c r="M814" s="279">
        <f t="shared" si="52"/>
        <v>0</v>
      </c>
      <c r="O814" s="279">
        <f t="shared" si="53"/>
        <v>0</v>
      </c>
      <c r="Q814" s="279">
        <f t="shared" si="54"/>
        <v>0</v>
      </c>
      <c r="S814" s="279">
        <f t="shared" si="55"/>
        <v>0</v>
      </c>
      <c r="U814" s="385"/>
      <c r="V814" s="385"/>
      <c r="W814" s="385"/>
      <c r="X814" s="385"/>
    </row>
    <row r="815" spans="4:24" s="277" customFormat="1" x14ac:dyDescent="0.3">
      <c r="D815" s="356" t="s">
        <v>788</v>
      </c>
      <c r="E815" s="356"/>
      <c r="F815" s="356"/>
      <c r="G815" s="356"/>
      <c r="I815" s="48">
        <v>0</v>
      </c>
      <c r="M815" s="279">
        <f t="shared" si="52"/>
        <v>0</v>
      </c>
      <c r="O815" s="279">
        <f t="shared" si="53"/>
        <v>0</v>
      </c>
      <c r="Q815" s="279">
        <f t="shared" si="54"/>
        <v>0</v>
      </c>
      <c r="S815" s="279">
        <f t="shared" si="55"/>
        <v>0</v>
      </c>
      <c r="U815" s="385"/>
      <c r="V815" s="385"/>
      <c r="W815" s="385"/>
      <c r="X815" s="385"/>
    </row>
    <row r="816" spans="4:24" s="277" customFormat="1" x14ac:dyDescent="0.3">
      <c r="D816" s="356" t="s">
        <v>789</v>
      </c>
      <c r="E816" s="356"/>
      <c r="F816" s="356"/>
      <c r="G816" s="356"/>
      <c r="I816" s="48">
        <v>0</v>
      </c>
      <c r="M816" s="279">
        <f t="shared" si="52"/>
        <v>0</v>
      </c>
      <c r="O816" s="279">
        <f t="shared" si="53"/>
        <v>0</v>
      </c>
      <c r="Q816" s="279">
        <f t="shared" si="54"/>
        <v>0</v>
      </c>
      <c r="S816" s="279">
        <f t="shared" si="55"/>
        <v>0</v>
      </c>
      <c r="U816" s="385"/>
      <c r="V816" s="385"/>
      <c r="W816" s="385"/>
      <c r="X816" s="385"/>
    </row>
    <row r="817" spans="3:24" s="277" customFormat="1" x14ac:dyDescent="0.3">
      <c r="D817" s="356" t="s">
        <v>790</v>
      </c>
      <c r="E817" s="356"/>
      <c r="F817" s="356"/>
      <c r="G817" s="356"/>
      <c r="I817" s="48">
        <v>0</v>
      </c>
      <c r="M817" s="279">
        <f t="shared" si="52"/>
        <v>0</v>
      </c>
      <c r="O817" s="279">
        <f t="shared" si="53"/>
        <v>0</v>
      </c>
      <c r="Q817" s="279">
        <f t="shared" si="54"/>
        <v>0</v>
      </c>
      <c r="S817" s="279">
        <f t="shared" si="55"/>
        <v>0</v>
      </c>
      <c r="U817" s="385"/>
      <c r="V817" s="385"/>
      <c r="W817" s="385"/>
      <c r="X817" s="385"/>
    </row>
    <row r="818" spans="3:24" s="277" customFormat="1" x14ac:dyDescent="0.3">
      <c r="D818" s="356" t="s">
        <v>791</v>
      </c>
      <c r="E818" s="356"/>
      <c r="F818" s="356"/>
      <c r="G818" s="356"/>
      <c r="I818" s="48">
        <v>0</v>
      </c>
      <c r="M818" s="279">
        <f t="shared" si="52"/>
        <v>0</v>
      </c>
      <c r="O818" s="279">
        <f t="shared" si="53"/>
        <v>0</v>
      </c>
      <c r="Q818" s="279">
        <f t="shared" si="54"/>
        <v>0</v>
      </c>
      <c r="S818" s="279">
        <f t="shared" si="55"/>
        <v>0</v>
      </c>
      <c r="U818" s="385"/>
      <c r="V818" s="385"/>
      <c r="W818" s="385"/>
      <c r="X818" s="385"/>
    </row>
    <row r="819" spans="3:24" s="277" customFormat="1" x14ac:dyDescent="0.3">
      <c r="D819" s="356" t="s">
        <v>792</v>
      </c>
      <c r="E819" s="356"/>
      <c r="F819" s="356"/>
      <c r="G819" s="356"/>
      <c r="I819" s="48">
        <v>0</v>
      </c>
      <c r="M819" s="279">
        <f t="shared" si="52"/>
        <v>0</v>
      </c>
      <c r="O819" s="279">
        <f t="shared" si="53"/>
        <v>0</v>
      </c>
      <c r="Q819" s="279">
        <f t="shared" si="54"/>
        <v>0</v>
      </c>
      <c r="S819" s="279">
        <f t="shared" si="55"/>
        <v>0</v>
      </c>
      <c r="U819" s="385"/>
      <c r="V819" s="385"/>
      <c r="W819" s="385"/>
      <c r="X819" s="385"/>
    </row>
    <row r="820" spans="3:24" s="277" customFormat="1" x14ac:dyDescent="0.3">
      <c r="D820" s="356" t="s">
        <v>793</v>
      </c>
      <c r="E820" s="356"/>
      <c r="F820" s="356"/>
      <c r="G820" s="356"/>
      <c r="I820" s="48">
        <v>0</v>
      </c>
      <c r="M820" s="279">
        <f t="shared" si="52"/>
        <v>0</v>
      </c>
      <c r="O820" s="279">
        <f t="shared" si="53"/>
        <v>0</v>
      </c>
      <c r="Q820" s="279">
        <f t="shared" si="54"/>
        <v>0</v>
      </c>
      <c r="S820" s="279">
        <f t="shared" si="55"/>
        <v>0</v>
      </c>
      <c r="U820" s="385"/>
      <c r="V820" s="385"/>
      <c r="W820" s="385"/>
      <c r="X820" s="385"/>
    </row>
    <row r="821" spans="3:24" s="277" customFormat="1" x14ac:dyDescent="0.3">
      <c r="D821" s="356" t="s">
        <v>794</v>
      </c>
      <c r="E821" s="356"/>
      <c r="F821" s="356"/>
      <c r="G821" s="356"/>
      <c r="I821" s="48">
        <v>0</v>
      </c>
      <c r="M821" s="279">
        <f t="shared" si="52"/>
        <v>0</v>
      </c>
      <c r="O821" s="279">
        <f t="shared" si="53"/>
        <v>0</v>
      </c>
      <c r="Q821" s="279">
        <f t="shared" si="54"/>
        <v>0</v>
      </c>
      <c r="S821" s="279">
        <f t="shared" si="55"/>
        <v>0</v>
      </c>
      <c r="U821" s="385"/>
      <c r="V821" s="385"/>
      <c r="W821" s="385"/>
      <c r="X821" s="385"/>
    </row>
    <row r="822" spans="3:24" s="277" customFormat="1" x14ac:dyDescent="0.3">
      <c r="D822" s="356" t="s">
        <v>795</v>
      </c>
      <c r="E822" s="356"/>
      <c r="F822" s="356"/>
      <c r="G822" s="356"/>
      <c r="I822" s="48">
        <v>0</v>
      </c>
      <c r="M822" s="279">
        <f t="shared" si="52"/>
        <v>0</v>
      </c>
      <c r="O822" s="279">
        <f t="shared" si="53"/>
        <v>0</v>
      </c>
      <c r="Q822" s="279">
        <f t="shared" si="54"/>
        <v>0</v>
      </c>
      <c r="S822" s="279">
        <f t="shared" si="55"/>
        <v>0</v>
      </c>
      <c r="U822" s="385"/>
      <c r="V822" s="385"/>
      <c r="W822" s="385"/>
      <c r="X822" s="385"/>
    </row>
    <row r="823" spans="3:24" s="277" customFormat="1" x14ac:dyDescent="0.3">
      <c r="D823" s="356" t="s">
        <v>796</v>
      </c>
      <c r="E823" s="356"/>
      <c r="F823" s="356"/>
      <c r="G823" s="356"/>
      <c r="I823" s="48">
        <v>0</v>
      </c>
      <c r="M823" s="279">
        <f t="shared" si="52"/>
        <v>0</v>
      </c>
      <c r="O823" s="279">
        <f t="shared" si="53"/>
        <v>0</v>
      </c>
      <c r="Q823" s="279">
        <f t="shared" si="54"/>
        <v>0</v>
      </c>
      <c r="S823" s="279">
        <f t="shared" si="55"/>
        <v>0</v>
      </c>
      <c r="U823" s="385"/>
      <c r="V823" s="385"/>
      <c r="W823" s="385"/>
      <c r="X823" s="385"/>
    </row>
    <row r="824" spans="3:24" ht="14.4" x14ac:dyDescent="0.3">
      <c r="D824" s="420" t="s">
        <v>88</v>
      </c>
      <c r="E824" s="421"/>
      <c r="F824" s="421"/>
      <c r="G824" s="421"/>
      <c r="I824" s="40"/>
      <c r="M824" s="40"/>
      <c r="O824" s="40"/>
      <c r="Q824" s="294">
        <f>SUM(Q799:Q823)</f>
        <v>0</v>
      </c>
      <c r="S824" s="294">
        <f>SUM(S799:S823)</f>
        <v>0</v>
      </c>
    </row>
    <row r="826" spans="3:24" ht="15.6" x14ac:dyDescent="0.3">
      <c r="C826" s="92" t="s">
        <v>89</v>
      </c>
    </row>
    <row r="827" spans="3:24" ht="27.6" x14ac:dyDescent="0.3">
      <c r="Q827" s="44" t="str">
        <f>"FINANCIAL COST ("&amp;INDEX(LU_ACT_16_Meet_Curr,DD_ACT_16_Meet1_Curr)&amp;")"</f>
        <v>FINANCIAL COST (GOZ)</v>
      </c>
      <c r="S827" s="44" t="str">
        <f>"ECONOMIC COST ("&amp;INDEX(LU_ACT_16_Meet_Curr,DD_ACT_16_Meet1_Curr)&amp;")"</f>
        <v>ECONOMIC COST (GOZ)</v>
      </c>
    </row>
    <row r="828" spans="3:24" ht="27.6" x14ac:dyDescent="0.3">
      <c r="D828" s="90" t="s">
        <v>86</v>
      </c>
      <c r="I828" s="91" t="s">
        <v>186</v>
      </c>
      <c r="K828" s="91" t="s">
        <v>187</v>
      </c>
      <c r="M828" s="42" t="s">
        <v>81</v>
      </c>
      <c r="O828" s="42" t="s">
        <v>83</v>
      </c>
      <c r="U828" s="350" t="s">
        <v>185</v>
      </c>
      <c r="V828" s="351"/>
      <c r="W828" s="351"/>
      <c r="X828" s="351"/>
    </row>
    <row r="829" spans="3:24" x14ac:dyDescent="0.3">
      <c r="D829" s="356" t="s">
        <v>71</v>
      </c>
      <c r="E829" s="356"/>
      <c r="F829" s="356"/>
      <c r="G829" s="356"/>
      <c r="I829" s="48">
        <v>0</v>
      </c>
      <c r="K829" s="48">
        <v>0</v>
      </c>
      <c r="M829" s="40">
        <f t="shared" ref="M829:M853" si="56">IFERROR(IF(DD_ACT_16_Meet1_Curr=1,INDEX($M$1017:$M$1051,MATCH(D829,LU_ACT_16_ODCS,0)),INDEX($Q$1017:$Q$1051,MATCH(D829,LU_ACT_16_ODCS,0))),0)</f>
        <v>0</v>
      </c>
      <c r="O829" s="40">
        <f t="shared" ref="O829:O853" si="57">IFERROR(IF(DD_ACT_16_Meet1_Curr=1,INDEX($O$1017:$O$1051,MATCH(D829,LU_ACT_16_ODCS,0)),INDEX($S$1017:$S$1051,MATCH(D829,LU_ACT_16_ODCS,0))),0)</f>
        <v>0</v>
      </c>
      <c r="Q829" s="279">
        <f t="shared" ref="Q829:Q853" si="58">I829*K829*M829</f>
        <v>0</v>
      </c>
      <c r="S829" s="279">
        <f t="shared" ref="S829:S853" si="59">I829*K829*O829</f>
        <v>0</v>
      </c>
      <c r="U829" s="356"/>
      <c r="V829" s="356"/>
      <c r="W829" s="356"/>
      <c r="X829" s="356"/>
    </row>
    <row r="830" spans="3:24" x14ac:dyDescent="0.3">
      <c r="D830" s="356" t="s">
        <v>72</v>
      </c>
      <c r="E830" s="356"/>
      <c r="F830" s="356"/>
      <c r="G830" s="356"/>
      <c r="I830" s="48">
        <v>0</v>
      </c>
      <c r="K830" s="48">
        <v>0</v>
      </c>
      <c r="M830" s="40">
        <f t="shared" si="56"/>
        <v>0</v>
      </c>
      <c r="O830" s="40">
        <f t="shared" si="57"/>
        <v>0</v>
      </c>
      <c r="Q830" s="279">
        <f t="shared" si="58"/>
        <v>0</v>
      </c>
      <c r="S830" s="279">
        <f t="shared" si="59"/>
        <v>0</v>
      </c>
      <c r="U830" s="356"/>
      <c r="V830" s="356"/>
      <c r="W830" s="356"/>
      <c r="X830" s="356"/>
    </row>
    <row r="831" spans="3:24" x14ac:dyDescent="0.3">
      <c r="D831" s="356" t="s">
        <v>73</v>
      </c>
      <c r="E831" s="356"/>
      <c r="F831" s="356"/>
      <c r="G831" s="356"/>
      <c r="I831" s="48">
        <v>0</v>
      </c>
      <c r="K831" s="48">
        <v>0</v>
      </c>
      <c r="M831" s="40">
        <f t="shared" si="56"/>
        <v>0</v>
      </c>
      <c r="O831" s="40">
        <f t="shared" si="57"/>
        <v>0</v>
      </c>
      <c r="Q831" s="279">
        <f t="shared" si="58"/>
        <v>0</v>
      </c>
      <c r="S831" s="279">
        <f t="shared" si="59"/>
        <v>0</v>
      </c>
      <c r="U831" s="356"/>
      <c r="V831" s="356"/>
      <c r="W831" s="356"/>
      <c r="X831" s="356"/>
    </row>
    <row r="832" spans="3:24" x14ac:dyDescent="0.3">
      <c r="D832" s="356" t="s">
        <v>74</v>
      </c>
      <c r="E832" s="356"/>
      <c r="F832" s="356"/>
      <c r="G832" s="356"/>
      <c r="I832" s="48">
        <v>0</v>
      </c>
      <c r="K832" s="48">
        <v>0</v>
      </c>
      <c r="M832" s="40">
        <f t="shared" si="56"/>
        <v>0</v>
      </c>
      <c r="O832" s="40">
        <f t="shared" si="57"/>
        <v>0</v>
      </c>
      <c r="Q832" s="279">
        <f t="shared" si="58"/>
        <v>0</v>
      </c>
      <c r="S832" s="279">
        <f t="shared" si="59"/>
        <v>0</v>
      </c>
      <c r="U832" s="356"/>
      <c r="V832" s="356"/>
      <c r="W832" s="356"/>
      <c r="X832" s="356"/>
    </row>
    <row r="833" spans="4:24" x14ac:dyDescent="0.3">
      <c r="D833" s="356" t="s">
        <v>75</v>
      </c>
      <c r="E833" s="356"/>
      <c r="F833" s="356"/>
      <c r="G833" s="356"/>
      <c r="I833" s="48">
        <v>0</v>
      </c>
      <c r="K833" s="48">
        <v>0</v>
      </c>
      <c r="M833" s="40">
        <f t="shared" si="56"/>
        <v>0</v>
      </c>
      <c r="O833" s="40">
        <f t="shared" si="57"/>
        <v>0</v>
      </c>
      <c r="Q833" s="279">
        <f t="shared" si="58"/>
        <v>0</v>
      </c>
      <c r="S833" s="279">
        <f t="shared" si="59"/>
        <v>0</v>
      </c>
      <c r="U833" s="356"/>
      <c r="V833" s="356"/>
      <c r="W833" s="356"/>
      <c r="X833" s="356"/>
    </row>
    <row r="834" spans="4:24" s="277" customFormat="1" x14ac:dyDescent="0.3">
      <c r="D834" s="356" t="s">
        <v>876</v>
      </c>
      <c r="E834" s="356"/>
      <c r="F834" s="356"/>
      <c r="G834" s="356"/>
      <c r="I834" s="48">
        <v>0</v>
      </c>
      <c r="K834" s="48">
        <v>0</v>
      </c>
      <c r="M834" s="279">
        <f t="shared" si="56"/>
        <v>0</v>
      </c>
      <c r="O834" s="279">
        <f t="shared" si="57"/>
        <v>0</v>
      </c>
      <c r="Q834" s="279">
        <f t="shared" si="58"/>
        <v>0</v>
      </c>
      <c r="S834" s="279">
        <f t="shared" si="59"/>
        <v>0</v>
      </c>
      <c r="U834" s="385"/>
      <c r="V834" s="385"/>
      <c r="W834" s="385"/>
      <c r="X834" s="385"/>
    </row>
    <row r="835" spans="4:24" s="277" customFormat="1" x14ac:dyDescent="0.3">
      <c r="D835" s="356" t="s">
        <v>877</v>
      </c>
      <c r="E835" s="356"/>
      <c r="F835" s="356"/>
      <c r="G835" s="356"/>
      <c r="I835" s="48">
        <v>0</v>
      </c>
      <c r="K835" s="48">
        <v>0</v>
      </c>
      <c r="M835" s="279">
        <f t="shared" si="56"/>
        <v>0</v>
      </c>
      <c r="O835" s="279">
        <f t="shared" si="57"/>
        <v>0</v>
      </c>
      <c r="Q835" s="279">
        <f t="shared" si="58"/>
        <v>0</v>
      </c>
      <c r="S835" s="279">
        <f t="shared" si="59"/>
        <v>0</v>
      </c>
      <c r="U835" s="385"/>
      <c r="V835" s="385"/>
      <c r="W835" s="385"/>
      <c r="X835" s="385"/>
    </row>
    <row r="836" spans="4:24" s="277" customFormat="1" x14ac:dyDescent="0.3">
      <c r="D836" s="356" t="s">
        <v>878</v>
      </c>
      <c r="E836" s="356"/>
      <c r="F836" s="356"/>
      <c r="G836" s="356"/>
      <c r="I836" s="48">
        <v>0</v>
      </c>
      <c r="K836" s="48">
        <v>0</v>
      </c>
      <c r="M836" s="279">
        <f t="shared" si="56"/>
        <v>0</v>
      </c>
      <c r="O836" s="279">
        <f t="shared" si="57"/>
        <v>0</v>
      </c>
      <c r="Q836" s="279">
        <f t="shared" si="58"/>
        <v>0</v>
      </c>
      <c r="S836" s="279">
        <f t="shared" si="59"/>
        <v>0</v>
      </c>
      <c r="U836" s="385"/>
      <c r="V836" s="385"/>
      <c r="W836" s="385"/>
      <c r="X836" s="385"/>
    </row>
    <row r="837" spans="4:24" s="277" customFormat="1" x14ac:dyDescent="0.3">
      <c r="D837" s="356" t="s">
        <v>879</v>
      </c>
      <c r="E837" s="356"/>
      <c r="F837" s="356"/>
      <c r="G837" s="356"/>
      <c r="I837" s="48">
        <v>0</v>
      </c>
      <c r="K837" s="48">
        <v>0</v>
      </c>
      <c r="M837" s="279">
        <f t="shared" si="56"/>
        <v>0</v>
      </c>
      <c r="O837" s="279">
        <f t="shared" si="57"/>
        <v>0</v>
      </c>
      <c r="Q837" s="279">
        <f t="shared" si="58"/>
        <v>0</v>
      </c>
      <c r="S837" s="279">
        <f t="shared" si="59"/>
        <v>0</v>
      </c>
      <c r="U837" s="385"/>
      <c r="V837" s="385"/>
      <c r="W837" s="385"/>
      <c r="X837" s="385"/>
    </row>
    <row r="838" spans="4:24" s="277" customFormat="1" x14ac:dyDescent="0.3">
      <c r="D838" s="356" t="s">
        <v>880</v>
      </c>
      <c r="E838" s="356"/>
      <c r="F838" s="356"/>
      <c r="G838" s="356"/>
      <c r="I838" s="48">
        <v>0</v>
      </c>
      <c r="K838" s="48">
        <v>0</v>
      </c>
      <c r="M838" s="279">
        <f t="shared" si="56"/>
        <v>0</v>
      </c>
      <c r="O838" s="279">
        <f t="shared" si="57"/>
        <v>0</v>
      </c>
      <c r="Q838" s="279">
        <f t="shared" si="58"/>
        <v>0</v>
      </c>
      <c r="S838" s="279">
        <f t="shared" si="59"/>
        <v>0</v>
      </c>
      <c r="U838" s="385"/>
      <c r="V838" s="385"/>
      <c r="W838" s="385"/>
      <c r="X838" s="385"/>
    </row>
    <row r="839" spans="4:24" s="277" customFormat="1" x14ac:dyDescent="0.3">
      <c r="D839" s="356" t="s">
        <v>881</v>
      </c>
      <c r="E839" s="356"/>
      <c r="F839" s="356"/>
      <c r="G839" s="356"/>
      <c r="I839" s="48">
        <v>0</v>
      </c>
      <c r="K839" s="48">
        <v>0</v>
      </c>
      <c r="M839" s="279">
        <f t="shared" si="56"/>
        <v>0</v>
      </c>
      <c r="O839" s="279">
        <f t="shared" si="57"/>
        <v>0</v>
      </c>
      <c r="Q839" s="279">
        <f t="shared" si="58"/>
        <v>0</v>
      </c>
      <c r="S839" s="279">
        <f t="shared" si="59"/>
        <v>0</v>
      </c>
      <c r="U839" s="385"/>
      <c r="V839" s="385"/>
      <c r="W839" s="385"/>
      <c r="X839" s="385"/>
    </row>
    <row r="840" spans="4:24" s="277" customFormat="1" x14ac:dyDescent="0.3">
      <c r="D840" s="356" t="s">
        <v>882</v>
      </c>
      <c r="E840" s="356"/>
      <c r="F840" s="356"/>
      <c r="G840" s="356"/>
      <c r="I840" s="48">
        <v>0</v>
      </c>
      <c r="K840" s="48">
        <v>0</v>
      </c>
      <c r="M840" s="279">
        <f t="shared" si="56"/>
        <v>0</v>
      </c>
      <c r="O840" s="279">
        <f t="shared" si="57"/>
        <v>0</v>
      </c>
      <c r="Q840" s="279">
        <f t="shared" si="58"/>
        <v>0</v>
      </c>
      <c r="S840" s="279">
        <f t="shared" si="59"/>
        <v>0</v>
      </c>
      <c r="U840" s="385"/>
      <c r="V840" s="385"/>
      <c r="W840" s="385"/>
      <c r="X840" s="385"/>
    </row>
    <row r="841" spans="4:24" s="277" customFormat="1" x14ac:dyDescent="0.3">
      <c r="D841" s="356" t="s">
        <v>883</v>
      </c>
      <c r="E841" s="356"/>
      <c r="F841" s="356"/>
      <c r="G841" s="356"/>
      <c r="I841" s="48">
        <v>0</v>
      </c>
      <c r="K841" s="48">
        <v>0</v>
      </c>
      <c r="M841" s="279">
        <f t="shared" si="56"/>
        <v>0</v>
      </c>
      <c r="O841" s="279">
        <f t="shared" si="57"/>
        <v>0</v>
      </c>
      <c r="Q841" s="279">
        <f t="shared" si="58"/>
        <v>0</v>
      </c>
      <c r="S841" s="279">
        <f t="shared" si="59"/>
        <v>0</v>
      </c>
      <c r="U841" s="385"/>
      <c r="V841" s="385"/>
      <c r="W841" s="385"/>
      <c r="X841" s="385"/>
    </row>
    <row r="842" spans="4:24" s="277" customFormat="1" x14ac:dyDescent="0.3">
      <c r="D842" s="356" t="s">
        <v>884</v>
      </c>
      <c r="E842" s="356"/>
      <c r="F842" s="356"/>
      <c r="G842" s="356"/>
      <c r="I842" s="48">
        <v>0</v>
      </c>
      <c r="K842" s="48">
        <v>0</v>
      </c>
      <c r="M842" s="279">
        <f t="shared" si="56"/>
        <v>0</v>
      </c>
      <c r="O842" s="279">
        <f t="shared" si="57"/>
        <v>0</v>
      </c>
      <c r="Q842" s="279">
        <f t="shared" si="58"/>
        <v>0</v>
      </c>
      <c r="S842" s="279">
        <f t="shared" si="59"/>
        <v>0</v>
      </c>
      <c r="U842" s="385"/>
      <c r="V842" s="385"/>
      <c r="W842" s="385"/>
      <c r="X842" s="385"/>
    </row>
    <row r="843" spans="4:24" s="277" customFormat="1" x14ac:dyDescent="0.3">
      <c r="D843" s="356" t="s">
        <v>885</v>
      </c>
      <c r="E843" s="356"/>
      <c r="F843" s="356"/>
      <c r="G843" s="356"/>
      <c r="I843" s="48">
        <v>0</v>
      </c>
      <c r="K843" s="48">
        <v>0</v>
      </c>
      <c r="M843" s="279">
        <f t="shared" si="56"/>
        <v>0</v>
      </c>
      <c r="O843" s="279">
        <f t="shared" si="57"/>
        <v>0</v>
      </c>
      <c r="Q843" s="279">
        <f t="shared" si="58"/>
        <v>0</v>
      </c>
      <c r="S843" s="279">
        <f t="shared" si="59"/>
        <v>0</v>
      </c>
      <c r="U843" s="385"/>
      <c r="V843" s="385"/>
      <c r="W843" s="385"/>
      <c r="X843" s="385"/>
    </row>
    <row r="844" spans="4:24" s="277" customFormat="1" x14ac:dyDescent="0.3">
      <c r="D844" s="356" t="s">
        <v>886</v>
      </c>
      <c r="E844" s="356"/>
      <c r="F844" s="356"/>
      <c r="G844" s="356"/>
      <c r="I844" s="48">
        <v>0</v>
      </c>
      <c r="K844" s="48">
        <v>0</v>
      </c>
      <c r="M844" s="279">
        <f t="shared" si="56"/>
        <v>0</v>
      </c>
      <c r="O844" s="279">
        <f t="shared" si="57"/>
        <v>0</v>
      </c>
      <c r="Q844" s="279">
        <f t="shared" si="58"/>
        <v>0</v>
      </c>
      <c r="S844" s="279">
        <f t="shared" si="59"/>
        <v>0</v>
      </c>
      <c r="U844" s="385"/>
      <c r="V844" s="385"/>
      <c r="W844" s="385"/>
      <c r="X844" s="385"/>
    </row>
    <row r="845" spans="4:24" s="277" customFormat="1" x14ac:dyDescent="0.3">
      <c r="D845" s="356" t="s">
        <v>887</v>
      </c>
      <c r="E845" s="356"/>
      <c r="F845" s="356"/>
      <c r="G845" s="356"/>
      <c r="I845" s="48">
        <v>0</v>
      </c>
      <c r="K845" s="48">
        <v>0</v>
      </c>
      <c r="M845" s="279">
        <f t="shared" si="56"/>
        <v>0</v>
      </c>
      <c r="O845" s="279">
        <f t="shared" si="57"/>
        <v>0</v>
      </c>
      <c r="Q845" s="279">
        <f t="shared" si="58"/>
        <v>0</v>
      </c>
      <c r="S845" s="279">
        <f t="shared" si="59"/>
        <v>0</v>
      </c>
      <c r="U845" s="385"/>
      <c r="V845" s="385"/>
      <c r="W845" s="385"/>
      <c r="X845" s="385"/>
    </row>
    <row r="846" spans="4:24" s="277" customFormat="1" x14ac:dyDescent="0.3">
      <c r="D846" s="356" t="s">
        <v>888</v>
      </c>
      <c r="E846" s="356"/>
      <c r="F846" s="356"/>
      <c r="G846" s="356"/>
      <c r="I846" s="48">
        <v>0</v>
      </c>
      <c r="K846" s="48">
        <v>0</v>
      </c>
      <c r="M846" s="279">
        <f t="shared" si="56"/>
        <v>0</v>
      </c>
      <c r="O846" s="279">
        <f t="shared" si="57"/>
        <v>0</v>
      </c>
      <c r="Q846" s="279">
        <f t="shared" si="58"/>
        <v>0</v>
      </c>
      <c r="S846" s="279">
        <f t="shared" si="59"/>
        <v>0</v>
      </c>
      <c r="U846" s="385"/>
      <c r="V846" s="385"/>
      <c r="W846" s="385"/>
      <c r="X846" s="385"/>
    </row>
    <row r="847" spans="4:24" s="277" customFormat="1" x14ac:dyDescent="0.3">
      <c r="D847" s="356" t="s">
        <v>889</v>
      </c>
      <c r="E847" s="356"/>
      <c r="F847" s="356"/>
      <c r="G847" s="356"/>
      <c r="I847" s="48">
        <v>0</v>
      </c>
      <c r="K847" s="48">
        <v>0</v>
      </c>
      <c r="M847" s="279">
        <f t="shared" si="56"/>
        <v>0</v>
      </c>
      <c r="O847" s="279">
        <f t="shared" si="57"/>
        <v>0</v>
      </c>
      <c r="Q847" s="279">
        <f t="shared" si="58"/>
        <v>0</v>
      </c>
      <c r="S847" s="279">
        <f t="shared" si="59"/>
        <v>0</v>
      </c>
      <c r="U847" s="385"/>
      <c r="V847" s="385"/>
      <c r="W847" s="385"/>
      <c r="X847" s="385"/>
    </row>
    <row r="848" spans="4:24" s="277" customFormat="1" x14ac:dyDescent="0.3">
      <c r="D848" s="356" t="s">
        <v>890</v>
      </c>
      <c r="E848" s="356"/>
      <c r="F848" s="356"/>
      <c r="G848" s="356"/>
      <c r="I848" s="48">
        <v>0</v>
      </c>
      <c r="K848" s="48">
        <v>0</v>
      </c>
      <c r="M848" s="279">
        <f t="shared" si="56"/>
        <v>0</v>
      </c>
      <c r="O848" s="279">
        <f t="shared" si="57"/>
        <v>0</v>
      </c>
      <c r="Q848" s="279">
        <f t="shared" si="58"/>
        <v>0</v>
      </c>
      <c r="S848" s="279">
        <f t="shared" si="59"/>
        <v>0</v>
      </c>
      <c r="U848" s="385"/>
      <c r="V848" s="385"/>
      <c r="W848" s="385"/>
      <c r="X848" s="385"/>
    </row>
    <row r="849" spans="2:24" s="277" customFormat="1" x14ac:dyDescent="0.3">
      <c r="D849" s="356" t="s">
        <v>986</v>
      </c>
      <c r="E849" s="356"/>
      <c r="F849" s="356"/>
      <c r="G849" s="356"/>
      <c r="I849" s="48">
        <v>0</v>
      </c>
      <c r="K849" s="48">
        <v>0</v>
      </c>
      <c r="M849" s="279">
        <f t="shared" si="56"/>
        <v>0</v>
      </c>
      <c r="O849" s="279">
        <f t="shared" si="57"/>
        <v>0</v>
      </c>
      <c r="Q849" s="279">
        <f t="shared" si="58"/>
        <v>0</v>
      </c>
      <c r="S849" s="279">
        <f t="shared" si="59"/>
        <v>0</v>
      </c>
      <c r="U849" s="385"/>
      <c r="V849" s="385"/>
      <c r="W849" s="385"/>
      <c r="X849" s="385"/>
    </row>
    <row r="850" spans="2:24" s="277" customFormat="1" x14ac:dyDescent="0.3">
      <c r="D850" s="356" t="s">
        <v>987</v>
      </c>
      <c r="E850" s="356"/>
      <c r="F850" s="356"/>
      <c r="G850" s="356"/>
      <c r="I850" s="48">
        <v>0</v>
      </c>
      <c r="K850" s="48">
        <v>0</v>
      </c>
      <c r="M850" s="279">
        <f t="shared" si="56"/>
        <v>0</v>
      </c>
      <c r="O850" s="279">
        <f t="shared" si="57"/>
        <v>0</v>
      </c>
      <c r="Q850" s="279">
        <f t="shared" si="58"/>
        <v>0</v>
      </c>
      <c r="S850" s="279">
        <f t="shared" si="59"/>
        <v>0</v>
      </c>
      <c r="U850" s="385"/>
      <c r="V850" s="385"/>
      <c r="W850" s="385"/>
      <c r="X850" s="385"/>
    </row>
    <row r="851" spans="2:24" s="277" customFormat="1" x14ac:dyDescent="0.3">
      <c r="D851" s="356" t="s">
        <v>988</v>
      </c>
      <c r="E851" s="356"/>
      <c r="F851" s="356"/>
      <c r="G851" s="356"/>
      <c r="I851" s="48">
        <v>0</v>
      </c>
      <c r="K851" s="48">
        <v>0</v>
      </c>
      <c r="M851" s="279">
        <f t="shared" si="56"/>
        <v>0</v>
      </c>
      <c r="O851" s="279">
        <f t="shared" si="57"/>
        <v>0</v>
      </c>
      <c r="Q851" s="279">
        <f t="shared" si="58"/>
        <v>0</v>
      </c>
      <c r="S851" s="279">
        <f t="shared" si="59"/>
        <v>0</v>
      </c>
      <c r="U851" s="385"/>
      <c r="V851" s="385"/>
      <c r="W851" s="385"/>
      <c r="X851" s="385"/>
    </row>
    <row r="852" spans="2:24" s="277" customFormat="1" x14ac:dyDescent="0.3">
      <c r="D852" s="356" t="s">
        <v>989</v>
      </c>
      <c r="E852" s="356"/>
      <c r="F852" s="356"/>
      <c r="G852" s="356"/>
      <c r="I852" s="48">
        <v>0</v>
      </c>
      <c r="K852" s="48">
        <v>0</v>
      </c>
      <c r="M852" s="279">
        <f t="shared" si="56"/>
        <v>0</v>
      </c>
      <c r="O852" s="279">
        <f t="shared" si="57"/>
        <v>0</v>
      </c>
      <c r="Q852" s="279">
        <f t="shared" si="58"/>
        <v>0</v>
      </c>
      <c r="S852" s="279">
        <f t="shared" si="59"/>
        <v>0</v>
      </c>
      <c r="U852" s="385"/>
      <c r="V852" s="385"/>
      <c r="W852" s="385"/>
      <c r="X852" s="385"/>
    </row>
    <row r="853" spans="2:24" s="277" customFormat="1" x14ac:dyDescent="0.3">
      <c r="D853" s="356" t="s">
        <v>990</v>
      </c>
      <c r="E853" s="356"/>
      <c r="F853" s="356"/>
      <c r="G853" s="356"/>
      <c r="I853" s="48">
        <v>0</v>
      </c>
      <c r="K853" s="48">
        <v>0</v>
      </c>
      <c r="M853" s="279">
        <f t="shared" si="56"/>
        <v>0</v>
      </c>
      <c r="O853" s="279">
        <f t="shared" si="57"/>
        <v>0</v>
      </c>
      <c r="Q853" s="279">
        <f t="shared" si="58"/>
        <v>0</v>
      </c>
      <c r="S853" s="279">
        <f t="shared" si="59"/>
        <v>0</v>
      </c>
      <c r="U853" s="385"/>
      <c r="V853" s="385"/>
      <c r="W853" s="385"/>
      <c r="X853" s="385"/>
    </row>
    <row r="854" spans="2:24" ht="14.4" x14ac:dyDescent="0.3">
      <c r="D854" s="420" t="s">
        <v>90</v>
      </c>
      <c r="E854" s="421"/>
      <c r="F854" s="421"/>
      <c r="G854" s="421"/>
      <c r="I854" s="40"/>
      <c r="K854" s="40">
        <f>SUM(K829:K853)</f>
        <v>0</v>
      </c>
      <c r="M854" s="40"/>
      <c r="O854" s="40"/>
      <c r="Q854" s="294">
        <f>SUM(Q829:Q853)</f>
        <v>0</v>
      </c>
      <c r="S854" s="294">
        <f>SUM(S829:S853)</f>
        <v>0</v>
      </c>
    </row>
    <row r="856" spans="2:24" ht="27.6" x14ac:dyDescent="0.3">
      <c r="Q856" s="44" t="str">
        <f>"FINANCIAL COST ("&amp;INDEX(LU_ACT_16_Meet_Curr,DD_ACT_16_Meet1_Curr)&amp;")"</f>
        <v>FINANCIAL COST (GOZ)</v>
      </c>
      <c r="S856" s="44" t="str">
        <f>"ECONOMIC COST ("&amp;INDEX(LU_ACT_16_Meet_Curr,DD_ACT_16_Meet1_Curr)&amp;")"</f>
        <v>ECONOMIC COST (GOZ)</v>
      </c>
      <c r="U856" s="44" t="str">
        <f>"FINANCIAL COST ("&amp;IF(DD_ACT_16_Meet1_Curr=2,$D$861,$D$862)&amp;")"</f>
        <v>FINANCIAL COST (USD)</v>
      </c>
      <c r="W856" s="44" t="str">
        <f>"ECONOMIC COST ("&amp;IF(DD_ACT_16_Meet1_Curr=2,$D$861,$D$862)&amp;")"</f>
        <v>ECONOMIC COST (USD)</v>
      </c>
    </row>
    <row r="857" spans="2:24" ht="18.600000000000001" thickBot="1" x14ac:dyDescent="0.35">
      <c r="B857" s="99" t="s">
        <v>91</v>
      </c>
      <c r="Q857" s="46">
        <f>SUM(Q735,Q764,Q795,Q824,Q854)</f>
        <v>0</v>
      </c>
      <c r="S857" s="46">
        <f>SUM(S735,S764,S795,S824,S854)</f>
        <v>0</v>
      </c>
      <c r="U857" s="325">
        <f>IFERROR(IF(DD_ACT_16_Meet1_Curr=2,$Q857/$I$862,$Q857*$I$862), 0)</f>
        <v>0</v>
      </c>
      <c r="W857" s="325">
        <f>IFERROR(IF(DD_ACT_16_Meet1_Curr=2,$S857/$I$862,$S857*$I$862), 0)</f>
        <v>0</v>
      </c>
    </row>
    <row r="858" spans="2:24" ht="14.4" thickTop="1" x14ac:dyDescent="0.3"/>
    <row r="859" spans="2:24" x14ac:dyDescent="0.3">
      <c r="C859" s="91" t="s">
        <v>584</v>
      </c>
    </row>
    <row r="860" spans="2:24" hidden="1" outlineLevel="1" x14ac:dyDescent="0.3"/>
    <row r="861" spans="2:24" ht="12.9" hidden="1" customHeight="1" outlineLevel="1" x14ac:dyDescent="0.3">
      <c r="D861" s="422" t="str">
        <f>CURR_TA!D13</f>
        <v>USD</v>
      </c>
      <c r="E861" s="423"/>
      <c r="F861" s="423"/>
      <c r="G861" s="423"/>
      <c r="I861" s="279">
        <f>CURR_TA!J13</f>
        <v>1</v>
      </c>
      <c r="J861" s="279">
        <f>CURR_TA!K13</f>
        <v>0</v>
      </c>
      <c r="K861" s="279">
        <f>CURR_TA!L13</f>
        <v>0</v>
      </c>
      <c r="L861" s="279">
        <f>CURR_TA!M13</f>
        <v>0</v>
      </c>
    </row>
    <row r="862" spans="2:24" ht="12.9" hidden="1" customHeight="1" outlineLevel="1" x14ac:dyDescent="0.3">
      <c r="D862" s="422" t="str">
        <f>CURR_TA!D14</f>
        <v>GOZ</v>
      </c>
      <c r="E862" s="423"/>
      <c r="F862" s="423"/>
      <c r="G862" s="423"/>
      <c r="I862" s="279">
        <f>CURR_TA!J14</f>
        <v>0</v>
      </c>
      <c r="J862" s="279">
        <f>CURR_TA!K14</f>
        <v>0</v>
      </c>
      <c r="K862" s="279">
        <f>CURR_TA!L14</f>
        <v>0</v>
      </c>
      <c r="L862" s="279">
        <f>CURR_TA!M14</f>
        <v>0</v>
      </c>
    </row>
    <row r="863" spans="2:24" collapsed="1" x14ac:dyDescent="0.3"/>
    <row r="865" spans="3:19" x14ac:dyDescent="0.3">
      <c r="C865" s="91" t="s">
        <v>590</v>
      </c>
    </row>
    <row r="866" spans="3:19" hidden="1" outlineLevel="1" x14ac:dyDescent="0.3">
      <c r="M866" s="40" t="str">
        <f>$D$861</f>
        <v>USD</v>
      </c>
      <c r="O866" s="40" t="str">
        <f>$D$861</f>
        <v>USD</v>
      </c>
      <c r="Q866" s="40" t="str">
        <f>$D$862</f>
        <v>GOZ</v>
      </c>
      <c r="S866" s="40" t="str">
        <f>$D$862</f>
        <v>GOZ</v>
      </c>
    </row>
    <row r="867" spans="3:19" hidden="1" outlineLevel="1" x14ac:dyDescent="0.3">
      <c r="C867" s="89" t="str">
        <f>RES_BA!D14</f>
        <v>Personnel Cadre - Other 1</v>
      </c>
      <c r="M867" s="40">
        <f>RES_BA!R14</f>
        <v>0</v>
      </c>
      <c r="O867" s="40">
        <f>RES_BA!S14</f>
        <v>0</v>
      </c>
      <c r="Q867" s="40">
        <f>RES_BA!T14</f>
        <v>0</v>
      </c>
      <c r="S867" s="40">
        <f>RES_BA!U14</f>
        <v>0</v>
      </c>
    </row>
    <row r="868" spans="3:19" hidden="1" outlineLevel="1" x14ac:dyDescent="0.3">
      <c r="C868" s="89" t="str">
        <f>RES_BA!D15</f>
        <v>Personnel Cadre - Other 2</v>
      </c>
      <c r="M868" s="40">
        <f>RES_BA!R15</f>
        <v>0</v>
      </c>
      <c r="O868" s="40">
        <f>RES_BA!S15</f>
        <v>0</v>
      </c>
      <c r="Q868" s="40">
        <f>RES_BA!T15</f>
        <v>0</v>
      </c>
      <c r="S868" s="40">
        <f>RES_BA!U15</f>
        <v>0</v>
      </c>
    </row>
    <row r="869" spans="3:19" hidden="1" outlineLevel="1" x14ac:dyDescent="0.3">
      <c r="C869" s="89" t="str">
        <f>RES_BA!D16</f>
        <v>Personnel Cadre - Other 3</v>
      </c>
      <c r="M869" s="40">
        <f>RES_BA!R16</f>
        <v>0</v>
      </c>
      <c r="O869" s="40">
        <f>RES_BA!S16</f>
        <v>0</v>
      </c>
      <c r="Q869" s="40">
        <f>RES_BA!T16</f>
        <v>0</v>
      </c>
      <c r="S869" s="40">
        <f>RES_BA!U16</f>
        <v>0</v>
      </c>
    </row>
    <row r="870" spans="3:19" hidden="1" outlineLevel="1" x14ac:dyDescent="0.3">
      <c r="C870" s="89" t="str">
        <f>RES_BA!D17</f>
        <v>Personnel Cadre - Other 4</v>
      </c>
      <c r="M870" s="40">
        <f>RES_BA!R17</f>
        <v>0</v>
      </c>
      <c r="O870" s="40">
        <f>RES_BA!S17</f>
        <v>0</v>
      </c>
      <c r="Q870" s="40">
        <f>RES_BA!T17</f>
        <v>0</v>
      </c>
      <c r="S870" s="40">
        <f>RES_BA!U17</f>
        <v>0</v>
      </c>
    </row>
    <row r="871" spans="3:19" hidden="1" outlineLevel="1" x14ac:dyDescent="0.3">
      <c r="C871" s="89" t="str">
        <f>RES_BA!D18</f>
        <v>Personnel Cadre - Other 5</v>
      </c>
      <c r="M871" s="40">
        <f>RES_BA!R18</f>
        <v>0</v>
      </c>
      <c r="O871" s="40">
        <f>RES_BA!S18</f>
        <v>0</v>
      </c>
      <c r="Q871" s="40">
        <f>RES_BA!T18</f>
        <v>0</v>
      </c>
      <c r="S871" s="40">
        <f>RES_BA!U18</f>
        <v>0</v>
      </c>
    </row>
    <row r="872" spans="3:19" hidden="1" outlineLevel="1" x14ac:dyDescent="0.3">
      <c r="C872" s="89" t="str">
        <f>RES_BA!D19</f>
        <v>Personnel Cadre - Other 6</v>
      </c>
      <c r="M872" s="40">
        <f>RES_BA!R19</f>
        <v>0</v>
      </c>
      <c r="O872" s="40">
        <f>RES_BA!S19</f>
        <v>0</v>
      </c>
      <c r="Q872" s="40">
        <f>RES_BA!T19</f>
        <v>0</v>
      </c>
      <c r="S872" s="40">
        <f>RES_BA!U19</f>
        <v>0</v>
      </c>
    </row>
    <row r="873" spans="3:19" hidden="1" outlineLevel="1" x14ac:dyDescent="0.3">
      <c r="C873" s="89" t="str">
        <f>RES_BA!D20</f>
        <v>Personnel Cadre - Other 7</v>
      </c>
      <c r="M873" s="40">
        <f>RES_BA!R20</f>
        <v>0</v>
      </c>
      <c r="O873" s="40">
        <f>RES_BA!S20</f>
        <v>0</v>
      </c>
      <c r="Q873" s="40">
        <f>RES_BA!T20</f>
        <v>0</v>
      </c>
      <c r="S873" s="40">
        <f>RES_BA!U20</f>
        <v>0</v>
      </c>
    </row>
    <row r="874" spans="3:19" hidden="1" outlineLevel="1" x14ac:dyDescent="0.3">
      <c r="C874" s="89" t="str">
        <f>RES_BA!D21</f>
        <v>Personnel Cadre - Other 8</v>
      </c>
      <c r="M874" s="40">
        <f>RES_BA!R21</f>
        <v>0</v>
      </c>
      <c r="O874" s="40">
        <f>RES_BA!S21</f>
        <v>0</v>
      </c>
      <c r="Q874" s="40">
        <f>RES_BA!T21</f>
        <v>0</v>
      </c>
      <c r="S874" s="40">
        <f>RES_BA!U21</f>
        <v>0</v>
      </c>
    </row>
    <row r="875" spans="3:19" hidden="1" outlineLevel="1" x14ac:dyDescent="0.3">
      <c r="C875" s="89" t="str">
        <f>RES_BA!D22</f>
        <v>Personnel Cadre - Other 9</v>
      </c>
      <c r="M875" s="40">
        <f>RES_BA!R22</f>
        <v>0</v>
      </c>
      <c r="O875" s="40">
        <f>RES_BA!S22</f>
        <v>0</v>
      </c>
      <c r="Q875" s="40">
        <f>RES_BA!T22</f>
        <v>0</v>
      </c>
      <c r="S875" s="40">
        <f>RES_BA!U22</f>
        <v>0</v>
      </c>
    </row>
    <row r="876" spans="3:19" hidden="1" outlineLevel="1" x14ac:dyDescent="0.3">
      <c r="C876" s="89" t="str">
        <f>RES_BA!D23</f>
        <v>Personnel Cadre - Other 10</v>
      </c>
      <c r="M876" s="40">
        <f>RES_BA!R23</f>
        <v>0</v>
      </c>
      <c r="O876" s="40">
        <f>RES_BA!S23</f>
        <v>0</v>
      </c>
      <c r="Q876" s="40">
        <f>RES_BA!T23</f>
        <v>0</v>
      </c>
      <c r="S876" s="40">
        <f>RES_BA!U23</f>
        <v>0</v>
      </c>
    </row>
    <row r="877" spans="3:19" hidden="1" outlineLevel="1" x14ac:dyDescent="0.3">
      <c r="C877" s="89" t="str">
        <f>RES_BA!D24</f>
        <v>Personnel Cadre - Other 11</v>
      </c>
      <c r="M877" s="40">
        <f>RES_BA!R24</f>
        <v>0</v>
      </c>
      <c r="O877" s="40">
        <f>RES_BA!S24</f>
        <v>0</v>
      </c>
      <c r="Q877" s="40">
        <f>RES_BA!T24</f>
        <v>0</v>
      </c>
      <c r="S877" s="40">
        <f>RES_BA!U24</f>
        <v>0</v>
      </c>
    </row>
    <row r="878" spans="3:19" hidden="1" outlineLevel="1" x14ac:dyDescent="0.3">
      <c r="C878" s="89" t="str">
        <f>RES_BA!D25</f>
        <v>Personnel Cadre - Other 12</v>
      </c>
      <c r="M878" s="40">
        <f>RES_BA!R25</f>
        <v>0</v>
      </c>
      <c r="O878" s="40">
        <f>RES_BA!S25</f>
        <v>0</v>
      </c>
      <c r="Q878" s="40">
        <f>RES_BA!T25</f>
        <v>0</v>
      </c>
      <c r="S878" s="40">
        <f>RES_BA!U25</f>
        <v>0</v>
      </c>
    </row>
    <row r="879" spans="3:19" hidden="1" outlineLevel="1" x14ac:dyDescent="0.3">
      <c r="C879" s="89" t="str">
        <f>RES_BA!D26</f>
        <v>Personnel Cadre - Other 13</v>
      </c>
      <c r="M879" s="40">
        <f>RES_BA!R26</f>
        <v>0</v>
      </c>
      <c r="O879" s="40">
        <f>RES_BA!S26</f>
        <v>0</v>
      </c>
      <c r="Q879" s="40">
        <f>RES_BA!T26</f>
        <v>0</v>
      </c>
      <c r="S879" s="40">
        <f>RES_BA!U26</f>
        <v>0</v>
      </c>
    </row>
    <row r="880" spans="3:19" hidden="1" outlineLevel="1" x14ac:dyDescent="0.3">
      <c r="C880" s="89" t="str">
        <f>RES_BA!D27</f>
        <v>Personnel Cadre - Other 14</v>
      </c>
      <c r="M880" s="40">
        <f>RES_BA!R27</f>
        <v>0</v>
      </c>
      <c r="O880" s="40">
        <f>RES_BA!S27</f>
        <v>0</v>
      </c>
      <c r="Q880" s="40">
        <f>RES_BA!T27</f>
        <v>0</v>
      </c>
      <c r="S880" s="40">
        <f>RES_BA!U27</f>
        <v>0</v>
      </c>
    </row>
    <row r="881" spans="3:19" hidden="1" outlineLevel="1" x14ac:dyDescent="0.3">
      <c r="C881" s="89" t="str">
        <f>RES_BA!D28</f>
        <v>Personnel Cadre - Other 15</v>
      </c>
      <c r="M881" s="40">
        <f>RES_BA!R28</f>
        <v>0</v>
      </c>
      <c r="O881" s="40">
        <f>RES_BA!S28</f>
        <v>0</v>
      </c>
      <c r="Q881" s="40">
        <f>RES_BA!T28</f>
        <v>0</v>
      </c>
      <c r="S881" s="40">
        <f>RES_BA!U28</f>
        <v>0</v>
      </c>
    </row>
    <row r="882" spans="3:19" s="277" customFormat="1" hidden="1" outlineLevel="1" collapsed="1" x14ac:dyDescent="0.3">
      <c r="C882" s="283" t="str">
        <f>RES_BA!D29</f>
        <v>Personnel Cadre - Other 16</v>
      </c>
      <c r="M882" s="279">
        <f>RES_BA!R29</f>
        <v>0</v>
      </c>
      <c r="O882" s="279">
        <f>RES_BA!S29</f>
        <v>0</v>
      </c>
      <c r="Q882" s="279">
        <f>RES_BA!T29</f>
        <v>0</v>
      </c>
      <c r="S882" s="279">
        <f>RES_BA!U29</f>
        <v>0</v>
      </c>
    </row>
    <row r="883" spans="3:19" s="277" customFormat="1" hidden="1" outlineLevel="1" collapsed="1" x14ac:dyDescent="0.3">
      <c r="C883" s="283" t="str">
        <f>RES_BA!D30</f>
        <v>Personnel Cadre - Other 17</v>
      </c>
      <c r="M883" s="279">
        <f>RES_BA!R30</f>
        <v>0</v>
      </c>
      <c r="O883" s="279">
        <f>RES_BA!S30</f>
        <v>0</v>
      </c>
      <c r="Q883" s="279">
        <f>RES_BA!T30</f>
        <v>0</v>
      </c>
      <c r="S883" s="279">
        <f>RES_BA!U30</f>
        <v>0</v>
      </c>
    </row>
    <row r="884" spans="3:19" s="277" customFormat="1" hidden="1" outlineLevel="1" collapsed="1" x14ac:dyDescent="0.3">
      <c r="C884" s="283" t="str">
        <f>RES_BA!D31</f>
        <v>Personnel Cadre - Other 18</v>
      </c>
      <c r="M884" s="279">
        <f>RES_BA!R31</f>
        <v>0</v>
      </c>
      <c r="O884" s="279">
        <f>RES_BA!S31</f>
        <v>0</v>
      </c>
      <c r="Q884" s="279">
        <f>RES_BA!T31</f>
        <v>0</v>
      </c>
      <c r="S884" s="279">
        <f>RES_BA!U31</f>
        <v>0</v>
      </c>
    </row>
    <row r="885" spans="3:19" s="277" customFormat="1" hidden="1" outlineLevel="1" x14ac:dyDescent="0.3">
      <c r="C885" s="283" t="str">
        <f>RES_BA!D32</f>
        <v>Personnel Cadre - Other 19</v>
      </c>
      <c r="M885" s="279">
        <f>RES_BA!R32</f>
        <v>0</v>
      </c>
      <c r="O885" s="279">
        <f>RES_BA!S32</f>
        <v>0</v>
      </c>
      <c r="Q885" s="279">
        <f>RES_BA!T32</f>
        <v>0</v>
      </c>
      <c r="S885" s="279">
        <f>RES_BA!U32</f>
        <v>0</v>
      </c>
    </row>
    <row r="886" spans="3:19" s="277" customFormat="1" hidden="1" outlineLevel="1" x14ac:dyDescent="0.3">
      <c r="C886" s="283" t="str">
        <f>RES_BA!D33</f>
        <v>Personnel Cadre - Other 20</v>
      </c>
      <c r="M886" s="279">
        <f>RES_BA!R33</f>
        <v>0</v>
      </c>
      <c r="O886" s="279">
        <f>RES_BA!S33</f>
        <v>0</v>
      </c>
      <c r="Q886" s="279">
        <f>RES_BA!T33</f>
        <v>0</v>
      </c>
      <c r="S886" s="279">
        <f>RES_BA!U33</f>
        <v>0</v>
      </c>
    </row>
    <row r="887" spans="3:19" s="277" customFormat="1" hidden="1" outlineLevel="1" collapsed="1" x14ac:dyDescent="0.3">
      <c r="C887" s="283" t="str">
        <f>RES_BA!D34</f>
        <v>Personnel Cadre - Other 21</v>
      </c>
      <c r="M887" s="279">
        <f>RES_BA!R34</f>
        <v>0</v>
      </c>
      <c r="O887" s="279">
        <f>RES_BA!S34</f>
        <v>0</v>
      </c>
      <c r="Q887" s="279">
        <f>RES_BA!T34</f>
        <v>0</v>
      </c>
      <c r="S887" s="279">
        <f>RES_BA!U34</f>
        <v>0</v>
      </c>
    </row>
    <row r="888" spans="3:19" s="277" customFormat="1" hidden="1" outlineLevel="1" x14ac:dyDescent="0.3">
      <c r="C888" s="283" t="str">
        <f>RES_BA!D35</f>
        <v>Personnel Cadre - Other 22</v>
      </c>
      <c r="M888" s="279">
        <f>RES_BA!R35</f>
        <v>0</v>
      </c>
      <c r="O888" s="279">
        <f>RES_BA!S35</f>
        <v>0</v>
      </c>
      <c r="Q888" s="279">
        <f>RES_BA!T35</f>
        <v>0</v>
      </c>
      <c r="S888" s="279">
        <f>RES_BA!U35</f>
        <v>0</v>
      </c>
    </row>
    <row r="889" spans="3:19" s="277" customFormat="1" hidden="1" outlineLevel="1" x14ac:dyDescent="0.3">
      <c r="C889" s="283" t="str">
        <f>RES_BA!D36</f>
        <v>Personnel Cadre - Other 23</v>
      </c>
      <c r="M889" s="279">
        <f>RES_BA!R36</f>
        <v>0</v>
      </c>
      <c r="O889" s="279">
        <f>RES_BA!S36</f>
        <v>0</v>
      </c>
      <c r="Q889" s="279">
        <f>RES_BA!T36</f>
        <v>0</v>
      </c>
      <c r="S889" s="279">
        <f>RES_BA!U36</f>
        <v>0</v>
      </c>
    </row>
    <row r="890" spans="3:19" s="277" customFormat="1" hidden="1" outlineLevel="1" x14ac:dyDescent="0.3">
      <c r="C890" s="283" t="str">
        <f>RES_BA!D37</f>
        <v>Personnel Cadre - Other 24</v>
      </c>
      <c r="M890" s="279">
        <f>RES_BA!R37</f>
        <v>0</v>
      </c>
      <c r="O890" s="279">
        <f>RES_BA!S37</f>
        <v>0</v>
      </c>
      <c r="Q890" s="279">
        <f>RES_BA!T37</f>
        <v>0</v>
      </c>
      <c r="S890" s="279">
        <f>RES_BA!U37</f>
        <v>0</v>
      </c>
    </row>
    <row r="891" spans="3:19" s="277" customFormat="1" hidden="1" outlineLevel="1" x14ac:dyDescent="0.3">
      <c r="C891" s="283" t="str">
        <f>RES_BA!D38</f>
        <v>Personnel Cadre - Other 25</v>
      </c>
      <c r="M891" s="279">
        <f>RES_BA!R38</f>
        <v>0</v>
      </c>
      <c r="O891" s="279">
        <f>RES_BA!S38</f>
        <v>0</v>
      </c>
      <c r="Q891" s="279">
        <f>RES_BA!T38</f>
        <v>0</v>
      </c>
      <c r="S891" s="279">
        <f>RES_BA!U38</f>
        <v>0</v>
      </c>
    </row>
    <row r="892" spans="3:19" s="277" customFormat="1" hidden="1" outlineLevel="1" x14ac:dyDescent="0.3">
      <c r="C892" s="283" t="str">
        <f>RES_BA!D39</f>
        <v>Personnel Cadre - Other 26</v>
      </c>
      <c r="M892" s="279">
        <f>RES_BA!R39</f>
        <v>0</v>
      </c>
      <c r="O892" s="279">
        <f>RES_BA!S39</f>
        <v>0</v>
      </c>
      <c r="Q892" s="279">
        <f>RES_BA!T39</f>
        <v>0</v>
      </c>
      <c r="S892" s="279">
        <f>RES_BA!U39</f>
        <v>0</v>
      </c>
    </row>
    <row r="893" spans="3:19" s="277" customFormat="1" hidden="1" outlineLevel="1" x14ac:dyDescent="0.3">
      <c r="C893" s="283" t="str">
        <f>RES_BA!D40</f>
        <v>Personnel Cadre - Other 27</v>
      </c>
      <c r="M893" s="279">
        <f>RES_BA!R40</f>
        <v>0</v>
      </c>
      <c r="O893" s="279">
        <f>RES_BA!S40</f>
        <v>0</v>
      </c>
      <c r="Q893" s="279">
        <f>RES_BA!T40</f>
        <v>0</v>
      </c>
      <c r="S893" s="279">
        <f>RES_BA!U40</f>
        <v>0</v>
      </c>
    </row>
    <row r="894" spans="3:19" s="277" customFormat="1" hidden="1" outlineLevel="1" x14ac:dyDescent="0.3">
      <c r="C894" s="283" t="str">
        <f>RES_BA!D41</f>
        <v>Personnel Cadre - Other 28</v>
      </c>
      <c r="M894" s="279">
        <f>RES_BA!R41</f>
        <v>0</v>
      </c>
      <c r="O894" s="279">
        <f>RES_BA!S41</f>
        <v>0</v>
      </c>
      <c r="Q894" s="279">
        <f>RES_BA!T41</f>
        <v>0</v>
      </c>
      <c r="S894" s="279">
        <f>RES_BA!U41</f>
        <v>0</v>
      </c>
    </row>
    <row r="895" spans="3:19" s="277" customFormat="1" hidden="1" outlineLevel="1" x14ac:dyDescent="0.3">
      <c r="C895" s="283" t="str">
        <f>RES_BA!D42</f>
        <v>Personnel Cadre - Other 29</v>
      </c>
      <c r="M895" s="279">
        <f>RES_BA!R42</f>
        <v>0</v>
      </c>
      <c r="O895" s="279">
        <f>RES_BA!S42</f>
        <v>0</v>
      </c>
      <c r="Q895" s="279">
        <f>RES_BA!T42</f>
        <v>0</v>
      </c>
      <c r="S895" s="279">
        <f>RES_BA!U42</f>
        <v>0</v>
      </c>
    </row>
    <row r="896" spans="3:19" s="277" customFormat="1" hidden="1" outlineLevel="1" x14ac:dyDescent="0.3">
      <c r="C896" s="283" t="str">
        <f>RES_BA!D43</f>
        <v>Personnel Cadre - Other 30</v>
      </c>
      <c r="M896" s="279">
        <f>RES_BA!R43</f>
        <v>0</v>
      </c>
      <c r="O896" s="279">
        <f>RES_BA!S43</f>
        <v>0</v>
      </c>
      <c r="Q896" s="279">
        <f>RES_BA!T43</f>
        <v>0</v>
      </c>
      <c r="S896" s="279">
        <f>RES_BA!U43</f>
        <v>0</v>
      </c>
    </row>
    <row r="897" spans="3:19" s="277" customFormat="1" hidden="1" outlineLevel="1" x14ac:dyDescent="0.3">
      <c r="C897" s="283" t="str">
        <f>RES_BA!D44</f>
        <v>Personnel Cadre - Other 31</v>
      </c>
      <c r="M897" s="279">
        <f>RES_BA!R44</f>
        <v>0</v>
      </c>
      <c r="O897" s="279">
        <f>RES_BA!S44</f>
        <v>0</v>
      </c>
      <c r="Q897" s="279">
        <f>RES_BA!T44</f>
        <v>0</v>
      </c>
      <c r="S897" s="279">
        <f>RES_BA!U44</f>
        <v>0</v>
      </c>
    </row>
    <row r="898" spans="3:19" s="277" customFormat="1" hidden="1" outlineLevel="1" x14ac:dyDescent="0.3">
      <c r="C898" s="283" t="str">
        <f>RES_BA!D45</f>
        <v>Personnel Cadre - Other 32</v>
      </c>
      <c r="M898" s="279">
        <f>RES_BA!R45</f>
        <v>0</v>
      </c>
      <c r="O898" s="279">
        <f>RES_BA!S45</f>
        <v>0</v>
      </c>
      <c r="Q898" s="279">
        <f>RES_BA!T45</f>
        <v>0</v>
      </c>
      <c r="S898" s="279">
        <f>RES_BA!U45</f>
        <v>0</v>
      </c>
    </row>
    <row r="899" spans="3:19" s="277" customFormat="1" hidden="1" outlineLevel="1" x14ac:dyDescent="0.3">
      <c r="C899" s="283" t="str">
        <f>RES_BA!D46</f>
        <v>Personnel Cadre - Other 33</v>
      </c>
      <c r="M899" s="279">
        <f>RES_BA!R46</f>
        <v>0</v>
      </c>
      <c r="O899" s="279">
        <f>RES_BA!S46</f>
        <v>0</v>
      </c>
      <c r="Q899" s="279">
        <f>RES_BA!T46</f>
        <v>0</v>
      </c>
      <c r="S899" s="279">
        <f>RES_BA!U46</f>
        <v>0</v>
      </c>
    </row>
    <row r="900" spans="3:19" s="277" customFormat="1" hidden="1" outlineLevel="1" x14ac:dyDescent="0.3">
      <c r="C900" s="283" t="str">
        <f>RES_BA!D47</f>
        <v>Personnel Cadre - Other 34</v>
      </c>
      <c r="M900" s="279">
        <f>RES_BA!R47</f>
        <v>0</v>
      </c>
      <c r="O900" s="279">
        <f>RES_BA!S47</f>
        <v>0</v>
      </c>
      <c r="Q900" s="279">
        <f>RES_BA!T47</f>
        <v>0</v>
      </c>
      <c r="S900" s="279">
        <f>RES_BA!U47</f>
        <v>0</v>
      </c>
    </row>
    <row r="901" spans="3:19" s="277" customFormat="1" hidden="1" outlineLevel="1" x14ac:dyDescent="0.3">
      <c r="C901" s="283" t="str">
        <f>RES_BA!D48</f>
        <v>Personnel Cadre - Other 35</v>
      </c>
      <c r="M901" s="279">
        <f>RES_BA!R48</f>
        <v>0</v>
      </c>
      <c r="O901" s="279">
        <f>RES_BA!S48</f>
        <v>0</v>
      </c>
      <c r="Q901" s="279">
        <f>RES_BA!T48</f>
        <v>0</v>
      </c>
      <c r="S901" s="279">
        <f>RES_BA!U48</f>
        <v>0</v>
      </c>
    </row>
    <row r="902" spans="3:19" hidden="1" outlineLevel="1" x14ac:dyDescent="0.3"/>
    <row r="903" spans="3:19" hidden="1" outlineLevel="1" x14ac:dyDescent="0.3">
      <c r="M903" s="40" t="str">
        <f>$D$861</f>
        <v>USD</v>
      </c>
      <c r="O903" s="40" t="str">
        <f>$D$861</f>
        <v>USD</v>
      </c>
      <c r="Q903" s="40" t="str">
        <f>$D$862</f>
        <v>GOZ</v>
      </c>
      <c r="S903" s="40" t="str">
        <f>$D$862</f>
        <v>GOZ</v>
      </c>
    </row>
    <row r="904" spans="3:19" hidden="1" outlineLevel="1" x14ac:dyDescent="0.3">
      <c r="C904" s="89" t="str">
        <f>RES_BA!D53</f>
        <v>Allowances Category 1</v>
      </c>
      <c r="M904" s="40">
        <f>RES_BA!R53</f>
        <v>0</v>
      </c>
      <c r="O904" s="40">
        <f>RES_BA!S53</f>
        <v>0</v>
      </c>
      <c r="Q904" s="40">
        <f>RES_BA!T53</f>
        <v>0</v>
      </c>
      <c r="S904" s="40">
        <f>RES_BA!U53</f>
        <v>0</v>
      </c>
    </row>
    <row r="905" spans="3:19" hidden="1" outlineLevel="1" x14ac:dyDescent="0.3">
      <c r="C905" s="89" t="str">
        <f>RES_BA!D54</f>
        <v>Allowances Category 2</v>
      </c>
      <c r="M905" s="40">
        <f>RES_BA!R54</f>
        <v>0</v>
      </c>
      <c r="O905" s="40">
        <f>RES_BA!S54</f>
        <v>0</v>
      </c>
      <c r="Q905" s="40">
        <f>RES_BA!T54</f>
        <v>0</v>
      </c>
      <c r="S905" s="40">
        <f>RES_BA!U54</f>
        <v>0</v>
      </c>
    </row>
    <row r="906" spans="3:19" hidden="1" outlineLevel="1" x14ac:dyDescent="0.3">
      <c r="C906" s="89" t="str">
        <f>RES_BA!D55</f>
        <v>Allowances Category 3</v>
      </c>
      <c r="M906" s="40">
        <f>RES_BA!R55</f>
        <v>0</v>
      </c>
      <c r="O906" s="40">
        <f>RES_BA!S55</f>
        <v>0</v>
      </c>
      <c r="Q906" s="40">
        <f>RES_BA!T55</f>
        <v>0</v>
      </c>
      <c r="S906" s="40">
        <f>RES_BA!U55</f>
        <v>0</v>
      </c>
    </row>
    <row r="907" spans="3:19" hidden="1" outlineLevel="1" x14ac:dyDescent="0.3">
      <c r="C907" s="89" t="str">
        <f>RES_BA!D56</f>
        <v>Allowances Category 4</v>
      </c>
      <c r="M907" s="40">
        <f>RES_BA!R56</f>
        <v>0</v>
      </c>
      <c r="O907" s="40">
        <f>RES_BA!S56</f>
        <v>0</v>
      </c>
      <c r="Q907" s="40">
        <f>RES_BA!T56</f>
        <v>0</v>
      </c>
      <c r="S907" s="40">
        <f>RES_BA!U56</f>
        <v>0</v>
      </c>
    </row>
    <row r="908" spans="3:19" hidden="1" outlineLevel="1" x14ac:dyDescent="0.3">
      <c r="C908" s="89" t="str">
        <f>RES_BA!D57</f>
        <v>Allowances Category 5</v>
      </c>
      <c r="M908" s="40">
        <f>RES_BA!R57</f>
        <v>0</v>
      </c>
      <c r="O908" s="40">
        <f>RES_BA!S57</f>
        <v>0</v>
      </c>
      <c r="Q908" s="40">
        <f>RES_BA!T57</f>
        <v>0</v>
      </c>
      <c r="S908" s="40">
        <f>RES_BA!U57</f>
        <v>0</v>
      </c>
    </row>
    <row r="909" spans="3:19" s="277" customFormat="1" hidden="1" outlineLevel="1" collapsed="1" x14ac:dyDescent="0.3">
      <c r="C909" s="283" t="str">
        <f>RES_BA!D58</f>
        <v>Allowances Category 6</v>
      </c>
      <c r="M909" s="279">
        <f>RES_BA!R58</f>
        <v>0</v>
      </c>
      <c r="O909" s="279">
        <f>RES_BA!S58</f>
        <v>0</v>
      </c>
      <c r="Q909" s="279">
        <f>RES_BA!T58</f>
        <v>0</v>
      </c>
      <c r="S909" s="279">
        <f>RES_BA!U58</f>
        <v>0</v>
      </c>
    </row>
    <row r="910" spans="3:19" s="277" customFormat="1" hidden="1" outlineLevel="1" x14ac:dyDescent="0.3">
      <c r="C910" s="283" t="str">
        <f>RES_BA!D59</f>
        <v>Allowances Category 7</v>
      </c>
      <c r="M910" s="279">
        <f>RES_BA!R59</f>
        <v>0</v>
      </c>
      <c r="O910" s="279">
        <f>RES_BA!S59</f>
        <v>0</v>
      </c>
      <c r="Q910" s="279">
        <f>RES_BA!T59</f>
        <v>0</v>
      </c>
      <c r="S910" s="279">
        <f>RES_BA!U59</f>
        <v>0</v>
      </c>
    </row>
    <row r="911" spans="3:19" s="277" customFormat="1" hidden="1" outlineLevel="1" x14ac:dyDescent="0.3">
      <c r="C911" s="283" t="str">
        <f>RES_BA!D60</f>
        <v>Allowances Category 8</v>
      </c>
      <c r="M911" s="279">
        <f>RES_BA!R60</f>
        <v>0</v>
      </c>
      <c r="O911" s="279">
        <f>RES_BA!S60</f>
        <v>0</v>
      </c>
      <c r="Q911" s="279">
        <f>RES_BA!T60</f>
        <v>0</v>
      </c>
      <c r="S911" s="279">
        <f>RES_BA!U60</f>
        <v>0</v>
      </c>
    </row>
    <row r="912" spans="3:19" s="277" customFormat="1" hidden="1" outlineLevel="1" x14ac:dyDescent="0.3">
      <c r="C912" s="283" t="str">
        <f>RES_BA!D61</f>
        <v>Allowances Category 9</v>
      </c>
      <c r="M912" s="279">
        <f>RES_BA!R61</f>
        <v>0</v>
      </c>
      <c r="O912" s="279">
        <f>RES_BA!S61</f>
        <v>0</v>
      </c>
      <c r="Q912" s="279">
        <f>RES_BA!T61</f>
        <v>0</v>
      </c>
      <c r="S912" s="279">
        <f>RES_BA!U61</f>
        <v>0</v>
      </c>
    </row>
    <row r="913" spans="3:19" s="277" customFormat="1" hidden="1" outlineLevel="1" x14ac:dyDescent="0.3">
      <c r="C913" s="283" t="str">
        <f>RES_BA!D62</f>
        <v>Allowances Category 10</v>
      </c>
      <c r="M913" s="279">
        <f>RES_BA!R62</f>
        <v>0</v>
      </c>
      <c r="O913" s="279">
        <f>RES_BA!S62</f>
        <v>0</v>
      </c>
      <c r="Q913" s="279">
        <f>RES_BA!T62</f>
        <v>0</v>
      </c>
      <c r="S913" s="279">
        <f>RES_BA!U62</f>
        <v>0</v>
      </c>
    </row>
    <row r="914" spans="3:19" s="277" customFormat="1" hidden="1" outlineLevel="1" x14ac:dyDescent="0.3">
      <c r="C914" s="283" t="str">
        <f>RES_BA!D63</f>
        <v>Allowances Category 11</v>
      </c>
      <c r="M914" s="279">
        <f>RES_BA!R63</f>
        <v>0</v>
      </c>
      <c r="O914" s="279">
        <f>RES_BA!S63</f>
        <v>0</v>
      </c>
      <c r="Q914" s="279">
        <f>RES_BA!T63</f>
        <v>0</v>
      </c>
      <c r="S914" s="279">
        <f>RES_BA!U63</f>
        <v>0</v>
      </c>
    </row>
    <row r="915" spans="3:19" s="277" customFormat="1" hidden="1" outlineLevel="1" x14ac:dyDescent="0.3">
      <c r="C915" s="283" t="str">
        <f>RES_BA!D64</f>
        <v>Allowances Category 12</v>
      </c>
      <c r="M915" s="279">
        <f>RES_BA!R64</f>
        <v>0</v>
      </c>
      <c r="O915" s="279">
        <f>RES_BA!S64</f>
        <v>0</v>
      </c>
      <c r="Q915" s="279">
        <f>RES_BA!T64</f>
        <v>0</v>
      </c>
      <c r="S915" s="279">
        <f>RES_BA!U64</f>
        <v>0</v>
      </c>
    </row>
    <row r="916" spans="3:19" s="277" customFormat="1" hidden="1" outlineLevel="1" x14ac:dyDescent="0.3">
      <c r="C916" s="283" t="str">
        <f>RES_BA!D65</f>
        <v>Allowances Category 13</v>
      </c>
      <c r="M916" s="279">
        <f>RES_BA!R65</f>
        <v>0</v>
      </c>
      <c r="O916" s="279">
        <f>RES_BA!S65</f>
        <v>0</v>
      </c>
      <c r="Q916" s="279">
        <f>RES_BA!T65</f>
        <v>0</v>
      </c>
      <c r="S916" s="279">
        <f>RES_BA!U65</f>
        <v>0</v>
      </c>
    </row>
    <row r="917" spans="3:19" s="277" customFormat="1" hidden="1" outlineLevel="1" x14ac:dyDescent="0.3">
      <c r="C917" s="283" t="str">
        <f>RES_BA!D66</f>
        <v>Allowances Category 14</v>
      </c>
      <c r="M917" s="279">
        <f>RES_BA!R66</f>
        <v>0</v>
      </c>
      <c r="O917" s="279">
        <f>RES_BA!S66</f>
        <v>0</v>
      </c>
      <c r="Q917" s="279">
        <f>RES_BA!T66</f>
        <v>0</v>
      </c>
      <c r="S917" s="279">
        <f>RES_BA!U66</f>
        <v>0</v>
      </c>
    </row>
    <row r="918" spans="3:19" s="277" customFormat="1" hidden="1" outlineLevel="1" x14ac:dyDescent="0.3">
      <c r="C918" s="283" t="str">
        <f>RES_BA!D67</f>
        <v>Allowances Category 15</v>
      </c>
      <c r="M918" s="279">
        <f>RES_BA!R67</f>
        <v>0</v>
      </c>
      <c r="O918" s="279">
        <f>RES_BA!S67</f>
        <v>0</v>
      </c>
      <c r="Q918" s="279">
        <f>RES_BA!T67</f>
        <v>0</v>
      </c>
      <c r="S918" s="279">
        <f>RES_BA!U67</f>
        <v>0</v>
      </c>
    </row>
    <row r="919" spans="3:19" s="277" customFormat="1" hidden="1" outlineLevel="1" x14ac:dyDescent="0.3">
      <c r="C919" s="283" t="str">
        <f>RES_BA!D68</f>
        <v>Allowances Category 16</v>
      </c>
      <c r="M919" s="279">
        <f>RES_BA!R68</f>
        <v>0</v>
      </c>
      <c r="O919" s="279">
        <f>RES_BA!S68</f>
        <v>0</v>
      </c>
      <c r="Q919" s="279">
        <f>RES_BA!T68</f>
        <v>0</v>
      </c>
      <c r="S919" s="279">
        <f>RES_BA!U68</f>
        <v>0</v>
      </c>
    </row>
    <row r="920" spans="3:19" hidden="1" outlineLevel="1" x14ac:dyDescent="0.3">
      <c r="C920" s="89" t="str">
        <f>RES_BA!D69</f>
        <v>Allowances Category 17</v>
      </c>
      <c r="M920" s="40">
        <f>RES_BA!R69</f>
        <v>0</v>
      </c>
      <c r="O920" s="40">
        <f>RES_BA!S69</f>
        <v>0</v>
      </c>
      <c r="Q920" s="40">
        <f>RES_BA!T69</f>
        <v>0</v>
      </c>
      <c r="S920" s="40">
        <f>RES_BA!U69</f>
        <v>0</v>
      </c>
    </row>
    <row r="921" spans="3:19" hidden="1" outlineLevel="1" x14ac:dyDescent="0.3">
      <c r="C921" s="89" t="str">
        <f>RES_BA!D70</f>
        <v>Allowances Category 18</v>
      </c>
      <c r="M921" s="40">
        <f>RES_BA!R70</f>
        <v>0</v>
      </c>
      <c r="O921" s="40">
        <f>RES_BA!S70</f>
        <v>0</v>
      </c>
      <c r="Q921" s="40">
        <f>RES_BA!T70</f>
        <v>0</v>
      </c>
      <c r="S921" s="40">
        <f>RES_BA!U70</f>
        <v>0</v>
      </c>
    </row>
    <row r="922" spans="3:19" hidden="1" outlineLevel="1" x14ac:dyDescent="0.3">
      <c r="C922" s="89" t="str">
        <f>RES_BA!D71</f>
        <v>Allowances Category 19</v>
      </c>
      <c r="M922" s="40">
        <f>RES_BA!R71</f>
        <v>0</v>
      </c>
      <c r="O922" s="40">
        <f>RES_BA!S71</f>
        <v>0</v>
      </c>
      <c r="Q922" s="40">
        <f>RES_BA!T71</f>
        <v>0</v>
      </c>
      <c r="S922" s="40">
        <f>RES_BA!U71</f>
        <v>0</v>
      </c>
    </row>
    <row r="923" spans="3:19" hidden="1" outlineLevel="1" x14ac:dyDescent="0.3">
      <c r="C923" s="89" t="str">
        <f>RES_BA!D72</f>
        <v>Allowances Category 20</v>
      </c>
      <c r="M923" s="40">
        <f>RES_BA!R72</f>
        <v>0</v>
      </c>
      <c r="O923" s="40">
        <f>RES_BA!S72</f>
        <v>0</v>
      </c>
      <c r="Q923" s="40">
        <f>RES_BA!T72</f>
        <v>0</v>
      </c>
      <c r="S923" s="40">
        <f>RES_BA!U72</f>
        <v>0</v>
      </c>
    </row>
    <row r="924" spans="3:19" hidden="1" outlineLevel="1" x14ac:dyDescent="0.3">
      <c r="C924" s="89" t="str">
        <f>RES_BA!D73</f>
        <v>Allowances Category 21</v>
      </c>
      <c r="M924" s="40">
        <f>RES_BA!R73</f>
        <v>0</v>
      </c>
      <c r="O924" s="40">
        <f>RES_BA!S73</f>
        <v>0</v>
      </c>
      <c r="Q924" s="40">
        <f>RES_BA!T73</f>
        <v>0</v>
      </c>
      <c r="S924" s="40">
        <f>RES_BA!U73</f>
        <v>0</v>
      </c>
    </row>
    <row r="925" spans="3:19" hidden="1" outlineLevel="1" x14ac:dyDescent="0.3">
      <c r="C925" s="89" t="str">
        <f>RES_BA!D74</f>
        <v>Allowances Category 22</v>
      </c>
      <c r="M925" s="40">
        <f>RES_BA!R74</f>
        <v>0</v>
      </c>
      <c r="O925" s="40">
        <f>RES_BA!S74</f>
        <v>0</v>
      </c>
      <c r="Q925" s="40">
        <f>RES_BA!T74</f>
        <v>0</v>
      </c>
      <c r="S925" s="40">
        <f>RES_BA!U74</f>
        <v>0</v>
      </c>
    </row>
    <row r="926" spans="3:19" hidden="1" outlineLevel="1" x14ac:dyDescent="0.3">
      <c r="C926" s="89" t="str">
        <f>RES_BA!D75</f>
        <v>Allowances Category 23</v>
      </c>
      <c r="M926" s="40">
        <f>RES_BA!R75</f>
        <v>0</v>
      </c>
      <c r="O926" s="40">
        <f>RES_BA!S75</f>
        <v>0</v>
      </c>
      <c r="Q926" s="40">
        <f>RES_BA!T75</f>
        <v>0</v>
      </c>
      <c r="S926" s="40">
        <f>RES_BA!U75</f>
        <v>0</v>
      </c>
    </row>
    <row r="927" spans="3:19" s="277" customFormat="1" hidden="1" outlineLevel="1" collapsed="1" x14ac:dyDescent="0.3">
      <c r="C927" s="283" t="str">
        <f>RES_BA!D76</f>
        <v>Allowances Category 24</v>
      </c>
      <c r="M927" s="279">
        <f>RES_BA!R76</f>
        <v>0</v>
      </c>
      <c r="O927" s="279">
        <f>RES_BA!S76</f>
        <v>0</v>
      </c>
      <c r="Q927" s="279">
        <f>RES_BA!T76</f>
        <v>0</v>
      </c>
      <c r="S927" s="279">
        <f>RES_BA!U76</f>
        <v>0</v>
      </c>
    </row>
    <row r="928" spans="3:19" s="277" customFormat="1" hidden="1" outlineLevel="1" x14ac:dyDescent="0.3">
      <c r="C928" s="283" t="str">
        <f>RES_BA!D77</f>
        <v>Allowances Category 25</v>
      </c>
      <c r="M928" s="279">
        <f>RES_BA!R77</f>
        <v>0</v>
      </c>
      <c r="O928" s="279">
        <f>RES_BA!S77</f>
        <v>0</v>
      </c>
      <c r="Q928" s="279">
        <f>RES_BA!T77</f>
        <v>0</v>
      </c>
      <c r="S928" s="279">
        <f>RES_BA!U77</f>
        <v>0</v>
      </c>
    </row>
    <row r="929" spans="3:19" s="277" customFormat="1" hidden="1" outlineLevel="1" x14ac:dyDescent="0.3">
      <c r="C929" s="283" t="str">
        <f>RES_BA!D78</f>
        <v>Allowances Category 26</v>
      </c>
      <c r="M929" s="279">
        <f>RES_BA!R78</f>
        <v>0</v>
      </c>
      <c r="O929" s="279">
        <f>RES_BA!S78</f>
        <v>0</v>
      </c>
      <c r="Q929" s="279">
        <f>RES_BA!T78</f>
        <v>0</v>
      </c>
      <c r="S929" s="279">
        <f>RES_BA!U78</f>
        <v>0</v>
      </c>
    </row>
    <row r="930" spans="3:19" s="277" customFormat="1" hidden="1" outlineLevel="1" x14ac:dyDescent="0.3">
      <c r="C930" s="283" t="str">
        <f>RES_BA!D79</f>
        <v>Allowances Category 27</v>
      </c>
      <c r="M930" s="279">
        <f>RES_BA!R79</f>
        <v>0</v>
      </c>
      <c r="O930" s="279">
        <f>RES_BA!S79</f>
        <v>0</v>
      </c>
      <c r="Q930" s="279">
        <f>RES_BA!T79</f>
        <v>0</v>
      </c>
      <c r="S930" s="279">
        <f>RES_BA!U79</f>
        <v>0</v>
      </c>
    </row>
    <row r="931" spans="3:19" s="277" customFormat="1" hidden="1" outlineLevel="1" x14ac:dyDescent="0.3">
      <c r="C931" s="283" t="str">
        <f>RES_BA!D80</f>
        <v>Allowances Category 28</v>
      </c>
      <c r="M931" s="279">
        <f>RES_BA!R80</f>
        <v>0</v>
      </c>
      <c r="O931" s="279">
        <f>RES_BA!S80</f>
        <v>0</v>
      </c>
      <c r="Q931" s="279">
        <f>RES_BA!T80</f>
        <v>0</v>
      </c>
      <c r="S931" s="279">
        <f>RES_BA!U80</f>
        <v>0</v>
      </c>
    </row>
    <row r="932" spans="3:19" s="277" customFormat="1" hidden="1" outlineLevel="1" x14ac:dyDescent="0.3">
      <c r="C932" s="283" t="str">
        <f>RES_BA!D81</f>
        <v>Allowances Category 29</v>
      </c>
      <c r="M932" s="279">
        <f>RES_BA!R81</f>
        <v>0</v>
      </c>
      <c r="O932" s="279">
        <f>RES_BA!S81</f>
        <v>0</v>
      </c>
      <c r="Q932" s="279">
        <f>RES_BA!T81</f>
        <v>0</v>
      </c>
      <c r="S932" s="279">
        <f>RES_BA!U81</f>
        <v>0</v>
      </c>
    </row>
    <row r="933" spans="3:19" s="277" customFormat="1" hidden="1" outlineLevel="1" x14ac:dyDescent="0.3">
      <c r="C933" s="283" t="str">
        <f>RES_BA!D82</f>
        <v>Allowances Category 30</v>
      </c>
      <c r="M933" s="279">
        <f>RES_BA!R82</f>
        <v>0</v>
      </c>
      <c r="O933" s="279">
        <f>RES_BA!S82</f>
        <v>0</v>
      </c>
      <c r="Q933" s="279">
        <f>RES_BA!T82</f>
        <v>0</v>
      </c>
      <c r="S933" s="279">
        <f>RES_BA!U82</f>
        <v>0</v>
      </c>
    </row>
    <row r="934" spans="3:19" hidden="1" outlineLevel="1" x14ac:dyDescent="0.3">
      <c r="C934" s="89" t="str">
        <f>RES_BA!D83</f>
        <v>Allowances Category 31</v>
      </c>
      <c r="M934" s="40">
        <f>RES_BA!R83</f>
        <v>0</v>
      </c>
      <c r="O934" s="40">
        <f>RES_BA!S83</f>
        <v>0</v>
      </c>
      <c r="Q934" s="40">
        <f>RES_BA!T83</f>
        <v>0</v>
      </c>
      <c r="S934" s="40">
        <f>RES_BA!U83</f>
        <v>0</v>
      </c>
    </row>
    <row r="935" spans="3:19" hidden="1" outlineLevel="1" x14ac:dyDescent="0.3">
      <c r="C935" s="89" t="str">
        <f>RES_BA!D84</f>
        <v>Allowances Category 32</v>
      </c>
      <c r="M935" s="40">
        <f>RES_BA!R84</f>
        <v>0</v>
      </c>
      <c r="O935" s="40">
        <f>RES_BA!S84</f>
        <v>0</v>
      </c>
      <c r="Q935" s="40">
        <f>RES_BA!T84</f>
        <v>0</v>
      </c>
      <c r="S935" s="40">
        <f>RES_BA!U84</f>
        <v>0</v>
      </c>
    </row>
    <row r="936" spans="3:19" hidden="1" outlineLevel="1" x14ac:dyDescent="0.3">
      <c r="C936" s="89" t="str">
        <f>RES_BA!D85</f>
        <v>Allowances Category 33</v>
      </c>
      <c r="M936" s="40">
        <f>RES_BA!R85</f>
        <v>0</v>
      </c>
      <c r="O936" s="40">
        <f>RES_BA!S85</f>
        <v>0</v>
      </c>
      <c r="Q936" s="40">
        <f>RES_BA!T85</f>
        <v>0</v>
      </c>
      <c r="S936" s="40">
        <f>RES_BA!U85</f>
        <v>0</v>
      </c>
    </row>
    <row r="937" spans="3:19" hidden="1" outlineLevel="1" x14ac:dyDescent="0.3">
      <c r="C937" s="89" t="str">
        <f>RES_BA!D86</f>
        <v>Allowances Category 34</v>
      </c>
      <c r="M937" s="40">
        <f>RES_BA!R86</f>
        <v>0</v>
      </c>
      <c r="O937" s="40">
        <f>RES_BA!S86</f>
        <v>0</v>
      </c>
      <c r="Q937" s="40">
        <f>RES_BA!T86</f>
        <v>0</v>
      </c>
      <c r="S937" s="40">
        <f>RES_BA!U86</f>
        <v>0</v>
      </c>
    </row>
    <row r="938" spans="3:19" hidden="1" outlineLevel="1" x14ac:dyDescent="0.3">
      <c r="C938" s="89" t="str">
        <f>RES_BA!D87</f>
        <v>Allowances Category 35</v>
      </c>
      <c r="M938" s="40">
        <f>RES_BA!R87</f>
        <v>0</v>
      </c>
      <c r="O938" s="40">
        <f>RES_BA!S87</f>
        <v>0</v>
      </c>
      <c r="Q938" s="40">
        <f>RES_BA!T87</f>
        <v>0</v>
      </c>
      <c r="S938" s="40">
        <f>RES_BA!U87</f>
        <v>0</v>
      </c>
    </row>
    <row r="939" spans="3:19" hidden="1" outlineLevel="1" x14ac:dyDescent="0.3"/>
    <row r="940" spans="3:19" hidden="1" outlineLevel="1" x14ac:dyDescent="0.3"/>
    <row r="941" spans="3:19" hidden="1" outlineLevel="1" x14ac:dyDescent="0.3">
      <c r="M941" s="40" t="str">
        <f>$D$861</f>
        <v>USD</v>
      </c>
      <c r="O941" s="40" t="str">
        <f>$D$861</f>
        <v>USD</v>
      </c>
      <c r="Q941" s="40" t="str">
        <f>$D$862</f>
        <v>GOZ</v>
      </c>
      <c r="S941" s="40" t="str">
        <f>$D$862</f>
        <v>GOZ</v>
      </c>
    </row>
    <row r="942" spans="3:19" hidden="1" outlineLevel="1" x14ac:dyDescent="0.3">
      <c r="C942" s="89" t="str">
        <f>RES_BA!D91</f>
        <v>Supplies Category 1</v>
      </c>
      <c r="M942" s="40">
        <f>RES_BA!R91</f>
        <v>0</v>
      </c>
      <c r="O942" s="40">
        <f>RES_BA!S91</f>
        <v>0</v>
      </c>
      <c r="Q942" s="40">
        <f>RES_BA!T91</f>
        <v>0</v>
      </c>
      <c r="S942" s="40">
        <f>RES_BA!U91</f>
        <v>0</v>
      </c>
    </row>
    <row r="943" spans="3:19" hidden="1" outlineLevel="1" x14ac:dyDescent="0.3">
      <c r="C943" s="89" t="str">
        <f>RES_BA!D92</f>
        <v>Supplies Category 2</v>
      </c>
      <c r="M943" s="40">
        <f>RES_BA!R92</f>
        <v>0</v>
      </c>
      <c r="O943" s="40">
        <f>RES_BA!S92</f>
        <v>0</v>
      </c>
      <c r="Q943" s="40">
        <f>RES_BA!T92</f>
        <v>0</v>
      </c>
      <c r="S943" s="40">
        <f>RES_BA!U92</f>
        <v>0</v>
      </c>
    </row>
    <row r="944" spans="3:19" hidden="1" outlineLevel="1" x14ac:dyDescent="0.3">
      <c r="C944" s="89" t="str">
        <f>RES_BA!D93</f>
        <v>Supplies Category 3</v>
      </c>
      <c r="M944" s="40">
        <f>RES_BA!R93</f>
        <v>0</v>
      </c>
      <c r="O944" s="40">
        <f>RES_BA!S93</f>
        <v>0</v>
      </c>
      <c r="Q944" s="40">
        <f>RES_BA!T93</f>
        <v>0</v>
      </c>
      <c r="S944" s="40">
        <f>RES_BA!U93</f>
        <v>0</v>
      </c>
    </row>
    <row r="945" spans="3:19" hidden="1" outlineLevel="1" x14ac:dyDescent="0.3">
      <c r="C945" s="89" t="str">
        <f>RES_BA!D94</f>
        <v>Supplies Category 4</v>
      </c>
      <c r="M945" s="40">
        <f>RES_BA!R94</f>
        <v>0</v>
      </c>
      <c r="O945" s="40">
        <f>RES_BA!S94</f>
        <v>0</v>
      </c>
      <c r="Q945" s="40">
        <f>RES_BA!T94</f>
        <v>0</v>
      </c>
      <c r="S945" s="40">
        <f>RES_BA!U94</f>
        <v>0</v>
      </c>
    </row>
    <row r="946" spans="3:19" hidden="1" outlineLevel="1" x14ac:dyDescent="0.3">
      <c r="C946" s="89" t="str">
        <f>RES_BA!D95</f>
        <v>Supplies Category 5</v>
      </c>
      <c r="M946" s="40">
        <f>RES_BA!R95</f>
        <v>0</v>
      </c>
      <c r="O946" s="40">
        <f>RES_BA!S95</f>
        <v>0</v>
      </c>
      <c r="Q946" s="40">
        <f>RES_BA!T95</f>
        <v>0</v>
      </c>
      <c r="S946" s="40">
        <f>RES_BA!U95</f>
        <v>0</v>
      </c>
    </row>
    <row r="947" spans="3:19" hidden="1" outlineLevel="1" x14ac:dyDescent="0.3">
      <c r="C947" s="89" t="str">
        <f>RES_BA!D96</f>
        <v>Supplies Category 6</v>
      </c>
      <c r="M947" s="40">
        <f>RES_BA!R96</f>
        <v>0</v>
      </c>
      <c r="O947" s="40">
        <f>RES_BA!S96</f>
        <v>0</v>
      </c>
      <c r="Q947" s="40">
        <f>RES_BA!T96</f>
        <v>0</v>
      </c>
      <c r="S947" s="40">
        <f>RES_BA!U96</f>
        <v>0</v>
      </c>
    </row>
    <row r="948" spans="3:19" hidden="1" outlineLevel="1" x14ac:dyDescent="0.3">
      <c r="C948" s="89" t="str">
        <f>RES_BA!D97</f>
        <v>Supplies Category 7</v>
      </c>
      <c r="M948" s="40">
        <f>RES_BA!R97</f>
        <v>0</v>
      </c>
      <c r="O948" s="40">
        <f>RES_BA!S97</f>
        <v>0</v>
      </c>
      <c r="Q948" s="40">
        <f>RES_BA!T97</f>
        <v>0</v>
      </c>
      <c r="S948" s="40">
        <f>RES_BA!U97</f>
        <v>0</v>
      </c>
    </row>
    <row r="949" spans="3:19" hidden="1" outlineLevel="1" x14ac:dyDescent="0.3">
      <c r="C949" s="89" t="str">
        <f>RES_BA!D98</f>
        <v>Supplies Category 8</v>
      </c>
      <c r="M949" s="40">
        <f>RES_BA!R98</f>
        <v>0</v>
      </c>
      <c r="O949" s="40">
        <f>RES_BA!S98</f>
        <v>0</v>
      </c>
      <c r="Q949" s="40">
        <f>RES_BA!T98</f>
        <v>0</v>
      </c>
      <c r="S949" s="40">
        <f>RES_BA!U98</f>
        <v>0</v>
      </c>
    </row>
    <row r="950" spans="3:19" hidden="1" outlineLevel="1" x14ac:dyDescent="0.3">
      <c r="C950" s="89" t="str">
        <f>RES_BA!D99</f>
        <v>Supplies Category 9</v>
      </c>
      <c r="M950" s="40">
        <f>RES_BA!R99</f>
        <v>0</v>
      </c>
      <c r="O950" s="40">
        <f>RES_BA!S99</f>
        <v>0</v>
      </c>
      <c r="Q950" s="40">
        <f>RES_BA!T99</f>
        <v>0</v>
      </c>
      <c r="S950" s="40">
        <f>RES_BA!U99</f>
        <v>0</v>
      </c>
    </row>
    <row r="951" spans="3:19" hidden="1" outlineLevel="1" x14ac:dyDescent="0.3">
      <c r="C951" s="89" t="str">
        <f>RES_BA!D100</f>
        <v>Supplies Category 10</v>
      </c>
      <c r="M951" s="40">
        <f>RES_BA!R100</f>
        <v>0</v>
      </c>
      <c r="O951" s="40">
        <f>RES_BA!S100</f>
        <v>0</v>
      </c>
      <c r="Q951" s="40">
        <f>RES_BA!T100</f>
        <v>0</v>
      </c>
      <c r="S951" s="40">
        <f>RES_BA!U100</f>
        <v>0</v>
      </c>
    </row>
    <row r="952" spans="3:19" hidden="1" outlineLevel="1" x14ac:dyDescent="0.3">
      <c r="C952" s="89" t="str">
        <f>RES_BA!D101</f>
        <v>Supplies Category 11</v>
      </c>
      <c r="M952" s="40">
        <f>RES_BA!R101</f>
        <v>0</v>
      </c>
      <c r="O952" s="40">
        <f>RES_BA!S101</f>
        <v>0</v>
      </c>
      <c r="Q952" s="40">
        <f>RES_BA!T101</f>
        <v>0</v>
      </c>
      <c r="S952" s="40">
        <f>RES_BA!U101</f>
        <v>0</v>
      </c>
    </row>
    <row r="953" spans="3:19" hidden="1" outlineLevel="1" x14ac:dyDescent="0.3">
      <c r="C953" s="89" t="str">
        <f>RES_BA!D102</f>
        <v>Supplies Category 12</v>
      </c>
      <c r="M953" s="40">
        <f>RES_BA!R102</f>
        <v>0</v>
      </c>
      <c r="O953" s="40">
        <f>RES_BA!S102</f>
        <v>0</v>
      </c>
      <c r="Q953" s="40">
        <f>RES_BA!T102</f>
        <v>0</v>
      </c>
      <c r="S953" s="40">
        <f>RES_BA!U102</f>
        <v>0</v>
      </c>
    </row>
    <row r="954" spans="3:19" hidden="1" outlineLevel="1" x14ac:dyDescent="0.3">
      <c r="C954" s="89" t="str">
        <f>RES_BA!D103</f>
        <v>Supplies Category 13</v>
      </c>
      <c r="M954" s="40">
        <f>RES_BA!R103</f>
        <v>0</v>
      </c>
      <c r="O954" s="40">
        <f>RES_BA!S103</f>
        <v>0</v>
      </c>
      <c r="Q954" s="40">
        <f>RES_BA!T103</f>
        <v>0</v>
      </c>
      <c r="S954" s="40">
        <f>RES_BA!U103</f>
        <v>0</v>
      </c>
    </row>
    <row r="955" spans="3:19" hidden="1" outlineLevel="1" x14ac:dyDescent="0.3">
      <c r="C955" s="89" t="str">
        <f>RES_BA!D104</f>
        <v>Supplies Category 14</v>
      </c>
      <c r="M955" s="40">
        <f>RES_BA!R104</f>
        <v>0</v>
      </c>
      <c r="O955" s="40">
        <f>RES_BA!S104</f>
        <v>0</v>
      </c>
      <c r="Q955" s="40">
        <f>RES_BA!T104</f>
        <v>0</v>
      </c>
      <c r="S955" s="40">
        <f>RES_BA!U104</f>
        <v>0</v>
      </c>
    </row>
    <row r="956" spans="3:19" hidden="1" outlineLevel="1" x14ac:dyDescent="0.3">
      <c r="C956" s="89" t="str">
        <f>RES_BA!D105</f>
        <v>Supplies Category 15</v>
      </c>
      <c r="M956" s="40">
        <f>RES_BA!R105</f>
        <v>0</v>
      </c>
      <c r="O956" s="40">
        <f>RES_BA!S105</f>
        <v>0</v>
      </c>
      <c r="Q956" s="40">
        <f>RES_BA!T105</f>
        <v>0</v>
      </c>
      <c r="S956" s="40">
        <f>RES_BA!U105</f>
        <v>0</v>
      </c>
    </row>
    <row r="957" spans="3:19" hidden="1" outlineLevel="1" x14ac:dyDescent="0.3">
      <c r="C957" s="89" t="str">
        <f>RES_BA!D106</f>
        <v>Supplies Category 16</v>
      </c>
      <c r="M957" s="40">
        <f>RES_BA!R106</f>
        <v>0</v>
      </c>
      <c r="O957" s="40">
        <f>RES_BA!S106</f>
        <v>0</v>
      </c>
      <c r="Q957" s="40">
        <f>RES_BA!T106</f>
        <v>0</v>
      </c>
      <c r="S957" s="40">
        <f>RES_BA!U106</f>
        <v>0</v>
      </c>
    </row>
    <row r="958" spans="3:19" s="277" customFormat="1" hidden="1" outlineLevel="1" collapsed="1" x14ac:dyDescent="0.3">
      <c r="C958" s="283" t="str">
        <f>RES_BA!D107</f>
        <v>Supplies Category 17</v>
      </c>
      <c r="M958" s="279">
        <f>RES_BA!R107</f>
        <v>0</v>
      </c>
      <c r="O958" s="279">
        <f>RES_BA!S107</f>
        <v>0</v>
      </c>
      <c r="Q958" s="279">
        <f>RES_BA!T107</f>
        <v>0</v>
      </c>
      <c r="S958" s="279">
        <f>RES_BA!U107</f>
        <v>0</v>
      </c>
    </row>
    <row r="959" spans="3:19" s="277" customFormat="1" hidden="1" outlineLevel="1" x14ac:dyDescent="0.3">
      <c r="C959" s="283" t="str">
        <f>RES_BA!D108</f>
        <v>Supplies Category 18</v>
      </c>
      <c r="M959" s="279">
        <f>RES_BA!R108</f>
        <v>0</v>
      </c>
      <c r="O959" s="279">
        <f>RES_BA!S108</f>
        <v>0</v>
      </c>
      <c r="Q959" s="279">
        <f>RES_BA!T108</f>
        <v>0</v>
      </c>
      <c r="S959" s="279">
        <f>RES_BA!U108</f>
        <v>0</v>
      </c>
    </row>
    <row r="960" spans="3:19" s="277" customFormat="1" hidden="1" outlineLevel="1" x14ac:dyDescent="0.3">
      <c r="C960" s="283" t="str">
        <f>RES_BA!D109</f>
        <v>Supplies Category 19</v>
      </c>
      <c r="M960" s="279">
        <f>RES_BA!R109</f>
        <v>0</v>
      </c>
      <c r="O960" s="279">
        <f>RES_BA!S109</f>
        <v>0</v>
      </c>
      <c r="Q960" s="279">
        <f>RES_BA!T109</f>
        <v>0</v>
      </c>
      <c r="S960" s="279">
        <f>RES_BA!U109</f>
        <v>0</v>
      </c>
    </row>
    <row r="961" spans="3:19" s="277" customFormat="1" hidden="1" outlineLevel="1" x14ac:dyDescent="0.3">
      <c r="C961" s="283" t="str">
        <f>RES_BA!D110</f>
        <v>Supplies Category 20</v>
      </c>
      <c r="M961" s="279">
        <f>RES_BA!R110</f>
        <v>0</v>
      </c>
      <c r="O961" s="279">
        <f>RES_BA!S110</f>
        <v>0</v>
      </c>
      <c r="Q961" s="279">
        <f>RES_BA!T110</f>
        <v>0</v>
      </c>
      <c r="S961" s="279">
        <f>RES_BA!U110</f>
        <v>0</v>
      </c>
    </row>
    <row r="962" spans="3:19" s="277" customFormat="1" hidden="1" outlineLevel="1" x14ac:dyDescent="0.3">
      <c r="C962" s="283" t="str">
        <f>RES_BA!D111</f>
        <v>Supplies Category 21</v>
      </c>
      <c r="M962" s="279">
        <f>RES_BA!R111</f>
        <v>0</v>
      </c>
      <c r="O962" s="279">
        <f>RES_BA!S111</f>
        <v>0</v>
      </c>
      <c r="Q962" s="279">
        <f>RES_BA!T111</f>
        <v>0</v>
      </c>
      <c r="S962" s="279">
        <f>RES_BA!U111</f>
        <v>0</v>
      </c>
    </row>
    <row r="963" spans="3:19" s="277" customFormat="1" hidden="1" outlineLevel="1" x14ac:dyDescent="0.3">
      <c r="C963" s="283" t="str">
        <f>RES_BA!D112</f>
        <v>Supplies Category 22</v>
      </c>
      <c r="M963" s="279">
        <f>RES_BA!R112</f>
        <v>0</v>
      </c>
      <c r="O963" s="279">
        <f>RES_BA!S112</f>
        <v>0</v>
      </c>
      <c r="Q963" s="279">
        <f>RES_BA!T112</f>
        <v>0</v>
      </c>
      <c r="S963" s="279">
        <f>RES_BA!U112</f>
        <v>0</v>
      </c>
    </row>
    <row r="964" spans="3:19" s="277" customFormat="1" hidden="1" outlineLevel="1" x14ac:dyDescent="0.3">
      <c r="C964" s="283" t="str">
        <f>RES_BA!D113</f>
        <v>Supplies Category 23</v>
      </c>
      <c r="M964" s="279">
        <f>RES_BA!R113</f>
        <v>0</v>
      </c>
      <c r="O964" s="279">
        <f>RES_BA!S113</f>
        <v>0</v>
      </c>
      <c r="Q964" s="279">
        <f>RES_BA!T113</f>
        <v>0</v>
      </c>
      <c r="S964" s="279">
        <f>RES_BA!U113</f>
        <v>0</v>
      </c>
    </row>
    <row r="965" spans="3:19" s="277" customFormat="1" hidden="1" outlineLevel="1" x14ac:dyDescent="0.3">
      <c r="C965" s="283" t="str">
        <f>RES_BA!D114</f>
        <v>Supplies Category 24</v>
      </c>
      <c r="M965" s="279">
        <f>RES_BA!R114</f>
        <v>0</v>
      </c>
      <c r="O965" s="279">
        <f>RES_BA!S114</f>
        <v>0</v>
      </c>
      <c r="Q965" s="279">
        <f>RES_BA!T114</f>
        <v>0</v>
      </c>
      <c r="S965" s="279">
        <f>RES_BA!U114</f>
        <v>0</v>
      </c>
    </row>
    <row r="966" spans="3:19" s="277" customFormat="1" hidden="1" outlineLevel="1" x14ac:dyDescent="0.3">
      <c r="C966" s="283" t="str">
        <f>RES_BA!D115</f>
        <v>Supplies Category 25</v>
      </c>
      <c r="M966" s="279">
        <f>RES_BA!R115</f>
        <v>0</v>
      </c>
      <c r="O966" s="279">
        <f>RES_BA!S115</f>
        <v>0</v>
      </c>
      <c r="Q966" s="279">
        <f>RES_BA!T115</f>
        <v>0</v>
      </c>
      <c r="S966" s="279">
        <f>RES_BA!U115</f>
        <v>0</v>
      </c>
    </row>
    <row r="967" spans="3:19" s="277" customFormat="1" hidden="1" outlineLevel="1" x14ac:dyDescent="0.3">
      <c r="C967" s="283" t="str">
        <f>RES_BA!D116</f>
        <v>Supplies Category 26</v>
      </c>
      <c r="M967" s="279">
        <f>RES_BA!R116</f>
        <v>0</v>
      </c>
      <c r="O967" s="279">
        <f>RES_BA!S116</f>
        <v>0</v>
      </c>
      <c r="Q967" s="279">
        <f>RES_BA!T116</f>
        <v>0</v>
      </c>
      <c r="S967" s="279">
        <f>RES_BA!U116</f>
        <v>0</v>
      </c>
    </row>
    <row r="968" spans="3:19" s="277" customFormat="1" hidden="1" outlineLevel="1" x14ac:dyDescent="0.3">
      <c r="C968" s="283" t="str">
        <f>RES_BA!D117</f>
        <v>Supplies Category 27</v>
      </c>
      <c r="M968" s="279">
        <f>RES_BA!R117</f>
        <v>0</v>
      </c>
      <c r="O968" s="279">
        <f>RES_BA!S117</f>
        <v>0</v>
      </c>
      <c r="Q968" s="279">
        <f>RES_BA!T117</f>
        <v>0</v>
      </c>
      <c r="S968" s="279">
        <f>RES_BA!U117</f>
        <v>0</v>
      </c>
    </row>
    <row r="969" spans="3:19" s="277" customFormat="1" hidden="1" outlineLevel="1" x14ac:dyDescent="0.3">
      <c r="C969" s="283" t="str">
        <f>RES_BA!D118</f>
        <v>Supplies Category 28</v>
      </c>
      <c r="M969" s="279">
        <f>RES_BA!R118</f>
        <v>0</v>
      </c>
      <c r="O969" s="279">
        <f>RES_BA!S118</f>
        <v>0</v>
      </c>
      <c r="Q969" s="279">
        <f>RES_BA!T118</f>
        <v>0</v>
      </c>
      <c r="S969" s="279">
        <f>RES_BA!U118</f>
        <v>0</v>
      </c>
    </row>
    <row r="970" spans="3:19" s="277" customFormat="1" hidden="1" outlineLevel="1" x14ac:dyDescent="0.3">
      <c r="C970" s="283" t="str">
        <f>RES_BA!D119</f>
        <v>Supplies Category 29</v>
      </c>
      <c r="M970" s="279">
        <f>RES_BA!R119</f>
        <v>0</v>
      </c>
      <c r="O970" s="279">
        <f>RES_BA!S119</f>
        <v>0</v>
      </c>
      <c r="Q970" s="279">
        <f>RES_BA!T119</f>
        <v>0</v>
      </c>
      <c r="S970" s="279">
        <f>RES_BA!U119</f>
        <v>0</v>
      </c>
    </row>
    <row r="971" spans="3:19" s="277" customFormat="1" hidden="1" outlineLevel="1" collapsed="1" x14ac:dyDescent="0.3">
      <c r="C971" s="283" t="str">
        <f>RES_BA!D120</f>
        <v>Supplies Category 30</v>
      </c>
      <c r="M971" s="279">
        <f>RES_BA!R120</f>
        <v>0</v>
      </c>
      <c r="O971" s="279">
        <f>RES_BA!S120</f>
        <v>0</v>
      </c>
      <c r="Q971" s="279">
        <f>RES_BA!T120</f>
        <v>0</v>
      </c>
      <c r="S971" s="279">
        <f>RES_BA!U120</f>
        <v>0</v>
      </c>
    </row>
    <row r="972" spans="3:19" s="277" customFormat="1" hidden="1" outlineLevel="1" x14ac:dyDescent="0.3">
      <c r="C972" s="283" t="str">
        <f>RES_BA!D121</f>
        <v>Supplies Category 31</v>
      </c>
      <c r="M972" s="279">
        <f>RES_BA!R121</f>
        <v>0</v>
      </c>
      <c r="O972" s="279">
        <f>RES_BA!S121</f>
        <v>0</v>
      </c>
      <c r="Q972" s="279">
        <f>RES_BA!T121</f>
        <v>0</v>
      </c>
      <c r="S972" s="279">
        <f>RES_BA!U121</f>
        <v>0</v>
      </c>
    </row>
    <row r="973" spans="3:19" s="277" customFormat="1" hidden="1" outlineLevel="1" x14ac:dyDescent="0.3">
      <c r="C973" s="283" t="str">
        <f>RES_BA!D122</f>
        <v>Supplies Category 32</v>
      </c>
      <c r="M973" s="279">
        <f>RES_BA!R122</f>
        <v>0</v>
      </c>
      <c r="O973" s="279">
        <f>RES_BA!S122</f>
        <v>0</v>
      </c>
      <c r="Q973" s="279">
        <f>RES_BA!T122</f>
        <v>0</v>
      </c>
      <c r="S973" s="279">
        <f>RES_BA!U122</f>
        <v>0</v>
      </c>
    </row>
    <row r="974" spans="3:19" s="277" customFormat="1" hidden="1" outlineLevel="1" x14ac:dyDescent="0.3">
      <c r="C974" s="283" t="str">
        <f>RES_BA!D123</f>
        <v>Supplies Category 33</v>
      </c>
      <c r="M974" s="279">
        <f>RES_BA!R123</f>
        <v>0</v>
      </c>
      <c r="O974" s="279">
        <f>RES_BA!S123</f>
        <v>0</v>
      </c>
      <c r="Q974" s="279">
        <f>RES_BA!T123</f>
        <v>0</v>
      </c>
      <c r="S974" s="279">
        <f>RES_BA!U123</f>
        <v>0</v>
      </c>
    </row>
    <row r="975" spans="3:19" s="277" customFormat="1" hidden="1" outlineLevel="1" x14ac:dyDescent="0.3">
      <c r="C975" s="283" t="str">
        <f>RES_BA!D124</f>
        <v>Supplies Category 34</v>
      </c>
      <c r="M975" s="279">
        <f>RES_BA!R124</f>
        <v>0</v>
      </c>
      <c r="O975" s="279">
        <f>RES_BA!S124</f>
        <v>0</v>
      </c>
      <c r="Q975" s="279">
        <f>RES_BA!T124</f>
        <v>0</v>
      </c>
      <c r="S975" s="279">
        <f>RES_BA!U124</f>
        <v>0</v>
      </c>
    </row>
    <row r="976" spans="3:19" s="277" customFormat="1" hidden="1" outlineLevel="1" x14ac:dyDescent="0.3">
      <c r="C976" s="283" t="str">
        <f>RES_BA!D125</f>
        <v>Supplies Category 35</v>
      </c>
      <c r="M976" s="279">
        <f>RES_BA!R125</f>
        <v>0</v>
      </c>
      <c r="O976" s="279">
        <f>RES_BA!S125</f>
        <v>0</v>
      </c>
      <c r="Q976" s="279">
        <f>RES_BA!T125</f>
        <v>0</v>
      </c>
      <c r="S976" s="279">
        <f>RES_BA!U125</f>
        <v>0</v>
      </c>
    </row>
    <row r="977" spans="3:19" hidden="1" outlineLevel="1" x14ac:dyDescent="0.3"/>
    <row r="978" spans="3:19" hidden="1" outlineLevel="1" x14ac:dyDescent="0.3">
      <c r="M978" s="40" t="str">
        <f>$D$861</f>
        <v>USD</v>
      </c>
      <c r="O978" s="40" t="str">
        <f>$D$861</f>
        <v>USD</v>
      </c>
      <c r="Q978" s="40" t="str">
        <f>$D$862</f>
        <v>GOZ</v>
      </c>
      <c r="S978" s="40" t="str">
        <f>$D$862</f>
        <v>GOZ</v>
      </c>
    </row>
    <row r="979" spans="3:19" hidden="1" outlineLevel="1" x14ac:dyDescent="0.3">
      <c r="C979" s="89" t="str">
        <f>RES_BA!D130</f>
        <v>Equipment Category 1</v>
      </c>
      <c r="M979" s="40">
        <f>RES_BA!R130</f>
        <v>0</v>
      </c>
      <c r="O979" s="40">
        <f>RES_BA!S130</f>
        <v>0</v>
      </c>
      <c r="Q979" s="40">
        <f>RES_BA!T130</f>
        <v>0</v>
      </c>
      <c r="S979" s="40">
        <f>RES_BA!U130</f>
        <v>0</v>
      </c>
    </row>
    <row r="980" spans="3:19" hidden="1" outlineLevel="1" x14ac:dyDescent="0.3">
      <c r="C980" s="89" t="str">
        <f>RES_BA!D131</f>
        <v>Equipment Category 2</v>
      </c>
      <c r="M980" s="40">
        <f>RES_BA!R131</f>
        <v>0</v>
      </c>
      <c r="O980" s="40">
        <f>RES_BA!S131</f>
        <v>0</v>
      </c>
      <c r="Q980" s="40">
        <f>RES_BA!T131</f>
        <v>0</v>
      </c>
      <c r="S980" s="40">
        <f>RES_BA!U131</f>
        <v>0</v>
      </c>
    </row>
    <row r="981" spans="3:19" hidden="1" outlineLevel="1" x14ac:dyDescent="0.3">
      <c r="C981" s="89" t="str">
        <f>RES_BA!D132</f>
        <v>Equipment Category 3</v>
      </c>
      <c r="M981" s="40">
        <f>RES_BA!R132</f>
        <v>0</v>
      </c>
      <c r="O981" s="40">
        <f>RES_BA!S132</f>
        <v>0</v>
      </c>
      <c r="Q981" s="40">
        <f>RES_BA!T132</f>
        <v>0</v>
      </c>
      <c r="S981" s="40">
        <f>RES_BA!U132</f>
        <v>0</v>
      </c>
    </row>
    <row r="982" spans="3:19" hidden="1" outlineLevel="1" x14ac:dyDescent="0.3">
      <c r="C982" s="89" t="str">
        <f>RES_BA!D133</f>
        <v>Equipment Category 4</v>
      </c>
      <c r="M982" s="40">
        <f>RES_BA!R133</f>
        <v>0</v>
      </c>
      <c r="O982" s="40">
        <f>RES_BA!S133</f>
        <v>0</v>
      </c>
      <c r="Q982" s="40">
        <f>RES_BA!T133</f>
        <v>0</v>
      </c>
      <c r="S982" s="40">
        <f>RES_BA!U133</f>
        <v>0</v>
      </c>
    </row>
    <row r="983" spans="3:19" hidden="1" outlineLevel="1" x14ac:dyDescent="0.3">
      <c r="C983" s="89" t="str">
        <f>RES_BA!D134</f>
        <v>Equipment Category 5</v>
      </c>
      <c r="M983" s="40">
        <f>RES_BA!R134</f>
        <v>0</v>
      </c>
      <c r="O983" s="40">
        <f>RES_BA!S134</f>
        <v>0</v>
      </c>
      <c r="Q983" s="40">
        <f>RES_BA!T134</f>
        <v>0</v>
      </c>
      <c r="S983" s="40">
        <f>RES_BA!U134</f>
        <v>0</v>
      </c>
    </row>
    <row r="984" spans="3:19" hidden="1" outlineLevel="1" x14ac:dyDescent="0.3">
      <c r="C984" s="89" t="str">
        <f>RES_BA!D135</f>
        <v>Equipment Category 6</v>
      </c>
      <c r="M984" s="40">
        <f>RES_BA!R135</f>
        <v>0</v>
      </c>
      <c r="O984" s="40">
        <f>RES_BA!S135</f>
        <v>0</v>
      </c>
      <c r="Q984" s="40">
        <f>RES_BA!T135</f>
        <v>0</v>
      </c>
      <c r="S984" s="40">
        <f>RES_BA!U135</f>
        <v>0</v>
      </c>
    </row>
    <row r="985" spans="3:19" s="277" customFormat="1" hidden="1" outlineLevel="1" collapsed="1" x14ac:dyDescent="0.3">
      <c r="C985" s="283" t="str">
        <f>RES_BA!D136</f>
        <v>Equipment Category 7</v>
      </c>
      <c r="M985" s="279">
        <f>RES_BA!R136</f>
        <v>0</v>
      </c>
      <c r="O985" s="279">
        <f>RES_BA!S136</f>
        <v>0</v>
      </c>
      <c r="Q985" s="279">
        <f>RES_BA!T136</f>
        <v>0</v>
      </c>
      <c r="S985" s="279">
        <f>RES_BA!U136</f>
        <v>0</v>
      </c>
    </row>
    <row r="986" spans="3:19" s="277" customFormat="1" hidden="1" outlineLevel="1" x14ac:dyDescent="0.3">
      <c r="C986" s="283" t="str">
        <f>RES_BA!D137</f>
        <v>Equipment Category 8</v>
      </c>
      <c r="M986" s="279">
        <f>RES_BA!R137</f>
        <v>0</v>
      </c>
      <c r="O986" s="279">
        <f>RES_BA!S137</f>
        <v>0</v>
      </c>
      <c r="Q986" s="279">
        <f>RES_BA!T137</f>
        <v>0</v>
      </c>
      <c r="S986" s="279">
        <f>RES_BA!U137</f>
        <v>0</v>
      </c>
    </row>
    <row r="987" spans="3:19" s="277" customFormat="1" hidden="1" outlineLevel="1" x14ac:dyDescent="0.3">
      <c r="C987" s="283" t="str">
        <f>RES_BA!D138</f>
        <v>Equipment Category 9</v>
      </c>
      <c r="M987" s="279">
        <f>RES_BA!R138</f>
        <v>0</v>
      </c>
      <c r="O987" s="279">
        <f>RES_BA!S138</f>
        <v>0</v>
      </c>
      <c r="Q987" s="279">
        <f>RES_BA!T138</f>
        <v>0</v>
      </c>
      <c r="S987" s="279">
        <f>RES_BA!U138</f>
        <v>0</v>
      </c>
    </row>
    <row r="988" spans="3:19" s="277" customFormat="1" hidden="1" outlineLevel="1" x14ac:dyDescent="0.3">
      <c r="C988" s="283" t="str">
        <f>RES_BA!D139</f>
        <v>Equipment Category 10</v>
      </c>
      <c r="M988" s="279">
        <f>RES_BA!R139</f>
        <v>0</v>
      </c>
      <c r="O988" s="279">
        <f>RES_BA!S139</f>
        <v>0</v>
      </c>
      <c r="Q988" s="279">
        <f>RES_BA!T139</f>
        <v>0</v>
      </c>
      <c r="S988" s="279">
        <f>RES_BA!U139</f>
        <v>0</v>
      </c>
    </row>
    <row r="989" spans="3:19" s="277" customFormat="1" hidden="1" outlineLevel="1" x14ac:dyDescent="0.3">
      <c r="C989" s="283" t="str">
        <f>RES_BA!D140</f>
        <v>Equipment Category 11</v>
      </c>
      <c r="M989" s="279">
        <f>RES_BA!R140</f>
        <v>0</v>
      </c>
      <c r="O989" s="279">
        <f>RES_BA!S140</f>
        <v>0</v>
      </c>
      <c r="Q989" s="279">
        <f>RES_BA!T140</f>
        <v>0</v>
      </c>
      <c r="S989" s="279">
        <f>RES_BA!U140</f>
        <v>0</v>
      </c>
    </row>
    <row r="990" spans="3:19" s="277" customFormat="1" hidden="1" outlineLevel="1" x14ac:dyDescent="0.3">
      <c r="C990" s="283" t="str">
        <f>RES_BA!D141</f>
        <v>Equipment Category 12</v>
      </c>
      <c r="M990" s="279">
        <f>RES_BA!R141</f>
        <v>0</v>
      </c>
      <c r="O990" s="279">
        <f>RES_BA!S141</f>
        <v>0</v>
      </c>
      <c r="Q990" s="279">
        <f>RES_BA!T141</f>
        <v>0</v>
      </c>
      <c r="S990" s="279">
        <f>RES_BA!U141</f>
        <v>0</v>
      </c>
    </row>
    <row r="991" spans="3:19" s="277" customFormat="1" hidden="1" outlineLevel="1" collapsed="1" x14ac:dyDescent="0.3">
      <c r="C991" s="283" t="str">
        <f>RES_BA!D142</f>
        <v>Equipment Category 13</v>
      </c>
      <c r="M991" s="279">
        <f>RES_BA!R142</f>
        <v>0</v>
      </c>
      <c r="O991" s="279">
        <f>RES_BA!S142</f>
        <v>0</v>
      </c>
      <c r="Q991" s="279">
        <f>RES_BA!T142</f>
        <v>0</v>
      </c>
      <c r="S991" s="279">
        <f>RES_BA!U142</f>
        <v>0</v>
      </c>
    </row>
    <row r="992" spans="3:19" s="277" customFormat="1" hidden="1" outlineLevel="1" x14ac:dyDescent="0.3">
      <c r="C992" s="283" t="str">
        <f>RES_BA!D143</f>
        <v>Equipment Category 14</v>
      </c>
      <c r="M992" s="279">
        <f>RES_BA!R143</f>
        <v>0</v>
      </c>
      <c r="O992" s="279">
        <f>RES_BA!S143</f>
        <v>0</v>
      </c>
      <c r="Q992" s="279">
        <f>RES_BA!T143</f>
        <v>0</v>
      </c>
      <c r="S992" s="279">
        <f>RES_BA!U143</f>
        <v>0</v>
      </c>
    </row>
    <row r="993" spans="3:19" s="277" customFormat="1" hidden="1" outlineLevel="1" x14ac:dyDescent="0.3">
      <c r="C993" s="283" t="str">
        <f>RES_BA!D144</f>
        <v>Equipment Category 15</v>
      </c>
      <c r="M993" s="279">
        <f>RES_BA!R144</f>
        <v>0</v>
      </c>
      <c r="O993" s="279">
        <f>RES_BA!S144</f>
        <v>0</v>
      </c>
      <c r="Q993" s="279">
        <f>RES_BA!T144</f>
        <v>0</v>
      </c>
      <c r="S993" s="279">
        <f>RES_BA!U144</f>
        <v>0</v>
      </c>
    </row>
    <row r="994" spans="3:19" s="277" customFormat="1" hidden="1" outlineLevel="1" x14ac:dyDescent="0.3">
      <c r="C994" s="283" t="str">
        <f>RES_BA!D145</f>
        <v>Equipment Category 16</v>
      </c>
      <c r="M994" s="279">
        <f>RES_BA!R145</f>
        <v>0</v>
      </c>
      <c r="O994" s="279">
        <f>RES_BA!S145</f>
        <v>0</v>
      </c>
      <c r="Q994" s="279">
        <f>RES_BA!T145</f>
        <v>0</v>
      </c>
      <c r="S994" s="279">
        <f>RES_BA!U145</f>
        <v>0</v>
      </c>
    </row>
    <row r="995" spans="3:19" s="277" customFormat="1" hidden="1" outlineLevel="1" x14ac:dyDescent="0.3">
      <c r="C995" s="283" t="str">
        <f>RES_BA!D146</f>
        <v>Equipment Category 17</v>
      </c>
      <c r="M995" s="279">
        <f>RES_BA!R146</f>
        <v>0</v>
      </c>
      <c r="O995" s="279">
        <f>RES_BA!S146</f>
        <v>0</v>
      </c>
      <c r="Q995" s="279">
        <f>RES_BA!T146</f>
        <v>0</v>
      </c>
      <c r="S995" s="279">
        <f>RES_BA!U146</f>
        <v>0</v>
      </c>
    </row>
    <row r="996" spans="3:19" s="277" customFormat="1" hidden="1" outlineLevel="1" x14ac:dyDescent="0.3">
      <c r="C996" s="283" t="str">
        <f>RES_BA!D147</f>
        <v>Equipment Category 18</v>
      </c>
      <c r="M996" s="279">
        <f>RES_BA!R147</f>
        <v>0</v>
      </c>
      <c r="O996" s="279">
        <f>RES_BA!S147</f>
        <v>0</v>
      </c>
      <c r="Q996" s="279">
        <f>RES_BA!T147</f>
        <v>0</v>
      </c>
      <c r="S996" s="279">
        <f>RES_BA!U147</f>
        <v>0</v>
      </c>
    </row>
    <row r="997" spans="3:19" s="277" customFormat="1" hidden="1" outlineLevel="1" x14ac:dyDescent="0.3">
      <c r="C997" s="283" t="str">
        <f>RES_BA!D148</f>
        <v>Equipment Category 19</v>
      </c>
      <c r="M997" s="279">
        <f>RES_BA!R148</f>
        <v>0</v>
      </c>
      <c r="O997" s="279">
        <f>RES_BA!S148</f>
        <v>0</v>
      </c>
      <c r="Q997" s="279">
        <f>RES_BA!T148</f>
        <v>0</v>
      </c>
      <c r="S997" s="279">
        <f>RES_BA!U148</f>
        <v>0</v>
      </c>
    </row>
    <row r="998" spans="3:19" s="277" customFormat="1" hidden="1" outlineLevel="1" x14ac:dyDescent="0.3">
      <c r="C998" s="283" t="str">
        <f>RES_BA!D149</f>
        <v>Equipment Category 20</v>
      </c>
      <c r="M998" s="279">
        <f>RES_BA!R149</f>
        <v>0</v>
      </c>
      <c r="O998" s="279">
        <f>RES_BA!S149</f>
        <v>0</v>
      </c>
      <c r="Q998" s="279">
        <f>RES_BA!T149</f>
        <v>0</v>
      </c>
      <c r="S998" s="279">
        <f>RES_BA!U149</f>
        <v>0</v>
      </c>
    </row>
    <row r="999" spans="3:19" s="277" customFormat="1" hidden="1" outlineLevel="1" x14ac:dyDescent="0.3">
      <c r="C999" s="283" t="str">
        <f>RES_BA!D150</f>
        <v>Equipment Category 21</v>
      </c>
      <c r="M999" s="279">
        <f>RES_BA!R150</f>
        <v>0</v>
      </c>
      <c r="O999" s="279">
        <f>RES_BA!S150</f>
        <v>0</v>
      </c>
      <c r="Q999" s="279">
        <f>RES_BA!T150</f>
        <v>0</v>
      </c>
      <c r="S999" s="279">
        <f>RES_BA!U150</f>
        <v>0</v>
      </c>
    </row>
    <row r="1000" spans="3:19" s="277" customFormat="1" hidden="1" outlineLevel="1" x14ac:dyDescent="0.3">
      <c r="C1000" s="283" t="str">
        <f>RES_BA!D151</f>
        <v>Equipment Category 22</v>
      </c>
      <c r="M1000" s="279">
        <f>RES_BA!R151</f>
        <v>0</v>
      </c>
      <c r="O1000" s="279">
        <f>RES_BA!S151</f>
        <v>0</v>
      </c>
      <c r="Q1000" s="279">
        <f>RES_BA!T151</f>
        <v>0</v>
      </c>
      <c r="S1000" s="279">
        <f>RES_BA!U151</f>
        <v>0</v>
      </c>
    </row>
    <row r="1001" spans="3:19" s="277" customFormat="1" hidden="1" outlineLevel="1" x14ac:dyDescent="0.3">
      <c r="C1001" s="283" t="str">
        <f>RES_BA!D152</f>
        <v>Equipment Category 23</v>
      </c>
      <c r="M1001" s="279">
        <f>RES_BA!R152</f>
        <v>0</v>
      </c>
      <c r="O1001" s="279">
        <f>RES_BA!S152</f>
        <v>0</v>
      </c>
      <c r="Q1001" s="279">
        <f>RES_BA!T152</f>
        <v>0</v>
      </c>
      <c r="S1001" s="279">
        <f>RES_BA!U152</f>
        <v>0</v>
      </c>
    </row>
    <row r="1002" spans="3:19" s="277" customFormat="1" hidden="1" outlineLevel="1" collapsed="1" x14ac:dyDescent="0.3">
      <c r="C1002" s="283" t="str">
        <f>RES_BA!D153</f>
        <v>Equipment Category 24</v>
      </c>
      <c r="M1002" s="279">
        <f>RES_BA!R153</f>
        <v>0</v>
      </c>
      <c r="O1002" s="279">
        <f>RES_BA!S153</f>
        <v>0</v>
      </c>
      <c r="Q1002" s="279">
        <f>RES_BA!T153</f>
        <v>0</v>
      </c>
      <c r="S1002" s="279">
        <f>RES_BA!U153</f>
        <v>0</v>
      </c>
    </row>
    <row r="1003" spans="3:19" s="277" customFormat="1" hidden="1" outlineLevel="1" x14ac:dyDescent="0.3">
      <c r="C1003" s="283" t="str">
        <f>RES_BA!D154</f>
        <v>Equipment Category 25</v>
      </c>
      <c r="M1003" s="279">
        <f>RES_BA!R154</f>
        <v>0</v>
      </c>
      <c r="O1003" s="279">
        <f>RES_BA!S154</f>
        <v>0</v>
      </c>
      <c r="Q1003" s="279">
        <f>RES_BA!T154</f>
        <v>0</v>
      </c>
      <c r="S1003" s="279">
        <f>RES_BA!U154</f>
        <v>0</v>
      </c>
    </row>
    <row r="1004" spans="3:19" s="277" customFormat="1" hidden="1" outlineLevel="1" x14ac:dyDescent="0.3">
      <c r="C1004" s="283" t="str">
        <f>RES_BA!D155</f>
        <v>Equipment Category 26</v>
      </c>
      <c r="M1004" s="279">
        <f>RES_BA!R155</f>
        <v>0</v>
      </c>
      <c r="O1004" s="279">
        <f>RES_BA!S155</f>
        <v>0</v>
      </c>
      <c r="Q1004" s="279">
        <f>RES_BA!T155</f>
        <v>0</v>
      </c>
      <c r="S1004" s="279">
        <f>RES_BA!U155</f>
        <v>0</v>
      </c>
    </row>
    <row r="1005" spans="3:19" s="277" customFormat="1" hidden="1" outlineLevel="1" x14ac:dyDescent="0.3">
      <c r="C1005" s="283" t="str">
        <f>RES_BA!D156</f>
        <v>Equipment Category 27</v>
      </c>
      <c r="M1005" s="279">
        <f>RES_BA!R156</f>
        <v>0</v>
      </c>
      <c r="O1005" s="279">
        <f>RES_BA!S156</f>
        <v>0</v>
      </c>
      <c r="Q1005" s="279">
        <f>RES_BA!T156</f>
        <v>0</v>
      </c>
      <c r="S1005" s="279">
        <f>RES_BA!U156</f>
        <v>0</v>
      </c>
    </row>
    <row r="1006" spans="3:19" s="277" customFormat="1" hidden="1" outlineLevel="1" x14ac:dyDescent="0.3">
      <c r="C1006" s="283" t="str">
        <f>RES_BA!D157</f>
        <v>Equipment Category 28</v>
      </c>
      <c r="M1006" s="279">
        <f>RES_BA!R157</f>
        <v>0</v>
      </c>
      <c r="O1006" s="279">
        <f>RES_BA!S157</f>
        <v>0</v>
      </c>
      <c r="Q1006" s="279">
        <f>RES_BA!T157</f>
        <v>0</v>
      </c>
      <c r="S1006" s="279">
        <f>RES_BA!U157</f>
        <v>0</v>
      </c>
    </row>
    <row r="1007" spans="3:19" s="277" customFormat="1" hidden="1" outlineLevel="1" x14ac:dyDescent="0.3">
      <c r="C1007" s="283" t="str">
        <f>RES_BA!D158</f>
        <v>Equipment Category 29</v>
      </c>
      <c r="M1007" s="279">
        <f>RES_BA!R158</f>
        <v>0</v>
      </c>
      <c r="O1007" s="279">
        <f>RES_BA!S158</f>
        <v>0</v>
      </c>
      <c r="Q1007" s="279">
        <f>RES_BA!T158</f>
        <v>0</v>
      </c>
      <c r="S1007" s="279">
        <f>RES_BA!U158</f>
        <v>0</v>
      </c>
    </row>
    <row r="1008" spans="3:19" s="277" customFormat="1" hidden="1" outlineLevel="1" x14ac:dyDescent="0.3">
      <c r="C1008" s="283" t="str">
        <f>RES_BA!D159</f>
        <v>Equipment Category 30</v>
      </c>
      <c r="M1008" s="279">
        <f>RES_BA!R159</f>
        <v>0</v>
      </c>
      <c r="O1008" s="279">
        <f>RES_BA!S159</f>
        <v>0</v>
      </c>
      <c r="Q1008" s="279">
        <f>RES_BA!T159</f>
        <v>0</v>
      </c>
      <c r="S1008" s="279">
        <f>RES_BA!U159</f>
        <v>0</v>
      </c>
    </row>
    <row r="1009" spans="3:19" s="277" customFormat="1" hidden="1" outlineLevel="1" x14ac:dyDescent="0.3">
      <c r="C1009" s="283" t="str">
        <f>RES_BA!D160</f>
        <v>Equipment Category 31</v>
      </c>
      <c r="M1009" s="279">
        <f>RES_BA!R160</f>
        <v>0</v>
      </c>
      <c r="O1009" s="279">
        <f>RES_BA!S160</f>
        <v>0</v>
      </c>
      <c r="Q1009" s="279">
        <f>RES_BA!T160</f>
        <v>0</v>
      </c>
      <c r="S1009" s="279">
        <f>RES_BA!U160</f>
        <v>0</v>
      </c>
    </row>
    <row r="1010" spans="3:19" s="277" customFormat="1" hidden="1" outlineLevel="1" x14ac:dyDescent="0.3">
      <c r="C1010" s="283" t="str">
        <f>RES_BA!D161</f>
        <v>Equipment Category 32</v>
      </c>
      <c r="M1010" s="279">
        <f>RES_BA!R161</f>
        <v>0</v>
      </c>
      <c r="O1010" s="279">
        <f>RES_BA!S161</f>
        <v>0</v>
      </c>
      <c r="Q1010" s="279">
        <f>RES_BA!T161</f>
        <v>0</v>
      </c>
      <c r="S1010" s="279">
        <f>RES_BA!U161</f>
        <v>0</v>
      </c>
    </row>
    <row r="1011" spans="3:19" s="277" customFormat="1" hidden="1" outlineLevel="1" x14ac:dyDescent="0.3">
      <c r="C1011" s="283" t="str">
        <f>RES_BA!D162</f>
        <v>Equipment Category 33</v>
      </c>
      <c r="M1011" s="279">
        <f>RES_BA!R162</f>
        <v>0</v>
      </c>
      <c r="O1011" s="279">
        <f>RES_BA!S162</f>
        <v>0</v>
      </c>
      <c r="Q1011" s="279">
        <f>RES_BA!T162</f>
        <v>0</v>
      </c>
      <c r="S1011" s="279">
        <f>RES_BA!U162</f>
        <v>0</v>
      </c>
    </row>
    <row r="1012" spans="3:19" s="277" customFormat="1" hidden="1" outlineLevel="1" collapsed="1" x14ac:dyDescent="0.3">
      <c r="C1012" s="283" t="str">
        <f>RES_BA!D163</f>
        <v>Equipment Category 34</v>
      </c>
      <c r="M1012" s="279">
        <f>RES_BA!R163</f>
        <v>0</v>
      </c>
      <c r="O1012" s="279">
        <f>RES_BA!S163</f>
        <v>0</v>
      </c>
      <c r="Q1012" s="279">
        <f>RES_BA!T163</f>
        <v>0</v>
      </c>
      <c r="S1012" s="279">
        <f>RES_BA!U163</f>
        <v>0</v>
      </c>
    </row>
    <row r="1013" spans="3:19" s="277" customFormat="1" hidden="1" outlineLevel="1" x14ac:dyDescent="0.3">
      <c r="C1013" s="283" t="str">
        <f>RES_BA!D164</f>
        <v>Equipment Category 35</v>
      </c>
      <c r="M1013" s="279">
        <f>RES_BA!R164</f>
        <v>0</v>
      </c>
      <c r="O1013" s="279">
        <f>RES_BA!S164</f>
        <v>0</v>
      </c>
      <c r="Q1013" s="279">
        <f>RES_BA!T164</f>
        <v>0</v>
      </c>
      <c r="S1013" s="279">
        <f>RES_BA!U164</f>
        <v>0</v>
      </c>
    </row>
    <row r="1014" spans="3:19" hidden="1" outlineLevel="1" x14ac:dyDescent="0.3"/>
    <row r="1015" spans="3:19" hidden="1" outlineLevel="1" x14ac:dyDescent="0.3"/>
    <row r="1016" spans="3:19" hidden="1" outlineLevel="1" x14ac:dyDescent="0.3">
      <c r="M1016" s="40" t="str">
        <f>$D$861</f>
        <v>USD</v>
      </c>
      <c r="O1016" s="40" t="str">
        <f>$D$861</f>
        <v>USD</v>
      </c>
      <c r="Q1016" s="40" t="str">
        <f>$D$862</f>
        <v>GOZ</v>
      </c>
      <c r="S1016" s="40" t="str">
        <f>$D$862</f>
        <v>GOZ</v>
      </c>
    </row>
    <row r="1017" spans="3:19" hidden="1" outlineLevel="1" x14ac:dyDescent="0.3">
      <c r="C1017" s="89" t="str">
        <f>RES_BA!D169</f>
        <v>Other Direct Costs Category 1</v>
      </c>
      <c r="M1017" s="40">
        <f>RES_BA!R169</f>
        <v>0</v>
      </c>
      <c r="O1017" s="40">
        <f>RES_BA!S169</f>
        <v>0</v>
      </c>
      <c r="Q1017" s="40">
        <f>RES_BA!T169</f>
        <v>0</v>
      </c>
      <c r="S1017" s="40">
        <f>RES_BA!U169</f>
        <v>0</v>
      </c>
    </row>
    <row r="1018" spans="3:19" hidden="1" outlineLevel="1" x14ac:dyDescent="0.3">
      <c r="C1018" s="89" t="str">
        <f>RES_BA!D170</f>
        <v>Other Direct Costs Category 2</v>
      </c>
      <c r="M1018" s="40">
        <f>RES_BA!R170</f>
        <v>0</v>
      </c>
      <c r="O1018" s="40">
        <f>RES_BA!S170</f>
        <v>0</v>
      </c>
      <c r="Q1018" s="40">
        <f>RES_BA!T170</f>
        <v>0</v>
      </c>
      <c r="S1018" s="40">
        <f>RES_BA!U170</f>
        <v>0</v>
      </c>
    </row>
    <row r="1019" spans="3:19" hidden="1" outlineLevel="1" x14ac:dyDescent="0.3">
      <c r="C1019" s="89" t="str">
        <f>RES_BA!D171</f>
        <v>Other Direct Costs Category 3</v>
      </c>
      <c r="M1019" s="40">
        <f>RES_BA!R171</f>
        <v>0</v>
      </c>
      <c r="O1019" s="40">
        <f>RES_BA!S171</f>
        <v>0</v>
      </c>
      <c r="Q1019" s="40">
        <f>RES_BA!T171</f>
        <v>0</v>
      </c>
      <c r="S1019" s="40">
        <f>RES_BA!U171</f>
        <v>0</v>
      </c>
    </row>
    <row r="1020" spans="3:19" s="277" customFormat="1" hidden="1" outlineLevel="1" collapsed="1" x14ac:dyDescent="0.3">
      <c r="C1020" s="283" t="str">
        <f>RES_BA!D172</f>
        <v>Other Direct Costs Category 4</v>
      </c>
      <c r="M1020" s="279">
        <f>RES_BA!R172</f>
        <v>0</v>
      </c>
      <c r="O1020" s="279">
        <f>RES_BA!S172</f>
        <v>0</v>
      </c>
      <c r="Q1020" s="279">
        <f>RES_BA!T172</f>
        <v>0</v>
      </c>
      <c r="S1020" s="279">
        <f>RES_BA!U172</f>
        <v>0</v>
      </c>
    </row>
    <row r="1021" spans="3:19" s="277" customFormat="1" hidden="1" outlineLevel="1" x14ac:dyDescent="0.3">
      <c r="C1021" s="283" t="str">
        <f>RES_BA!D173</f>
        <v>Other Direct Costs Category 5</v>
      </c>
      <c r="M1021" s="279">
        <f>RES_BA!R173</f>
        <v>0</v>
      </c>
      <c r="O1021" s="279">
        <f>RES_BA!S173</f>
        <v>0</v>
      </c>
      <c r="Q1021" s="279">
        <f>RES_BA!T173</f>
        <v>0</v>
      </c>
      <c r="S1021" s="279">
        <f>RES_BA!U173</f>
        <v>0</v>
      </c>
    </row>
    <row r="1022" spans="3:19" s="277" customFormat="1" hidden="1" outlineLevel="1" x14ac:dyDescent="0.3">
      <c r="C1022" s="283" t="str">
        <f>RES_BA!D174</f>
        <v>Other Direct Costs Category 6</v>
      </c>
      <c r="M1022" s="279">
        <f>RES_BA!R174</f>
        <v>0</v>
      </c>
      <c r="O1022" s="279">
        <f>RES_BA!S174</f>
        <v>0</v>
      </c>
      <c r="Q1022" s="279">
        <f>RES_BA!T174</f>
        <v>0</v>
      </c>
      <c r="S1022" s="279">
        <f>RES_BA!U174</f>
        <v>0</v>
      </c>
    </row>
    <row r="1023" spans="3:19" s="277" customFormat="1" hidden="1" outlineLevel="1" x14ac:dyDescent="0.3">
      <c r="C1023" s="283" t="str">
        <f>RES_BA!D175</f>
        <v>Other Direct Costs Category 7</v>
      </c>
      <c r="M1023" s="279">
        <f>RES_BA!R175</f>
        <v>0</v>
      </c>
      <c r="O1023" s="279">
        <f>RES_BA!S175</f>
        <v>0</v>
      </c>
      <c r="Q1023" s="279">
        <f>RES_BA!T175</f>
        <v>0</v>
      </c>
      <c r="S1023" s="279">
        <f>RES_BA!U175</f>
        <v>0</v>
      </c>
    </row>
    <row r="1024" spans="3:19" s="277" customFormat="1" hidden="1" outlineLevel="1" x14ac:dyDescent="0.3">
      <c r="C1024" s="283" t="str">
        <f>RES_BA!D176</f>
        <v>Other Direct Costs Category 8</v>
      </c>
      <c r="M1024" s="279">
        <f>RES_BA!R176</f>
        <v>0</v>
      </c>
      <c r="O1024" s="279">
        <f>RES_BA!S176</f>
        <v>0</v>
      </c>
      <c r="Q1024" s="279">
        <f>RES_BA!T176</f>
        <v>0</v>
      </c>
      <c r="S1024" s="279">
        <f>RES_BA!U176</f>
        <v>0</v>
      </c>
    </row>
    <row r="1025" spans="3:19" s="277" customFormat="1" hidden="1" outlineLevel="1" x14ac:dyDescent="0.3">
      <c r="C1025" s="283" t="str">
        <f>RES_BA!D177</f>
        <v>Other Direct Costs Category 9</v>
      </c>
      <c r="M1025" s="279">
        <f>RES_BA!R177</f>
        <v>0</v>
      </c>
      <c r="O1025" s="279">
        <f>RES_BA!S177</f>
        <v>0</v>
      </c>
      <c r="Q1025" s="279">
        <f>RES_BA!T177</f>
        <v>0</v>
      </c>
      <c r="S1025" s="279">
        <f>RES_BA!U177</f>
        <v>0</v>
      </c>
    </row>
    <row r="1026" spans="3:19" s="277" customFormat="1" hidden="1" outlineLevel="1" x14ac:dyDescent="0.3">
      <c r="C1026" s="283" t="str">
        <f>RES_BA!D178</f>
        <v>Other Direct Costs Category 10</v>
      </c>
      <c r="M1026" s="279">
        <f>RES_BA!R178</f>
        <v>0</v>
      </c>
      <c r="O1026" s="279">
        <f>RES_BA!S178</f>
        <v>0</v>
      </c>
      <c r="Q1026" s="279">
        <f>RES_BA!T178</f>
        <v>0</v>
      </c>
      <c r="S1026" s="279">
        <f>RES_BA!U178</f>
        <v>0</v>
      </c>
    </row>
    <row r="1027" spans="3:19" s="277" customFormat="1" hidden="1" outlineLevel="1" x14ac:dyDescent="0.3">
      <c r="C1027" s="283" t="str">
        <f>RES_BA!D179</f>
        <v>Other Direct Costs Category 11</v>
      </c>
      <c r="M1027" s="279">
        <f>RES_BA!R179</f>
        <v>0</v>
      </c>
      <c r="O1027" s="279">
        <f>RES_BA!S179</f>
        <v>0</v>
      </c>
      <c r="Q1027" s="279">
        <f>RES_BA!T179</f>
        <v>0</v>
      </c>
      <c r="S1027" s="279">
        <f>RES_BA!U179</f>
        <v>0</v>
      </c>
    </row>
    <row r="1028" spans="3:19" s="277" customFormat="1" hidden="1" outlineLevel="1" collapsed="1" x14ac:dyDescent="0.3">
      <c r="C1028" s="283" t="str">
        <f>RES_BA!D180</f>
        <v>Other Direct Costs Category 12</v>
      </c>
      <c r="M1028" s="279">
        <f>RES_BA!R180</f>
        <v>0</v>
      </c>
      <c r="O1028" s="279">
        <f>RES_BA!S180</f>
        <v>0</v>
      </c>
      <c r="Q1028" s="279">
        <f>RES_BA!T180</f>
        <v>0</v>
      </c>
      <c r="S1028" s="279">
        <f>RES_BA!U180</f>
        <v>0</v>
      </c>
    </row>
    <row r="1029" spans="3:19" s="277" customFormat="1" hidden="1" outlineLevel="1" x14ac:dyDescent="0.3">
      <c r="C1029" s="283" t="str">
        <f>RES_BA!D181</f>
        <v>Other Direct Costs Category 13</v>
      </c>
      <c r="M1029" s="279">
        <f>RES_BA!R181</f>
        <v>0</v>
      </c>
      <c r="O1029" s="279">
        <f>RES_BA!S181</f>
        <v>0</v>
      </c>
      <c r="Q1029" s="279">
        <f>RES_BA!T181</f>
        <v>0</v>
      </c>
      <c r="S1029" s="279">
        <f>RES_BA!U181</f>
        <v>0</v>
      </c>
    </row>
    <row r="1030" spans="3:19" s="277" customFormat="1" hidden="1" outlineLevel="1" x14ac:dyDescent="0.3">
      <c r="C1030" s="283" t="str">
        <f>RES_BA!D182</f>
        <v>Other Direct Costs Category 14</v>
      </c>
      <c r="M1030" s="279">
        <f>RES_BA!R182</f>
        <v>0</v>
      </c>
      <c r="O1030" s="279">
        <f>RES_BA!S182</f>
        <v>0</v>
      </c>
      <c r="Q1030" s="279">
        <f>RES_BA!T182</f>
        <v>0</v>
      </c>
      <c r="S1030" s="279">
        <f>RES_BA!U182</f>
        <v>0</v>
      </c>
    </row>
    <row r="1031" spans="3:19" s="277" customFormat="1" hidden="1" outlineLevel="1" x14ac:dyDescent="0.3">
      <c r="C1031" s="283" t="str">
        <f>RES_BA!D183</f>
        <v>Other Direct Costs Category 15</v>
      </c>
      <c r="M1031" s="279">
        <f>RES_BA!R183</f>
        <v>0</v>
      </c>
      <c r="O1031" s="279">
        <f>RES_BA!S183</f>
        <v>0</v>
      </c>
      <c r="Q1031" s="279">
        <f>RES_BA!T183</f>
        <v>0</v>
      </c>
      <c r="S1031" s="279">
        <f>RES_BA!U183</f>
        <v>0</v>
      </c>
    </row>
    <row r="1032" spans="3:19" s="277" customFormat="1" hidden="1" outlineLevel="1" x14ac:dyDescent="0.3">
      <c r="C1032" s="283" t="str">
        <f>RES_BA!D184</f>
        <v>Other Direct Costs Category 16</v>
      </c>
      <c r="M1032" s="279">
        <f>RES_BA!R184</f>
        <v>0</v>
      </c>
      <c r="O1032" s="279">
        <f>RES_BA!S184</f>
        <v>0</v>
      </c>
      <c r="Q1032" s="279">
        <f>RES_BA!T184</f>
        <v>0</v>
      </c>
      <c r="S1032" s="279">
        <f>RES_BA!U184</f>
        <v>0</v>
      </c>
    </row>
    <row r="1033" spans="3:19" s="277" customFormat="1" hidden="1" outlineLevel="1" x14ac:dyDescent="0.3">
      <c r="C1033" s="283" t="str">
        <f>RES_BA!D185</f>
        <v>Other Direct Costs Category 17</v>
      </c>
      <c r="M1033" s="279">
        <f>RES_BA!R185</f>
        <v>0</v>
      </c>
      <c r="O1033" s="279">
        <f>RES_BA!S185</f>
        <v>0</v>
      </c>
      <c r="Q1033" s="279">
        <f>RES_BA!T185</f>
        <v>0</v>
      </c>
      <c r="S1033" s="279">
        <f>RES_BA!U185</f>
        <v>0</v>
      </c>
    </row>
    <row r="1034" spans="3:19" s="277" customFormat="1" hidden="1" outlineLevel="1" x14ac:dyDescent="0.3">
      <c r="C1034" s="283" t="str">
        <f>RES_BA!D186</f>
        <v>Other Direct Costs Category 18</v>
      </c>
      <c r="M1034" s="279">
        <f>RES_BA!R186</f>
        <v>0</v>
      </c>
      <c r="O1034" s="279">
        <f>RES_BA!S186</f>
        <v>0</v>
      </c>
      <c r="Q1034" s="279">
        <f>RES_BA!T186</f>
        <v>0</v>
      </c>
      <c r="S1034" s="279">
        <f>RES_BA!U186</f>
        <v>0</v>
      </c>
    </row>
    <row r="1035" spans="3:19" s="277" customFormat="1" hidden="1" outlineLevel="1" x14ac:dyDescent="0.3">
      <c r="C1035" s="283" t="str">
        <f>RES_BA!D187</f>
        <v>Other Direct Costs Category 19</v>
      </c>
      <c r="M1035" s="279">
        <f>RES_BA!R187</f>
        <v>0</v>
      </c>
      <c r="O1035" s="279">
        <f>RES_BA!S187</f>
        <v>0</v>
      </c>
      <c r="Q1035" s="279">
        <f>RES_BA!T187</f>
        <v>0</v>
      </c>
      <c r="S1035" s="279">
        <f>RES_BA!U187</f>
        <v>0</v>
      </c>
    </row>
    <row r="1036" spans="3:19" s="277" customFormat="1" hidden="1" outlineLevel="1" x14ac:dyDescent="0.3">
      <c r="C1036" s="283" t="str">
        <f>RES_BA!D188</f>
        <v>Other Direct Costs Category 20</v>
      </c>
      <c r="M1036" s="279">
        <f>RES_BA!R188</f>
        <v>0</v>
      </c>
      <c r="O1036" s="279">
        <f>RES_BA!S188</f>
        <v>0</v>
      </c>
      <c r="Q1036" s="279">
        <f>RES_BA!T188</f>
        <v>0</v>
      </c>
      <c r="S1036" s="279">
        <f>RES_BA!U188</f>
        <v>0</v>
      </c>
    </row>
    <row r="1037" spans="3:19" s="277" customFormat="1" hidden="1" outlineLevel="1" x14ac:dyDescent="0.3">
      <c r="C1037" s="283" t="str">
        <f>RES_BA!D189</f>
        <v>Other Direct Costs Category 21</v>
      </c>
      <c r="M1037" s="279">
        <f>RES_BA!R189</f>
        <v>0</v>
      </c>
      <c r="O1037" s="279">
        <f>RES_BA!S189</f>
        <v>0</v>
      </c>
      <c r="Q1037" s="279">
        <f>RES_BA!T189</f>
        <v>0</v>
      </c>
      <c r="S1037" s="279">
        <f>RES_BA!U189</f>
        <v>0</v>
      </c>
    </row>
    <row r="1038" spans="3:19" s="277" customFormat="1" hidden="1" outlineLevel="1" x14ac:dyDescent="0.3">
      <c r="C1038" s="283" t="str">
        <f>RES_BA!D190</f>
        <v>Other Direct Costs Category 22</v>
      </c>
      <c r="M1038" s="279">
        <f>RES_BA!R190</f>
        <v>0</v>
      </c>
      <c r="O1038" s="279">
        <f>RES_BA!S190</f>
        <v>0</v>
      </c>
      <c r="Q1038" s="279">
        <f>RES_BA!T190</f>
        <v>0</v>
      </c>
      <c r="S1038" s="279">
        <f>RES_BA!U190</f>
        <v>0</v>
      </c>
    </row>
    <row r="1039" spans="3:19" s="277" customFormat="1" hidden="1" outlineLevel="1" x14ac:dyDescent="0.3">
      <c r="C1039" s="283" t="str">
        <f>RES_BA!D191</f>
        <v>Other Direct Costs Category 23</v>
      </c>
      <c r="M1039" s="279">
        <f>RES_BA!R191</f>
        <v>0</v>
      </c>
      <c r="O1039" s="279">
        <f>RES_BA!S191</f>
        <v>0</v>
      </c>
      <c r="Q1039" s="279">
        <f>RES_BA!T191</f>
        <v>0</v>
      </c>
      <c r="S1039" s="279">
        <f>RES_BA!U191</f>
        <v>0</v>
      </c>
    </row>
    <row r="1040" spans="3:19" s="277" customFormat="1" hidden="1" outlineLevel="1" collapsed="1" x14ac:dyDescent="0.3">
      <c r="C1040" s="283" t="str">
        <f>RES_BA!D192</f>
        <v>Other Direct Costs Category 24</v>
      </c>
      <c r="M1040" s="279">
        <f>RES_BA!R192</f>
        <v>0</v>
      </c>
      <c r="O1040" s="279">
        <f>RES_BA!S192</f>
        <v>0</v>
      </c>
      <c r="Q1040" s="279">
        <f>RES_BA!T192</f>
        <v>0</v>
      </c>
      <c r="S1040" s="279">
        <f>RES_BA!U192</f>
        <v>0</v>
      </c>
    </row>
    <row r="1041" spans="2:19" s="277" customFormat="1" hidden="1" outlineLevel="1" x14ac:dyDescent="0.3">
      <c r="C1041" s="283" t="str">
        <f>RES_BA!D193</f>
        <v>Other Direct Costs Category 25</v>
      </c>
      <c r="M1041" s="279">
        <f>RES_BA!R193</f>
        <v>0</v>
      </c>
      <c r="O1041" s="279">
        <f>RES_BA!S193</f>
        <v>0</v>
      </c>
      <c r="Q1041" s="279">
        <f>RES_BA!T193</f>
        <v>0</v>
      </c>
      <c r="S1041" s="279">
        <f>RES_BA!U193</f>
        <v>0</v>
      </c>
    </row>
    <row r="1042" spans="2:19" s="277" customFormat="1" hidden="1" outlineLevel="1" x14ac:dyDescent="0.3">
      <c r="C1042" s="283" t="str">
        <f>RES_BA!D194</f>
        <v>Other Direct Costs Category 26</v>
      </c>
      <c r="M1042" s="279">
        <f>RES_BA!R194</f>
        <v>0</v>
      </c>
      <c r="O1042" s="279">
        <f>RES_BA!S194</f>
        <v>0</v>
      </c>
      <c r="Q1042" s="279">
        <f>RES_BA!T194</f>
        <v>0</v>
      </c>
      <c r="S1042" s="279">
        <f>RES_BA!U194</f>
        <v>0</v>
      </c>
    </row>
    <row r="1043" spans="2:19" s="277" customFormat="1" hidden="1" outlineLevel="1" x14ac:dyDescent="0.3">
      <c r="C1043" s="283" t="str">
        <f>RES_BA!D195</f>
        <v>Other Direct Costs Category 27</v>
      </c>
      <c r="M1043" s="279">
        <f>RES_BA!R195</f>
        <v>0</v>
      </c>
      <c r="O1043" s="279">
        <f>RES_BA!S195</f>
        <v>0</v>
      </c>
      <c r="Q1043" s="279">
        <f>RES_BA!T195</f>
        <v>0</v>
      </c>
      <c r="S1043" s="279">
        <f>RES_BA!U195</f>
        <v>0</v>
      </c>
    </row>
    <row r="1044" spans="2:19" s="277" customFormat="1" hidden="1" outlineLevel="1" x14ac:dyDescent="0.3">
      <c r="C1044" s="283" t="str">
        <f>RES_BA!D196</f>
        <v>Other Direct Costs Category 28</v>
      </c>
      <c r="M1044" s="279">
        <f>RES_BA!R196</f>
        <v>0</v>
      </c>
      <c r="O1044" s="279">
        <f>RES_BA!S196</f>
        <v>0</v>
      </c>
      <c r="Q1044" s="279">
        <f>RES_BA!T196</f>
        <v>0</v>
      </c>
      <c r="S1044" s="279">
        <f>RES_BA!U196</f>
        <v>0</v>
      </c>
    </row>
    <row r="1045" spans="2:19" s="277" customFormat="1" hidden="1" outlineLevel="1" x14ac:dyDescent="0.3">
      <c r="C1045" s="283" t="str">
        <f>RES_BA!D197</f>
        <v>Other Direct Costs Category 29</v>
      </c>
      <c r="M1045" s="279">
        <f>RES_BA!R197</f>
        <v>0</v>
      </c>
      <c r="O1045" s="279">
        <f>RES_BA!S197</f>
        <v>0</v>
      </c>
      <c r="Q1045" s="279">
        <f>RES_BA!T197</f>
        <v>0</v>
      </c>
      <c r="S1045" s="279">
        <f>RES_BA!U197</f>
        <v>0</v>
      </c>
    </row>
    <row r="1046" spans="2:19" s="277" customFormat="1" hidden="1" outlineLevel="1" x14ac:dyDescent="0.3">
      <c r="C1046" s="283" t="str">
        <f>RES_BA!D198</f>
        <v>Other Direct Costs Category 30</v>
      </c>
      <c r="M1046" s="279">
        <f>RES_BA!R198</f>
        <v>0</v>
      </c>
      <c r="O1046" s="279">
        <f>RES_BA!S198</f>
        <v>0</v>
      </c>
      <c r="Q1046" s="279">
        <f>RES_BA!T198</f>
        <v>0</v>
      </c>
      <c r="S1046" s="279">
        <f>RES_BA!U198</f>
        <v>0</v>
      </c>
    </row>
    <row r="1047" spans="2:19" s="277" customFormat="1" hidden="1" outlineLevel="1" x14ac:dyDescent="0.3">
      <c r="C1047" s="283" t="str">
        <f>RES_BA!D199</f>
        <v>Other Direct Costs Category 31</v>
      </c>
      <c r="M1047" s="279">
        <f>RES_BA!R199</f>
        <v>0</v>
      </c>
      <c r="O1047" s="279">
        <f>RES_BA!S199</f>
        <v>0</v>
      </c>
      <c r="Q1047" s="279">
        <f>RES_BA!T199</f>
        <v>0</v>
      </c>
      <c r="S1047" s="279">
        <f>RES_BA!U199</f>
        <v>0</v>
      </c>
    </row>
    <row r="1048" spans="2:19" s="277" customFormat="1" hidden="1" outlineLevel="1" x14ac:dyDescent="0.3">
      <c r="C1048" s="283" t="str">
        <f>RES_BA!D200</f>
        <v>Other Direct Costs Category 32</v>
      </c>
      <c r="M1048" s="279">
        <f>RES_BA!R200</f>
        <v>0</v>
      </c>
      <c r="O1048" s="279">
        <f>RES_BA!S200</f>
        <v>0</v>
      </c>
      <c r="Q1048" s="279">
        <f>RES_BA!T200</f>
        <v>0</v>
      </c>
      <c r="S1048" s="279">
        <f>RES_BA!U200</f>
        <v>0</v>
      </c>
    </row>
    <row r="1049" spans="2:19" s="277" customFormat="1" hidden="1" outlineLevel="1" x14ac:dyDescent="0.3">
      <c r="C1049" s="283" t="str">
        <f>RES_BA!D201</f>
        <v>Other Direct Costs Category 33</v>
      </c>
      <c r="M1049" s="279">
        <f>RES_BA!R201</f>
        <v>0</v>
      </c>
      <c r="O1049" s="279">
        <f>RES_BA!S201</f>
        <v>0</v>
      </c>
      <c r="Q1049" s="279">
        <f>RES_BA!T201</f>
        <v>0</v>
      </c>
      <c r="S1049" s="279">
        <f>RES_BA!U201</f>
        <v>0</v>
      </c>
    </row>
    <row r="1050" spans="2:19" s="277" customFormat="1" hidden="1" outlineLevel="1" x14ac:dyDescent="0.3">
      <c r="C1050" s="283" t="str">
        <f>RES_BA!D202</f>
        <v>Other Direct Costs Category 34</v>
      </c>
      <c r="M1050" s="279">
        <f>RES_BA!R202</f>
        <v>0</v>
      </c>
      <c r="O1050" s="279">
        <f>RES_BA!S202</f>
        <v>0</v>
      </c>
      <c r="Q1050" s="279">
        <f>RES_BA!T202</f>
        <v>0</v>
      </c>
      <c r="S1050" s="279">
        <f>RES_BA!U202</f>
        <v>0</v>
      </c>
    </row>
    <row r="1051" spans="2:19" s="277" customFormat="1" hidden="1" outlineLevel="1" x14ac:dyDescent="0.3">
      <c r="C1051" s="283" t="str">
        <f>RES_BA!D203</f>
        <v>Other Direct Costs Category 35</v>
      </c>
      <c r="M1051" s="279">
        <f>RES_BA!R203</f>
        <v>0</v>
      </c>
      <c r="O1051" s="279">
        <f>RES_BA!S203</f>
        <v>0</v>
      </c>
      <c r="Q1051" s="279">
        <f>RES_BA!T203</f>
        <v>0</v>
      </c>
      <c r="S1051" s="279">
        <f>RES_BA!U203</f>
        <v>0</v>
      </c>
    </row>
    <row r="1052" spans="2:19" collapsed="1" x14ac:dyDescent="0.3"/>
    <row r="1054" spans="2:19" ht="18" x14ac:dyDescent="0.3">
      <c r="B1054" s="31" t="str">
        <f>I1055</f>
        <v>Round 2 - Vacciination Activity #4 [not in use]</v>
      </c>
    </row>
    <row r="1055" spans="2:19" x14ac:dyDescent="0.3">
      <c r="G1055" s="41" t="s">
        <v>119</v>
      </c>
      <c r="I1055" s="356" t="s">
        <v>1013</v>
      </c>
      <c r="J1055" s="356"/>
      <c r="K1055" s="356"/>
      <c r="L1055" s="356"/>
      <c r="M1055" s="356"/>
    </row>
    <row r="1056" spans="2:19" ht="10.5" customHeight="1" x14ac:dyDescent="0.3">
      <c r="G1056" s="41" t="s">
        <v>644</v>
      </c>
      <c r="I1056" s="32">
        <v>2</v>
      </c>
    </row>
    <row r="1057" spans="3:24" ht="15.6" x14ac:dyDescent="0.3">
      <c r="C1057" s="92" t="s">
        <v>77</v>
      </c>
      <c r="M1057" s="40" t="str">
        <f>IF(DD_ACT_24_Meet1_Curr=1,$D$1210,$D$1211)</f>
        <v>GOZ</v>
      </c>
      <c r="O1057" s="40" t="str">
        <f>IF(DD_ACT_24_Meet1_Curr=1,$D$1210,$D$1211)</f>
        <v>GOZ</v>
      </c>
      <c r="Q1057" s="40" t="str">
        <f>IF(DD_ACT_24_Meet1_Curr=1,$D$1210,$D$1211)</f>
        <v>GOZ</v>
      </c>
      <c r="S1057" s="40" t="str">
        <f>IF(DD_ACT_24_Meet1_Curr=1,$D$1210,$D$1211)</f>
        <v>GOZ</v>
      </c>
    </row>
    <row r="1058" spans="3:24" ht="27.6" x14ac:dyDescent="0.3">
      <c r="D1058" s="90" t="s">
        <v>77</v>
      </c>
      <c r="I1058" s="88" t="s">
        <v>80</v>
      </c>
      <c r="K1058" s="91" t="s">
        <v>432</v>
      </c>
      <c r="M1058" s="42" t="s">
        <v>103</v>
      </c>
      <c r="O1058" s="42" t="s">
        <v>104</v>
      </c>
      <c r="Q1058" s="42" t="s">
        <v>105</v>
      </c>
      <c r="S1058" s="42" t="s">
        <v>106</v>
      </c>
      <c r="U1058" s="350" t="s">
        <v>185</v>
      </c>
      <c r="V1058" s="426"/>
      <c r="W1058" s="426"/>
      <c r="X1058" s="426"/>
    </row>
    <row r="1059" spans="3:24" x14ac:dyDescent="0.3">
      <c r="D1059" s="356" t="s">
        <v>188</v>
      </c>
      <c r="E1059" s="356"/>
      <c r="F1059" s="356"/>
      <c r="G1059" s="356"/>
      <c r="I1059" s="48">
        <v>0</v>
      </c>
      <c r="K1059" s="48">
        <v>0</v>
      </c>
      <c r="M1059" s="40">
        <f t="shared" ref="M1059:M1083" si="60">IFERROR(IF(DD_ACT_24_Meet1_Curr=1,INDEX($M$1216:$M$1250,MATCH(D1059,LU_ACT_24_Pers_Res,0)),INDEX($Q$1216:$Q$1250,MATCH(D1059,LU_ACT_24_Pers_Res,0))),0)</f>
        <v>0</v>
      </c>
      <c r="O1059" s="40">
        <f t="shared" ref="O1059:O1083" si="61">IFERROR(IF(DD_ACT_24_Meet1_Curr=1,INDEX($O$1216:$O$1250,MATCH(D1059,LU_ACT_24_Pers_Res,0)),INDEX($S$1216:$S$1250,MATCH(D1059,LU_ACT_24_Pers_Res,0))),0)</f>
        <v>0</v>
      </c>
      <c r="Q1059" s="293">
        <f t="shared" ref="Q1059:Q1083" si="62">I1059*K1059*M1059</f>
        <v>0</v>
      </c>
      <c r="S1059" s="293">
        <f t="shared" ref="S1059:S1083" si="63">I1059*K1059*O1059</f>
        <v>0</v>
      </c>
      <c r="U1059" s="356"/>
      <c r="V1059" s="356"/>
      <c r="W1059" s="356"/>
      <c r="X1059" s="356"/>
    </row>
    <row r="1060" spans="3:24" x14ac:dyDescent="0.3">
      <c r="D1060" s="356" t="s">
        <v>189</v>
      </c>
      <c r="E1060" s="356"/>
      <c r="F1060" s="356"/>
      <c r="G1060" s="356"/>
      <c r="I1060" s="48">
        <v>0</v>
      </c>
      <c r="K1060" s="48">
        <v>0</v>
      </c>
      <c r="M1060" s="40">
        <f t="shared" si="60"/>
        <v>0</v>
      </c>
      <c r="O1060" s="40">
        <f t="shared" si="61"/>
        <v>0</v>
      </c>
      <c r="Q1060" s="293">
        <f t="shared" si="62"/>
        <v>0</v>
      </c>
      <c r="S1060" s="293">
        <f t="shared" si="63"/>
        <v>0</v>
      </c>
      <c r="U1060" s="356"/>
      <c r="V1060" s="356"/>
      <c r="W1060" s="356"/>
      <c r="X1060" s="356"/>
    </row>
    <row r="1061" spans="3:24" x14ac:dyDescent="0.3">
      <c r="D1061" s="356" t="s">
        <v>190</v>
      </c>
      <c r="E1061" s="356"/>
      <c r="F1061" s="356"/>
      <c r="G1061" s="356"/>
      <c r="I1061" s="48">
        <v>0</v>
      </c>
      <c r="K1061" s="48">
        <v>0</v>
      </c>
      <c r="M1061" s="40">
        <f t="shared" si="60"/>
        <v>0</v>
      </c>
      <c r="O1061" s="40">
        <f t="shared" si="61"/>
        <v>0</v>
      </c>
      <c r="Q1061" s="293">
        <f t="shared" si="62"/>
        <v>0</v>
      </c>
      <c r="S1061" s="293">
        <f t="shared" si="63"/>
        <v>0</v>
      </c>
      <c r="U1061" s="356"/>
      <c r="V1061" s="356"/>
      <c r="W1061" s="356"/>
      <c r="X1061" s="356"/>
    </row>
    <row r="1062" spans="3:24" x14ac:dyDescent="0.3">
      <c r="D1062" s="356" t="s">
        <v>191</v>
      </c>
      <c r="E1062" s="356"/>
      <c r="F1062" s="356"/>
      <c r="G1062" s="356"/>
      <c r="I1062" s="48">
        <v>0</v>
      </c>
      <c r="K1062" s="48">
        <v>0</v>
      </c>
      <c r="M1062" s="40">
        <f t="shared" si="60"/>
        <v>0</v>
      </c>
      <c r="O1062" s="40">
        <f t="shared" si="61"/>
        <v>0</v>
      </c>
      <c r="Q1062" s="293">
        <f t="shared" si="62"/>
        <v>0</v>
      </c>
      <c r="S1062" s="293">
        <f t="shared" si="63"/>
        <v>0</v>
      </c>
      <c r="U1062" s="356"/>
      <c r="V1062" s="356"/>
      <c r="W1062" s="356"/>
      <c r="X1062" s="356"/>
    </row>
    <row r="1063" spans="3:24" x14ac:dyDescent="0.3">
      <c r="D1063" s="356" t="s">
        <v>192</v>
      </c>
      <c r="E1063" s="356"/>
      <c r="F1063" s="356"/>
      <c r="G1063" s="356"/>
      <c r="I1063" s="48">
        <v>0</v>
      </c>
      <c r="K1063" s="48">
        <v>0</v>
      </c>
      <c r="M1063" s="40">
        <f t="shared" si="60"/>
        <v>0</v>
      </c>
      <c r="O1063" s="40">
        <f t="shared" si="61"/>
        <v>0</v>
      </c>
      <c r="Q1063" s="293">
        <f t="shared" si="62"/>
        <v>0</v>
      </c>
      <c r="S1063" s="293">
        <f t="shared" si="63"/>
        <v>0</v>
      </c>
      <c r="U1063" s="356"/>
      <c r="V1063" s="356"/>
      <c r="W1063" s="356"/>
      <c r="X1063" s="356"/>
    </row>
    <row r="1064" spans="3:24" x14ac:dyDescent="0.3">
      <c r="D1064" s="356" t="s">
        <v>193</v>
      </c>
      <c r="E1064" s="356"/>
      <c r="F1064" s="356"/>
      <c r="G1064" s="356"/>
      <c r="I1064" s="48">
        <v>0</v>
      </c>
      <c r="K1064" s="48">
        <v>0</v>
      </c>
      <c r="M1064" s="40">
        <f t="shared" si="60"/>
        <v>0</v>
      </c>
      <c r="O1064" s="40">
        <f t="shared" si="61"/>
        <v>0</v>
      </c>
      <c r="Q1064" s="293">
        <f t="shared" si="62"/>
        <v>0</v>
      </c>
      <c r="S1064" s="293">
        <f t="shared" si="63"/>
        <v>0</v>
      </c>
      <c r="U1064" s="356"/>
      <c r="V1064" s="356"/>
      <c r="W1064" s="356"/>
      <c r="X1064" s="356"/>
    </row>
    <row r="1065" spans="3:24" x14ac:dyDescent="0.3">
      <c r="D1065" s="356" t="s">
        <v>120</v>
      </c>
      <c r="E1065" s="356"/>
      <c r="F1065" s="356"/>
      <c r="G1065" s="356"/>
      <c r="I1065" s="48">
        <v>0</v>
      </c>
      <c r="K1065" s="48">
        <v>0</v>
      </c>
      <c r="M1065" s="40">
        <f t="shared" si="60"/>
        <v>0</v>
      </c>
      <c r="O1065" s="40">
        <f t="shared" si="61"/>
        <v>0</v>
      </c>
      <c r="Q1065" s="293">
        <f t="shared" si="62"/>
        <v>0</v>
      </c>
      <c r="S1065" s="293">
        <f t="shared" si="63"/>
        <v>0</v>
      </c>
      <c r="U1065" s="356"/>
      <c r="V1065" s="356"/>
      <c r="W1065" s="356"/>
      <c r="X1065" s="356"/>
    </row>
    <row r="1066" spans="3:24" x14ac:dyDescent="0.3">
      <c r="D1066" s="356" t="s">
        <v>121</v>
      </c>
      <c r="E1066" s="356"/>
      <c r="F1066" s="356"/>
      <c r="G1066" s="356"/>
      <c r="I1066" s="48">
        <v>0</v>
      </c>
      <c r="K1066" s="48">
        <v>0</v>
      </c>
      <c r="M1066" s="40">
        <f t="shared" si="60"/>
        <v>0</v>
      </c>
      <c r="O1066" s="40">
        <f t="shared" si="61"/>
        <v>0</v>
      </c>
      <c r="Q1066" s="293">
        <f t="shared" si="62"/>
        <v>0</v>
      </c>
      <c r="S1066" s="293">
        <f t="shared" si="63"/>
        <v>0</v>
      </c>
      <c r="U1066" s="356"/>
      <c r="V1066" s="356"/>
      <c r="W1066" s="356"/>
      <c r="X1066" s="356"/>
    </row>
    <row r="1067" spans="3:24" s="277" customFormat="1" x14ac:dyDescent="0.3">
      <c r="D1067" s="356" t="s">
        <v>830</v>
      </c>
      <c r="E1067" s="356"/>
      <c r="F1067" s="356"/>
      <c r="G1067" s="356"/>
      <c r="I1067" s="48">
        <v>0</v>
      </c>
      <c r="K1067" s="48">
        <v>0</v>
      </c>
      <c r="M1067" s="279">
        <f t="shared" si="60"/>
        <v>0</v>
      </c>
      <c r="O1067" s="279">
        <f t="shared" si="61"/>
        <v>0</v>
      </c>
      <c r="Q1067" s="293">
        <f t="shared" si="62"/>
        <v>0</v>
      </c>
      <c r="S1067" s="293">
        <f t="shared" si="63"/>
        <v>0</v>
      </c>
      <c r="U1067" s="385"/>
      <c r="V1067" s="385"/>
      <c r="W1067" s="385"/>
      <c r="X1067" s="385"/>
    </row>
    <row r="1068" spans="3:24" s="277" customFormat="1" x14ac:dyDescent="0.3">
      <c r="D1068" s="356" t="s">
        <v>831</v>
      </c>
      <c r="E1068" s="356"/>
      <c r="F1068" s="356"/>
      <c r="G1068" s="356"/>
      <c r="I1068" s="48">
        <v>0</v>
      </c>
      <c r="K1068" s="48">
        <v>0</v>
      </c>
      <c r="M1068" s="279">
        <f t="shared" si="60"/>
        <v>0</v>
      </c>
      <c r="O1068" s="279">
        <f t="shared" si="61"/>
        <v>0</v>
      </c>
      <c r="Q1068" s="293">
        <f t="shared" si="62"/>
        <v>0</v>
      </c>
      <c r="S1068" s="293">
        <f t="shared" si="63"/>
        <v>0</v>
      </c>
      <c r="U1068" s="385"/>
      <c r="V1068" s="385"/>
      <c r="W1068" s="385"/>
      <c r="X1068" s="385"/>
    </row>
    <row r="1069" spans="3:24" s="277" customFormat="1" x14ac:dyDescent="0.3">
      <c r="D1069" s="356" t="s">
        <v>832</v>
      </c>
      <c r="E1069" s="356"/>
      <c r="F1069" s="356"/>
      <c r="G1069" s="356"/>
      <c r="I1069" s="48">
        <v>0</v>
      </c>
      <c r="K1069" s="48">
        <v>0</v>
      </c>
      <c r="M1069" s="279">
        <f t="shared" si="60"/>
        <v>0</v>
      </c>
      <c r="O1069" s="279">
        <f t="shared" si="61"/>
        <v>0</v>
      </c>
      <c r="Q1069" s="293">
        <f t="shared" si="62"/>
        <v>0</v>
      </c>
      <c r="S1069" s="293">
        <f t="shared" si="63"/>
        <v>0</v>
      </c>
      <c r="U1069" s="385"/>
      <c r="V1069" s="385"/>
      <c r="W1069" s="385"/>
      <c r="X1069" s="385"/>
    </row>
    <row r="1070" spans="3:24" s="277" customFormat="1" x14ac:dyDescent="0.3">
      <c r="D1070" s="356" t="s">
        <v>833</v>
      </c>
      <c r="E1070" s="356"/>
      <c r="F1070" s="356"/>
      <c r="G1070" s="356"/>
      <c r="I1070" s="48">
        <v>0</v>
      </c>
      <c r="K1070" s="48">
        <v>0</v>
      </c>
      <c r="M1070" s="279">
        <f t="shared" si="60"/>
        <v>0</v>
      </c>
      <c r="O1070" s="279">
        <f t="shared" si="61"/>
        <v>0</v>
      </c>
      <c r="Q1070" s="293">
        <f t="shared" si="62"/>
        <v>0</v>
      </c>
      <c r="S1070" s="293">
        <f t="shared" si="63"/>
        <v>0</v>
      </c>
      <c r="U1070" s="385"/>
      <c r="V1070" s="385"/>
      <c r="W1070" s="385"/>
      <c r="X1070" s="385"/>
    </row>
    <row r="1071" spans="3:24" s="277" customFormat="1" x14ac:dyDescent="0.3">
      <c r="D1071" s="356" t="s">
        <v>834</v>
      </c>
      <c r="E1071" s="356"/>
      <c r="F1071" s="356"/>
      <c r="G1071" s="356"/>
      <c r="I1071" s="48">
        <v>0</v>
      </c>
      <c r="K1071" s="48">
        <v>0</v>
      </c>
      <c r="M1071" s="279">
        <f t="shared" si="60"/>
        <v>0</v>
      </c>
      <c r="O1071" s="279">
        <f t="shared" si="61"/>
        <v>0</v>
      </c>
      <c r="Q1071" s="293">
        <f t="shared" si="62"/>
        <v>0</v>
      </c>
      <c r="S1071" s="293">
        <f t="shared" si="63"/>
        <v>0</v>
      </c>
      <c r="U1071" s="385"/>
      <c r="V1071" s="385"/>
      <c r="W1071" s="385"/>
      <c r="X1071" s="385"/>
    </row>
    <row r="1072" spans="3:24" s="277" customFormat="1" x14ac:dyDescent="0.3">
      <c r="D1072" s="356" t="s">
        <v>835</v>
      </c>
      <c r="E1072" s="356"/>
      <c r="F1072" s="356"/>
      <c r="G1072" s="356"/>
      <c r="I1072" s="48">
        <v>0</v>
      </c>
      <c r="K1072" s="48">
        <v>0</v>
      </c>
      <c r="M1072" s="279">
        <f t="shared" si="60"/>
        <v>0</v>
      </c>
      <c r="O1072" s="279">
        <f t="shared" si="61"/>
        <v>0</v>
      </c>
      <c r="Q1072" s="293">
        <f t="shared" si="62"/>
        <v>0</v>
      </c>
      <c r="S1072" s="293">
        <f t="shared" si="63"/>
        <v>0</v>
      </c>
      <c r="U1072" s="385"/>
      <c r="V1072" s="385"/>
      <c r="W1072" s="385"/>
      <c r="X1072" s="385"/>
    </row>
    <row r="1073" spans="3:24" s="277" customFormat="1" x14ac:dyDescent="0.3">
      <c r="D1073" s="356" t="s">
        <v>836</v>
      </c>
      <c r="E1073" s="356"/>
      <c r="F1073" s="356"/>
      <c r="G1073" s="356"/>
      <c r="I1073" s="48">
        <v>0</v>
      </c>
      <c r="K1073" s="48">
        <v>0</v>
      </c>
      <c r="M1073" s="279">
        <f t="shared" si="60"/>
        <v>0</v>
      </c>
      <c r="O1073" s="279">
        <f t="shared" si="61"/>
        <v>0</v>
      </c>
      <c r="Q1073" s="293">
        <f t="shared" si="62"/>
        <v>0</v>
      </c>
      <c r="S1073" s="293">
        <f t="shared" si="63"/>
        <v>0</v>
      </c>
      <c r="U1073" s="385"/>
      <c r="V1073" s="385"/>
      <c r="W1073" s="385"/>
      <c r="X1073" s="385"/>
    </row>
    <row r="1074" spans="3:24" s="277" customFormat="1" x14ac:dyDescent="0.3">
      <c r="D1074" s="356" t="s">
        <v>837</v>
      </c>
      <c r="E1074" s="356"/>
      <c r="F1074" s="356"/>
      <c r="G1074" s="356"/>
      <c r="I1074" s="48">
        <v>0</v>
      </c>
      <c r="K1074" s="48">
        <v>0</v>
      </c>
      <c r="M1074" s="279">
        <f t="shared" si="60"/>
        <v>0</v>
      </c>
      <c r="O1074" s="279">
        <f t="shared" si="61"/>
        <v>0</v>
      </c>
      <c r="Q1074" s="293">
        <f t="shared" si="62"/>
        <v>0</v>
      </c>
      <c r="S1074" s="293">
        <f t="shared" si="63"/>
        <v>0</v>
      </c>
      <c r="U1074" s="385"/>
      <c r="V1074" s="385"/>
      <c r="W1074" s="385"/>
      <c r="X1074" s="385"/>
    </row>
    <row r="1075" spans="3:24" s="277" customFormat="1" x14ac:dyDescent="0.3">
      <c r="D1075" s="356" t="s">
        <v>846</v>
      </c>
      <c r="E1075" s="356"/>
      <c r="F1075" s="356"/>
      <c r="G1075" s="356"/>
      <c r="I1075" s="48">
        <v>0</v>
      </c>
      <c r="K1075" s="48">
        <v>0</v>
      </c>
      <c r="M1075" s="279">
        <f t="shared" si="60"/>
        <v>0</v>
      </c>
      <c r="O1075" s="279">
        <f t="shared" si="61"/>
        <v>0</v>
      </c>
      <c r="Q1075" s="293">
        <f t="shared" si="62"/>
        <v>0</v>
      </c>
      <c r="S1075" s="293">
        <f t="shared" si="63"/>
        <v>0</v>
      </c>
      <c r="U1075" s="385"/>
      <c r="V1075" s="385"/>
      <c r="W1075" s="385"/>
      <c r="X1075" s="385"/>
    </row>
    <row r="1076" spans="3:24" s="277" customFormat="1" x14ac:dyDescent="0.3">
      <c r="D1076" s="356" t="s">
        <v>847</v>
      </c>
      <c r="E1076" s="356"/>
      <c r="F1076" s="356"/>
      <c r="G1076" s="356"/>
      <c r="I1076" s="48">
        <v>0</v>
      </c>
      <c r="K1076" s="48">
        <v>0</v>
      </c>
      <c r="M1076" s="279">
        <f t="shared" si="60"/>
        <v>0</v>
      </c>
      <c r="O1076" s="279">
        <f t="shared" si="61"/>
        <v>0</v>
      </c>
      <c r="Q1076" s="293">
        <f t="shared" si="62"/>
        <v>0</v>
      </c>
      <c r="S1076" s="293">
        <f t="shared" si="63"/>
        <v>0</v>
      </c>
      <c r="U1076" s="385"/>
      <c r="V1076" s="385"/>
      <c r="W1076" s="385"/>
      <c r="X1076" s="385"/>
    </row>
    <row r="1077" spans="3:24" s="277" customFormat="1" x14ac:dyDescent="0.3">
      <c r="D1077" s="356" t="s">
        <v>848</v>
      </c>
      <c r="E1077" s="356"/>
      <c r="F1077" s="356"/>
      <c r="G1077" s="356"/>
      <c r="I1077" s="48">
        <v>0</v>
      </c>
      <c r="K1077" s="48">
        <v>0</v>
      </c>
      <c r="M1077" s="279">
        <f t="shared" si="60"/>
        <v>0</v>
      </c>
      <c r="O1077" s="279">
        <f t="shared" si="61"/>
        <v>0</v>
      </c>
      <c r="Q1077" s="293">
        <f t="shared" si="62"/>
        <v>0</v>
      </c>
      <c r="S1077" s="293">
        <f t="shared" si="63"/>
        <v>0</v>
      </c>
      <c r="U1077" s="385"/>
      <c r="V1077" s="385"/>
      <c r="W1077" s="385"/>
      <c r="X1077" s="385"/>
    </row>
    <row r="1078" spans="3:24" s="277" customFormat="1" x14ac:dyDescent="0.3">
      <c r="D1078" s="356" t="s">
        <v>849</v>
      </c>
      <c r="E1078" s="356"/>
      <c r="F1078" s="356"/>
      <c r="G1078" s="356"/>
      <c r="I1078" s="48">
        <v>0</v>
      </c>
      <c r="K1078" s="48">
        <v>0</v>
      </c>
      <c r="M1078" s="279">
        <f t="shared" si="60"/>
        <v>0</v>
      </c>
      <c r="O1078" s="279">
        <f t="shared" si="61"/>
        <v>0</v>
      </c>
      <c r="Q1078" s="293">
        <f t="shared" si="62"/>
        <v>0</v>
      </c>
      <c r="S1078" s="293">
        <f t="shared" si="63"/>
        <v>0</v>
      </c>
      <c r="U1078" s="385"/>
      <c r="V1078" s="385"/>
      <c r="W1078" s="385"/>
      <c r="X1078" s="385"/>
    </row>
    <row r="1079" spans="3:24" s="277" customFormat="1" x14ac:dyDescent="0.3">
      <c r="D1079" s="356" t="s">
        <v>971</v>
      </c>
      <c r="E1079" s="356"/>
      <c r="F1079" s="356"/>
      <c r="G1079" s="356"/>
      <c r="I1079" s="48">
        <v>0</v>
      </c>
      <c r="K1079" s="48">
        <v>0</v>
      </c>
      <c r="M1079" s="279">
        <f t="shared" si="60"/>
        <v>0</v>
      </c>
      <c r="O1079" s="279">
        <f t="shared" si="61"/>
        <v>0</v>
      </c>
      <c r="Q1079" s="293">
        <f t="shared" si="62"/>
        <v>0</v>
      </c>
      <c r="S1079" s="293">
        <f t="shared" si="63"/>
        <v>0</v>
      </c>
      <c r="U1079" s="385"/>
      <c r="V1079" s="385"/>
      <c r="W1079" s="385"/>
      <c r="X1079" s="385"/>
    </row>
    <row r="1080" spans="3:24" s="277" customFormat="1" x14ac:dyDescent="0.3">
      <c r="D1080" s="356" t="s">
        <v>973</v>
      </c>
      <c r="E1080" s="356"/>
      <c r="F1080" s="356"/>
      <c r="G1080" s="356"/>
      <c r="I1080" s="48">
        <v>0</v>
      </c>
      <c r="K1080" s="48">
        <v>0</v>
      </c>
      <c r="M1080" s="279">
        <f t="shared" si="60"/>
        <v>0</v>
      </c>
      <c r="O1080" s="279">
        <f t="shared" si="61"/>
        <v>0</v>
      </c>
      <c r="Q1080" s="293">
        <f t="shared" si="62"/>
        <v>0</v>
      </c>
      <c r="S1080" s="293">
        <f t="shared" si="63"/>
        <v>0</v>
      </c>
      <c r="U1080" s="385"/>
      <c r="V1080" s="385"/>
      <c r="W1080" s="385"/>
      <c r="X1080" s="385"/>
    </row>
    <row r="1081" spans="3:24" s="277" customFormat="1" x14ac:dyDescent="0.3">
      <c r="D1081" s="356" t="s">
        <v>974</v>
      </c>
      <c r="E1081" s="356"/>
      <c r="F1081" s="356"/>
      <c r="G1081" s="356"/>
      <c r="I1081" s="48">
        <v>0</v>
      </c>
      <c r="K1081" s="48">
        <v>0</v>
      </c>
      <c r="M1081" s="279">
        <f t="shared" si="60"/>
        <v>0</v>
      </c>
      <c r="O1081" s="279">
        <f t="shared" si="61"/>
        <v>0</v>
      </c>
      <c r="Q1081" s="293">
        <f t="shared" si="62"/>
        <v>0</v>
      </c>
      <c r="S1081" s="293">
        <f t="shared" si="63"/>
        <v>0</v>
      </c>
      <c r="U1081" s="385"/>
      <c r="V1081" s="385"/>
      <c r="W1081" s="385"/>
      <c r="X1081" s="385"/>
    </row>
    <row r="1082" spans="3:24" s="277" customFormat="1" x14ac:dyDescent="0.3">
      <c r="D1082" s="356" t="s">
        <v>975</v>
      </c>
      <c r="E1082" s="356"/>
      <c r="F1082" s="356"/>
      <c r="G1082" s="356"/>
      <c r="I1082" s="48">
        <v>0</v>
      </c>
      <c r="K1082" s="48">
        <v>0</v>
      </c>
      <c r="M1082" s="279">
        <f t="shared" si="60"/>
        <v>0</v>
      </c>
      <c r="O1082" s="279">
        <f t="shared" si="61"/>
        <v>0</v>
      </c>
      <c r="Q1082" s="293">
        <f t="shared" si="62"/>
        <v>0</v>
      </c>
      <c r="S1082" s="293">
        <f t="shared" si="63"/>
        <v>0</v>
      </c>
      <c r="U1082" s="385"/>
      <c r="V1082" s="385"/>
      <c r="W1082" s="385"/>
      <c r="X1082" s="385"/>
    </row>
    <row r="1083" spans="3:24" s="277" customFormat="1" x14ac:dyDescent="0.3">
      <c r="D1083" s="356" t="s">
        <v>976</v>
      </c>
      <c r="E1083" s="356"/>
      <c r="F1083" s="356"/>
      <c r="G1083" s="356"/>
      <c r="I1083" s="48">
        <v>0</v>
      </c>
      <c r="K1083" s="48">
        <v>0</v>
      </c>
      <c r="M1083" s="279">
        <f t="shared" si="60"/>
        <v>0</v>
      </c>
      <c r="O1083" s="279">
        <f t="shared" si="61"/>
        <v>0</v>
      </c>
      <c r="Q1083" s="293">
        <f t="shared" si="62"/>
        <v>0</v>
      </c>
      <c r="S1083" s="293">
        <f t="shared" si="63"/>
        <v>0</v>
      </c>
      <c r="U1083" s="385"/>
      <c r="V1083" s="385"/>
      <c r="W1083" s="385"/>
      <c r="X1083" s="385"/>
    </row>
    <row r="1084" spans="3:24" ht="14.4" x14ac:dyDescent="0.3">
      <c r="D1084" s="420" t="s">
        <v>79</v>
      </c>
      <c r="E1084" s="427"/>
      <c r="F1084" s="427"/>
      <c r="G1084" s="427"/>
      <c r="I1084" s="43"/>
      <c r="K1084" s="43"/>
      <c r="M1084" s="43"/>
      <c r="O1084" s="43"/>
      <c r="Q1084" s="294">
        <f>SUM(Q1059:Q1083)</f>
        <v>0</v>
      </c>
      <c r="S1084" s="294">
        <f>SUM(S1059:S1083)</f>
        <v>0</v>
      </c>
    </row>
    <row r="1086" spans="3:24" ht="15.6" x14ac:dyDescent="0.3">
      <c r="C1086" s="92" t="s">
        <v>164</v>
      </c>
    </row>
    <row r="1087" spans="3:24" ht="27.6" x14ac:dyDescent="0.3">
      <c r="D1087" s="90" t="s">
        <v>102</v>
      </c>
      <c r="I1087" s="91" t="s">
        <v>80</v>
      </c>
      <c r="K1087" s="91" t="s">
        <v>432</v>
      </c>
      <c r="M1087" s="42" t="s">
        <v>103</v>
      </c>
      <c r="O1087" s="42" t="s">
        <v>104</v>
      </c>
      <c r="Q1087" s="42" t="s">
        <v>105</v>
      </c>
      <c r="S1087" s="42" t="s">
        <v>106</v>
      </c>
      <c r="U1087" s="350" t="s">
        <v>185</v>
      </c>
      <c r="V1087" s="426"/>
      <c r="W1087" s="426"/>
      <c r="X1087" s="426"/>
    </row>
    <row r="1088" spans="3:24" x14ac:dyDescent="0.3">
      <c r="D1088" s="356" t="s">
        <v>109</v>
      </c>
      <c r="E1088" s="356"/>
      <c r="F1088" s="356"/>
      <c r="G1088" s="356"/>
      <c r="I1088" s="48">
        <v>0</v>
      </c>
      <c r="K1088" s="48">
        <v>0</v>
      </c>
      <c r="M1088" s="40">
        <f t="shared" ref="M1088:M1112" si="64">IFERROR(IF(DD_ACT_24_Meet1_Curr=1,INDEX($M$1253:$M$1287,MATCH(D1088,LU_ACT_24_Allowances,0)),INDEX($Q$1253:$Q$1287,MATCH(D1088,LU_ACT_24_Allowances,0))),0)</f>
        <v>0</v>
      </c>
      <c r="O1088" s="40">
        <f t="shared" ref="O1088:O1112" si="65">IFERROR(IF(DD_ACT_24_Meet1_Curr=1,INDEX($O$1253:$O$1287,MATCH(D1088,LU_ACT_24_Allowances,0)),INDEX($S$1253:$S$1287,MATCH(D1088,LU_ACT_24_Allowances,0))),0)</f>
        <v>0</v>
      </c>
      <c r="Q1088" s="293">
        <f t="shared" ref="Q1088:Q1112" si="66">I1088*K1088*M1088</f>
        <v>0</v>
      </c>
      <c r="S1088" s="293">
        <f t="shared" ref="S1088:S1112" si="67">I1088*K1088*O1088</f>
        <v>0</v>
      </c>
      <c r="U1088" s="356"/>
      <c r="V1088" s="356"/>
      <c r="W1088" s="356"/>
      <c r="X1088" s="356"/>
    </row>
    <row r="1089" spans="4:24" x14ac:dyDescent="0.3">
      <c r="D1089" s="356" t="s">
        <v>110</v>
      </c>
      <c r="E1089" s="356"/>
      <c r="F1089" s="356"/>
      <c r="G1089" s="356"/>
      <c r="I1089" s="48">
        <v>0</v>
      </c>
      <c r="K1089" s="48">
        <v>0</v>
      </c>
      <c r="M1089" s="40">
        <f t="shared" si="64"/>
        <v>0</v>
      </c>
      <c r="O1089" s="40">
        <f t="shared" si="65"/>
        <v>0</v>
      </c>
      <c r="Q1089" s="293">
        <f t="shared" si="66"/>
        <v>0</v>
      </c>
      <c r="S1089" s="293">
        <f t="shared" si="67"/>
        <v>0</v>
      </c>
      <c r="U1089" s="356"/>
      <c r="V1089" s="356"/>
      <c r="W1089" s="356"/>
      <c r="X1089" s="356"/>
    </row>
    <row r="1090" spans="4:24" x14ac:dyDescent="0.3">
      <c r="D1090" s="356" t="s">
        <v>111</v>
      </c>
      <c r="E1090" s="356"/>
      <c r="F1090" s="356"/>
      <c r="G1090" s="356"/>
      <c r="I1090" s="48">
        <v>0</v>
      </c>
      <c r="K1090" s="48">
        <v>0</v>
      </c>
      <c r="M1090" s="40">
        <f t="shared" si="64"/>
        <v>0</v>
      </c>
      <c r="O1090" s="40">
        <f t="shared" si="65"/>
        <v>0</v>
      </c>
      <c r="Q1090" s="293">
        <f t="shared" si="66"/>
        <v>0</v>
      </c>
      <c r="S1090" s="293">
        <f t="shared" si="67"/>
        <v>0</v>
      </c>
      <c r="U1090" s="356"/>
      <c r="V1090" s="356"/>
      <c r="W1090" s="356"/>
      <c r="X1090" s="356"/>
    </row>
    <row r="1091" spans="4:24" x14ac:dyDescent="0.3">
      <c r="D1091" s="356" t="s">
        <v>112</v>
      </c>
      <c r="E1091" s="356"/>
      <c r="F1091" s="356"/>
      <c r="G1091" s="356"/>
      <c r="I1091" s="48">
        <v>0</v>
      </c>
      <c r="K1091" s="48">
        <v>0</v>
      </c>
      <c r="M1091" s="40">
        <f t="shared" si="64"/>
        <v>0</v>
      </c>
      <c r="O1091" s="40">
        <f t="shared" si="65"/>
        <v>0</v>
      </c>
      <c r="Q1091" s="293">
        <f t="shared" si="66"/>
        <v>0</v>
      </c>
      <c r="S1091" s="293">
        <f t="shared" si="67"/>
        <v>0</v>
      </c>
      <c r="U1091" s="356"/>
      <c r="V1091" s="356"/>
      <c r="W1091" s="356"/>
      <c r="X1091" s="356"/>
    </row>
    <row r="1092" spans="4:24" x14ac:dyDescent="0.3">
      <c r="D1092" s="356" t="s">
        <v>113</v>
      </c>
      <c r="E1092" s="356"/>
      <c r="F1092" s="356"/>
      <c r="G1092" s="356"/>
      <c r="I1092" s="48">
        <v>0</v>
      </c>
      <c r="K1092" s="48">
        <v>0</v>
      </c>
      <c r="M1092" s="40">
        <f t="shared" si="64"/>
        <v>0</v>
      </c>
      <c r="O1092" s="40">
        <f t="shared" si="65"/>
        <v>0</v>
      </c>
      <c r="Q1092" s="293">
        <f t="shared" si="66"/>
        <v>0</v>
      </c>
      <c r="S1092" s="293">
        <f t="shared" si="67"/>
        <v>0</v>
      </c>
      <c r="U1092" s="356"/>
      <c r="V1092" s="356"/>
      <c r="W1092" s="356"/>
      <c r="X1092" s="356"/>
    </row>
    <row r="1093" spans="4:24" x14ac:dyDescent="0.3">
      <c r="D1093" s="356" t="s">
        <v>114</v>
      </c>
      <c r="E1093" s="356"/>
      <c r="F1093" s="356"/>
      <c r="G1093" s="356"/>
      <c r="I1093" s="48">
        <v>0</v>
      </c>
      <c r="K1093" s="48">
        <v>0</v>
      </c>
      <c r="M1093" s="40">
        <f t="shared" si="64"/>
        <v>0</v>
      </c>
      <c r="O1093" s="40">
        <f t="shared" si="65"/>
        <v>0</v>
      </c>
      <c r="Q1093" s="293">
        <f t="shared" si="66"/>
        <v>0</v>
      </c>
      <c r="S1093" s="293">
        <f t="shared" si="67"/>
        <v>0</v>
      </c>
      <c r="U1093" s="356"/>
      <c r="V1093" s="356"/>
      <c r="W1093" s="356"/>
      <c r="X1093" s="356"/>
    </row>
    <row r="1094" spans="4:24" x14ac:dyDescent="0.3">
      <c r="D1094" s="356" t="s">
        <v>115</v>
      </c>
      <c r="E1094" s="356"/>
      <c r="F1094" s="356"/>
      <c r="G1094" s="356"/>
      <c r="I1094" s="48">
        <v>0</v>
      </c>
      <c r="K1094" s="48">
        <v>0</v>
      </c>
      <c r="M1094" s="40">
        <f t="shared" si="64"/>
        <v>0</v>
      </c>
      <c r="O1094" s="40">
        <f t="shared" si="65"/>
        <v>0</v>
      </c>
      <c r="Q1094" s="293">
        <f t="shared" si="66"/>
        <v>0</v>
      </c>
      <c r="S1094" s="293">
        <f t="shared" si="67"/>
        <v>0</v>
      </c>
      <c r="U1094" s="356"/>
      <c r="V1094" s="356"/>
      <c r="W1094" s="356"/>
      <c r="X1094" s="356"/>
    </row>
    <row r="1095" spans="4:24" x14ac:dyDescent="0.3">
      <c r="D1095" s="356" t="s">
        <v>116</v>
      </c>
      <c r="E1095" s="356"/>
      <c r="F1095" s="356"/>
      <c r="G1095" s="356"/>
      <c r="I1095" s="48">
        <v>0</v>
      </c>
      <c r="K1095" s="48">
        <v>0</v>
      </c>
      <c r="M1095" s="40">
        <f t="shared" si="64"/>
        <v>0</v>
      </c>
      <c r="O1095" s="40">
        <f t="shared" si="65"/>
        <v>0</v>
      </c>
      <c r="Q1095" s="293">
        <f t="shared" si="66"/>
        <v>0</v>
      </c>
      <c r="S1095" s="293">
        <f t="shared" si="67"/>
        <v>0</v>
      </c>
      <c r="U1095" s="356"/>
      <c r="V1095" s="356"/>
      <c r="W1095" s="356"/>
      <c r="X1095" s="356"/>
    </row>
    <row r="1096" spans="4:24" s="277" customFormat="1" x14ac:dyDescent="0.3">
      <c r="D1096" s="356" t="s">
        <v>838</v>
      </c>
      <c r="E1096" s="356"/>
      <c r="F1096" s="356"/>
      <c r="G1096" s="356"/>
      <c r="I1096" s="48">
        <v>0</v>
      </c>
      <c r="K1096" s="48">
        <v>0</v>
      </c>
      <c r="M1096" s="279">
        <f t="shared" si="64"/>
        <v>0</v>
      </c>
      <c r="O1096" s="279">
        <f t="shared" si="65"/>
        <v>0</v>
      </c>
      <c r="Q1096" s="293">
        <f t="shared" si="66"/>
        <v>0</v>
      </c>
      <c r="S1096" s="293">
        <f t="shared" si="67"/>
        <v>0</v>
      </c>
      <c r="U1096" s="385"/>
      <c r="V1096" s="385"/>
      <c r="W1096" s="385"/>
      <c r="X1096" s="385"/>
    </row>
    <row r="1097" spans="4:24" s="277" customFormat="1" x14ac:dyDescent="0.3">
      <c r="D1097" s="356" t="s">
        <v>839</v>
      </c>
      <c r="E1097" s="356"/>
      <c r="F1097" s="356"/>
      <c r="G1097" s="356"/>
      <c r="I1097" s="48">
        <v>0</v>
      </c>
      <c r="K1097" s="48">
        <v>0</v>
      </c>
      <c r="M1097" s="279">
        <f t="shared" si="64"/>
        <v>0</v>
      </c>
      <c r="O1097" s="279">
        <f t="shared" si="65"/>
        <v>0</v>
      </c>
      <c r="Q1097" s="293">
        <f t="shared" si="66"/>
        <v>0</v>
      </c>
      <c r="S1097" s="293">
        <f t="shared" si="67"/>
        <v>0</v>
      </c>
      <c r="U1097" s="385"/>
      <c r="V1097" s="385"/>
      <c r="W1097" s="385"/>
      <c r="X1097" s="385"/>
    </row>
    <row r="1098" spans="4:24" s="277" customFormat="1" x14ac:dyDescent="0.3">
      <c r="D1098" s="356" t="s">
        <v>840</v>
      </c>
      <c r="E1098" s="356"/>
      <c r="F1098" s="356"/>
      <c r="G1098" s="356"/>
      <c r="I1098" s="48">
        <v>0</v>
      </c>
      <c r="K1098" s="48">
        <v>0</v>
      </c>
      <c r="M1098" s="279">
        <f t="shared" si="64"/>
        <v>0</v>
      </c>
      <c r="O1098" s="279">
        <f t="shared" si="65"/>
        <v>0</v>
      </c>
      <c r="Q1098" s="293">
        <f t="shared" si="66"/>
        <v>0</v>
      </c>
      <c r="S1098" s="293">
        <f t="shared" si="67"/>
        <v>0</v>
      </c>
      <c r="U1098" s="385"/>
      <c r="V1098" s="385"/>
      <c r="W1098" s="385"/>
      <c r="X1098" s="385"/>
    </row>
    <row r="1099" spans="4:24" s="277" customFormat="1" x14ac:dyDescent="0.3">
      <c r="D1099" s="356" t="s">
        <v>841</v>
      </c>
      <c r="E1099" s="356"/>
      <c r="F1099" s="356"/>
      <c r="G1099" s="356"/>
      <c r="I1099" s="48">
        <v>0</v>
      </c>
      <c r="K1099" s="48">
        <v>0</v>
      </c>
      <c r="M1099" s="279">
        <f t="shared" si="64"/>
        <v>0</v>
      </c>
      <c r="O1099" s="279">
        <f t="shared" si="65"/>
        <v>0</v>
      </c>
      <c r="Q1099" s="293">
        <f t="shared" si="66"/>
        <v>0</v>
      </c>
      <c r="S1099" s="293">
        <f t="shared" si="67"/>
        <v>0</v>
      </c>
      <c r="U1099" s="385"/>
      <c r="V1099" s="385"/>
      <c r="W1099" s="385"/>
      <c r="X1099" s="385"/>
    </row>
    <row r="1100" spans="4:24" s="277" customFormat="1" x14ac:dyDescent="0.3">
      <c r="D1100" s="356" t="s">
        <v>842</v>
      </c>
      <c r="E1100" s="356"/>
      <c r="F1100" s="356"/>
      <c r="G1100" s="356"/>
      <c r="I1100" s="48">
        <v>0</v>
      </c>
      <c r="K1100" s="48">
        <v>0</v>
      </c>
      <c r="M1100" s="279">
        <f t="shared" si="64"/>
        <v>0</v>
      </c>
      <c r="O1100" s="279">
        <f t="shared" si="65"/>
        <v>0</v>
      </c>
      <c r="Q1100" s="293">
        <f t="shared" si="66"/>
        <v>0</v>
      </c>
      <c r="S1100" s="293">
        <f t="shared" si="67"/>
        <v>0</v>
      </c>
      <c r="U1100" s="385"/>
      <c r="V1100" s="385"/>
      <c r="W1100" s="385"/>
      <c r="X1100" s="385"/>
    </row>
    <row r="1101" spans="4:24" s="277" customFormat="1" x14ac:dyDescent="0.3">
      <c r="D1101" s="356" t="s">
        <v>843</v>
      </c>
      <c r="E1101" s="356"/>
      <c r="F1101" s="356"/>
      <c r="G1101" s="356"/>
      <c r="I1101" s="48">
        <v>0</v>
      </c>
      <c r="K1101" s="48">
        <v>0</v>
      </c>
      <c r="M1101" s="279">
        <f t="shared" si="64"/>
        <v>0</v>
      </c>
      <c r="O1101" s="279">
        <f t="shared" si="65"/>
        <v>0</v>
      </c>
      <c r="Q1101" s="293">
        <f t="shared" si="66"/>
        <v>0</v>
      </c>
      <c r="S1101" s="293">
        <f t="shared" si="67"/>
        <v>0</v>
      </c>
      <c r="U1101" s="385"/>
      <c r="V1101" s="385"/>
      <c r="W1101" s="385"/>
      <c r="X1101" s="385"/>
    </row>
    <row r="1102" spans="4:24" s="277" customFormat="1" x14ac:dyDescent="0.3">
      <c r="D1102" s="356" t="s">
        <v>844</v>
      </c>
      <c r="E1102" s="356"/>
      <c r="F1102" s="356"/>
      <c r="G1102" s="356"/>
      <c r="I1102" s="48">
        <v>0</v>
      </c>
      <c r="K1102" s="48">
        <v>0</v>
      </c>
      <c r="M1102" s="279">
        <f t="shared" si="64"/>
        <v>0</v>
      </c>
      <c r="O1102" s="279">
        <f t="shared" si="65"/>
        <v>0</v>
      </c>
      <c r="Q1102" s="293">
        <f t="shared" si="66"/>
        <v>0</v>
      </c>
      <c r="S1102" s="293">
        <f t="shared" si="67"/>
        <v>0</v>
      </c>
      <c r="U1102" s="385"/>
      <c r="V1102" s="385"/>
      <c r="W1102" s="385"/>
      <c r="X1102" s="385"/>
    </row>
    <row r="1103" spans="4:24" s="277" customFormat="1" x14ac:dyDescent="0.3">
      <c r="D1103" s="356" t="s">
        <v>845</v>
      </c>
      <c r="E1103" s="356"/>
      <c r="F1103" s="356"/>
      <c r="G1103" s="356"/>
      <c r="I1103" s="48">
        <v>0</v>
      </c>
      <c r="K1103" s="48">
        <v>0</v>
      </c>
      <c r="M1103" s="279">
        <f t="shared" si="64"/>
        <v>0</v>
      </c>
      <c r="O1103" s="279">
        <f t="shared" si="65"/>
        <v>0</v>
      </c>
      <c r="Q1103" s="293">
        <f t="shared" si="66"/>
        <v>0</v>
      </c>
      <c r="S1103" s="293">
        <f t="shared" si="67"/>
        <v>0</v>
      </c>
      <c r="U1103" s="385"/>
      <c r="V1103" s="385"/>
      <c r="W1103" s="385"/>
      <c r="X1103" s="385"/>
    </row>
    <row r="1104" spans="4:24" s="277" customFormat="1" x14ac:dyDescent="0.3">
      <c r="D1104" s="356" t="s">
        <v>850</v>
      </c>
      <c r="E1104" s="356"/>
      <c r="F1104" s="356"/>
      <c r="G1104" s="356"/>
      <c r="I1104" s="48">
        <v>0</v>
      </c>
      <c r="K1104" s="48">
        <v>0</v>
      </c>
      <c r="M1104" s="279">
        <f t="shared" si="64"/>
        <v>0</v>
      </c>
      <c r="O1104" s="279">
        <f t="shared" si="65"/>
        <v>0</v>
      </c>
      <c r="Q1104" s="293">
        <f t="shared" si="66"/>
        <v>0</v>
      </c>
      <c r="S1104" s="293">
        <f t="shared" si="67"/>
        <v>0</v>
      </c>
      <c r="U1104" s="385"/>
      <c r="V1104" s="385"/>
      <c r="W1104" s="385"/>
      <c r="X1104" s="385"/>
    </row>
    <row r="1105" spans="3:24" s="277" customFormat="1" x14ac:dyDescent="0.3">
      <c r="D1105" s="356" t="s">
        <v>851</v>
      </c>
      <c r="E1105" s="356"/>
      <c r="F1105" s="356"/>
      <c r="G1105" s="356"/>
      <c r="I1105" s="48">
        <v>0</v>
      </c>
      <c r="K1105" s="48">
        <v>0</v>
      </c>
      <c r="M1105" s="279">
        <f t="shared" si="64"/>
        <v>0</v>
      </c>
      <c r="O1105" s="279">
        <f t="shared" si="65"/>
        <v>0</v>
      </c>
      <c r="Q1105" s="293">
        <f t="shared" si="66"/>
        <v>0</v>
      </c>
      <c r="S1105" s="293">
        <f t="shared" si="67"/>
        <v>0</v>
      </c>
      <c r="U1105" s="385"/>
      <c r="V1105" s="385"/>
      <c r="W1105" s="385"/>
      <c r="X1105" s="385"/>
    </row>
    <row r="1106" spans="3:24" s="277" customFormat="1" x14ac:dyDescent="0.3">
      <c r="D1106" s="356" t="s">
        <v>852</v>
      </c>
      <c r="E1106" s="356"/>
      <c r="F1106" s="356"/>
      <c r="G1106" s="356"/>
      <c r="I1106" s="48">
        <v>0</v>
      </c>
      <c r="K1106" s="48">
        <v>0</v>
      </c>
      <c r="M1106" s="279">
        <f t="shared" si="64"/>
        <v>0</v>
      </c>
      <c r="O1106" s="279">
        <f t="shared" si="65"/>
        <v>0</v>
      </c>
      <c r="Q1106" s="293">
        <f t="shared" si="66"/>
        <v>0</v>
      </c>
      <c r="S1106" s="293">
        <f t="shared" si="67"/>
        <v>0</v>
      </c>
      <c r="U1106" s="385"/>
      <c r="V1106" s="385"/>
      <c r="W1106" s="385"/>
      <c r="X1106" s="385"/>
    </row>
    <row r="1107" spans="3:24" s="277" customFormat="1" x14ac:dyDescent="0.3">
      <c r="D1107" s="356" t="s">
        <v>853</v>
      </c>
      <c r="E1107" s="356"/>
      <c r="F1107" s="356"/>
      <c r="G1107" s="356"/>
      <c r="I1107" s="48">
        <v>0</v>
      </c>
      <c r="K1107" s="48">
        <v>0</v>
      </c>
      <c r="M1107" s="279">
        <f t="shared" si="64"/>
        <v>0</v>
      </c>
      <c r="O1107" s="279">
        <f t="shared" si="65"/>
        <v>0</v>
      </c>
      <c r="Q1107" s="293">
        <f t="shared" si="66"/>
        <v>0</v>
      </c>
      <c r="S1107" s="293">
        <f t="shared" si="67"/>
        <v>0</v>
      </c>
      <c r="U1107" s="385"/>
      <c r="V1107" s="385"/>
      <c r="W1107" s="385"/>
      <c r="X1107" s="385"/>
    </row>
    <row r="1108" spans="3:24" s="277" customFormat="1" x14ac:dyDescent="0.3">
      <c r="D1108" s="356" t="s">
        <v>972</v>
      </c>
      <c r="E1108" s="356"/>
      <c r="F1108" s="356"/>
      <c r="G1108" s="356"/>
      <c r="I1108" s="48">
        <v>0</v>
      </c>
      <c r="K1108" s="48">
        <v>0</v>
      </c>
      <c r="M1108" s="279">
        <f t="shared" si="64"/>
        <v>0</v>
      </c>
      <c r="O1108" s="279">
        <f t="shared" si="65"/>
        <v>0</v>
      </c>
      <c r="Q1108" s="293">
        <f t="shared" si="66"/>
        <v>0</v>
      </c>
      <c r="S1108" s="293">
        <f t="shared" si="67"/>
        <v>0</v>
      </c>
      <c r="U1108" s="385"/>
      <c r="V1108" s="385"/>
      <c r="W1108" s="385"/>
      <c r="X1108" s="385"/>
    </row>
    <row r="1109" spans="3:24" s="277" customFormat="1" x14ac:dyDescent="0.3">
      <c r="D1109" s="356" t="s">
        <v>977</v>
      </c>
      <c r="E1109" s="356"/>
      <c r="F1109" s="356"/>
      <c r="G1109" s="356"/>
      <c r="I1109" s="48">
        <v>0</v>
      </c>
      <c r="K1109" s="48">
        <v>0</v>
      </c>
      <c r="M1109" s="279">
        <f t="shared" si="64"/>
        <v>0</v>
      </c>
      <c r="O1109" s="279">
        <f t="shared" si="65"/>
        <v>0</v>
      </c>
      <c r="Q1109" s="293">
        <f t="shared" si="66"/>
        <v>0</v>
      </c>
      <c r="S1109" s="293">
        <f t="shared" si="67"/>
        <v>0</v>
      </c>
      <c r="U1109" s="385"/>
      <c r="V1109" s="385"/>
      <c r="W1109" s="385"/>
      <c r="X1109" s="385"/>
    </row>
    <row r="1110" spans="3:24" s="277" customFormat="1" x14ac:dyDescent="0.3">
      <c r="D1110" s="356" t="s">
        <v>978</v>
      </c>
      <c r="E1110" s="356"/>
      <c r="F1110" s="356"/>
      <c r="G1110" s="356"/>
      <c r="I1110" s="48">
        <v>0</v>
      </c>
      <c r="K1110" s="48">
        <v>0</v>
      </c>
      <c r="M1110" s="279">
        <f t="shared" si="64"/>
        <v>0</v>
      </c>
      <c r="O1110" s="279">
        <f t="shared" si="65"/>
        <v>0</v>
      </c>
      <c r="Q1110" s="293">
        <f t="shared" si="66"/>
        <v>0</v>
      </c>
      <c r="S1110" s="293">
        <f t="shared" si="67"/>
        <v>0</v>
      </c>
      <c r="U1110" s="385"/>
      <c r="V1110" s="385"/>
      <c r="W1110" s="385"/>
      <c r="X1110" s="385"/>
    </row>
    <row r="1111" spans="3:24" s="277" customFormat="1" x14ac:dyDescent="0.3">
      <c r="D1111" s="356" t="s">
        <v>979</v>
      </c>
      <c r="E1111" s="356"/>
      <c r="F1111" s="356"/>
      <c r="G1111" s="356"/>
      <c r="I1111" s="48">
        <v>0</v>
      </c>
      <c r="K1111" s="48">
        <v>0</v>
      </c>
      <c r="M1111" s="279">
        <f t="shared" si="64"/>
        <v>0</v>
      </c>
      <c r="O1111" s="279">
        <f t="shared" si="65"/>
        <v>0</v>
      </c>
      <c r="Q1111" s="293">
        <f t="shared" si="66"/>
        <v>0</v>
      </c>
      <c r="S1111" s="293">
        <f t="shared" si="67"/>
        <v>0</v>
      </c>
      <c r="U1111" s="385"/>
      <c r="V1111" s="385"/>
      <c r="W1111" s="385"/>
      <c r="X1111" s="385"/>
    </row>
    <row r="1112" spans="3:24" s="277" customFormat="1" x14ac:dyDescent="0.3">
      <c r="D1112" s="356" t="s">
        <v>980</v>
      </c>
      <c r="E1112" s="356"/>
      <c r="F1112" s="356"/>
      <c r="G1112" s="356"/>
      <c r="I1112" s="48">
        <v>0</v>
      </c>
      <c r="K1112" s="48">
        <v>0</v>
      </c>
      <c r="M1112" s="279">
        <f t="shared" si="64"/>
        <v>0</v>
      </c>
      <c r="O1112" s="279">
        <f t="shared" si="65"/>
        <v>0</v>
      </c>
      <c r="Q1112" s="293">
        <f t="shared" si="66"/>
        <v>0</v>
      </c>
      <c r="S1112" s="293">
        <f t="shared" si="67"/>
        <v>0</v>
      </c>
      <c r="U1112" s="385"/>
      <c r="V1112" s="385"/>
      <c r="W1112" s="385"/>
      <c r="X1112" s="385"/>
    </row>
    <row r="1113" spans="3:24" ht="14.4" x14ac:dyDescent="0.3">
      <c r="D1113" s="420" t="s">
        <v>82</v>
      </c>
      <c r="E1113" s="427"/>
      <c r="F1113" s="427"/>
      <c r="G1113" s="427"/>
      <c r="I1113" s="43"/>
      <c r="K1113" s="43"/>
      <c r="M1113" s="43"/>
      <c r="O1113" s="43"/>
      <c r="Q1113" s="294">
        <f>SUM(Q1088:Q1112)</f>
        <v>0</v>
      </c>
      <c r="S1113" s="294">
        <f>SUM(S1088:S1112)</f>
        <v>0</v>
      </c>
    </row>
    <row r="1117" spans="3:24" ht="15.6" x14ac:dyDescent="0.3">
      <c r="C1117" s="92" t="s">
        <v>84</v>
      </c>
    </row>
    <row r="1118" spans="3:24" ht="27.6" x14ac:dyDescent="0.3">
      <c r="D1118" s="90" t="s">
        <v>102</v>
      </c>
      <c r="I1118" s="91" t="s">
        <v>87</v>
      </c>
      <c r="K1118" s="91" t="s">
        <v>432</v>
      </c>
      <c r="M1118" s="42" t="s">
        <v>107</v>
      </c>
      <c r="O1118" s="42" t="s">
        <v>108</v>
      </c>
      <c r="Q1118" s="42" t="s">
        <v>105</v>
      </c>
      <c r="S1118" s="42" t="s">
        <v>106</v>
      </c>
      <c r="U1118" s="350" t="s">
        <v>185</v>
      </c>
      <c r="V1118" s="426"/>
      <c r="W1118" s="426"/>
      <c r="X1118" s="426"/>
    </row>
    <row r="1119" spans="3:24" x14ac:dyDescent="0.3">
      <c r="D1119" s="356" t="s">
        <v>892</v>
      </c>
      <c r="E1119" s="356"/>
      <c r="F1119" s="356"/>
      <c r="G1119" s="356"/>
      <c r="I1119" s="48">
        <v>0</v>
      </c>
      <c r="K1119" s="48">
        <v>0</v>
      </c>
      <c r="M1119" s="40">
        <f t="shared" ref="M1119:M1143" si="68">IFERROR(IF(DD_ACT_24_Meet1_Curr=1,INDEX($M$1291:$M$1325,MATCH(D1119,LU_ACT_24_Supplies,0)),INDEX($Q$1291:$Q$1325,MATCH(D1119,LU_ACT_24_Supplies,0))),0)</f>
        <v>0</v>
      </c>
      <c r="O1119" s="40">
        <f t="shared" ref="O1119:O1143" si="69">IFERROR(IF(DD_ACT_24_Meet1_Curr=1,INDEX($O$1291:$O$1325,MATCH(D1119,LU_ACT_24_Supplies,0)),INDEX($S$1291:$S$1325,MATCH(D1119,LU_ACT_24_Supplies,0))),0)</f>
        <v>0</v>
      </c>
      <c r="Q1119" s="295">
        <f t="shared" ref="Q1119:Q1143" si="70">I1119*K1119*M1119</f>
        <v>0</v>
      </c>
      <c r="S1119" s="293">
        <f t="shared" ref="S1119:S1143" si="71">I1119*K1119*O1119</f>
        <v>0</v>
      </c>
      <c r="U1119" s="356"/>
      <c r="V1119" s="356"/>
      <c r="W1119" s="356"/>
      <c r="X1119" s="356"/>
    </row>
    <row r="1120" spans="3:24" x14ac:dyDescent="0.3">
      <c r="D1120" s="356" t="s">
        <v>893</v>
      </c>
      <c r="E1120" s="356"/>
      <c r="F1120" s="356"/>
      <c r="G1120" s="356"/>
      <c r="I1120" s="48">
        <v>0</v>
      </c>
      <c r="K1120" s="48">
        <v>0</v>
      </c>
      <c r="M1120" s="40">
        <f t="shared" si="68"/>
        <v>0</v>
      </c>
      <c r="O1120" s="40">
        <f t="shared" si="69"/>
        <v>0</v>
      </c>
      <c r="Q1120" s="295">
        <f t="shared" si="70"/>
        <v>0</v>
      </c>
      <c r="S1120" s="293">
        <f t="shared" si="71"/>
        <v>0</v>
      </c>
      <c r="U1120" s="356"/>
      <c r="V1120" s="356"/>
      <c r="W1120" s="356"/>
      <c r="X1120" s="356"/>
    </row>
    <row r="1121" spans="4:24" x14ac:dyDescent="0.3">
      <c r="D1121" s="356" t="s">
        <v>854</v>
      </c>
      <c r="E1121" s="356"/>
      <c r="F1121" s="356"/>
      <c r="G1121" s="356"/>
      <c r="I1121" s="48">
        <v>0</v>
      </c>
      <c r="K1121" s="48">
        <v>0</v>
      </c>
      <c r="M1121" s="40">
        <f t="shared" si="68"/>
        <v>0</v>
      </c>
      <c r="O1121" s="40">
        <f t="shared" si="69"/>
        <v>0</v>
      </c>
      <c r="Q1121" s="295">
        <f t="shared" si="70"/>
        <v>0</v>
      </c>
      <c r="S1121" s="293">
        <f t="shared" si="71"/>
        <v>0</v>
      </c>
      <c r="U1121" s="356"/>
      <c r="V1121" s="356"/>
      <c r="W1121" s="356"/>
      <c r="X1121" s="356"/>
    </row>
    <row r="1122" spans="4:24" s="277" customFormat="1" x14ac:dyDescent="0.3">
      <c r="D1122" s="356" t="s">
        <v>855</v>
      </c>
      <c r="E1122" s="356"/>
      <c r="F1122" s="356"/>
      <c r="G1122" s="356"/>
      <c r="I1122" s="48">
        <v>0</v>
      </c>
      <c r="K1122" s="48">
        <v>0</v>
      </c>
      <c r="M1122" s="279">
        <f t="shared" si="68"/>
        <v>0</v>
      </c>
      <c r="O1122" s="279">
        <f t="shared" si="69"/>
        <v>0</v>
      </c>
      <c r="Q1122" s="295">
        <f t="shared" si="70"/>
        <v>0</v>
      </c>
      <c r="S1122" s="293">
        <f t="shared" si="71"/>
        <v>0</v>
      </c>
      <c r="U1122" s="385"/>
      <c r="V1122" s="385"/>
      <c r="W1122" s="385"/>
      <c r="X1122" s="385"/>
    </row>
    <row r="1123" spans="4:24" s="277" customFormat="1" x14ac:dyDescent="0.3">
      <c r="D1123" s="356" t="s">
        <v>856</v>
      </c>
      <c r="E1123" s="356"/>
      <c r="F1123" s="356"/>
      <c r="G1123" s="356"/>
      <c r="I1123" s="48">
        <v>0</v>
      </c>
      <c r="K1123" s="48">
        <v>0</v>
      </c>
      <c r="M1123" s="279">
        <f t="shared" si="68"/>
        <v>0</v>
      </c>
      <c r="O1123" s="279">
        <f t="shared" si="69"/>
        <v>0</v>
      </c>
      <c r="Q1123" s="295">
        <f t="shared" si="70"/>
        <v>0</v>
      </c>
      <c r="S1123" s="293">
        <f t="shared" si="71"/>
        <v>0</v>
      </c>
      <c r="U1123" s="385"/>
      <c r="V1123" s="385"/>
      <c r="W1123" s="385"/>
      <c r="X1123" s="385"/>
    </row>
    <row r="1124" spans="4:24" s="277" customFormat="1" x14ac:dyDescent="0.3">
      <c r="D1124" s="356" t="s">
        <v>857</v>
      </c>
      <c r="E1124" s="356"/>
      <c r="F1124" s="356"/>
      <c r="G1124" s="356"/>
      <c r="I1124" s="48">
        <v>0</v>
      </c>
      <c r="K1124" s="48">
        <v>0</v>
      </c>
      <c r="M1124" s="279">
        <f t="shared" si="68"/>
        <v>0</v>
      </c>
      <c r="O1124" s="279">
        <f t="shared" si="69"/>
        <v>0</v>
      </c>
      <c r="Q1124" s="295">
        <f t="shared" si="70"/>
        <v>0</v>
      </c>
      <c r="S1124" s="293">
        <f t="shared" si="71"/>
        <v>0</v>
      </c>
      <c r="U1124" s="385"/>
      <c r="V1124" s="385"/>
      <c r="W1124" s="385"/>
      <c r="X1124" s="385"/>
    </row>
    <row r="1125" spans="4:24" s="277" customFormat="1" x14ac:dyDescent="0.3">
      <c r="D1125" s="356" t="s">
        <v>858</v>
      </c>
      <c r="E1125" s="356"/>
      <c r="F1125" s="356"/>
      <c r="G1125" s="356"/>
      <c r="I1125" s="48">
        <v>0</v>
      </c>
      <c r="K1125" s="48">
        <v>0</v>
      </c>
      <c r="M1125" s="279">
        <f t="shared" si="68"/>
        <v>0</v>
      </c>
      <c r="O1125" s="279">
        <f t="shared" si="69"/>
        <v>0</v>
      </c>
      <c r="Q1125" s="295">
        <f t="shared" si="70"/>
        <v>0</v>
      </c>
      <c r="S1125" s="293">
        <f t="shared" si="71"/>
        <v>0</v>
      </c>
      <c r="U1125" s="385"/>
      <c r="V1125" s="385"/>
      <c r="W1125" s="385"/>
      <c r="X1125" s="385"/>
    </row>
    <row r="1126" spans="4:24" s="277" customFormat="1" x14ac:dyDescent="0.3">
      <c r="D1126" s="356" t="s">
        <v>859</v>
      </c>
      <c r="E1126" s="356"/>
      <c r="F1126" s="356"/>
      <c r="G1126" s="356"/>
      <c r="I1126" s="48">
        <v>0</v>
      </c>
      <c r="K1126" s="48">
        <v>0</v>
      </c>
      <c r="M1126" s="279">
        <f t="shared" si="68"/>
        <v>0</v>
      </c>
      <c r="O1126" s="279">
        <f t="shared" si="69"/>
        <v>0</v>
      </c>
      <c r="Q1126" s="295">
        <f t="shared" si="70"/>
        <v>0</v>
      </c>
      <c r="S1126" s="293">
        <f t="shared" si="71"/>
        <v>0</v>
      </c>
      <c r="U1126" s="385"/>
      <c r="V1126" s="385"/>
      <c r="W1126" s="385"/>
      <c r="X1126" s="385"/>
    </row>
    <row r="1127" spans="4:24" s="277" customFormat="1" x14ac:dyDescent="0.3">
      <c r="D1127" s="356" t="s">
        <v>860</v>
      </c>
      <c r="E1127" s="356"/>
      <c r="F1127" s="356"/>
      <c r="G1127" s="356"/>
      <c r="I1127" s="48">
        <v>0</v>
      </c>
      <c r="K1127" s="48">
        <v>0</v>
      </c>
      <c r="M1127" s="279">
        <f t="shared" si="68"/>
        <v>0</v>
      </c>
      <c r="O1127" s="279">
        <f t="shared" si="69"/>
        <v>0</v>
      </c>
      <c r="Q1127" s="295">
        <f t="shared" si="70"/>
        <v>0</v>
      </c>
      <c r="S1127" s="293">
        <f t="shared" si="71"/>
        <v>0</v>
      </c>
      <c r="U1127" s="385"/>
      <c r="V1127" s="385"/>
      <c r="W1127" s="385"/>
      <c r="X1127" s="385"/>
    </row>
    <row r="1128" spans="4:24" s="277" customFormat="1" x14ac:dyDescent="0.3">
      <c r="D1128" s="356" t="s">
        <v>861</v>
      </c>
      <c r="E1128" s="356"/>
      <c r="F1128" s="356"/>
      <c r="G1128" s="356"/>
      <c r="I1128" s="48">
        <v>0</v>
      </c>
      <c r="K1128" s="48">
        <v>0</v>
      </c>
      <c r="M1128" s="279">
        <f t="shared" si="68"/>
        <v>0</v>
      </c>
      <c r="O1128" s="279">
        <f t="shared" si="69"/>
        <v>0</v>
      </c>
      <c r="Q1128" s="295">
        <f t="shared" si="70"/>
        <v>0</v>
      </c>
      <c r="S1128" s="293">
        <f t="shared" si="71"/>
        <v>0</v>
      </c>
      <c r="U1128" s="385"/>
      <c r="V1128" s="385"/>
      <c r="W1128" s="385"/>
      <c r="X1128" s="385"/>
    </row>
    <row r="1129" spans="4:24" s="277" customFormat="1" x14ac:dyDescent="0.3">
      <c r="D1129" s="356" t="s">
        <v>862</v>
      </c>
      <c r="E1129" s="356"/>
      <c r="F1129" s="356"/>
      <c r="G1129" s="356"/>
      <c r="I1129" s="48">
        <v>0</v>
      </c>
      <c r="K1129" s="48">
        <v>0</v>
      </c>
      <c r="M1129" s="279">
        <f t="shared" si="68"/>
        <v>0</v>
      </c>
      <c r="O1129" s="279">
        <f t="shared" si="69"/>
        <v>0</v>
      </c>
      <c r="Q1129" s="295">
        <f t="shared" si="70"/>
        <v>0</v>
      </c>
      <c r="S1129" s="293">
        <f t="shared" si="71"/>
        <v>0</v>
      </c>
      <c r="U1129" s="385"/>
      <c r="V1129" s="385"/>
      <c r="W1129" s="385"/>
      <c r="X1129" s="385"/>
    </row>
    <row r="1130" spans="4:24" s="277" customFormat="1" x14ac:dyDescent="0.3">
      <c r="D1130" s="356" t="s">
        <v>863</v>
      </c>
      <c r="E1130" s="356"/>
      <c r="F1130" s="356"/>
      <c r="G1130" s="356"/>
      <c r="I1130" s="48">
        <v>0</v>
      </c>
      <c r="K1130" s="48">
        <v>0</v>
      </c>
      <c r="M1130" s="279">
        <f t="shared" si="68"/>
        <v>0</v>
      </c>
      <c r="O1130" s="279">
        <f t="shared" si="69"/>
        <v>0</v>
      </c>
      <c r="Q1130" s="295">
        <f t="shared" si="70"/>
        <v>0</v>
      </c>
      <c r="S1130" s="293">
        <f t="shared" si="71"/>
        <v>0</v>
      </c>
      <c r="U1130" s="385"/>
      <c r="V1130" s="385"/>
      <c r="W1130" s="385"/>
      <c r="X1130" s="385"/>
    </row>
    <row r="1131" spans="4:24" s="277" customFormat="1" x14ac:dyDescent="0.3">
      <c r="D1131" s="356" t="s">
        <v>864</v>
      </c>
      <c r="E1131" s="356"/>
      <c r="F1131" s="356"/>
      <c r="G1131" s="356"/>
      <c r="I1131" s="48">
        <v>0</v>
      </c>
      <c r="K1131" s="48">
        <v>0</v>
      </c>
      <c r="M1131" s="279">
        <f t="shared" si="68"/>
        <v>0</v>
      </c>
      <c r="O1131" s="279">
        <f t="shared" si="69"/>
        <v>0</v>
      </c>
      <c r="Q1131" s="295">
        <f t="shared" si="70"/>
        <v>0</v>
      </c>
      <c r="S1131" s="293">
        <f t="shared" si="71"/>
        <v>0</v>
      </c>
      <c r="U1131" s="385"/>
      <c r="V1131" s="385"/>
      <c r="W1131" s="385"/>
      <c r="X1131" s="385"/>
    </row>
    <row r="1132" spans="4:24" s="277" customFormat="1" x14ac:dyDescent="0.3">
      <c r="D1132" s="356" t="s">
        <v>865</v>
      </c>
      <c r="E1132" s="356"/>
      <c r="F1132" s="356"/>
      <c r="G1132" s="356"/>
      <c r="I1132" s="48">
        <v>0</v>
      </c>
      <c r="K1132" s="48">
        <v>0</v>
      </c>
      <c r="M1132" s="279">
        <f t="shared" si="68"/>
        <v>0</v>
      </c>
      <c r="O1132" s="279">
        <f t="shared" si="69"/>
        <v>0</v>
      </c>
      <c r="Q1132" s="295">
        <f t="shared" si="70"/>
        <v>0</v>
      </c>
      <c r="S1132" s="293">
        <f t="shared" si="71"/>
        <v>0</v>
      </c>
      <c r="U1132" s="385"/>
      <c r="V1132" s="385"/>
      <c r="W1132" s="385"/>
      <c r="X1132" s="385"/>
    </row>
    <row r="1133" spans="4:24" s="277" customFormat="1" x14ac:dyDescent="0.3">
      <c r="D1133" s="356" t="s">
        <v>866</v>
      </c>
      <c r="E1133" s="356"/>
      <c r="F1133" s="356"/>
      <c r="G1133" s="356"/>
      <c r="I1133" s="48">
        <v>0</v>
      </c>
      <c r="K1133" s="48">
        <v>0</v>
      </c>
      <c r="M1133" s="279">
        <f t="shared" si="68"/>
        <v>0</v>
      </c>
      <c r="O1133" s="279">
        <f t="shared" si="69"/>
        <v>0</v>
      </c>
      <c r="Q1133" s="295">
        <f t="shared" si="70"/>
        <v>0</v>
      </c>
      <c r="S1133" s="293">
        <f t="shared" si="71"/>
        <v>0</v>
      </c>
      <c r="U1133" s="385"/>
      <c r="V1133" s="385"/>
      <c r="W1133" s="385"/>
      <c r="X1133" s="385"/>
    </row>
    <row r="1134" spans="4:24" s="277" customFormat="1" x14ac:dyDescent="0.3">
      <c r="D1134" s="356" t="s">
        <v>867</v>
      </c>
      <c r="E1134" s="356"/>
      <c r="F1134" s="356"/>
      <c r="G1134" s="356"/>
      <c r="I1134" s="48">
        <v>0</v>
      </c>
      <c r="K1134" s="48">
        <v>0</v>
      </c>
      <c r="M1134" s="279">
        <f t="shared" si="68"/>
        <v>0</v>
      </c>
      <c r="O1134" s="279">
        <f t="shared" si="69"/>
        <v>0</v>
      </c>
      <c r="Q1134" s="295">
        <f t="shared" si="70"/>
        <v>0</v>
      </c>
      <c r="S1134" s="293">
        <f t="shared" si="71"/>
        <v>0</v>
      </c>
      <c r="U1134" s="385"/>
      <c r="V1134" s="385"/>
      <c r="W1134" s="385"/>
      <c r="X1134" s="385"/>
    </row>
    <row r="1135" spans="4:24" s="277" customFormat="1" x14ac:dyDescent="0.3">
      <c r="D1135" s="356" t="s">
        <v>868</v>
      </c>
      <c r="E1135" s="356"/>
      <c r="F1135" s="356"/>
      <c r="G1135" s="356"/>
      <c r="I1135" s="48">
        <v>0</v>
      </c>
      <c r="K1135" s="48">
        <v>0</v>
      </c>
      <c r="M1135" s="279">
        <f t="shared" si="68"/>
        <v>0</v>
      </c>
      <c r="O1135" s="279">
        <f t="shared" si="69"/>
        <v>0</v>
      </c>
      <c r="Q1135" s="295">
        <f t="shared" si="70"/>
        <v>0</v>
      </c>
      <c r="S1135" s="293">
        <f t="shared" si="71"/>
        <v>0</v>
      </c>
      <c r="U1135" s="385"/>
      <c r="V1135" s="385"/>
      <c r="W1135" s="385"/>
      <c r="X1135" s="385"/>
    </row>
    <row r="1136" spans="4:24" s="277" customFormat="1" x14ac:dyDescent="0.3">
      <c r="D1136" s="356" t="s">
        <v>869</v>
      </c>
      <c r="E1136" s="356"/>
      <c r="F1136" s="356"/>
      <c r="G1136" s="356"/>
      <c r="I1136" s="48">
        <v>0</v>
      </c>
      <c r="K1136" s="48">
        <v>0</v>
      </c>
      <c r="M1136" s="279">
        <f t="shared" si="68"/>
        <v>0</v>
      </c>
      <c r="O1136" s="279">
        <f t="shared" si="69"/>
        <v>0</v>
      </c>
      <c r="Q1136" s="295">
        <f t="shared" si="70"/>
        <v>0</v>
      </c>
      <c r="S1136" s="293">
        <f t="shared" si="71"/>
        <v>0</v>
      </c>
      <c r="U1136" s="385"/>
      <c r="V1136" s="385"/>
      <c r="W1136" s="385"/>
      <c r="X1136" s="385"/>
    </row>
    <row r="1137" spans="3:24" s="277" customFormat="1" x14ac:dyDescent="0.3">
      <c r="D1137" s="356" t="s">
        <v>870</v>
      </c>
      <c r="E1137" s="356"/>
      <c r="F1137" s="356"/>
      <c r="G1137" s="356"/>
      <c r="I1137" s="48">
        <v>0</v>
      </c>
      <c r="K1137" s="48">
        <v>0</v>
      </c>
      <c r="M1137" s="279">
        <f t="shared" si="68"/>
        <v>0</v>
      </c>
      <c r="O1137" s="279">
        <f t="shared" si="69"/>
        <v>0</v>
      </c>
      <c r="Q1137" s="295">
        <f t="shared" si="70"/>
        <v>0</v>
      </c>
      <c r="S1137" s="293">
        <f t="shared" si="71"/>
        <v>0</v>
      </c>
      <c r="U1137" s="385"/>
      <c r="V1137" s="385"/>
      <c r="W1137" s="385"/>
      <c r="X1137" s="385"/>
    </row>
    <row r="1138" spans="3:24" s="277" customFormat="1" x14ac:dyDescent="0.3">
      <c r="D1138" s="356" t="s">
        <v>871</v>
      </c>
      <c r="E1138" s="356"/>
      <c r="F1138" s="356"/>
      <c r="G1138" s="356"/>
      <c r="I1138" s="48">
        <v>0</v>
      </c>
      <c r="K1138" s="48">
        <v>0</v>
      </c>
      <c r="M1138" s="279">
        <f t="shared" si="68"/>
        <v>0</v>
      </c>
      <c r="O1138" s="279">
        <f t="shared" si="69"/>
        <v>0</v>
      </c>
      <c r="Q1138" s="295">
        <f t="shared" si="70"/>
        <v>0</v>
      </c>
      <c r="S1138" s="293">
        <f t="shared" si="71"/>
        <v>0</v>
      </c>
      <c r="U1138" s="385"/>
      <c r="V1138" s="385"/>
      <c r="W1138" s="385"/>
      <c r="X1138" s="385"/>
    </row>
    <row r="1139" spans="3:24" s="277" customFormat="1" x14ac:dyDescent="0.3">
      <c r="D1139" s="356" t="s">
        <v>981</v>
      </c>
      <c r="E1139" s="356"/>
      <c r="F1139" s="356"/>
      <c r="G1139" s="356"/>
      <c r="I1139" s="48">
        <v>0</v>
      </c>
      <c r="K1139" s="48">
        <v>0</v>
      </c>
      <c r="M1139" s="279">
        <f t="shared" si="68"/>
        <v>0</v>
      </c>
      <c r="O1139" s="279">
        <f t="shared" si="69"/>
        <v>0</v>
      </c>
      <c r="Q1139" s="295">
        <f t="shared" si="70"/>
        <v>0</v>
      </c>
      <c r="S1139" s="293">
        <f t="shared" si="71"/>
        <v>0</v>
      </c>
      <c r="U1139" s="385"/>
      <c r="V1139" s="385"/>
      <c r="W1139" s="385"/>
      <c r="X1139" s="385"/>
    </row>
    <row r="1140" spans="3:24" s="277" customFormat="1" x14ac:dyDescent="0.3">
      <c r="D1140" s="356" t="s">
        <v>982</v>
      </c>
      <c r="E1140" s="356"/>
      <c r="F1140" s="356"/>
      <c r="G1140" s="356"/>
      <c r="I1140" s="48">
        <v>0</v>
      </c>
      <c r="K1140" s="48">
        <v>0</v>
      </c>
      <c r="M1140" s="279">
        <f t="shared" si="68"/>
        <v>0</v>
      </c>
      <c r="O1140" s="279">
        <f t="shared" si="69"/>
        <v>0</v>
      </c>
      <c r="Q1140" s="295">
        <f t="shared" si="70"/>
        <v>0</v>
      </c>
      <c r="S1140" s="293">
        <f t="shared" si="71"/>
        <v>0</v>
      </c>
      <c r="U1140" s="385"/>
      <c r="V1140" s="385"/>
      <c r="W1140" s="385"/>
      <c r="X1140" s="385"/>
    </row>
    <row r="1141" spans="3:24" s="277" customFormat="1" x14ac:dyDescent="0.3">
      <c r="D1141" s="356" t="s">
        <v>983</v>
      </c>
      <c r="E1141" s="356"/>
      <c r="F1141" s="356"/>
      <c r="G1141" s="356"/>
      <c r="I1141" s="48">
        <v>0</v>
      </c>
      <c r="K1141" s="48">
        <v>0</v>
      </c>
      <c r="M1141" s="279">
        <f t="shared" si="68"/>
        <v>0</v>
      </c>
      <c r="O1141" s="279">
        <f t="shared" si="69"/>
        <v>0</v>
      </c>
      <c r="Q1141" s="295">
        <f t="shared" si="70"/>
        <v>0</v>
      </c>
      <c r="S1141" s="293">
        <f t="shared" si="71"/>
        <v>0</v>
      </c>
      <c r="U1141" s="385"/>
      <c r="V1141" s="385"/>
      <c r="W1141" s="385"/>
      <c r="X1141" s="385"/>
    </row>
    <row r="1142" spans="3:24" s="277" customFormat="1" x14ac:dyDescent="0.3">
      <c r="D1142" s="356" t="s">
        <v>984</v>
      </c>
      <c r="E1142" s="356"/>
      <c r="F1142" s="356"/>
      <c r="G1142" s="356"/>
      <c r="I1142" s="48">
        <v>0</v>
      </c>
      <c r="K1142" s="48">
        <v>0</v>
      </c>
      <c r="M1142" s="279">
        <f t="shared" si="68"/>
        <v>0</v>
      </c>
      <c r="O1142" s="279">
        <f t="shared" si="69"/>
        <v>0</v>
      </c>
      <c r="Q1142" s="295">
        <f t="shared" si="70"/>
        <v>0</v>
      </c>
      <c r="S1142" s="293">
        <f t="shared" si="71"/>
        <v>0</v>
      </c>
      <c r="U1142" s="385"/>
      <c r="V1142" s="385"/>
      <c r="W1142" s="385"/>
      <c r="X1142" s="385"/>
    </row>
    <row r="1143" spans="3:24" s="277" customFormat="1" x14ac:dyDescent="0.3">
      <c r="D1143" s="356" t="s">
        <v>985</v>
      </c>
      <c r="E1143" s="356"/>
      <c r="F1143" s="356"/>
      <c r="G1143" s="356"/>
      <c r="I1143" s="48">
        <v>0</v>
      </c>
      <c r="K1143" s="48">
        <v>0</v>
      </c>
      <c r="M1143" s="279">
        <f t="shared" si="68"/>
        <v>0</v>
      </c>
      <c r="O1143" s="279">
        <f t="shared" si="69"/>
        <v>0</v>
      </c>
      <c r="Q1143" s="295">
        <f t="shared" si="70"/>
        <v>0</v>
      </c>
      <c r="S1143" s="293">
        <f t="shared" si="71"/>
        <v>0</v>
      </c>
      <c r="U1143" s="385"/>
      <c r="V1143" s="385"/>
      <c r="W1143" s="385"/>
      <c r="X1143" s="385"/>
    </row>
    <row r="1144" spans="3:24" ht="14.4" x14ac:dyDescent="0.3">
      <c r="D1144" s="420" t="s">
        <v>85</v>
      </c>
      <c r="E1144" s="427"/>
      <c r="F1144" s="427"/>
      <c r="G1144" s="427"/>
      <c r="I1144" s="43"/>
      <c r="K1144" s="43"/>
      <c r="M1144" s="43"/>
      <c r="O1144" s="43"/>
      <c r="Q1144" s="296">
        <f>SUM(Q1119:Q1143)</f>
        <v>0</v>
      </c>
      <c r="S1144" s="294">
        <f>SUM(S1119:S1143)</f>
        <v>0</v>
      </c>
      <c r="U1144" s="43"/>
      <c r="V1144" s="43"/>
      <c r="W1144" s="43"/>
      <c r="X1144" s="43"/>
    </row>
    <row r="1146" spans="3:24" ht="27.6" x14ac:dyDescent="0.3">
      <c r="C1146" s="92" t="s">
        <v>130</v>
      </c>
      <c r="Q1146" s="44" t="str">
        <f>"FINANCIAL COST ("&amp;INDEX(LU_ACT_24_Meet_Curr,DD_ACT_24_Meet1_Curr)&amp;")"</f>
        <v>FINANCIAL COST (GOZ)</v>
      </c>
      <c r="S1146" s="44" t="str">
        <f>"ECONOMIC COST ("&amp;INDEX(LU_ACT_24_Meet_Curr,DD_ACT_24_Meet1_Curr)&amp;")"</f>
        <v>ECONOMIC COST (GOZ)</v>
      </c>
    </row>
    <row r="1147" spans="3:24" ht="14.4" x14ac:dyDescent="0.3">
      <c r="D1147" s="90" t="s">
        <v>86</v>
      </c>
      <c r="I1147" s="91" t="s">
        <v>186</v>
      </c>
      <c r="M1147" s="91" t="s">
        <v>81</v>
      </c>
      <c r="O1147" s="91" t="s">
        <v>83</v>
      </c>
      <c r="U1147" s="350" t="s">
        <v>185</v>
      </c>
      <c r="V1147" s="426"/>
      <c r="W1147" s="426"/>
      <c r="X1147" s="426"/>
    </row>
    <row r="1148" spans="3:24" x14ac:dyDescent="0.3">
      <c r="D1148" s="356" t="s">
        <v>70</v>
      </c>
      <c r="E1148" s="356"/>
      <c r="F1148" s="356"/>
      <c r="G1148" s="356"/>
      <c r="I1148" s="48">
        <v>0</v>
      </c>
      <c r="M1148" s="40">
        <f t="shared" ref="M1148:M1172" si="72">IFERROR(IF(DD_ACT_24_Meet1_Curr=1,INDEX($M$1328:$M$1362,MATCH(D1148,LU_ACT_24_Equipment,0)),INDEX($Q$1328:$Q$1362,MATCH(D1148,LU_ACT_24_Equipment,0))),0)</f>
        <v>0</v>
      </c>
      <c r="O1148" s="40">
        <f t="shared" ref="O1148:O1172" si="73">IFERROR(IF(DD_ACT_24_Meet1_Curr=1,INDEX($O$1328:$O$1362,MATCH(D1148,LU_ACT_24_Equipment,0)),INDEX($S$1328:$S$1362,MATCH(D1148,LU_ACT_24_Equipment,0))),0)</f>
        <v>0</v>
      </c>
      <c r="Q1148" s="279">
        <f t="shared" ref="Q1148:Q1172" si="74">I1148*M1148</f>
        <v>0</v>
      </c>
      <c r="S1148" s="279">
        <f t="shared" ref="S1148:S1172" si="75">I1148*O1148</f>
        <v>0</v>
      </c>
      <c r="U1148" s="356"/>
      <c r="V1148" s="356"/>
      <c r="W1148" s="356"/>
      <c r="X1148" s="356"/>
    </row>
    <row r="1149" spans="3:24" x14ac:dyDescent="0.3">
      <c r="D1149" s="356" t="s">
        <v>122</v>
      </c>
      <c r="E1149" s="356"/>
      <c r="F1149" s="356"/>
      <c r="G1149" s="356"/>
      <c r="I1149" s="48">
        <v>0</v>
      </c>
      <c r="M1149" s="40">
        <f t="shared" si="72"/>
        <v>0</v>
      </c>
      <c r="O1149" s="40">
        <f t="shared" si="73"/>
        <v>0</v>
      </c>
      <c r="Q1149" s="279">
        <f t="shared" si="74"/>
        <v>0</v>
      </c>
      <c r="S1149" s="279">
        <f t="shared" si="75"/>
        <v>0</v>
      </c>
      <c r="U1149" s="356"/>
      <c r="V1149" s="356"/>
      <c r="W1149" s="356"/>
      <c r="X1149" s="356"/>
    </row>
    <row r="1150" spans="3:24" s="277" customFormat="1" x14ac:dyDescent="0.3">
      <c r="D1150" s="356" t="s">
        <v>872</v>
      </c>
      <c r="E1150" s="356"/>
      <c r="F1150" s="356"/>
      <c r="G1150" s="356"/>
      <c r="I1150" s="48">
        <v>0</v>
      </c>
      <c r="M1150" s="279">
        <f t="shared" si="72"/>
        <v>0</v>
      </c>
      <c r="O1150" s="279">
        <f t="shared" si="73"/>
        <v>0</v>
      </c>
      <c r="Q1150" s="279">
        <f t="shared" si="74"/>
        <v>0</v>
      </c>
      <c r="S1150" s="279">
        <f t="shared" si="75"/>
        <v>0</v>
      </c>
      <c r="U1150" s="385"/>
      <c r="V1150" s="385"/>
      <c r="W1150" s="385"/>
      <c r="X1150" s="385"/>
    </row>
    <row r="1151" spans="3:24" s="277" customFormat="1" x14ac:dyDescent="0.3">
      <c r="D1151" s="356" t="s">
        <v>873</v>
      </c>
      <c r="E1151" s="356"/>
      <c r="F1151" s="356"/>
      <c r="G1151" s="356"/>
      <c r="I1151" s="48">
        <v>0</v>
      </c>
      <c r="M1151" s="279">
        <f t="shared" si="72"/>
        <v>0</v>
      </c>
      <c r="O1151" s="279">
        <f t="shared" si="73"/>
        <v>0</v>
      </c>
      <c r="Q1151" s="279">
        <f t="shared" si="74"/>
        <v>0</v>
      </c>
      <c r="S1151" s="279">
        <f t="shared" si="75"/>
        <v>0</v>
      </c>
      <c r="U1151" s="385"/>
      <c r="V1151" s="385"/>
      <c r="W1151" s="385"/>
      <c r="X1151" s="385"/>
    </row>
    <row r="1152" spans="3:24" s="277" customFormat="1" x14ac:dyDescent="0.3">
      <c r="D1152" s="356" t="s">
        <v>874</v>
      </c>
      <c r="E1152" s="356"/>
      <c r="F1152" s="356"/>
      <c r="G1152" s="356"/>
      <c r="I1152" s="48">
        <v>0</v>
      </c>
      <c r="M1152" s="279">
        <f t="shared" si="72"/>
        <v>0</v>
      </c>
      <c r="O1152" s="279">
        <f t="shared" si="73"/>
        <v>0</v>
      </c>
      <c r="Q1152" s="279">
        <f t="shared" si="74"/>
        <v>0</v>
      </c>
      <c r="S1152" s="279">
        <f t="shared" si="75"/>
        <v>0</v>
      </c>
      <c r="U1152" s="385"/>
      <c r="V1152" s="385"/>
      <c r="W1152" s="385"/>
      <c r="X1152" s="385"/>
    </row>
    <row r="1153" spans="4:24" s="277" customFormat="1" x14ac:dyDescent="0.3">
      <c r="D1153" s="356" t="s">
        <v>875</v>
      </c>
      <c r="E1153" s="356"/>
      <c r="F1153" s="356"/>
      <c r="G1153" s="356"/>
      <c r="I1153" s="48">
        <v>0</v>
      </c>
      <c r="M1153" s="279">
        <f t="shared" si="72"/>
        <v>0</v>
      </c>
      <c r="O1153" s="279">
        <f t="shared" si="73"/>
        <v>0</v>
      </c>
      <c r="Q1153" s="279">
        <f t="shared" si="74"/>
        <v>0</v>
      </c>
      <c r="S1153" s="279">
        <f t="shared" si="75"/>
        <v>0</v>
      </c>
      <c r="U1153" s="385"/>
      <c r="V1153" s="385"/>
      <c r="W1153" s="385"/>
      <c r="X1153" s="385"/>
    </row>
    <row r="1154" spans="4:24" s="277" customFormat="1" x14ac:dyDescent="0.3">
      <c r="D1154" s="356" t="s">
        <v>778</v>
      </c>
      <c r="E1154" s="356"/>
      <c r="F1154" s="356"/>
      <c r="G1154" s="356"/>
      <c r="I1154" s="48">
        <v>0</v>
      </c>
      <c r="M1154" s="279">
        <f t="shared" si="72"/>
        <v>0</v>
      </c>
      <c r="O1154" s="279">
        <f t="shared" si="73"/>
        <v>0</v>
      </c>
      <c r="Q1154" s="279">
        <f t="shared" si="74"/>
        <v>0</v>
      </c>
      <c r="S1154" s="279">
        <f t="shared" si="75"/>
        <v>0</v>
      </c>
      <c r="U1154" s="385"/>
      <c r="V1154" s="385"/>
      <c r="W1154" s="385"/>
      <c r="X1154" s="385"/>
    </row>
    <row r="1155" spans="4:24" s="277" customFormat="1" x14ac:dyDescent="0.3">
      <c r="D1155" s="356" t="s">
        <v>779</v>
      </c>
      <c r="E1155" s="356"/>
      <c r="F1155" s="356"/>
      <c r="G1155" s="356"/>
      <c r="I1155" s="48">
        <v>0</v>
      </c>
      <c r="M1155" s="279">
        <f t="shared" si="72"/>
        <v>0</v>
      </c>
      <c r="O1155" s="279">
        <f t="shared" si="73"/>
        <v>0</v>
      </c>
      <c r="Q1155" s="279">
        <f t="shared" si="74"/>
        <v>0</v>
      </c>
      <c r="S1155" s="279">
        <f t="shared" si="75"/>
        <v>0</v>
      </c>
      <c r="U1155" s="385"/>
      <c r="V1155" s="385"/>
      <c r="W1155" s="385"/>
      <c r="X1155" s="385"/>
    </row>
    <row r="1156" spans="4:24" s="277" customFormat="1" x14ac:dyDescent="0.3">
      <c r="D1156" s="356" t="s">
        <v>780</v>
      </c>
      <c r="E1156" s="356"/>
      <c r="F1156" s="356"/>
      <c r="G1156" s="356"/>
      <c r="I1156" s="48">
        <v>0</v>
      </c>
      <c r="M1156" s="279">
        <f t="shared" si="72"/>
        <v>0</v>
      </c>
      <c r="O1156" s="279">
        <f t="shared" si="73"/>
        <v>0</v>
      </c>
      <c r="Q1156" s="279">
        <f t="shared" si="74"/>
        <v>0</v>
      </c>
      <c r="S1156" s="279">
        <f t="shared" si="75"/>
        <v>0</v>
      </c>
      <c r="U1156" s="385"/>
      <c r="V1156" s="385"/>
      <c r="W1156" s="385"/>
      <c r="X1156" s="385"/>
    </row>
    <row r="1157" spans="4:24" s="277" customFormat="1" x14ac:dyDescent="0.3">
      <c r="D1157" s="356" t="s">
        <v>781</v>
      </c>
      <c r="E1157" s="356"/>
      <c r="F1157" s="356"/>
      <c r="G1157" s="356"/>
      <c r="I1157" s="48">
        <v>0</v>
      </c>
      <c r="M1157" s="279">
        <f t="shared" si="72"/>
        <v>0</v>
      </c>
      <c r="O1157" s="279">
        <f t="shared" si="73"/>
        <v>0</v>
      </c>
      <c r="Q1157" s="279">
        <f t="shared" si="74"/>
        <v>0</v>
      </c>
      <c r="S1157" s="279">
        <f t="shared" si="75"/>
        <v>0</v>
      </c>
      <c r="U1157" s="385"/>
      <c r="V1157" s="385"/>
      <c r="W1157" s="385"/>
      <c r="X1157" s="385"/>
    </row>
    <row r="1158" spans="4:24" s="277" customFormat="1" x14ac:dyDescent="0.3">
      <c r="D1158" s="356" t="s">
        <v>782</v>
      </c>
      <c r="E1158" s="356"/>
      <c r="F1158" s="356"/>
      <c r="G1158" s="356"/>
      <c r="I1158" s="48">
        <v>0</v>
      </c>
      <c r="M1158" s="279">
        <f t="shared" si="72"/>
        <v>0</v>
      </c>
      <c r="O1158" s="279">
        <f t="shared" si="73"/>
        <v>0</v>
      </c>
      <c r="Q1158" s="279">
        <f t="shared" si="74"/>
        <v>0</v>
      </c>
      <c r="S1158" s="279">
        <f t="shared" si="75"/>
        <v>0</v>
      </c>
      <c r="U1158" s="385"/>
      <c r="V1158" s="385"/>
      <c r="W1158" s="385"/>
      <c r="X1158" s="385"/>
    </row>
    <row r="1159" spans="4:24" s="277" customFormat="1" x14ac:dyDescent="0.3">
      <c r="D1159" s="356" t="s">
        <v>783</v>
      </c>
      <c r="E1159" s="356"/>
      <c r="F1159" s="356"/>
      <c r="G1159" s="356"/>
      <c r="I1159" s="48">
        <v>0</v>
      </c>
      <c r="M1159" s="279">
        <f t="shared" si="72"/>
        <v>0</v>
      </c>
      <c r="O1159" s="279">
        <f t="shared" si="73"/>
        <v>0</v>
      </c>
      <c r="Q1159" s="279">
        <f t="shared" si="74"/>
        <v>0</v>
      </c>
      <c r="S1159" s="279">
        <f t="shared" si="75"/>
        <v>0</v>
      </c>
      <c r="U1159" s="385"/>
      <c r="V1159" s="385"/>
      <c r="W1159" s="385"/>
      <c r="X1159" s="385"/>
    </row>
    <row r="1160" spans="4:24" s="277" customFormat="1" x14ac:dyDescent="0.3">
      <c r="D1160" s="356" t="s">
        <v>784</v>
      </c>
      <c r="E1160" s="356"/>
      <c r="F1160" s="356"/>
      <c r="G1160" s="356"/>
      <c r="I1160" s="48">
        <v>0</v>
      </c>
      <c r="M1160" s="279">
        <f t="shared" si="72"/>
        <v>0</v>
      </c>
      <c r="O1160" s="279">
        <f t="shared" si="73"/>
        <v>0</v>
      </c>
      <c r="Q1160" s="279">
        <f t="shared" si="74"/>
        <v>0</v>
      </c>
      <c r="S1160" s="279">
        <f t="shared" si="75"/>
        <v>0</v>
      </c>
      <c r="U1160" s="385"/>
      <c r="V1160" s="385"/>
      <c r="W1160" s="385"/>
      <c r="X1160" s="385"/>
    </row>
    <row r="1161" spans="4:24" s="277" customFormat="1" x14ac:dyDescent="0.3">
      <c r="D1161" s="356" t="s">
        <v>785</v>
      </c>
      <c r="E1161" s="356"/>
      <c r="F1161" s="356"/>
      <c r="G1161" s="356"/>
      <c r="I1161" s="48">
        <v>0</v>
      </c>
      <c r="M1161" s="279">
        <f t="shared" si="72"/>
        <v>0</v>
      </c>
      <c r="O1161" s="279">
        <f t="shared" si="73"/>
        <v>0</v>
      </c>
      <c r="Q1161" s="279">
        <f t="shared" si="74"/>
        <v>0</v>
      </c>
      <c r="S1161" s="279">
        <f t="shared" si="75"/>
        <v>0</v>
      </c>
      <c r="U1161" s="385"/>
      <c r="V1161" s="385"/>
      <c r="W1161" s="385"/>
      <c r="X1161" s="385"/>
    </row>
    <row r="1162" spans="4:24" s="277" customFormat="1" x14ac:dyDescent="0.3">
      <c r="D1162" s="356" t="s">
        <v>786</v>
      </c>
      <c r="E1162" s="356"/>
      <c r="F1162" s="356"/>
      <c r="G1162" s="356"/>
      <c r="I1162" s="48">
        <v>0</v>
      </c>
      <c r="M1162" s="279">
        <f t="shared" si="72"/>
        <v>0</v>
      </c>
      <c r="O1162" s="279">
        <f t="shared" si="73"/>
        <v>0</v>
      </c>
      <c r="Q1162" s="279">
        <f t="shared" si="74"/>
        <v>0</v>
      </c>
      <c r="S1162" s="279">
        <f t="shared" si="75"/>
        <v>0</v>
      </c>
      <c r="U1162" s="385"/>
      <c r="V1162" s="385"/>
      <c r="W1162" s="385"/>
      <c r="X1162" s="385"/>
    </row>
    <row r="1163" spans="4:24" s="277" customFormat="1" x14ac:dyDescent="0.3">
      <c r="D1163" s="356" t="s">
        <v>787</v>
      </c>
      <c r="E1163" s="356"/>
      <c r="F1163" s="356"/>
      <c r="G1163" s="356"/>
      <c r="I1163" s="48">
        <v>0</v>
      </c>
      <c r="M1163" s="279">
        <f t="shared" si="72"/>
        <v>0</v>
      </c>
      <c r="O1163" s="279">
        <f t="shared" si="73"/>
        <v>0</v>
      </c>
      <c r="Q1163" s="279">
        <f t="shared" si="74"/>
        <v>0</v>
      </c>
      <c r="S1163" s="279">
        <f t="shared" si="75"/>
        <v>0</v>
      </c>
      <c r="U1163" s="385"/>
      <c r="V1163" s="385"/>
      <c r="W1163" s="385"/>
      <c r="X1163" s="385"/>
    </row>
    <row r="1164" spans="4:24" s="277" customFormat="1" x14ac:dyDescent="0.3">
      <c r="D1164" s="356" t="s">
        <v>788</v>
      </c>
      <c r="E1164" s="356"/>
      <c r="F1164" s="356"/>
      <c r="G1164" s="356"/>
      <c r="I1164" s="48">
        <v>0</v>
      </c>
      <c r="M1164" s="279">
        <f t="shared" si="72"/>
        <v>0</v>
      </c>
      <c r="O1164" s="279">
        <f t="shared" si="73"/>
        <v>0</v>
      </c>
      <c r="Q1164" s="279">
        <f t="shared" si="74"/>
        <v>0</v>
      </c>
      <c r="S1164" s="279">
        <f t="shared" si="75"/>
        <v>0</v>
      </c>
      <c r="U1164" s="385"/>
      <c r="V1164" s="385"/>
      <c r="W1164" s="385"/>
      <c r="X1164" s="385"/>
    </row>
    <row r="1165" spans="4:24" s="277" customFormat="1" x14ac:dyDescent="0.3">
      <c r="D1165" s="356" t="s">
        <v>789</v>
      </c>
      <c r="E1165" s="356"/>
      <c r="F1165" s="356"/>
      <c r="G1165" s="356"/>
      <c r="I1165" s="48">
        <v>0</v>
      </c>
      <c r="M1165" s="279">
        <f t="shared" si="72"/>
        <v>0</v>
      </c>
      <c r="O1165" s="279">
        <f t="shared" si="73"/>
        <v>0</v>
      </c>
      <c r="Q1165" s="279">
        <f t="shared" si="74"/>
        <v>0</v>
      </c>
      <c r="S1165" s="279">
        <f t="shared" si="75"/>
        <v>0</v>
      </c>
      <c r="U1165" s="385"/>
      <c r="V1165" s="385"/>
      <c r="W1165" s="385"/>
      <c r="X1165" s="385"/>
    </row>
    <row r="1166" spans="4:24" s="277" customFormat="1" x14ac:dyDescent="0.3">
      <c r="D1166" s="356" t="s">
        <v>790</v>
      </c>
      <c r="E1166" s="356"/>
      <c r="F1166" s="356"/>
      <c r="G1166" s="356"/>
      <c r="I1166" s="48">
        <v>0</v>
      </c>
      <c r="M1166" s="279">
        <f t="shared" si="72"/>
        <v>0</v>
      </c>
      <c r="O1166" s="279">
        <f t="shared" si="73"/>
        <v>0</v>
      </c>
      <c r="Q1166" s="279">
        <f t="shared" si="74"/>
        <v>0</v>
      </c>
      <c r="S1166" s="279">
        <f t="shared" si="75"/>
        <v>0</v>
      </c>
      <c r="U1166" s="385"/>
      <c r="V1166" s="385"/>
      <c r="W1166" s="385"/>
      <c r="X1166" s="385"/>
    </row>
    <row r="1167" spans="4:24" s="277" customFormat="1" x14ac:dyDescent="0.3">
      <c r="D1167" s="356" t="s">
        <v>791</v>
      </c>
      <c r="E1167" s="356"/>
      <c r="F1167" s="356"/>
      <c r="G1167" s="356"/>
      <c r="I1167" s="48">
        <v>0</v>
      </c>
      <c r="M1167" s="279">
        <f t="shared" si="72"/>
        <v>0</v>
      </c>
      <c r="O1167" s="279">
        <f t="shared" si="73"/>
        <v>0</v>
      </c>
      <c r="Q1167" s="279">
        <f t="shared" si="74"/>
        <v>0</v>
      </c>
      <c r="S1167" s="279">
        <f t="shared" si="75"/>
        <v>0</v>
      </c>
      <c r="U1167" s="385"/>
      <c r="V1167" s="385"/>
      <c r="W1167" s="385"/>
      <c r="X1167" s="385"/>
    </row>
    <row r="1168" spans="4:24" s="277" customFormat="1" x14ac:dyDescent="0.3">
      <c r="D1168" s="356" t="s">
        <v>792</v>
      </c>
      <c r="E1168" s="356"/>
      <c r="F1168" s="356"/>
      <c r="G1168" s="356"/>
      <c r="I1168" s="48">
        <v>0</v>
      </c>
      <c r="M1168" s="279">
        <f t="shared" si="72"/>
        <v>0</v>
      </c>
      <c r="O1168" s="279">
        <f t="shared" si="73"/>
        <v>0</v>
      </c>
      <c r="Q1168" s="279">
        <f t="shared" si="74"/>
        <v>0</v>
      </c>
      <c r="S1168" s="279">
        <f t="shared" si="75"/>
        <v>0</v>
      </c>
      <c r="U1168" s="385"/>
      <c r="V1168" s="385"/>
      <c r="W1168" s="385"/>
      <c r="X1168" s="385"/>
    </row>
    <row r="1169" spans="3:24" s="277" customFormat="1" x14ac:dyDescent="0.3">
      <c r="D1169" s="356" t="s">
        <v>793</v>
      </c>
      <c r="E1169" s="356"/>
      <c r="F1169" s="356"/>
      <c r="G1169" s="356"/>
      <c r="I1169" s="48">
        <v>0</v>
      </c>
      <c r="M1169" s="279">
        <f t="shared" si="72"/>
        <v>0</v>
      </c>
      <c r="O1169" s="279">
        <f t="shared" si="73"/>
        <v>0</v>
      </c>
      <c r="Q1169" s="279">
        <f t="shared" si="74"/>
        <v>0</v>
      </c>
      <c r="S1169" s="279">
        <f t="shared" si="75"/>
        <v>0</v>
      </c>
      <c r="U1169" s="385"/>
      <c r="V1169" s="385"/>
      <c r="W1169" s="385"/>
      <c r="X1169" s="385"/>
    </row>
    <row r="1170" spans="3:24" s="277" customFormat="1" x14ac:dyDescent="0.3">
      <c r="D1170" s="356" t="s">
        <v>794</v>
      </c>
      <c r="E1170" s="356"/>
      <c r="F1170" s="356"/>
      <c r="G1170" s="356"/>
      <c r="I1170" s="48">
        <v>0</v>
      </c>
      <c r="M1170" s="279">
        <f t="shared" si="72"/>
        <v>0</v>
      </c>
      <c r="O1170" s="279">
        <f t="shared" si="73"/>
        <v>0</v>
      </c>
      <c r="Q1170" s="279">
        <f t="shared" si="74"/>
        <v>0</v>
      </c>
      <c r="S1170" s="279">
        <f t="shared" si="75"/>
        <v>0</v>
      </c>
      <c r="U1170" s="385"/>
      <c r="V1170" s="385"/>
      <c r="W1170" s="385"/>
      <c r="X1170" s="385"/>
    </row>
    <row r="1171" spans="3:24" s="277" customFormat="1" x14ac:dyDescent="0.3">
      <c r="D1171" s="356" t="s">
        <v>795</v>
      </c>
      <c r="E1171" s="356"/>
      <c r="F1171" s="356"/>
      <c r="G1171" s="356"/>
      <c r="I1171" s="48">
        <v>0</v>
      </c>
      <c r="M1171" s="279">
        <f t="shared" si="72"/>
        <v>0</v>
      </c>
      <c r="O1171" s="279">
        <f t="shared" si="73"/>
        <v>0</v>
      </c>
      <c r="Q1171" s="279">
        <f t="shared" si="74"/>
        <v>0</v>
      </c>
      <c r="S1171" s="279">
        <f t="shared" si="75"/>
        <v>0</v>
      </c>
      <c r="U1171" s="385"/>
      <c r="V1171" s="385"/>
      <c r="W1171" s="385"/>
      <c r="X1171" s="385"/>
    </row>
    <row r="1172" spans="3:24" s="277" customFormat="1" x14ac:dyDescent="0.3">
      <c r="D1172" s="356" t="s">
        <v>796</v>
      </c>
      <c r="E1172" s="356"/>
      <c r="F1172" s="356"/>
      <c r="G1172" s="356"/>
      <c r="I1172" s="48">
        <v>0</v>
      </c>
      <c r="M1172" s="279">
        <f t="shared" si="72"/>
        <v>0</v>
      </c>
      <c r="O1172" s="279">
        <f t="shared" si="73"/>
        <v>0</v>
      </c>
      <c r="Q1172" s="279">
        <f t="shared" si="74"/>
        <v>0</v>
      </c>
      <c r="S1172" s="279">
        <f t="shared" si="75"/>
        <v>0</v>
      </c>
      <c r="U1172" s="385"/>
      <c r="V1172" s="385"/>
      <c r="W1172" s="385"/>
      <c r="X1172" s="385"/>
    </row>
    <row r="1173" spans="3:24" ht="14.4" x14ac:dyDescent="0.3">
      <c r="D1173" s="420" t="s">
        <v>88</v>
      </c>
      <c r="E1173" s="427"/>
      <c r="F1173" s="427"/>
      <c r="G1173" s="427"/>
      <c r="I1173" s="40"/>
      <c r="M1173" s="40"/>
      <c r="O1173" s="40"/>
      <c r="Q1173" s="294">
        <f>SUM(Q1148:Q1172)</f>
        <v>0</v>
      </c>
      <c r="S1173" s="294">
        <f>SUM(S1148:S1172)</f>
        <v>0</v>
      </c>
    </row>
    <row r="1175" spans="3:24" ht="15.6" x14ac:dyDescent="0.3">
      <c r="C1175" s="92" t="s">
        <v>89</v>
      </c>
    </row>
    <row r="1176" spans="3:24" ht="27.6" x14ac:dyDescent="0.3">
      <c r="Q1176" s="44" t="str">
        <f>"FINANCIAL COST ("&amp;INDEX(LU_ACT_24_Meet_Curr,DD_ACT_24_Meet1_Curr)&amp;")"</f>
        <v>FINANCIAL COST (GOZ)</v>
      </c>
      <c r="S1176" s="44" t="str">
        <f>"ECONOMIC COST ("&amp;INDEX(LU_ACT_24_Meet_Curr,DD_ACT_24_Meet1_Curr)&amp;")"</f>
        <v>ECONOMIC COST (GOZ)</v>
      </c>
    </row>
    <row r="1177" spans="3:24" ht="27.6" x14ac:dyDescent="0.3">
      <c r="D1177" s="90" t="s">
        <v>86</v>
      </c>
      <c r="I1177" s="91" t="s">
        <v>186</v>
      </c>
      <c r="K1177" s="91" t="s">
        <v>432</v>
      </c>
      <c r="M1177" s="42" t="s">
        <v>81</v>
      </c>
      <c r="O1177" s="42" t="s">
        <v>83</v>
      </c>
      <c r="U1177" s="350" t="s">
        <v>185</v>
      </c>
      <c r="V1177" s="426"/>
      <c r="W1177" s="426"/>
      <c r="X1177" s="426"/>
    </row>
    <row r="1178" spans="3:24" x14ac:dyDescent="0.3">
      <c r="D1178" s="356" t="s">
        <v>71</v>
      </c>
      <c r="E1178" s="356"/>
      <c r="F1178" s="356"/>
      <c r="G1178" s="356"/>
      <c r="I1178" s="48">
        <v>0</v>
      </c>
      <c r="K1178" s="48">
        <v>0</v>
      </c>
      <c r="M1178" s="40">
        <f t="shared" ref="M1178:M1202" si="76">IFERROR(IF(DD_ACT_24_Meet1_Curr=1,INDEX($M$1366:$M$1400,MATCH(D1178,LU_ACT_24_ODCS,0)),INDEX($Q$1366:$Q$1400,MATCH(D1178,LU_ACT_24_ODCS,0))),0)</f>
        <v>0</v>
      </c>
      <c r="O1178" s="40">
        <f t="shared" ref="O1178:O1202" si="77">IFERROR(IF(DD_ACT_24_Meet1_Curr=1,INDEX($O$1366:$O$1400,MATCH(D1178,LU_ACT_24_ODCS,0)),INDEX($S$1366:$S$1400,MATCH(D1178,LU_ACT_24_ODCS,0))),0)</f>
        <v>0</v>
      </c>
      <c r="Q1178" s="279">
        <f t="shared" ref="Q1178:Q1202" si="78">I1178*K1178*M1178</f>
        <v>0</v>
      </c>
      <c r="S1178" s="279">
        <f t="shared" ref="S1178:S1202" si="79">I1178*K1178*O1178</f>
        <v>0</v>
      </c>
      <c r="U1178" s="356"/>
      <c r="V1178" s="356"/>
      <c r="W1178" s="356"/>
      <c r="X1178" s="356"/>
    </row>
    <row r="1179" spans="3:24" x14ac:dyDescent="0.3">
      <c r="D1179" s="356" t="s">
        <v>72</v>
      </c>
      <c r="E1179" s="356"/>
      <c r="F1179" s="356"/>
      <c r="G1179" s="356"/>
      <c r="I1179" s="48">
        <v>0</v>
      </c>
      <c r="K1179" s="48">
        <v>0</v>
      </c>
      <c r="M1179" s="40">
        <f t="shared" si="76"/>
        <v>0</v>
      </c>
      <c r="O1179" s="40">
        <f t="shared" si="77"/>
        <v>0</v>
      </c>
      <c r="Q1179" s="279">
        <f t="shared" si="78"/>
        <v>0</v>
      </c>
      <c r="S1179" s="279">
        <f t="shared" si="79"/>
        <v>0</v>
      </c>
      <c r="U1179" s="356"/>
      <c r="V1179" s="356"/>
      <c r="W1179" s="356"/>
      <c r="X1179" s="356"/>
    </row>
    <row r="1180" spans="3:24" x14ac:dyDescent="0.3">
      <c r="D1180" s="356" t="s">
        <v>73</v>
      </c>
      <c r="E1180" s="356"/>
      <c r="F1180" s="356"/>
      <c r="G1180" s="356"/>
      <c r="I1180" s="48">
        <v>0</v>
      </c>
      <c r="K1180" s="48">
        <v>0</v>
      </c>
      <c r="M1180" s="40">
        <f t="shared" si="76"/>
        <v>0</v>
      </c>
      <c r="O1180" s="40">
        <f t="shared" si="77"/>
        <v>0</v>
      </c>
      <c r="Q1180" s="279">
        <f t="shared" si="78"/>
        <v>0</v>
      </c>
      <c r="S1180" s="279">
        <f t="shared" si="79"/>
        <v>0</v>
      </c>
      <c r="U1180" s="356"/>
      <c r="V1180" s="356"/>
      <c r="W1180" s="356"/>
      <c r="X1180" s="356"/>
    </row>
    <row r="1181" spans="3:24" x14ac:dyDescent="0.3">
      <c r="D1181" s="356" t="s">
        <v>74</v>
      </c>
      <c r="E1181" s="356"/>
      <c r="F1181" s="356"/>
      <c r="G1181" s="356"/>
      <c r="I1181" s="48">
        <v>0</v>
      </c>
      <c r="K1181" s="48">
        <v>0</v>
      </c>
      <c r="M1181" s="40">
        <f t="shared" si="76"/>
        <v>0</v>
      </c>
      <c r="O1181" s="40">
        <f t="shared" si="77"/>
        <v>0</v>
      </c>
      <c r="Q1181" s="279">
        <f t="shared" si="78"/>
        <v>0</v>
      </c>
      <c r="S1181" s="279">
        <f t="shared" si="79"/>
        <v>0</v>
      </c>
      <c r="U1181" s="356"/>
      <c r="V1181" s="356"/>
      <c r="W1181" s="356"/>
      <c r="X1181" s="356"/>
    </row>
    <row r="1182" spans="3:24" x14ac:dyDescent="0.3">
      <c r="D1182" s="356" t="s">
        <v>75</v>
      </c>
      <c r="E1182" s="356"/>
      <c r="F1182" s="356"/>
      <c r="G1182" s="356"/>
      <c r="I1182" s="48">
        <v>0</v>
      </c>
      <c r="K1182" s="48">
        <v>0</v>
      </c>
      <c r="M1182" s="40">
        <f t="shared" si="76"/>
        <v>0</v>
      </c>
      <c r="O1182" s="40">
        <f t="shared" si="77"/>
        <v>0</v>
      </c>
      <c r="Q1182" s="279">
        <f t="shared" si="78"/>
        <v>0</v>
      </c>
      <c r="S1182" s="279">
        <f t="shared" si="79"/>
        <v>0</v>
      </c>
      <c r="U1182" s="356"/>
      <c r="V1182" s="356"/>
      <c r="W1182" s="356"/>
      <c r="X1182" s="356"/>
    </row>
    <row r="1183" spans="3:24" s="277" customFormat="1" x14ac:dyDescent="0.3">
      <c r="D1183" s="356" t="s">
        <v>876</v>
      </c>
      <c r="E1183" s="356"/>
      <c r="F1183" s="356"/>
      <c r="G1183" s="356"/>
      <c r="I1183" s="48">
        <v>0</v>
      </c>
      <c r="K1183" s="48">
        <v>0</v>
      </c>
      <c r="M1183" s="279">
        <f t="shared" si="76"/>
        <v>0</v>
      </c>
      <c r="O1183" s="279">
        <f t="shared" si="77"/>
        <v>0</v>
      </c>
      <c r="Q1183" s="279">
        <f t="shared" si="78"/>
        <v>0</v>
      </c>
      <c r="S1183" s="279">
        <f t="shared" si="79"/>
        <v>0</v>
      </c>
      <c r="U1183" s="385"/>
      <c r="V1183" s="385"/>
      <c r="W1183" s="385"/>
      <c r="X1183" s="385"/>
    </row>
    <row r="1184" spans="3:24" s="277" customFormat="1" x14ac:dyDescent="0.3">
      <c r="D1184" s="356" t="s">
        <v>877</v>
      </c>
      <c r="E1184" s="356"/>
      <c r="F1184" s="356"/>
      <c r="G1184" s="356"/>
      <c r="I1184" s="48">
        <v>0</v>
      </c>
      <c r="K1184" s="48">
        <v>0</v>
      </c>
      <c r="M1184" s="279">
        <f t="shared" si="76"/>
        <v>0</v>
      </c>
      <c r="O1184" s="279">
        <f t="shared" si="77"/>
        <v>0</v>
      </c>
      <c r="Q1184" s="279">
        <f t="shared" si="78"/>
        <v>0</v>
      </c>
      <c r="S1184" s="279">
        <f t="shared" si="79"/>
        <v>0</v>
      </c>
      <c r="U1184" s="385"/>
      <c r="V1184" s="385"/>
      <c r="W1184" s="385"/>
      <c r="X1184" s="385"/>
    </row>
    <row r="1185" spans="4:24" s="277" customFormat="1" x14ac:dyDescent="0.3">
      <c r="D1185" s="356" t="s">
        <v>878</v>
      </c>
      <c r="E1185" s="356"/>
      <c r="F1185" s="356"/>
      <c r="G1185" s="356"/>
      <c r="I1185" s="48">
        <v>0</v>
      </c>
      <c r="K1185" s="48">
        <v>0</v>
      </c>
      <c r="M1185" s="279">
        <f t="shared" si="76"/>
        <v>0</v>
      </c>
      <c r="O1185" s="279">
        <f t="shared" si="77"/>
        <v>0</v>
      </c>
      <c r="Q1185" s="279">
        <f t="shared" si="78"/>
        <v>0</v>
      </c>
      <c r="S1185" s="279">
        <f t="shared" si="79"/>
        <v>0</v>
      </c>
      <c r="U1185" s="385"/>
      <c r="V1185" s="385"/>
      <c r="W1185" s="385"/>
      <c r="X1185" s="385"/>
    </row>
    <row r="1186" spans="4:24" s="277" customFormat="1" x14ac:dyDescent="0.3">
      <c r="D1186" s="356" t="s">
        <v>879</v>
      </c>
      <c r="E1186" s="356"/>
      <c r="F1186" s="356"/>
      <c r="G1186" s="356"/>
      <c r="I1186" s="48">
        <v>0</v>
      </c>
      <c r="K1186" s="48">
        <v>0</v>
      </c>
      <c r="M1186" s="279">
        <f t="shared" si="76"/>
        <v>0</v>
      </c>
      <c r="O1186" s="279">
        <f t="shared" si="77"/>
        <v>0</v>
      </c>
      <c r="Q1186" s="279">
        <f t="shared" si="78"/>
        <v>0</v>
      </c>
      <c r="S1186" s="279">
        <f t="shared" si="79"/>
        <v>0</v>
      </c>
      <c r="U1186" s="385"/>
      <c r="V1186" s="385"/>
      <c r="W1186" s="385"/>
      <c r="X1186" s="385"/>
    </row>
    <row r="1187" spans="4:24" s="277" customFormat="1" x14ac:dyDescent="0.3">
      <c r="D1187" s="356" t="s">
        <v>880</v>
      </c>
      <c r="E1187" s="356"/>
      <c r="F1187" s="356"/>
      <c r="G1187" s="356"/>
      <c r="I1187" s="48">
        <v>0</v>
      </c>
      <c r="K1187" s="48">
        <v>0</v>
      </c>
      <c r="M1187" s="279">
        <f t="shared" si="76"/>
        <v>0</v>
      </c>
      <c r="O1187" s="279">
        <f t="shared" si="77"/>
        <v>0</v>
      </c>
      <c r="Q1187" s="279">
        <f t="shared" si="78"/>
        <v>0</v>
      </c>
      <c r="S1187" s="279">
        <f t="shared" si="79"/>
        <v>0</v>
      </c>
      <c r="U1187" s="385"/>
      <c r="V1187" s="385"/>
      <c r="W1187" s="385"/>
      <c r="X1187" s="385"/>
    </row>
    <row r="1188" spans="4:24" s="277" customFormat="1" x14ac:dyDescent="0.3">
      <c r="D1188" s="356" t="s">
        <v>881</v>
      </c>
      <c r="E1188" s="356"/>
      <c r="F1188" s="356"/>
      <c r="G1188" s="356"/>
      <c r="I1188" s="48">
        <v>0</v>
      </c>
      <c r="K1188" s="48">
        <v>0</v>
      </c>
      <c r="M1188" s="279">
        <f t="shared" si="76"/>
        <v>0</v>
      </c>
      <c r="O1188" s="279">
        <f t="shared" si="77"/>
        <v>0</v>
      </c>
      <c r="Q1188" s="279">
        <f t="shared" si="78"/>
        <v>0</v>
      </c>
      <c r="S1188" s="279">
        <f t="shared" si="79"/>
        <v>0</v>
      </c>
      <c r="U1188" s="385"/>
      <c r="V1188" s="385"/>
      <c r="W1188" s="385"/>
      <c r="X1188" s="385"/>
    </row>
    <row r="1189" spans="4:24" s="277" customFormat="1" x14ac:dyDescent="0.3">
      <c r="D1189" s="356" t="s">
        <v>882</v>
      </c>
      <c r="E1189" s="356"/>
      <c r="F1189" s="356"/>
      <c r="G1189" s="356"/>
      <c r="I1189" s="48">
        <v>0</v>
      </c>
      <c r="K1189" s="48">
        <v>0</v>
      </c>
      <c r="M1189" s="279">
        <f t="shared" si="76"/>
        <v>0</v>
      </c>
      <c r="O1189" s="279">
        <f t="shared" si="77"/>
        <v>0</v>
      </c>
      <c r="Q1189" s="279">
        <f t="shared" si="78"/>
        <v>0</v>
      </c>
      <c r="S1189" s="279">
        <f t="shared" si="79"/>
        <v>0</v>
      </c>
      <c r="U1189" s="385"/>
      <c r="V1189" s="385"/>
      <c r="W1189" s="385"/>
      <c r="X1189" s="385"/>
    </row>
    <row r="1190" spans="4:24" s="277" customFormat="1" x14ac:dyDescent="0.3">
      <c r="D1190" s="356" t="s">
        <v>883</v>
      </c>
      <c r="E1190" s="356"/>
      <c r="F1190" s="356"/>
      <c r="G1190" s="356"/>
      <c r="I1190" s="48">
        <v>0</v>
      </c>
      <c r="K1190" s="48">
        <v>0</v>
      </c>
      <c r="M1190" s="279">
        <f t="shared" si="76"/>
        <v>0</v>
      </c>
      <c r="O1190" s="279">
        <f t="shared" si="77"/>
        <v>0</v>
      </c>
      <c r="Q1190" s="279">
        <f t="shared" si="78"/>
        <v>0</v>
      </c>
      <c r="S1190" s="279">
        <f t="shared" si="79"/>
        <v>0</v>
      </c>
      <c r="U1190" s="385"/>
      <c r="V1190" s="385"/>
      <c r="W1190" s="385"/>
      <c r="X1190" s="385"/>
    </row>
    <row r="1191" spans="4:24" s="277" customFormat="1" x14ac:dyDescent="0.3">
      <c r="D1191" s="356" t="s">
        <v>884</v>
      </c>
      <c r="E1191" s="356"/>
      <c r="F1191" s="356"/>
      <c r="G1191" s="356"/>
      <c r="I1191" s="48">
        <v>0</v>
      </c>
      <c r="K1191" s="48">
        <v>0</v>
      </c>
      <c r="M1191" s="279">
        <f t="shared" si="76"/>
        <v>0</v>
      </c>
      <c r="O1191" s="279">
        <f t="shared" si="77"/>
        <v>0</v>
      </c>
      <c r="Q1191" s="279">
        <f t="shared" si="78"/>
        <v>0</v>
      </c>
      <c r="S1191" s="279">
        <f t="shared" si="79"/>
        <v>0</v>
      </c>
      <c r="U1191" s="385"/>
      <c r="V1191" s="385"/>
      <c r="W1191" s="385"/>
      <c r="X1191" s="385"/>
    </row>
    <row r="1192" spans="4:24" s="277" customFormat="1" x14ac:dyDescent="0.3">
      <c r="D1192" s="356" t="s">
        <v>885</v>
      </c>
      <c r="E1192" s="356"/>
      <c r="F1192" s="356"/>
      <c r="G1192" s="356"/>
      <c r="I1192" s="48">
        <v>0</v>
      </c>
      <c r="K1192" s="48">
        <v>0</v>
      </c>
      <c r="M1192" s="279">
        <f t="shared" si="76"/>
        <v>0</v>
      </c>
      <c r="O1192" s="279">
        <f t="shared" si="77"/>
        <v>0</v>
      </c>
      <c r="Q1192" s="279">
        <f t="shared" si="78"/>
        <v>0</v>
      </c>
      <c r="S1192" s="279">
        <f t="shared" si="79"/>
        <v>0</v>
      </c>
      <c r="U1192" s="385"/>
      <c r="V1192" s="385"/>
      <c r="W1192" s="385"/>
      <c r="X1192" s="385"/>
    </row>
    <row r="1193" spans="4:24" s="277" customFormat="1" x14ac:dyDescent="0.3">
      <c r="D1193" s="356" t="s">
        <v>886</v>
      </c>
      <c r="E1193" s="356"/>
      <c r="F1193" s="356"/>
      <c r="G1193" s="356"/>
      <c r="I1193" s="48">
        <v>0</v>
      </c>
      <c r="K1193" s="48">
        <v>0</v>
      </c>
      <c r="M1193" s="279">
        <f t="shared" si="76"/>
        <v>0</v>
      </c>
      <c r="O1193" s="279">
        <f t="shared" si="77"/>
        <v>0</v>
      </c>
      <c r="Q1193" s="279">
        <f t="shared" si="78"/>
        <v>0</v>
      </c>
      <c r="S1193" s="279">
        <f t="shared" si="79"/>
        <v>0</v>
      </c>
      <c r="U1193" s="385"/>
      <c r="V1193" s="385"/>
      <c r="W1193" s="385"/>
      <c r="X1193" s="385"/>
    </row>
    <row r="1194" spans="4:24" s="277" customFormat="1" x14ac:dyDescent="0.3">
      <c r="D1194" s="356" t="s">
        <v>887</v>
      </c>
      <c r="E1194" s="356"/>
      <c r="F1194" s="356"/>
      <c r="G1194" s="356"/>
      <c r="I1194" s="48">
        <v>0</v>
      </c>
      <c r="K1194" s="48">
        <v>0</v>
      </c>
      <c r="M1194" s="279">
        <f t="shared" si="76"/>
        <v>0</v>
      </c>
      <c r="O1194" s="279">
        <f t="shared" si="77"/>
        <v>0</v>
      </c>
      <c r="Q1194" s="279">
        <f t="shared" si="78"/>
        <v>0</v>
      </c>
      <c r="S1194" s="279">
        <f t="shared" si="79"/>
        <v>0</v>
      </c>
      <c r="U1194" s="385"/>
      <c r="V1194" s="385"/>
      <c r="W1194" s="385"/>
      <c r="X1194" s="385"/>
    </row>
    <row r="1195" spans="4:24" s="277" customFormat="1" x14ac:dyDescent="0.3">
      <c r="D1195" s="356" t="s">
        <v>888</v>
      </c>
      <c r="E1195" s="356"/>
      <c r="F1195" s="356"/>
      <c r="G1195" s="356"/>
      <c r="I1195" s="48">
        <v>0</v>
      </c>
      <c r="K1195" s="48">
        <v>0</v>
      </c>
      <c r="M1195" s="279">
        <f t="shared" si="76"/>
        <v>0</v>
      </c>
      <c r="O1195" s="279">
        <f t="shared" si="77"/>
        <v>0</v>
      </c>
      <c r="Q1195" s="279">
        <f t="shared" si="78"/>
        <v>0</v>
      </c>
      <c r="S1195" s="279">
        <f t="shared" si="79"/>
        <v>0</v>
      </c>
      <c r="U1195" s="385"/>
      <c r="V1195" s="385"/>
      <c r="W1195" s="385"/>
      <c r="X1195" s="385"/>
    </row>
    <row r="1196" spans="4:24" s="277" customFormat="1" x14ac:dyDescent="0.3">
      <c r="D1196" s="356" t="s">
        <v>889</v>
      </c>
      <c r="E1196" s="356"/>
      <c r="F1196" s="356"/>
      <c r="G1196" s="356"/>
      <c r="I1196" s="48">
        <v>0</v>
      </c>
      <c r="K1196" s="48">
        <v>0</v>
      </c>
      <c r="M1196" s="279">
        <f t="shared" si="76"/>
        <v>0</v>
      </c>
      <c r="O1196" s="279">
        <f t="shared" si="77"/>
        <v>0</v>
      </c>
      <c r="Q1196" s="279">
        <f t="shared" si="78"/>
        <v>0</v>
      </c>
      <c r="S1196" s="279">
        <f t="shared" si="79"/>
        <v>0</v>
      </c>
      <c r="U1196" s="385"/>
      <c r="V1196" s="385"/>
      <c r="W1196" s="385"/>
      <c r="X1196" s="385"/>
    </row>
    <row r="1197" spans="4:24" s="277" customFormat="1" x14ac:dyDescent="0.3">
      <c r="D1197" s="356" t="s">
        <v>890</v>
      </c>
      <c r="E1197" s="356"/>
      <c r="F1197" s="356"/>
      <c r="G1197" s="356"/>
      <c r="I1197" s="48">
        <v>0</v>
      </c>
      <c r="K1197" s="48">
        <v>0</v>
      </c>
      <c r="M1197" s="279">
        <f t="shared" si="76"/>
        <v>0</v>
      </c>
      <c r="O1197" s="279">
        <f t="shared" si="77"/>
        <v>0</v>
      </c>
      <c r="Q1197" s="279">
        <f t="shared" si="78"/>
        <v>0</v>
      </c>
      <c r="S1197" s="279">
        <f t="shared" si="79"/>
        <v>0</v>
      </c>
      <c r="U1197" s="385"/>
      <c r="V1197" s="385"/>
      <c r="W1197" s="385"/>
      <c r="X1197" s="385"/>
    </row>
    <row r="1198" spans="4:24" s="277" customFormat="1" x14ac:dyDescent="0.3">
      <c r="D1198" s="356" t="s">
        <v>986</v>
      </c>
      <c r="E1198" s="356"/>
      <c r="F1198" s="356"/>
      <c r="G1198" s="356"/>
      <c r="I1198" s="48">
        <v>0</v>
      </c>
      <c r="K1198" s="48">
        <v>0</v>
      </c>
      <c r="M1198" s="279">
        <f t="shared" si="76"/>
        <v>0</v>
      </c>
      <c r="O1198" s="279">
        <f t="shared" si="77"/>
        <v>0</v>
      </c>
      <c r="Q1198" s="279">
        <f t="shared" si="78"/>
        <v>0</v>
      </c>
      <c r="S1198" s="279">
        <f t="shared" si="79"/>
        <v>0</v>
      </c>
      <c r="U1198" s="385"/>
      <c r="V1198" s="385"/>
      <c r="W1198" s="385"/>
      <c r="X1198" s="385"/>
    </row>
    <row r="1199" spans="4:24" s="277" customFormat="1" x14ac:dyDescent="0.3">
      <c r="D1199" s="356" t="s">
        <v>987</v>
      </c>
      <c r="E1199" s="356"/>
      <c r="F1199" s="356"/>
      <c r="G1199" s="356"/>
      <c r="I1199" s="48">
        <v>0</v>
      </c>
      <c r="K1199" s="48">
        <v>0</v>
      </c>
      <c r="M1199" s="279">
        <f t="shared" si="76"/>
        <v>0</v>
      </c>
      <c r="O1199" s="279">
        <f t="shared" si="77"/>
        <v>0</v>
      </c>
      <c r="Q1199" s="279">
        <f t="shared" si="78"/>
        <v>0</v>
      </c>
      <c r="S1199" s="279">
        <f t="shared" si="79"/>
        <v>0</v>
      </c>
      <c r="U1199" s="385"/>
      <c r="V1199" s="385"/>
      <c r="W1199" s="385"/>
      <c r="X1199" s="385"/>
    </row>
    <row r="1200" spans="4:24" s="277" customFormat="1" x14ac:dyDescent="0.3">
      <c r="D1200" s="356" t="s">
        <v>988</v>
      </c>
      <c r="E1200" s="356"/>
      <c r="F1200" s="356"/>
      <c r="G1200" s="356"/>
      <c r="I1200" s="48">
        <v>0</v>
      </c>
      <c r="K1200" s="48">
        <v>0</v>
      </c>
      <c r="M1200" s="279">
        <f t="shared" si="76"/>
        <v>0</v>
      </c>
      <c r="O1200" s="279">
        <f t="shared" si="77"/>
        <v>0</v>
      </c>
      <c r="Q1200" s="279">
        <f t="shared" si="78"/>
        <v>0</v>
      </c>
      <c r="S1200" s="279">
        <f t="shared" si="79"/>
        <v>0</v>
      </c>
      <c r="U1200" s="385"/>
      <c r="V1200" s="385"/>
      <c r="W1200" s="385"/>
      <c r="X1200" s="385"/>
    </row>
    <row r="1201" spans="2:24" s="277" customFormat="1" x14ac:dyDescent="0.3">
      <c r="D1201" s="356" t="s">
        <v>989</v>
      </c>
      <c r="E1201" s="356"/>
      <c r="F1201" s="356"/>
      <c r="G1201" s="356"/>
      <c r="I1201" s="48">
        <v>0</v>
      </c>
      <c r="K1201" s="48">
        <v>0</v>
      </c>
      <c r="M1201" s="279">
        <f t="shared" si="76"/>
        <v>0</v>
      </c>
      <c r="O1201" s="279">
        <f t="shared" si="77"/>
        <v>0</v>
      </c>
      <c r="Q1201" s="279">
        <f t="shared" si="78"/>
        <v>0</v>
      </c>
      <c r="S1201" s="279">
        <f t="shared" si="79"/>
        <v>0</v>
      </c>
      <c r="U1201" s="385"/>
      <c r="V1201" s="385"/>
      <c r="W1201" s="385"/>
      <c r="X1201" s="385"/>
    </row>
    <row r="1202" spans="2:24" s="277" customFormat="1" x14ac:dyDescent="0.3">
      <c r="D1202" s="356" t="s">
        <v>990</v>
      </c>
      <c r="E1202" s="356"/>
      <c r="F1202" s="356"/>
      <c r="G1202" s="356"/>
      <c r="I1202" s="48">
        <v>0</v>
      </c>
      <c r="K1202" s="48">
        <v>0</v>
      </c>
      <c r="M1202" s="279">
        <f t="shared" si="76"/>
        <v>0</v>
      </c>
      <c r="O1202" s="279">
        <f t="shared" si="77"/>
        <v>0</v>
      </c>
      <c r="Q1202" s="279">
        <f t="shared" si="78"/>
        <v>0</v>
      </c>
      <c r="S1202" s="279">
        <f t="shared" si="79"/>
        <v>0</v>
      </c>
      <c r="U1202" s="385"/>
      <c r="V1202" s="385"/>
      <c r="W1202" s="385"/>
      <c r="X1202" s="385"/>
    </row>
    <row r="1203" spans="2:24" ht="14.4" x14ac:dyDescent="0.3">
      <c r="D1203" s="420" t="s">
        <v>90</v>
      </c>
      <c r="E1203" s="427"/>
      <c r="F1203" s="427"/>
      <c r="G1203" s="427"/>
      <c r="I1203" s="40"/>
      <c r="K1203" s="40">
        <f>SUM(K1178:K1202)</f>
        <v>0</v>
      </c>
      <c r="M1203" s="40"/>
      <c r="O1203" s="40"/>
      <c r="Q1203" s="294">
        <f>SUM(Q1178:Q1202)</f>
        <v>0</v>
      </c>
      <c r="S1203" s="294">
        <f>SUM(S1178:S1202)</f>
        <v>0</v>
      </c>
    </row>
    <row r="1205" spans="2:24" ht="27.6" x14ac:dyDescent="0.3">
      <c r="Q1205" s="44" t="str">
        <f>"FINANCIAL COST ("&amp;INDEX(LU_ACT_24_Meet_Curr,DD_ACT_24_Meet1_Curr)&amp;")"</f>
        <v>FINANCIAL COST (GOZ)</v>
      </c>
      <c r="S1205" s="44" t="str">
        <f>"ECONOMIC COST ("&amp;INDEX(LU_ACT_24_Meet_Curr,DD_ACT_24_Meet1_Curr)&amp;")"</f>
        <v>ECONOMIC COST (GOZ)</v>
      </c>
      <c r="U1205" s="44" t="str">
        <f>"FINANCIAL COST ("&amp;IF(DD_ACT_24_Meet1_Curr=2,$D$1210,$D$1211)&amp;")"</f>
        <v>FINANCIAL COST (USD)</v>
      </c>
      <c r="W1205" s="44" t="str">
        <f>"ECONOMIC COST ("&amp;IF(DD_ACT_24_Meet1_Curr=2,$D$1210,$D$1211)&amp;")"</f>
        <v>ECONOMIC COST (USD)</v>
      </c>
    </row>
    <row r="1206" spans="2:24" ht="18.600000000000001" thickBot="1" x14ac:dyDescent="0.35">
      <c r="B1206" s="99" t="s">
        <v>91</v>
      </c>
      <c r="Q1206" s="46">
        <f>SUM(Q1084,Q1113,Q1144,Q1173,Q1203)</f>
        <v>0</v>
      </c>
      <c r="S1206" s="46">
        <f>SUM(S1084,S1113,S1144,S1173,S1203)</f>
        <v>0</v>
      </c>
      <c r="U1206" s="325">
        <f>IFERROR(IF(DD_ACT_24_Meet1_Curr=2,$Q1206/$I$1211,$Q1206*$I$1211), 0)</f>
        <v>0</v>
      </c>
      <c r="W1206" s="325">
        <f>IFERROR(IF(DD_ACT_24_Meet1_Curr=2,$S1206/$I$1211,$S1206*$I$1211), 0)</f>
        <v>0</v>
      </c>
    </row>
    <row r="1207" spans="2:24" ht="14.4" thickTop="1" x14ac:dyDescent="0.3"/>
    <row r="1208" spans="2:24" x14ac:dyDescent="0.3">
      <c r="C1208" s="91" t="s">
        <v>584</v>
      </c>
    </row>
    <row r="1209" spans="2:24" hidden="1" outlineLevel="1" x14ac:dyDescent="0.3"/>
    <row r="1210" spans="2:24" ht="12.9" hidden="1" customHeight="1" outlineLevel="1" x14ac:dyDescent="0.3">
      <c r="D1210" s="422" t="str">
        <f>CURR_TA!D13</f>
        <v>USD</v>
      </c>
      <c r="E1210" s="423"/>
      <c r="F1210" s="423"/>
      <c r="G1210" s="423"/>
      <c r="I1210" s="279">
        <f>CURR_TA!J13</f>
        <v>1</v>
      </c>
      <c r="J1210" s="279">
        <f>CURR_TA!K13</f>
        <v>0</v>
      </c>
      <c r="K1210" s="279">
        <f>CURR_TA!L13</f>
        <v>0</v>
      </c>
      <c r="L1210" s="279">
        <f>CURR_TA!M13</f>
        <v>0</v>
      </c>
    </row>
    <row r="1211" spans="2:24" ht="12.9" hidden="1" customHeight="1" outlineLevel="1" x14ac:dyDescent="0.3">
      <c r="D1211" s="422" t="str">
        <f>CURR_TA!D14</f>
        <v>GOZ</v>
      </c>
      <c r="E1211" s="423"/>
      <c r="F1211" s="423"/>
      <c r="G1211" s="423"/>
      <c r="I1211" s="279">
        <f>CURR_TA!J14</f>
        <v>0</v>
      </c>
      <c r="J1211" s="279">
        <f>CURR_TA!K14</f>
        <v>0</v>
      </c>
      <c r="K1211" s="279">
        <f>CURR_TA!L14</f>
        <v>0</v>
      </c>
      <c r="L1211" s="279">
        <f>CURR_TA!M14</f>
        <v>0</v>
      </c>
    </row>
    <row r="1212" spans="2:24" collapsed="1" x14ac:dyDescent="0.3"/>
    <row r="1214" spans="2:24" x14ac:dyDescent="0.3">
      <c r="C1214" s="91" t="s">
        <v>590</v>
      </c>
    </row>
    <row r="1215" spans="2:24" hidden="1" outlineLevel="1" x14ac:dyDescent="0.3">
      <c r="M1215" s="40" t="str">
        <f>$D$1210</f>
        <v>USD</v>
      </c>
      <c r="O1215" s="40" t="str">
        <f>$D$1210</f>
        <v>USD</v>
      </c>
      <c r="Q1215" s="40" t="str">
        <f>$D$1211</f>
        <v>GOZ</v>
      </c>
      <c r="S1215" s="40" t="str">
        <f>$D$1211</f>
        <v>GOZ</v>
      </c>
    </row>
    <row r="1216" spans="2:24" hidden="1" outlineLevel="1" x14ac:dyDescent="0.3">
      <c r="C1216" s="89" t="str">
        <f>RES_BA!D14</f>
        <v>Personnel Cadre - Other 1</v>
      </c>
      <c r="M1216" s="40">
        <f>RES_BA!R14</f>
        <v>0</v>
      </c>
      <c r="O1216" s="40">
        <f>RES_BA!S14</f>
        <v>0</v>
      </c>
      <c r="Q1216" s="40">
        <f>RES_BA!T14</f>
        <v>0</v>
      </c>
      <c r="S1216" s="40">
        <f>RES_BA!U14</f>
        <v>0</v>
      </c>
    </row>
    <row r="1217" spans="3:19" hidden="1" outlineLevel="1" x14ac:dyDescent="0.3">
      <c r="C1217" s="89" t="str">
        <f>RES_BA!D15</f>
        <v>Personnel Cadre - Other 2</v>
      </c>
      <c r="M1217" s="40">
        <f>RES_BA!R15</f>
        <v>0</v>
      </c>
      <c r="O1217" s="40">
        <f>RES_BA!S15</f>
        <v>0</v>
      </c>
      <c r="Q1217" s="40">
        <f>RES_BA!T15</f>
        <v>0</v>
      </c>
      <c r="S1217" s="40">
        <f>RES_BA!U15</f>
        <v>0</v>
      </c>
    </row>
    <row r="1218" spans="3:19" hidden="1" outlineLevel="1" x14ac:dyDescent="0.3">
      <c r="C1218" s="89" t="str">
        <f>RES_BA!D16</f>
        <v>Personnel Cadre - Other 3</v>
      </c>
      <c r="M1218" s="40">
        <f>RES_BA!R16</f>
        <v>0</v>
      </c>
      <c r="O1218" s="40">
        <f>RES_BA!S16</f>
        <v>0</v>
      </c>
      <c r="Q1218" s="40">
        <f>RES_BA!T16</f>
        <v>0</v>
      </c>
      <c r="S1218" s="40">
        <f>RES_BA!U16</f>
        <v>0</v>
      </c>
    </row>
    <row r="1219" spans="3:19" hidden="1" outlineLevel="1" x14ac:dyDescent="0.3">
      <c r="C1219" s="89" t="str">
        <f>RES_BA!D17</f>
        <v>Personnel Cadre - Other 4</v>
      </c>
      <c r="M1219" s="40">
        <f>RES_BA!R17</f>
        <v>0</v>
      </c>
      <c r="O1219" s="40">
        <f>RES_BA!S17</f>
        <v>0</v>
      </c>
      <c r="Q1219" s="40">
        <f>RES_BA!T17</f>
        <v>0</v>
      </c>
      <c r="S1219" s="40">
        <f>RES_BA!U17</f>
        <v>0</v>
      </c>
    </row>
    <row r="1220" spans="3:19" hidden="1" outlineLevel="1" x14ac:dyDescent="0.3">
      <c r="C1220" s="89" t="str">
        <f>RES_BA!D18</f>
        <v>Personnel Cadre - Other 5</v>
      </c>
      <c r="M1220" s="40">
        <f>RES_BA!R18</f>
        <v>0</v>
      </c>
      <c r="O1220" s="40">
        <f>RES_BA!S18</f>
        <v>0</v>
      </c>
      <c r="Q1220" s="40">
        <f>RES_BA!T18</f>
        <v>0</v>
      </c>
      <c r="S1220" s="40">
        <f>RES_BA!U18</f>
        <v>0</v>
      </c>
    </row>
    <row r="1221" spans="3:19" hidden="1" outlineLevel="1" x14ac:dyDescent="0.3">
      <c r="C1221" s="89" t="str">
        <f>RES_BA!D19</f>
        <v>Personnel Cadre - Other 6</v>
      </c>
      <c r="M1221" s="40">
        <f>RES_BA!R19</f>
        <v>0</v>
      </c>
      <c r="O1221" s="40">
        <f>RES_BA!S19</f>
        <v>0</v>
      </c>
      <c r="Q1221" s="40">
        <f>RES_BA!T19</f>
        <v>0</v>
      </c>
      <c r="S1221" s="40">
        <f>RES_BA!U19</f>
        <v>0</v>
      </c>
    </row>
    <row r="1222" spans="3:19" hidden="1" outlineLevel="1" x14ac:dyDescent="0.3">
      <c r="C1222" s="89" t="str">
        <f>RES_BA!D20</f>
        <v>Personnel Cadre - Other 7</v>
      </c>
      <c r="M1222" s="40">
        <f>RES_BA!R20</f>
        <v>0</v>
      </c>
      <c r="O1222" s="40">
        <f>RES_BA!S20</f>
        <v>0</v>
      </c>
      <c r="Q1222" s="40">
        <f>RES_BA!T20</f>
        <v>0</v>
      </c>
      <c r="S1222" s="40">
        <f>RES_BA!U20</f>
        <v>0</v>
      </c>
    </row>
    <row r="1223" spans="3:19" hidden="1" outlineLevel="1" x14ac:dyDescent="0.3">
      <c r="C1223" s="89" t="str">
        <f>RES_BA!D21</f>
        <v>Personnel Cadre - Other 8</v>
      </c>
      <c r="M1223" s="40">
        <f>RES_BA!R21</f>
        <v>0</v>
      </c>
      <c r="O1223" s="40">
        <f>RES_BA!S21</f>
        <v>0</v>
      </c>
      <c r="Q1223" s="40">
        <f>RES_BA!T21</f>
        <v>0</v>
      </c>
      <c r="S1223" s="40">
        <f>RES_BA!U21</f>
        <v>0</v>
      </c>
    </row>
    <row r="1224" spans="3:19" hidden="1" outlineLevel="1" x14ac:dyDescent="0.3">
      <c r="C1224" s="89" t="str">
        <f>RES_BA!D22</f>
        <v>Personnel Cadre - Other 9</v>
      </c>
      <c r="M1224" s="40">
        <f>RES_BA!R22</f>
        <v>0</v>
      </c>
      <c r="O1224" s="40">
        <f>RES_BA!S22</f>
        <v>0</v>
      </c>
      <c r="Q1224" s="40">
        <f>RES_BA!T22</f>
        <v>0</v>
      </c>
      <c r="S1224" s="40">
        <f>RES_BA!U22</f>
        <v>0</v>
      </c>
    </row>
    <row r="1225" spans="3:19" hidden="1" outlineLevel="1" x14ac:dyDescent="0.3">
      <c r="C1225" s="89" t="str">
        <f>RES_BA!D23</f>
        <v>Personnel Cadre - Other 10</v>
      </c>
      <c r="M1225" s="40">
        <f>RES_BA!R23</f>
        <v>0</v>
      </c>
      <c r="O1225" s="40">
        <f>RES_BA!S23</f>
        <v>0</v>
      </c>
      <c r="Q1225" s="40">
        <f>RES_BA!T23</f>
        <v>0</v>
      </c>
      <c r="S1225" s="40">
        <f>RES_BA!U23</f>
        <v>0</v>
      </c>
    </row>
    <row r="1226" spans="3:19" hidden="1" outlineLevel="1" x14ac:dyDescent="0.3">
      <c r="C1226" s="89" t="str">
        <f>RES_BA!D24</f>
        <v>Personnel Cadre - Other 11</v>
      </c>
      <c r="M1226" s="40">
        <f>RES_BA!R24</f>
        <v>0</v>
      </c>
      <c r="O1226" s="40">
        <f>RES_BA!S24</f>
        <v>0</v>
      </c>
      <c r="Q1226" s="40">
        <f>RES_BA!T24</f>
        <v>0</v>
      </c>
      <c r="S1226" s="40">
        <f>RES_BA!U24</f>
        <v>0</v>
      </c>
    </row>
    <row r="1227" spans="3:19" hidden="1" outlineLevel="1" x14ac:dyDescent="0.3">
      <c r="C1227" s="89" t="str">
        <f>RES_BA!D25</f>
        <v>Personnel Cadre - Other 12</v>
      </c>
      <c r="M1227" s="40">
        <f>RES_BA!R25</f>
        <v>0</v>
      </c>
      <c r="O1227" s="40">
        <f>RES_BA!S25</f>
        <v>0</v>
      </c>
      <c r="Q1227" s="40">
        <f>RES_BA!T25</f>
        <v>0</v>
      </c>
      <c r="S1227" s="40">
        <f>RES_BA!U25</f>
        <v>0</v>
      </c>
    </row>
    <row r="1228" spans="3:19" hidden="1" outlineLevel="1" x14ac:dyDescent="0.3">
      <c r="C1228" s="89" t="str">
        <f>RES_BA!D26</f>
        <v>Personnel Cadre - Other 13</v>
      </c>
      <c r="M1228" s="40">
        <f>RES_BA!R26</f>
        <v>0</v>
      </c>
      <c r="O1228" s="40">
        <f>RES_BA!S26</f>
        <v>0</v>
      </c>
      <c r="Q1228" s="40">
        <f>RES_BA!T26</f>
        <v>0</v>
      </c>
      <c r="S1228" s="40">
        <f>RES_BA!U26</f>
        <v>0</v>
      </c>
    </row>
    <row r="1229" spans="3:19" hidden="1" outlineLevel="1" x14ac:dyDescent="0.3">
      <c r="C1229" s="89" t="str">
        <f>RES_BA!D27</f>
        <v>Personnel Cadre - Other 14</v>
      </c>
      <c r="M1229" s="40">
        <f>RES_BA!R27</f>
        <v>0</v>
      </c>
      <c r="O1229" s="40">
        <f>RES_BA!S27</f>
        <v>0</v>
      </c>
      <c r="Q1229" s="40">
        <f>RES_BA!T27</f>
        <v>0</v>
      </c>
      <c r="S1229" s="40">
        <f>RES_BA!U27</f>
        <v>0</v>
      </c>
    </row>
    <row r="1230" spans="3:19" hidden="1" outlineLevel="1" x14ac:dyDescent="0.3">
      <c r="C1230" s="89" t="str">
        <f>RES_BA!D28</f>
        <v>Personnel Cadre - Other 15</v>
      </c>
      <c r="M1230" s="40">
        <f>RES_BA!R28</f>
        <v>0</v>
      </c>
      <c r="O1230" s="40">
        <f>RES_BA!S28</f>
        <v>0</v>
      </c>
      <c r="Q1230" s="40">
        <f>RES_BA!T28</f>
        <v>0</v>
      </c>
      <c r="S1230" s="40">
        <f>RES_BA!U28</f>
        <v>0</v>
      </c>
    </row>
    <row r="1231" spans="3:19" s="277" customFormat="1" hidden="1" outlineLevel="1" collapsed="1" x14ac:dyDescent="0.3">
      <c r="C1231" s="283" t="str">
        <f>RES_BA!D29</f>
        <v>Personnel Cadre - Other 16</v>
      </c>
      <c r="M1231" s="279">
        <f>RES_BA!R29</f>
        <v>0</v>
      </c>
      <c r="O1231" s="279">
        <f>RES_BA!S29</f>
        <v>0</v>
      </c>
      <c r="Q1231" s="279">
        <f>RES_BA!T29</f>
        <v>0</v>
      </c>
      <c r="S1231" s="279">
        <f>RES_BA!U29</f>
        <v>0</v>
      </c>
    </row>
    <row r="1232" spans="3:19" s="277" customFormat="1" hidden="1" outlineLevel="1" collapsed="1" x14ac:dyDescent="0.3">
      <c r="C1232" s="283" t="str">
        <f>RES_BA!D30</f>
        <v>Personnel Cadre - Other 17</v>
      </c>
      <c r="M1232" s="279">
        <f>RES_BA!R30</f>
        <v>0</v>
      </c>
      <c r="O1232" s="279">
        <f>RES_BA!S30</f>
        <v>0</v>
      </c>
      <c r="Q1232" s="279">
        <f>RES_BA!T30</f>
        <v>0</v>
      </c>
      <c r="S1232" s="279">
        <f>RES_BA!U30</f>
        <v>0</v>
      </c>
    </row>
    <row r="1233" spans="3:19" s="277" customFormat="1" hidden="1" outlineLevel="1" collapsed="1" x14ac:dyDescent="0.3">
      <c r="C1233" s="283" t="str">
        <f>RES_BA!D31</f>
        <v>Personnel Cadre - Other 18</v>
      </c>
      <c r="M1233" s="279">
        <f>RES_BA!R31</f>
        <v>0</v>
      </c>
      <c r="O1233" s="279">
        <f>RES_BA!S31</f>
        <v>0</v>
      </c>
      <c r="Q1233" s="279">
        <f>RES_BA!T31</f>
        <v>0</v>
      </c>
      <c r="S1233" s="279">
        <f>RES_BA!U31</f>
        <v>0</v>
      </c>
    </row>
    <row r="1234" spans="3:19" s="277" customFormat="1" hidden="1" outlineLevel="1" x14ac:dyDescent="0.3">
      <c r="C1234" s="283" t="str">
        <f>RES_BA!D32</f>
        <v>Personnel Cadre - Other 19</v>
      </c>
      <c r="M1234" s="279">
        <f>RES_BA!R32</f>
        <v>0</v>
      </c>
      <c r="O1234" s="279">
        <f>RES_BA!S32</f>
        <v>0</v>
      </c>
      <c r="Q1234" s="279">
        <f>RES_BA!T32</f>
        <v>0</v>
      </c>
      <c r="S1234" s="279">
        <f>RES_BA!U32</f>
        <v>0</v>
      </c>
    </row>
    <row r="1235" spans="3:19" s="277" customFormat="1" hidden="1" outlineLevel="1" x14ac:dyDescent="0.3">
      <c r="C1235" s="283" t="str">
        <f>RES_BA!D33</f>
        <v>Personnel Cadre - Other 20</v>
      </c>
      <c r="M1235" s="279">
        <f>RES_BA!R33</f>
        <v>0</v>
      </c>
      <c r="O1235" s="279">
        <f>RES_BA!S33</f>
        <v>0</v>
      </c>
      <c r="Q1235" s="279">
        <f>RES_BA!T33</f>
        <v>0</v>
      </c>
      <c r="S1235" s="279">
        <f>RES_BA!U33</f>
        <v>0</v>
      </c>
    </row>
    <row r="1236" spans="3:19" s="277" customFormat="1" hidden="1" outlineLevel="1" collapsed="1" x14ac:dyDescent="0.3">
      <c r="C1236" s="283" t="str">
        <f>RES_BA!D34</f>
        <v>Personnel Cadre - Other 21</v>
      </c>
      <c r="M1236" s="279">
        <f>RES_BA!R34</f>
        <v>0</v>
      </c>
      <c r="O1236" s="279">
        <f>RES_BA!S34</f>
        <v>0</v>
      </c>
      <c r="Q1236" s="279">
        <f>RES_BA!T34</f>
        <v>0</v>
      </c>
      <c r="S1236" s="279">
        <f>RES_BA!U34</f>
        <v>0</v>
      </c>
    </row>
    <row r="1237" spans="3:19" s="277" customFormat="1" hidden="1" outlineLevel="1" x14ac:dyDescent="0.3">
      <c r="C1237" s="283" t="str">
        <f>RES_BA!D35</f>
        <v>Personnel Cadre - Other 22</v>
      </c>
      <c r="M1237" s="279">
        <f>RES_BA!R35</f>
        <v>0</v>
      </c>
      <c r="O1237" s="279">
        <f>RES_BA!S35</f>
        <v>0</v>
      </c>
      <c r="Q1237" s="279">
        <f>RES_BA!T35</f>
        <v>0</v>
      </c>
      <c r="S1237" s="279">
        <f>RES_BA!U35</f>
        <v>0</v>
      </c>
    </row>
    <row r="1238" spans="3:19" s="277" customFormat="1" hidden="1" outlineLevel="1" x14ac:dyDescent="0.3">
      <c r="C1238" s="283" t="str">
        <f>RES_BA!D36</f>
        <v>Personnel Cadre - Other 23</v>
      </c>
      <c r="M1238" s="279">
        <f>RES_BA!R36</f>
        <v>0</v>
      </c>
      <c r="O1238" s="279">
        <f>RES_BA!S36</f>
        <v>0</v>
      </c>
      <c r="Q1238" s="279">
        <f>RES_BA!T36</f>
        <v>0</v>
      </c>
      <c r="S1238" s="279">
        <f>RES_BA!U36</f>
        <v>0</v>
      </c>
    </row>
    <row r="1239" spans="3:19" s="277" customFormat="1" hidden="1" outlineLevel="1" x14ac:dyDescent="0.3">
      <c r="C1239" s="283" t="str">
        <f>RES_BA!D37</f>
        <v>Personnel Cadre - Other 24</v>
      </c>
      <c r="M1239" s="279">
        <f>RES_BA!R37</f>
        <v>0</v>
      </c>
      <c r="O1239" s="279">
        <f>RES_BA!S37</f>
        <v>0</v>
      </c>
      <c r="Q1239" s="279">
        <f>RES_BA!T37</f>
        <v>0</v>
      </c>
      <c r="S1239" s="279">
        <f>RES_BA!U37</f>
        <v>0</v>
      </c>
    </row>
    <row r="1240" spans="3:19" s="277" customFormat="1" hidden="1" outlineLevel="1" x14ac:dyDescent="0.3">
      <c r="C1240" s="283" t="str">
        <f>RES_BA!D38</f>
        <v>Personnel Cadre - Other 25</v>
      </c>
      <c r="M1240" s="279">
        <f>RES_BA!R38</f>
        <v>0</v>
      </c>
      <c r="O1240" s="279">
        <f>RES_BA!S38</f>
        <v>0</v>
      </c>
      <c r="Q1240" s="279">
        <f>RES_BA!T38</f>
        <v>0</v>
      </c>
      <c r="S1240" s="279">
        <f>RES_BA!U38</f>
        <v>0</v>
      </c>
    </row>
    <row r="1241" spans="3:19" s="277" customFormat="1" hidden="1" outlineLevel="1" x14ac:dyDescent="0.3">
      <c r="C1241" s="283" t="str">
        <f>RES_BA!D39</f>
        <v>Personnel Cadre - Other 26</v>
      </c>
      <c r="M1241" s="279">
        <f>RES_BA!R39</f>
        <v>0</v>
      </c>
      <c r="O1241" s="279">
        <f>RES_BA!S39</f>
        <v>0</v>
      </c>
      <c r="Q1241" s="279">
        <f>RES_BA!T39</f>
        <v>0</v>
      </c>
      <c r="S1241" s="279">
        <f>RES_BA!U39</f>
        <v>0</v>
      </c>
    </row>
    <row r="1242" spans="3:19" s="277" customFormat="1" hidden="1" outlineLevel="1" x14ac:dyDescent="0.3">
      <c r="C1242" s="283" t="str">
        <f>RES_BA!D40</f>
        <v>Personnel Cadre - Other 27</v>
      </c>
      <c r="M1242" s="279">
        <f>RES_BA!R40</f>
        <v>0</v>
      </c>
      <c r="O1242" s="279">
        <f>RES_BA!S40</f>
        <v>0</v>
      </c>
      <c r="Q1242" s="279">
        <f>RES_BA!T40</f>
        <v>0</v>
      </c>
      <c r="S1242" s="279">
        <f>RES_BA!U40</f>
        <v>0</v>
      </c>
    </row>
    <row r="1243" spans="3:19" s="277" customFormat="1" hidden="1" outlineLevel="1" x14ac:dyDescent="0.3">
      <c r="C1243" s="283" t="str">
        <f>RES_BA!D41</f>
        <v>Personnel Cadre - Other 28</v>
      </c>
      <c r="M1243" s="279">
        <f>RES_BA!R41</f>
        <v>0</v>
      </c>
      <c r="O1243" s="279">
        <f>RES_BA!S41</f>
        <v>0</v>
      </c>
      <c r="Q1243" s="279">
        <f>RES_BA!T41</f>
        <v>0</v>
      </c>
      <c r="S1243" s="279">
        <f>RES_BA!U41</f>
        <v>0</v>
      </c>
    </row>
    <row r="1244" spans="3:19" s="277" customFormat="1" hidden="1" outlineLevel="1" x14ac:dyDescent="0.3">
      <c r="C1244" s="283" t="str">
        <f>RES_BA!D42</f>
        <v>Personnel Cadre - Other 29</v>
      </c>
      <c r="M1244" s="279">
        <f>RES_BA!R42</f>
        <v>0</v>
      </c>
      <c r="O1244" s="279">
        <f>RES_BA!S42</f>
        <v>0</v>
      </c>
      <c r="Q1244" s="279">
        <f>RES_BA!T42</f>
        <v>0</v>
      </c>
      <c r="S1244" s="279">
        <f>RES_BA!U42</f>
        <v>0</v>
      </c>
    </row>
    <row r="1245" spans="3:19" s="277" customFormat="1" hidden="1" outlineLevel="1" x14ac:dyDescent="0.3">
      <c r="C1245" s="283" t="str">
        <f>RES_BA!D43</f>
        <v>Personnel Cadre - Other 30</v>
      </c>
      <c r="M1245" s="279">
        <f>RES_BA!R43</f>
        <v>0</v>
      </c>
      <c r="O1245" s="279">
        <f>RES_BA!S43</f>
        <v>0</v>
      </c>
      <c r="Q1245" s="279">
        <f>RES_BA!T43</f>
        <v>0</v>
      </c>
      <c r="S1245" s="279">
        <f>RES_BA!U43</f>
        <v>0</v>
      </c>
    </row>
    <row r="1246" spans="3:19" s="277" customFormat="1" hidden="1" outlineLevel="1" x14ac:dyDescent="0.3">
      <c r="C1246" s="283" t="str">
        <f>RES_BA!D44</f>
        <v>Personnel Cadre - Other 31</v>
      </c>
      <c r="M1246" s="279">
        <f>RES_BA!R44</f>
        <v>0</v>
      </c>
      <c r="O1246" s="279">
        <f>RES_BA!S44</f>
        <v>0</v>
      </c>
      <c r="Q1246" s="279">
        <f>RES_BA!T44</f>
        <v>0</v>
      </c>
      <c r="S1246" s="279">
        <f>RES_BA!U44</f>
        <v>0</v>
      </c>
    </row>
    <row r="1247" spans="3:19" s="277" customFormat="1" hidden="1" outlineLevel="1" x14ac:dyDescent="0.3">
      <c r="C1247" s="283" t="str">
        <f>RES_BA!D45</f>
        <v>Personnel Cadre - Other 32</v>
      </c>
      <c r="M1247" s="279">
        <f>RES_BA!R45</f>
        <v>0</v>
      </c>
      <c r="O1247" s="279">
        <f>RES_BA!S45</f>
        <v>0</v>
      </c>
      <c r="Q1247" s="279">
        <f>RES_BA!T45</f>
        <v>0</v>
      </c>
      <c r="S1247" s="279">
        <f>RES_BA!U45</f>
        <v>0</v>
      </c>
    </row>
    <row r="1248" spans="3:19" s="277" customFormat="1" hidden="1" outlineLevel="1" x14ac:dyDescent="0.3">
      <c r="C1248" s="283" t="str">
        <f>RES_BA!D46</f>
        <v>Personnel Cadre - Other 33</v>
      </c>
      <c r="M1248" s="279">
        <f>RES_BA!R46</f>
        <v>0</v>
      </c>
      <c r="O1248" s="279">
        <f>RES_BA!S46</f>
        <v>0</v>
      </c>
      <c r="Q1248" s="279">
        <f>RES_BA!T46</f>
        <v>0</v>
      </c>
      <c r="S1248" s="279">
        <f>RES_BA!U46</f>
        <v>0</v>
      </c>
    </row>
    <row r="1249" spans="3:19" s="277" customFormat="1" hidden="1" outlineLevel="1" x14ac:dyDescent="0.3">
      <c r="C1249" s="283" t="str">
        <f>RES_BA!D47</f>
        <v>Personnel Cadre - Other 34</v>
      </c>
      <c r="M1249" s="279">
        <f>RES_BA!R47</f>
        <v>0</v>
      </c>
      <c r="O1249" s="279">
        <f>RES_BA!S47</f>
        <v>0</v>
      </c>
      <c r="Q1249" s="279">
        <f>RES_BA!T47</f>
        <v>0</v>
      </c>
      <c r="S1249" s="279">
        <f>RES_BA!U47</f>
        <v>0</v>
      </c>
    </row>
    <row r="1250" spans="3:19" s="277" customFormat="1" hidden="1" outlineLevel="1" x14ac:dyDescent="0.3">
      <c r="C1250" s="283" t="str">
        <f>RES_BA!D48</f>
        <v>Personnel Cadre - Other 35</v>
      </c>
      <c r="M1250" s="279">
        <f>RES_BA!R48</f>
        <v>0</v>
      </c>
      <c r="O1250" s="279">
        <f>RES_BA!S48</f>
        <v>0</v>
      </c>
      <c r="Q1250" s="279">
        <f>RES_BA!T48</f>
        <v>0</v>
      </c>
      <c r="S1250" s="279">
        <f>RES_BA!U48</f>
        <v>0</v>
      </c>
    </row>
    <row r="1251" spans="3:19" hidden="1" outlineLevel="1" x14ac:dyDescent="0.3"/>
    <row r="1252" spans="3:19" hidden="1" outlineLevel="1" x14ac:dyDescent="0.3">
      <c r="M1252" s="40" t="str">
        <f>$D$1210</f>
        <v>USD</v>
      </c>
      <c r="O1252" s="40" t="str">
        <f>$D$1210</f>
        <v>USD</v>
      </c>
      <c r="Q1252" s="40" t="str">
        <f>$D$1211</f>
        <v>GOZ</v>
      </c>
      <c r="S1252" s="40" t="str">
        <f>$D$1211</f>
        <v>GOZ</v>
      </c>
    </row>
    <row r="1253" spans="3:19" hidden="1" outlineLevel="1" x14ac:dyDescent="0.3">
      <c r="C1253" s="89" t="str">
        <f>RES_BA!D53</f>
        <v>Allowances Category 1</v>
      </c>
      <c r="M1253" s="40">
        <f>RES_BA!R53</f>
        <v>0</v>
      </c>
      <c r="O1253" s="40">
        <f>RES_BA!S53</f>
        <v>0</v>
      </c>
      <c r="Q1253" s="40">
        <f>RES_BA!T53</f>
        <v>0</v>
      </c>
      <c r="S1253" s="40">
        <f>RES_BA!U53</f>
        <v>0</v>
      </c>
    </row>
    <row r="1254" spans="3:19" hidden="1" outlineLevel="1" x14ac:dyDescent="0.3">
      <c r="C1254" s="89" t="str">
        <f>RES_BA!D54</f>
        <v>Allowances Category 2</v>
      </c>
      <c r="M1254" s="40">
        <f>RES_BA!R54</f>
        <v>0</v>
      </c>
      <c r="O1254" s="40">
        <f>RES_BA!S54</f>
        <v>0</v>
      </c>
      <c r="Q1254" s="40">
        <f>RES_BA!T54</f>
        <v>0</v>
      </c>
      <c r="S1254" s="40">
        <f>RES_BA!U54</f>
        <v>0</v>
      </c>
    </row>
    <row r="1255" spans="3:19" hidden="1" outlineLevel="1" x14ac:dyDescent="0.3">
      <c r="C1255" s="89" t="str">
        <f>RES_BA!D55</f>
        <v>Allowances Category 3</v>
      </c>
      <c r="M1255" s="40">
        <f>RES_BA!R55</f>
        <v>0</v>
      </c>
      <c r="O1255" s="40">
        <f>RES_BA!S55</f>
        <v>0</v>
      </c>
      <c r="Q1255" s="40">
        <f>RES_BA!T55</f>
        <v>0</v>
      </c>
      <c r="S1255" s="40">
        <f>RES_BA!U55</f>
        <v>0</v>
      </c>
    </row>
    <row r="1256" spans="3:19" hidden="1" outlineLevel="1" x14ac:dyDescent="0.3">
      <c r="C1256" s="89" t="str">
        <f>RES_BA!D56</f>
        <v>Allowances Category 4</v>
      </c>
      <c r="M1256" s="40">
        <f>RES_BA!R56</f>
        <v>0</v>
      </c>
      <c r="O1256" s="40">
        <f>RES_BA!S56</f>
        <v>0</v>
      </c>
      <c r="Q1256" s="40">
        <f>RES_BA!T56</f>
        <v>0</v>
      </c>
      <c r="S1256" s="40">
        <f>RES_BA!U56</f>
        <v>0</v>
      </c>
    </row>
    <row r="1257" spans="3:19" hidden="1" outlineLevel="1" x14ac:dyDescent="0.3">
      <c r="C1257" s="89" t="str">
        <f>RES_BA!D57</f>
        <v>Allowances Category 5</v>
      </c>
      <c r="M1257" s="40">
        <f>RES_BA!R57</f>
        <v>0</v>
      </c>
      <c r="O1257" s="40">
        <f>RES_BA!S57</f>
        <v>0</v>
      </c>
      <c r="Q1257" s="40">
        <f>RES_BA!T57</f>
        <v>0</v>
      </c>
      <c r="S1257" s="40">
        <f>RES_BA!U57</f>
        <v>0</v>
      </c>
    </row>
    <row r="1258" spans="3:19" s="277" customFormat="1" hidden="1" outlineLevel="1" collapsed="1" x14ac:dyDescent="0.3">
      <c r="C1258" s="283" t="str">
        <f>RES_BA!D58</f>
        <v>Allowances Category 6</v>
      </c>
      <c r="M1258" s="279">
        <f>RES_BA!R58</f>
        <v>0</v>
      </c>
      <c r="O1258" s="279">
        <f>RES_BA!S58</f>
        <v>0</v>
      </c>
      <c r="Q1258" s="279">
        <f>RES_BA!T58</f>
        <v>0</v>
      </c>
      <c r="S1258" s="279">
        <f>RES_BA!U58</f>
        <v>0</v>
      </c>
    </row>
    <row r="1259" spans="3:19" s="277" customFormat="1" hidden="1" outlineLevel="1" x14ac:dyDescent="0.3">
      <c r="C1259" s="283" t="str">
        <f>RES_BA!D59</f>
        <v>Allowances Category 7</v>
      </c>
      <c r="M1259" s="279">
        <f>RES_BA!R59</f>
        <v>0</v>
      </c>
      <c r="O1259" s="279">
        <f>RES_BA!S59</f>
        <v>0</v>
      </c>
      <c r="Q1259" s="279">
        <f>RES_BA!T59</f>
        <v>0</v>
      </c>
      <c r="S1259" s="279">
        <f>RES_BA!U59</f>
        <v>0</v>
      </c>
    </row>
    <row r="1260" spans="3:19" s="277" customFormat="1" hidden="1" outlineLevel="1" x14ac:dyDescent="0.3">
      <c r="C1260" s="283" t="str">
        <f>RES_BA!D60</f>
        <v>Allowances Category 8</v>
      </c>
      <c r="M1260" s="279">
        <f>RES_BA!R60</f>
        <v>0</v>
      </c>
      <c r="O1260" s="279">
        <f>RES_BA!S60</f>
        <v>0</v>
      </c>
      <c r="Q1260" s="279">
        <f>RES_BA!T60</f>
        <v>0</v>
      </c>
      <c r="S1260" s="279">
        <f>RES_BA!U60</f>
        <v>0</v>
      </c>
    </row>
    <row r="1261" spans="3:19" s="277" customFormat="1" hidden="1" outlineLevel="1" x14ac:dyDescent="0.3">
      <c r="C1261" s="283" t="str">
        <f>RES_BA!D61</f>
        <v>Allowances Category 9</v>
      </c>
      <c r="M1261" s="279">
        <f>RES_BA!R61</f>
        <v>0</v>
      </c>
      <c r="O1261" s="279">
        <f>RES_BA!S61</f>
        <v>0</v>
      </c>
      <c r="Q1261" s="279">
        <f>RES_BA!T61</f>
        <v>0</v>
      </c>
      <c r="S1261" s="279">
        <f>RES_BA!U61</f>
        <v>0</v>
      </c>
    </row>
    <row r="1262" spans="3:19" s="277" customFormat="1" hidden="1" outlineLevel="1" x14ac:dyDescent="0.3">
      <c r="C1262" s="283" t="str">
        <f>RES_BA!D62</f>
        <v>Allowances Category 10</v>
      </c>
      <c r="M1262" s="279">
        <f>RES_BA!R62</f>
        <v>0</v>
      </c>
      <c r="O1262" s="279">
        <f>RES_BA!S62</f>
        <v>0</v>
      </c>
      <c r="Q1262" s="279">
        <f>RES_BA!T62</f>
        <v>0</v>
      </c>
      <c r="S1262" s="279">
        <f>RES_BA!U62</f>
        <v>0</v>
      </c>
    </row>
    <row r="1263" spans="3:19" s="277" customFormat="1" hidden="1" outlineLevel="1" x14ac:dyDescent="0.3">
      <c r="C1263" s="283" t="str">
        <f>RES_BA!D63</f>
        <v>Allowances Category 11</v>
      </c>
      <c r="M1263" s="279">
        <f>RES_BA!R63</f>
        <v>0</v>
      </c>
      <c r="O1263" s="279">
        <f>RES_BA!S63</f>
        <v>0</v>
      </c>
      <c r="Q1263" s="279">
        <f>RES_BA!T63</f>
        <v>0</v>
      </c>
      <c r="S1263" s="279">
        <f>RES_BA!U63</f>
        <v>0</v>
      </c>
    </row>
    <row r="1264" spans="3:19" s="277" customFormat="1" hidden="1" outlineLevel="1" x14ac:dyDescent="0.3">
      <c r="C1264" s="283" t="str">
        <f>RES_BA!D64</f>
        <v>Allowances Category 12</v>
      </c>
      <c r="M1264" s="279">
        <f>RES_BA!R64</f>
        <v>0</v>
      </c>
      <c r="O1264" s="279">
        <f>RES_BA!S64</f>
        <v>0</v>
      </c>
      <c r="Q1264" s="279">
        <f>RES_BA!T64</f>
        <v>0</v>
      </c>
      <c r="S1264" s="279">
        <f>RES_BA!U64</f>
        <v>0</v>
      </c>
    </row>
    <row r="1265" spans="3:19" s="277" customFormat="1" hidden="1" outlineLevel="1" x14ac:dyDescent="0.3">
      <c r="C1265" s="283" t="str">
        <f>RES_BA!D65</f>
        <v>Allowances Category 13</v>
      </c>
      <c r="M1265" s="279">
        <f>RES_BA!R65</f>
        <v>0</v>
      </c>
      <c r="O1265" s="279">
        <f>RES_BA!S65</f>
        <v>0</v>
      </c>
      <c r="Q1265" s="279">
        <f>RES_BA!T65</f>
        <v>0</v>
      </c>
      <c r="S1265" s="279">
        <f>RES_BA!U65</f>
        <v>0</v>
      </c>
    </row>
    <row r="1266" spans="3:19" s="277" customFormat="1" hidden="1" outlineLevel="1" x14ac:dyDescent="0.3">
      <c r="C1266" s="283" t="str">
        <f>RES_BA!D66</f>
        <v>Allowances Category 14</v>
      </c>
      <c r="M1266" s="279">
        <f>RES_BA!R66</f>
        <v>0</v>
      </c>
      <c r="O1266" s="279">
        <f>RES_BA!S66</f>
        <v>0</v>
      </c>
      <c r="Q1266" s="279">
        <f>RES_BA!T66</f>
        <v>0</v>
      </c>
      <c r="S1266" s="279">
        <f>RES_BA!U66</f>
        <v>0</v>
      </c>
    </row>
    <row r="1267" spans="3:19" s="277" customFormat="1" hidden="1" outlineLevel="1" x14ac:dyDescent="0.3">
      <c r="C1267" s="283" t="str">
        <f>RES_BA!D67</f>
        <v>Allowances Category 15</v>
      </c>
      <c r="M1267" s="279">
        <f>RES_BA!R67</f>
        <v>0</v>
      </c>
      <c r="O1267" s="279">
        <f>RES_BA!S67</f>
        <v>0</v>
      </c>
      <c r="Q1267" s="279">
        <f>RES_BA!T67</f>
        <v>0</v>
      </c>
      <c r="S1267" s="279">
        <f>RES_BA!U67</f>
        <v>0</v>
      </c>
    </row>
    <row r="1268" spans="3:19" s="277" customFormat="1" hidden="1" outlineLevel="1" x14ac:dyDescent="0.3">
      <c r="C1268" s="283" t="str">
        <f>RES_BA!D68</f>
        <v>Allowances Category 16</v>
      </c>
      <c r="M1268" s="279">
        <f>RES_BA!R68</f>
        <v>0</v>
      </c>
      <c r="O1268" s="279">
        <f>RES_BA!S68</f>
        <v>0</v>
      </c>
      <c r="Q1268" s="279">
        <f>RES_BA!T68</f>
        <v>0</v>
      </c>
      <c r="S1268" s="279">
        <f>RES_BA!U68</f>
        <v>0</v>
      </c>
    </row>
    <row r="1269" spans="3:19" hidden="1" outlineLevel="1" x14ac:dyDescent="0.3">
      <c r="C1269" s="89" t="str">
        <f>RES_BA!D69</f>
        <v>Allowances Category 17</v>
      </c>
      <c r="M1269" s="40">
        <f>RES_BA!R69</f>
        <v>0</v>
      </c>
      <c r="O1269" s="40">
        <f>RES_BA!S69</f>
        <v>0</v>
      </c>
      <c r="Q1269" s="40">
        <f>RES_BA!T69</f>
        <v>0</v>
      </c>
      <c r="S1269" s="40">
        <f>RES_BA!U69</f>
        <v>0</v>
      </c>
    </row>
    <row r="1270" spans="3:19" hidden="1" outlineLevel="1" x14ac:dyDescent="0.3">
      <c r="C1270" s="89" t="str">
        <f>RES_BA!D70</f>
        <v>Allowances Category 18</v>
      </c>
      <c r="M1270" s="40">
        <f>RES_BA!R70</f>
        <v>0</v>
      </c>
      <c r="O1270" s="40">
        <f>RES_BA!S70</f>
        <v>0</v>
      </c>
      <c r="Q1270" s="40">
        <f>RES_BA!T70</f>
        <v>0</v>
      </c>
      <c r="S1270" s="40">
        <f>RES_BA!U70</f>
        <v>0</v>
      </c>
    </row>
    <row r="1271" spans="3:19" hidden="1" outlineLevel="1" x14ac:dyDescent="0.3">
      <c r="C1271" s="89" t="str">
        <f>RES_BA!D71</f>
        <v>Allowances Category 19</v>
      </c>
      <c r="M1271" s="40">
        <f>RES_BA!R71</f>
        <v>0</v>
      </c>
      <c r="O1271" s="40">
        <f>RES_BA!S71</f>
        <v>0</v>
      </c>
      <c r="Q1271" s="40">
        <f>RES_BA!T71</f>
        <v>0</v>
      </c>
      <c r="S1271" s="40">
        <f>RES_BA!U71</f>
        <v>0</v>
      </c>
    </row>
    <row r="1272" spans="3:19" hidden="1" outlineLevel="1" x14ac:dyDescent="0.3">
      <c r="C1272" s="89" t="str">
        <f>RES_BA!D72</f>
        <v>Allowances Category 20</v>
      </c>
      <c r="M1272" s="40">
        <f>RES_BA!R72</f>
        <v>0</v>
      </c>
      <c r="O1272" s="40">
        <f>RES_BA!S72</f>
        <v>0</v>
      </c>
      <c r="Q1272" s="40">
        <f>RES_BA!T72</f>
        <v>0</v>
      </c>
      <c r="S1272" s="40">
        <f>RES_BA!U72</f>
        <v>0</v>
      </c>
    </row>
    <row r="1273" spans="3:19" hidden="1" outlineLevel="1" x14ac:dyDescent="0.3">
      <c r="C1273" s="89" t="str">
        <f>RES_BA!D73</f>
        <v>Allowances Category 21</v>
      </c>
      <c r="M1273" s="40">
        <f>RES_BA!R73</f>
        <v>0</v>
      </c>
      <c r="O1273" s="40">
        <f>RES_BA!S73</f>
        <v>0</v>
      </c>
      <c r="Q1273" s="40">
        <f>RES_BA!T73</f>
        <v>0</v>
      </c>
      <c r="S1273" s="40">
        <f>RES_BA!U73</f>
        <v>0</v>
      </c>
    </row>
    <row r="1274" spans="3:19" hidden="1" outlineLevel="1" x14ac:dyDescent="0.3">
      <c r="C1274" s="89" t="str">
        <f>RES_BA!D74</f>
        <v>Allowances Category 22</v>
      </c>
      <c r="M1274" s="40">
        <f>RES_BA!R74</f>
        <v>0</v>
      </c>
      <c r="O1274" s="40">
        <f>RES_BA!S74</f>
        <v>0</v>
      </c>
      <c r="Q1274" s="40">
        <f>RES_BA!T74</f>
        <v>0</v>
      </c>
      <c r="S1274" s="40">
        <f>RES_BA!U74</f>
        <v>0</v>
      </c>
    </row>
    <row r="1275" spans="3:19" hidden="1" outlineLevel="1" x14ac:dyDescent="0.3">
      <c r="C1275" s="89" t="str">
        <f>RES_BA!D75</f>
        <v>Allowances Category 23</v>
      </c>
      <c r="M1275" s="40">
        <f>RES_BA!R75</f>
        <v>0</v>
      </c>
      <c r="O1275" s="40">
        <f>RES_BA!S75</f>
        <v>0</v>
      </c>
      <c r="Q1275" s="40">
        <f>RES_BA!T75</f>
        <v>0</v>
      </c>
      <c r="S1275" s="40">
        <f>RES_BA!U75</f>
        <v>0</v>
      </c>
    </row>
    <row r="1276" spans="3:19" s="277" customFormat="1" hidden="1" outlineLevel="1" collapsed="1" x14ac:dyDescent="0.3">
      <c r="C1276" s="283" t="str">
        <f>RES_BA!D76</f>
        <v>Allowances Category 24</v>
      </c>
      <c r="M1276" s="279">
        <f>RES_BA!R76</f>
        <v>0</v>
      </c>
      <c r="O1276" s="279">
        <f>RES_BA!S76</f>
        <v>0</v>
      </c>
      <c r="Q1276" s="279">
        <f>RES_BA!T76</f>
        <v>0</v>
      </c>
      <c r="S1276" s="279">
        <f>RES_BA!U76</f>
        <v>0</v>
      </c>
    </row>
    <row r="1277" spans="3:19" s="277" customFormat="1" hidden="1" outlineLevel="1" x14ac:dyDescent="0.3">
      <c r="C1277" s="283" t="str">
        <f>RES_BA!D77</f>
        <v>Allowances Category 25</v>
      </c>
      <c r="M1277" s="279">
        <f>RES_BA!R77</f>
        <v>0</v>
      </c>
      <c r="O1277" s="279">
        <f>RES_BA!S77</f>
        <v>0</v>
      </c>
      <c r="Q1277" s="279">
        <f>RES_BA!T77</f>
        <v>0</v>
      </c>
      <c r="S1277" s="279">
        <f>RES_BA!U77</f>
        <v>0</v>
      </c>
    </row>
    <row r="1278" spans="3:19" s="277" customFormat="1" hidden="1" outlineLevel="1" x14ac:dyDescent="0.3">
      <c r="C1278" s="283" t="str">
        <f>RES_BA!D78</f>
        <v>Allowances Category 26</v>
      </c>
      <c r="M1278" s="279">
        <f>RES_BA!R78</f>
        <v>0</v>
      </c>
      <c r="O1278" s="279">
        <f>RES_BA!S78</f>
        <v>0</v>
      </c>
      <c r="Q1278" s="279">
        <f>RES_BA!T78</f>
        <v>0</v>
      </c>
      <c r="S1278" s="279">
        <f>RES_BA!U78</f>
        <v>0</v>
      </c>
    </row>
    <row r="1279" spans="3:19" s="277" customFormat="1" hidden="1" outlineLevel="1" x14ac:dyDescent="0.3">
      <c r="C1279" s="283" t="str">
        <f>RES_BA!D79</f>
        <v>Allowances Category 27</v>
      </c>
      <c r="M1279" s="279">
        <f>RES_BA!R79</f>
        <v>0</v>
      </c>
      <c r="O1279" s="279">
        <f>RES_BA!S79</f>
        <v>0</v>
      </c>
      <c r="Q1279" s="279">
        <f>RES_BA!T79</f>
        <v>0</v>
      </c>
      <c r="S1279" s="279">
        <f>RES_BA!U79</f>
        <v>0</v>
      </c>
    </row>
    <row r="1280" spans="3:19" s="277" customFormat="1" hidden="1" outlineLevel="1" x14ac:dyDescent="0.3">
      <c r="C1280" s="283" t="str">
        <f>RES_BA!D80</f>
        <v>Allowances Category 28</v>
      </c>
      <c r="M1280" s="279">
        <f>RES_BA!R80</f>
        <v>0</v>
      </c>
      <c r="O1280" s="279">
        <f>RES_BA!S80</f>
        <v>0</v>
      </c>
      <c r="Q1280" s="279">
        <f>RES_BA!T80</f>
        <v>0</v>
      </c>
      <c r="S1280" s="279">
        <f>RES_BA!U80</f>
        <v>0</v>
      </c>
    </row>
    <row r="1281" spans="3:19" s="277" customFormat="1" hidden="1" outlineLevel="1" x14ac:dyDescent="0.3">
      <c r="C1281" s="283" t="str">
        <f>RES_BA!D81</f>
        <v>Allowances Category 29</v>
      </c>
      <c r="M1281" s="279">
        <f>RES_BA!R81</f>
        <v>0</v>
      </c>
      <c r="O1281" s="279">
        <f>RES_BA!S81</f>
        <v>0</v>
      </c>
      <c r="Q1281" s="279">
        <f>RES_BA!T81</f>
        <v>0</v>
      </c>
      <c r="S1281" s="279">
        <f>RES_BA!U81</f>
        <v>0</v>
      </c>
    </row>
    <row r="1282" spans="3:19" s="277" customFormat="1" hidden="1" outlineLevel="1" x14ac:dyDescent="0.3">
      <c r="C1282" s="283" t="str">
        <f>RES_BA!D82</f>
        <v>Allowances Category 30</v>
      </c>
      <c r="M1282" s="279">
        <f>RES_BA!R82</f>
        <v>0</v>
      </c>
      <c r="O1282" s="279">
        <f>RES_BA!S82</f>
        <v>0</v>
      </c>
      <c r="Q1282" s="279">
        <f>RES_BA!T82</f>
        <v>0</v>
      </c>
      <c r="S1282" s="279">
        <f>RES_BA!U82</f>
        <v>0</v>
      </c>
    </row>
    <row r="1283" spans="3:19" hidden="1" outlineLevel="1" x14ac:dyDescent="0.3">
      <c r="C1283" s="89" t="str">
        <f>RES_BA!D83</f>
        <v>Allowances Category 31</v>
      </c>
      <c r="M1283" s="40">
        <f>RES_BA!R83</f>
        <v>0</v>
      </c>
      <c r="O1283" s="40">
        <f>RES_BA!S83</f>
        <v>0</v>
      </c>
      <c r="Q1283" s="40">
        <f>RES_BA!T83</f>
        <v>0</v>
      </c>
      <c r="S1283" s="40">
        <f>RES_BA!U83</f>
        <v>0</v>
      </c>
    </row>
    <row r="1284" spans="3:19" hidden="1" outlineLevel="1" x14ac:dyDescent="0.3">
      <c r="C1284" s="89" t="str">
        <f>RES_BA!D84</f>
        <v>Allowances Category 32</v>
      </c>
      <c r="M1284" s="40">
        <f>RES_BA!R84</f>
        <v>0</v>
      </c>
      <c r="O1284" s="40">
        <f>RES_BA!S84</f>
        <v>0</v>
      </c>
      <c r="Q1284" s="40">
        <f>RES_BA!T84</f>
        <v>0</v>
      </c>
      <c r="S1284" s="40">
        <f>RES_BA!U84</f>
        <v>0</v>
      </c>
    </row>
    <row r="1285" spans="3:19" hidden="1" outlineLevel="1" x14ac:dyDescent="0.3">
      <c r="C1285" s="89" t="str">
        <f>RES_BA!D85</f>
        <v>Allowances Category 33</v>
      </c>
      <c r="M1285" s="40">
        <f>RES_BA!R85</f>
        <v>0</v>
      </c>
      <c r="O1285" s="40">
        <f>RES_BA!S85</f>
        <v>0</v>
      </c>
      <c r="Q1285" s="40">
        <f>RES_BA!T85</f>
        <v>0</v>
      </c>
      <c r="S1285" s="40">
        <f>RES_BA!U85</f>
        <v>0</v>
      </c>
    </row>
    <row r="1286" spans="3:19" hidden="1" outlineLevel="1" x14ac:dyDescent="0.3">
      <c r="C1286" s="89" t="str">
        <f>RES_BA!D86</f>
        <v>Allowances Category 34</v>
      </c>
      <c r="M1286" s="40">
        <f>RES_BA!R86</f>
        <v>0</v>
      </c>
      <c r="O1286" s="40">
        <f>RES_BA!S86</f>
        <v>0</v>
      </c>
      <c r="Q1286" s="40">
        <f>RES_BA!T86</f>
        <v>0</v>
      </c>
      <c r="S1286" s="40">
        <f>RES_BA!U86</f>
        <v>0</v>
      </c>
    </row>
    <row r="1287" spans="3:19" hidden="1" outlineLevel="1" x14ac:dyDescent="0.3">
      <c r="C1287" s="89" t="str">
        <f>RES_BA!D87</f>
        <v>Allowances Category 35</v>
      </c>
      <c r="M1287" s="40">
        <f>RES_BA!R87</f>
        <v>0</v>
      </c>
      <c r="O1287" s="40">
        <f>RES_BA!S87</f>
        <v>0</v>
      </c>
      <c r="Q1287" s="40">
        <f>RES_BA!T87</f>
        <v>0</v>
      </c>
      <c r="S1287" s="40">
        <f>RES_BA!U87</f>
        <v>0</v>
      </c>
    </row>
    <row r="1288" spans="3:19" hidden="1" outlineLevel="1" x14ac:dyDescent="0.3"/>
    <row r="1289" spans="3:19" hidden="1" outlineLevel="1" x14ac:dyDescent="0.3"/>
    <row r="1290" spans="3:19" hidden="1" outlineLevel="1" x14ac:dyDescent="0.3">
      <c r="M1290" s="40" t="str">
        <f>$D$1210</f>
        <v>USD</v>
      </c>
      <c r="O1290" s="40" t="str">
        <f>$D$1210</f>
        <v>USD</v>
      </c>
      <c r="Q1290" s="40" t="str">
        <f>$D$1211</f>
        <v>GOZ</v>
      </c>
      <c r="S1290" s="40" t="str">
        <f>$D$1211</f>
        <v>GOZ</v>
      </c>
    </row>
    <row r="1291" spans="3:19" hidden="1" outlineLevel="1" x14ac:dyDescent="0.3">
      <c r="C1291" s="89" t="str">
        <f>RES_BA!D91</f>
        <v>Supplies Category 1</v>
      </c>
      <c r="M1291" s="40">
        <f>RES_BA!R91</f>
        <v>0</v>
      </c>
      <c r="O1291" s="40">
        <f>RES_BA!S91</f>
        <v>0</v>
      </c>
      <c r="Q1291" s="40">
        <f>RES_BA!T91</f>
        <v>0</v>
      </c>
      <c r="S1291" s="40">
        <f>RES_BA!U91</f>
        <v>0</v>
      </c>
    </row>
    <row r="1292" spans="3:19" hidden="1" outlineLevel="1" x14ac:dyDescent="0.3">
      <c r="C1292" s="89" t="str">
        <f>RES_BA!D92</f>
        <v>Supplies Category 2</v>
      </c>
      <c r="M1292" s="40">
        <f>RES_BA!R92</f>
        <v>0</v>
      </c>
      <c r="O1292" s="40">
        <f>RES_BA!S92</f>
        <v>0</v>
      </c>
      <c r="Q1292" s="40">
        <f>RES_BA!T92</f>
        <v>0</v>
      </c>
      <c r="S1292" s="40">
        <f>RES_BA!U92</f>
        <v>0</v>
      </c>
    </row>
    <row r="1293" spans="3:19" hidden="1" outlineLevel="1" x14ac:dyDescent="0.3">
      <c r="C1293" s="89" t="str">
        <f>RES_BA!D93</f>
        <v>Supplies Category 3</v>
      </c>
      <c r="M1293" s="40">
        <f>RES_BA!R93</f>
        <v>0</v>
      </c>
      <c r="O1293" s="40">
        <f>RES_BA!S93</f>
        <v>0</v>
      </c>
      <c r="Q1293" s="40">
        <f>RES_BA!T93</f>
        <v>0</v>
      </c>
      <c r="S1293" s="40">
        <f>RES_BA!U93</f>
        <v>0</v>
      </c>
    </row>
    <row r="1294" spans="3:19" hidden="1" outlineLevel="1" x14ac:dyDescent="0.3">
      <c r="C1294" s="89" t="str">
        <f>RES_BA!D94</f>
        <v>Supplies Category 4</v>
      </c>
      <c r="M1294" s="40">
        <f>RES_BA!R94</f>
        <v>0</v>
      </c>
      <c r="O1294" s="40">
        <f>RES_BA!S94</f>
        <v>0</v>
      </c>
      <c r="Q1294" s="40">
        <f>RES_BA!T94</f>
        <v>0</v>
      </c>
      <c r="S1294" s="40">
        <f>RES_BA!U94</f>
        <v>0</v>
      </c>
    </row>
    <row r="1295" spans="3:19" hidden="1" outlineLevel="1" x14ac:dyDescent="0.3">
      <c r="C1295" s="89" t="str">
        <f>RES_BA!D95</f>
        <v>Supplies Category 5</v>
      </c>
      <c r="M1295" s="40">
        <f>RES_BA!R95</f>
        <v>0</v>
      </c>
      <c r="O1295" s="40">
        <f>RES_BA!S95</f>
        <v>0</v>
      </c>
      <c r="Q1295" s="40">
        <f>RES_BA!T95</f>
        <v>0</v>
      </c>
      <c r="S1295" s="40">
        <f>RES_BA!U95</f>
        <v>0</v>
      </c>
    </row>
    <row r="1296" spans="3:19" hidden="1" outlineLevel="1" x14ac:dyDescent="0.3">
      <c r="C1296" s="89" t="str">
        <f>RES_BA!D96</f>
        <v>Supplies Category 6</v>
      </c>
      <c r="M1296" s="40">
        <f>RES_BA!R96</f>
        <v>0</v>
      </c>
      <c r="O1296" s="40">
        <f>RES_BA!S96</f>
        <v>0</v>
      </c>
      <c r="Q1296" s="40">
        <f>RES_BA!T96</f>
        <v>0</v>
      </c>
      <c r="S1296" s="40">
        <f>RES_BA!U96</f>
        <v>0</v>
      </c>
    </row>
    <row r="1297" spans="3:19" hidden="1" outlineLevel="1" x14ac:dyDescent="0.3">
      <c r="C1297" s="89" t="str">
        <f>RES_BA!D97</f>
        <v>Supplies Category 7</v>
      </c>
      <c r="M1297" s="40">
        <f>RES_BA!R97</f>
        <v>0</v>
      </c>
      <c r="O1297" s="40">
        <f>RES_BA!S97</f>
        <v>0</v>
      </c>
      <c r="Q1297" s="40">
        <f>RES_BA!T97</f>
        <v>0</v>
      </c>
      <c r="S1297" s="40">
        <f>RES_BA!U97</f>
        <v>0</v>
      </c>
    </row>
    <row r="1298" spans="3:19" hidden="1" outlineLevel="1" x14ac:dyDescent="0.3">
      <c r="C1298" s="89" t="str">
        <f>RES_BA!D98</f>
        <v>Supplies Category 8</v>
      </c>
      <c r="M1298" s="40">
        <f>RES_BA!R98</f>
        <v>0</v>
      </c>
      <c r="O1298" s="40">
        <f>RES_BA!S98</f>
        <v>0</v>
      </c>
      <c r="Q1298" s="40">
        <f>RES_BA!T98</f>
        <v>0</v>
      </c>
      <c r="S1298" s="40">
        <f>RES_BA!U98</f>
        <v>0</v>
      </c>
    </row>
    <row r="1299" spans="3:19" hidden="1" outlineLevel="1" x14ac:dyDescent="0.3">
      <c r="C1299" s="89" t="str">
        <f>RES_BA!D99</f>
        <v>Supplies Category 9</v>
      </c>
      <c r="M1299" s="40">
        <f>RES_BA!R99</f>
        <v>0</v>
      </c>
      <c r="O1299" s="40">
        <f>RES_BA!S99</f>
        <v>0</v>
      </c>
      <c r="Q1299" s="40">
        <f>RES_BA!T99</f>
        <v>0</v>
      </c>
      <c r="S1299" s="40">
        <f>RES_BA!U99</f>
        <v>0</v>
      </c>
    </row>
    <row r="1300" spans="3:19" hidden="1" outlineLevel="1" x14ac:dyDescent="0.3">
      <c r="C1300" s="89" t="str">
        <f>RES_BA!D100</f>
        <v>Supplies Category 10</v>
      </c>
      <c r="M1300" s="40">
        <f>RES_BA!R100</f>
        <v>0</v>
      </c>
      <c r="O1300" s="40">
        <f>RES_BA!S100</f>
        <v>0</v>
      </c>
      <c r="Q1300" s="40">
        <f>RES_BA!T100</f>
        <v>0</v>
      </c>
      <c r="S1300" s="40">
        <f>RES_BA!U100</f>
        <v>0</v>
      </c>
    </row>
    <row r="1301" spans="3:19" hidden="1" outlineLevel="1" x14ac:dyDescent="0.3">
      <c r="C1301" s="89" t="str">
        <f>RES_BA!D101</f>
        <v>Supplies Category 11</v>
      </c>
      <c r="M1301" s="40">
        <f>RES_BA!R101</f>
        <v>0</v>
      </c>
      <c r="O1301" s="40">
        <f>RES_BA!S101</f>
        <v>0</v>
      </c>
      <c r="Q1301" s="40">
        <f>RES_BA!T101</f>
        <v>0</v>
      </c>
      <c r="S1301" s="40">
        <f>RES_BA!U101</f>
        <v>0</v>
      </c>
    </row>
    <row r="1302" spans="3:19" hidden="1" outlineLevel="1" x14ac:dyDescent="0.3">
      <c r="C1302" s="89" t="str">
        <f>RES_BA!D102</f>
        <v>Supplies Category 12</v>
      </c>
      <c r="M1302" s="40">
        <f>RES_BA!R102</f>
        <v>0</v>
      </c>
      <c r="O1302" s="40">
        <f>RES_BA!S102</f>
        <v>0</v>
      </c>
      <c r="Q1302" s="40">
        <f>RES_BA!T102</f>
        <v>0</v>
      </c>
      <c r="S1302" s="40">
        <f>RES_BA!U102</f>
        <v>0</v>
      </c>
    </row>
    <row r="1303" spans="3:19" hidden="1" outlineLevel="1" x14ac:dyDescent="0.3">
      <c r="C1303" s="89" t="str">
        <f>RES_BA!D103</f>
        <v>Supplies Category 13</v>
      </c>
      <c r="M1303" s="40">
        <f>RES_BA!R103</f>
        <v>0</v>
      </c>
      <c r="O1303" s="40">
        <f>RES_BA!S103</f>
        <v>0</v>
      </c>
      <c r="Q1303" s="40">
        <f>RES_BA!T103</f>
        <v>0</v>
      </c>
      <c r="S1303" s="40">
        <f>RES_BA!U103</f>
        <v>0</v>
      </c>
    </row>
    <row r="1304" spans="3:19" hidden="1" outlineLevel="1" x14ac:dyDescent="0.3">
      <c r="C1304" s="89" t="str">
        <f>RES_BA!D104</f>
        <v>Supplies Category 14</v>
      </c>
      <c r="M1304" s="40">
        <f>RES_BA!R104</f>
        <v>0</v>
      </c>
      <c r="O1304" s="40">
        <f>RES_BA!S104</f>
        <v>0</v>
      </c>
      <c r="Q1304" s="40">
        <f>RES_BA!T104</f>
        <v>0</v>
      </c>
      <c r="S1304" s="40">
        <f>RES_BA!U104</f>
        <v>0</v>
      </c>
    </row>
    <row r="1305" spans="3:19" hidden="1" outlineLevel="1" x14ac:dyDescent="0.3">
      <c r="C1305" s="89" t="str">
        <f>RES_BA!D105</f>
        <v>Supplies Category 15</v>
      </c>
      <c r="M1305" s="40">
        <f>RES_BA!R105</f>
        <v>0</v>
      </c>
      <c r="O1305" s="40">
        <f>RES_BA!S105</f>
        <v>0</v>
      </c>
      <c r="Q1305" s="40">
        <f>RES_BA!T105</f>
        <v>0</v>
      </c>
      <c r="S1305" s="40">
        <f>RES_BA!U105</f>
        <v>0</v>
      </c>
    </row>
    <row r="1306" spans="3:19" hidden="1" outlineLevel="1" x14ac:dyDescent="0.3">
      <c r="C1306" s="89" t="str">
        <f>RES_BA!D106</f>
        <v>Supplies Category 16</v>
      </c>
      <c r="M1306" s="40">
        <f>RES_BA!R106</f>
        <v>0</v>
      </c>
      <c r="O1306" s="40">
        <f>RES_BA!S106</f>
        <v>0</v>
      </c>
      <c r="Q1306" s="40">
        <f>RES_BA!T106</f>
        <v>0</v>
      </c>
      <c r="S1306" s="40">
        <f>RES_BA!U106</f>
        <v>0</v>
      </c>
    </row>
    <row r="1307" spans="3:19" s="277" customFormat="1" hidden="1" outlineLevel="1" collapsed="1" x14ac:dyDescent="0.3">
      <c r="C1307" s="283" t="str">
        <f>RES_BA!D107</f>
        <v>Supplies Category 17</v>
      </c>
      <c r="M1307" s="279">
        <f>RES_BA!R107</f>
        <v>0</v>
      </c>
      <c r="O1307" s="279">
        <f>RES_BA!S107</f>
        <v>0</v>
      </c>
      <c r="Q1307" s="279">
        <f>RES_BA!T107</f>
        <v>0</v>
      </c>
      <c r="S1307" s="279">
        <f>RES_BA!U107</f>
        <v>0</v>
      </c>
    </row>
    <row r="1308" spans="3:19" s="277" customFormat="1" hidden="1" outlineLevel="1" x14ac:dyDescent="0.3">
      <c r="C1308" s="283" t="str">
        <f>RES_BA!D108</f>
        <v>Supplies Category 18</v>
      </c>
      <c r="M1308" s="279">
        <f>RES_BA!R108</f>
        <v>0</v>
      </c>
      <c r="O1308" s="279">
        <f>RES_BA!S108</f>
        <v>0</v>
      </c>
      <c r="Q1308" s="279">
        <f>RES_BA!T108</f>
        <v>0</v>
      </c>
      <c r="S1308" s="279">
        <f>RES_BA!U108</f>
        <v>0</v>
      </c>
    </row>
    <row r="1309" spans="3:19" s="277" customFormat="1" hidden="1" outlineLevel="1" x14ac:dyDescent="0.3">
      <c r="C1309" s="283" t="str">
        <f>RES_BA!D109</f>
        <v>Supplies Category 19</v>
      </c>
      <c r="M1309" s="279">
        <f>RES_BA!R109</f>
        <v>0</v>
      </c>
      <c r="O1309" s="279">
        <f>RES_BA!S109</f>
        <v>0</v>
      </c>
      <c r="Q1309" s="279">
        <f>RES_BA!T109</f>
        <v>0</v>
      </c>
      <c r="S1309" s="279">
        <f>RES_BA!U109</f>
        <v>0</v>
      </c>
    </row>
    <row r="1310" spans="3:19" s="277" customFormat="1" hidden="1" outlineLevel="1" x14ac:dyDescent="0.3">
      <c r="C1310" s="283" t="str">
        <f>RES_BA!D110</f>
        <v>Supplies Category 20</v>
      </c>
      <c r="M1310" s="279">
        <f>RES_BA!R110</f>
        <v>0</v>
      </c>
      <c r="O1310" s="279">
        <f>RES_BA!S110</f>
        <v>0</v>
      </c>
      <c r="Q1310" s="279">
        <f>RES_BA!T110</f>
        <v>0</v>
      </c>
      <c r="S1310" s="279">
        <f>RES_BA!U110</f>
        <v>0</v>
      </c>
    </row>
    <row r="1311" spans="3:19" s="277" customFormat="1" hidden="1" outlineLevel="1" x14ac:dyDescent="0.3">
      <c r="C1311" s="283" t="str">
        <f>RES_BA!D111</f>
        <v>Supplies Category 21</v>
      </c>
      <c r="M1311" s="279">
        <f>RES_BA!R111</f>
        <v>0</v>
      </c>
      <c r="O1311" s="279">
        <f>RES_BA!S111</f>
        <v>0</v>
      </c>
      <c r="Q1311" s="279">
        <f>RES_BA!T111</f>
        <v>0</v>
      </c>
      <c r="S1311" s="279">
        <f>RES_BA!U111</f>
        <v>0</v>
      </c>
    </row>
    <row r="1312" spans="3:19" s="277" customFormat="1" hidden="1" outlineLevel="1" x14ac:dyDescent="0.3">
      <c r="C1312" s="283" t="str">
        <f>RES_BA!D112</f>
        <v>Supplies Category 22</v>
      </c>
      <c r="M1312" s="279">
        <f>RES_BA!R112</f>
        <v>0</v>
      </c>
      <c r="O1312" s="279">
        <f>RES_BA!S112</f>
        <v>0</v>
      </c>
      <c r="Q1312" s="279">
        <f>RES_BA!T112</f>
        <v>0</v>
      </c>
      <c r="S1312" s="279">
        <f>RES_BA!U112</f>
        <v>0</v>
      </c>
    </row>
    <row r="1313" spans="3:19" s="277" customFormat="1" hidden="1" outlineLevel="1" x14ac:dyDescent="0.3">
      <c r="C1313" s="283" t="str">
        <f>RES_BA!D113</f>
        <v>Supplies Category 23</v>
      </c>
      <c r="M1313" s="279">
        <f>RES_BA!R113</f>
        <v>0</v>
      </c>
      <c r="O1313" s="279">
        <f>RES_BA!S113</f>
        <v>0</v>
      </c>
      <c r="Q1313" s="279">
        <f>RES_BA!T113</f>
        <v>0</v>
      </c>
      <c r="S1313" s="279">
        <f>RES_BA!U113</f>
        <v>0</v>
      </c>
    </row>
    <row r="1314" spans="3:19" s="277" customFormat="1" hidden="1" outlineLevel="1" x14ac:dyDescent="0.3">
      <c r="C1314" s="283" t="str">
        <f>RES_BA!D114</f>
        <v>Supplies Category 24</v>
      </c>
      <c r="M1314" s="279">
        <f>RES_BA!R114</f>
        <v>0</v>
      </c>
      <c r="O1314" s="279">
        <f>RES_BA!S114</f>
        <v>0</v>
      </c>
      <c r="Q1314" s="279">
        <f>RES_BA!T114</f>
        <v>0</v>
      </c>
      <c r="S1314" s="279">
        <f>RES_BA!U114</f>
        <v>0</v>
      </c>
    </row>
    <row r="1315" spans="3:19" s="277" customFormat="1" hidden="1" outlineLevel="1" x14ac:dyDescent="0.3">
      <c r="C1315" s="283" t="str">
        <f>RES_BA!D115</f>
        <v>Supplies Category 25</v>
      </c>
      <c r="M1315" s="279">
        <f>RES_BA!R115</f>
        <v>0</v>
      </c>
      <c r="O1315" s="279">
        <f>RES_BA!S115</f>
        <v>0</v>
      </c>
      <c r="Q1315" s="279">
        <f>RES_BA!T115</f>
        <v>0</v>
      </c>
      <c r="S1315" s="279">
        <f>RES_BA!U115</f>
        <v>0</v>
      </c>
    </row>
    <row r="1316" spans="3:19" s="277" customFormat="1" hidden="1" outlineLevel="1" x14ac:dyDescent="0.3">
      <c r="C1316" s="283" t="str">
        <f>RES_BA!D116</f>
        <v>Supplies Category 26</v>
      </c>
      <c r="M1316" s="279">
        <f>RES_BA!R116</f>
        <v>0</v>
      </c>
      <c r="O1316" s="279">
        <f>RES_BA!S116</f>
        <v>0</v>
      </c>
      <c r="Q1316" s="279">
        <f>RES_BA!T116</f>
        <v>0</v>
      </c>
      <c r="S1316" s="279">
        <f>RES_BA!U116</f>
        <v>0</v>
      </c>
    </row>
    <row r="1317" spans="3:19" s="277" customFormat="1" hidden="1" outlineLevel="1" x14ac:dyDescent="0.3">
      <c r="C1317" s="283" t="str">
        <f>RES_BA!D117</f>
        <v>Supplies Category 27</v>
      </c>
      <c r="M1317" s="279">
        <f>RES_BA!R117</f>
        <v>0</v>
      </c>
      <c r="O1317" s="279">
        <f>RES_BA!S117</f>
        <v>0</v>
      </c>
      <c r="Q1317" s="279">
        <f>RES_BA!T117</f>
        <v>0</v>
      </c>
      <c r="S1317" s="279">
        <f>RES_BA!U117</f>
        <v>0</v>
      </c>
    </row>
    <row r="1318" spans="3:19" s="277" customFormat="1" hidden="1" outlineLevel="1" x14ac:dyDescent="0.3">
      <c r="C1318" s="283" t="str">
        <f>RES_BA!D118</f>
        <v>Supplies Category 28</v>
      </c>
      <c r="M1318" s="279">
        <f>RES_BA!R118</f>
        <v>0</v>
      </c>
      <c r="O1318" s="279">
        <f>RES_BA!S118</f>
        <v>0</v>
      </c>
      <c r="Q1318" s="279">
        <f>RES_BA!T118</f>
        <v>0</v>
      </c>
      <c r="S1318" s="279">
        <f>RES_BA!U118</f>
        <v>0</v>
      </c>
    </row>
    <row r="1319" spans="3:19" s="277" customFormat="1" hidden="1" outlineLevel="1" x14ac:dyDescent="0.3">
      <c r="C1319" s="283" t="str">
        <f>RES_BA!D119</f>
        <v>Supplies Category 29</v>
      </c>
      <c r="M1319" s="279">
        <f>RES_BA!R119</f>
        <v>0</v>
      </c>
      <c r="O1319" s="279">
        <f>RES_BA!S119</f>
        <v>0</v>
      </c>
      <c r="Q1319" s="279">
        <f>RES_BA!T119</f>
        <v>0</v>
      </c>
      <c r="S1319" s="279">
        <f>RES_BA!U119</f>
        <v>0</v>
      </c>
    </row>
    <row r="1320" spans="3:19" s="277" customFormat="1" hidden="1" outlineLevel="1" collapsed="1" x14ac:dyDescent="0.3">
      <c r="C1320" s="283" t="str">
        <f>RES_BA!D120</f>
        <v>Supplies Category 30</v>
      </c>
      <c r="M1320" s="279">
        <f>RES_BA!R120</f>
        <v>0</v>
      </c>
      <c r="O1320" s="279">
        <f>RES_BA!S120</f>
        <v>0</v>
      </c>
      <c r="Q1320" s="279">
        <f>RES_BA!T120</f>
        <v>0</v>
      </c>
      <c r="S1320" s="279">
        <f>RES_BA!U120</f>
        <v>0</v>
      </c>
    </row>
    <row r="1321" spans="3:19" s="277" customFormat="1" hidden="1" outlineLevel="1" x14ac:dyDescent="0.3">
      <c r="C1321" s="283" t="str">
        <f>RES_BA!D121</f>
        <v>Supplies Category 31</v>
      </c>
      <c r="M1321" s="279">
        <f>RES_BA!R121</f>
        <v>0</v>
      </c>
      <c r="O1321" s="279">
        <f>RES_BA!S121</f>
        <v>0</v>
      </c>
      <c r="Q1321" s="279">
        <f>RES_BA!T121</f>
        <v>0</v>
      </c>
      <c r="S1321" s="279">
        <f>RES_BA!U121</f>
        <v>0</v>
      </c>
    </row>
    <row r="1322" spans="3:19" s="277" customFormat="1" hidden="1" outlineLevel="1" x14ac:dyDescent="0.3">
      <c r="C1322" s="283" t="str">
        <f>RES_BA!D122</f>
        <v>Supplies Category 32</v>
      </c>
      <c r="M1322" s="279">
        <f>RES_BA!R122</f>
        <v>0</v>
      </c>
      <c r="O1322" s="279">
        <f>RES_BA!S122</f>
        <v>0</v>
      </c>
      <c r="Q1322" s="279">
        <f>RES_BA!T122</f>
        <v>0</v>
      </c>
      <c r="S1322" s="279">
        <f>RES_BA!U122</f>
        <v>0</v>
      </c>
    </row>
    <row r="1323" spans="3:19" s="277" customFormat="1" hidden="1" outlineLevel="1" x14ac:dyDescent="0.3">
      <c r="C1323" s="283" t="str">
        <f>RES_BA!D123</f>
        <v>Supplies Category 33</v>
      </c>
      <c r="M1323" s="279">
        <f>RES_BA!R123</f>
        <v>0</v>
      </c>
      <c r="O1323" s="279">
        <f>RES_BA!S123</f>
        <v>0</v>
      </c>
      <c r="Q1323" s="279">
        <f>RES_BA!T123</f>
        <v>0</v>
      </c>
      <c r="S1323" s="279">
        <f>RES_BA!U123</f>
        <v>0</v>
      </c>
    </row>
    <row r="1324" spans="3:19" s="277" customFormat="1" hidden="1" outlineLevel="1" x14ac:dyDescent="0.3">
      <c r="C1324" s="283" t="str">
        <f>RES_BA!D124</f>
        <v>Supplies Category 34</v>
      </c>
      <c r="M1324" s="279">
        <f>RES_BA!R124</f>
        <v>0</v>
      </c>
      <c r="O1324" s="279">
        <f>RES_BA!S124</f>
        <v>0</v>
      </c>
      <c r="Q1324" s="279">
        <f>RES_BA!T124</f>
        <v>0</v>
      </c>
      <c r="S1324" s="279">
        <f>RES_BA!U124</f>
        <v>0</v>
      </c>
    </row>
    <row r="1325" spans="3:19" s="277" customFormat="1" hidden="1" outlineLevel="1" x14ac:dyDescent="0.3">
      <c r="C1325" s="283" t="str">
        <f>RES_BA!D125</f>
        <v>Supplies Category 35</v>
      </c>
      <c r="M1325" s="279">
        <f>RES_BA!R125</f>
        <v>0</v>
      </c>
      <c r="O1325" s="279">
        <f>RES_BA!S125</f>
        <v>0</v>
      </c>
      <c r="Q1325" s="279">
        <f>RES_BA!T125</f>
        <v>0</v>
      </c>
      <c r="S1325" s="279">
        <f>RES_BA!U125</f>
        <v>0</v>
      </c>
    </row>
    <row r="1326" spans="3:19" hidden="1" outlineLevel="1" x14ac:dyDescent="0.3"/>
    <row r="1327" spans="3:19" hidden="1" outlineLevel="1" x14ac:dyDescent="0.3">
      <c r="M1327" s="40" t="str">
        <f>$D$1210</f>
        <v>USD</v>
      </c>
      <c r="O1327" s="40" t="str">
        <f>$D$1210</f>
        <v>USD</v>
      </c>
      <c r="Q1327" s="40" t="str">
        <f>$D$1211</f>
        <v>GOZ</v>
      </c>
      <c r="S1327" s="40" t="str">
        <f>$D$1211</f>
        <v>GOZ</v>
      </c>
    </row>
    <row r="1328" spans="3:19" hidden="1" outlineLevel="1" x14ac:dyDescent="0.3">
      <c r="C1328" s="89" t="str">
        <f>RES_BA!D130</f>
        <v>Equipment Category 1</v>
      </c>
      <c r="M1328" s="40">
        <f>RES_BA!R130</f>
        <v>0</v>
      </c>
      <c r="O1328" s="40">
        <f>RES_BA!S130</f>
        <v>0</v>
      </c>
      <c r="Q1328" s="40">
        <f>RES_BA!T130</f>
        <v>0</v>
      </c>
      <c r="S1328" s="40">
        <f>RES_BA!U130</f>
        <v>0</v>
      </c>
    </row>
    <row r="1329" spans="3:19" hidden="1" outlineLevel="1" x14ac:dyDescent="0.3">
      <c r="C1329" s="89" t="str">
        <f>RES_BA!D131</f>
        <v>Equipment Category 2</v>
      </c>
      <c r="M1329" s="40">
        <f>RES_BA!R131</f>
        <v>0</v>
      </c>
      <c r="O1329" s="40">
        <f>RES_BA!S131</f>
        <v>0</v>
      </c>
      <c r="Q1329" s="40">
        <f>RES_BA!T131</f>
        <v>0</v>
      </c>
      <c r="S1329" s="40">
        <f>RES_BA!U131</f>
        <v>0</v>
      </c>
    </row>
    <row r="1330" spans="3:19" hidden="1" outlineLevel="1" x14ac:dyDescent="0.3">
      <c r="C1330" s="89" t="str">
        <f>RES_BA!D132</f>
        <v>Equipment Category 3</v>
      </c>
      <c r="M1330" s="40">
        <f>RES_BA!R132</f>
        <v>0</v>
      </c>
      <c r="O1330" s="40">
        <f>RES_BA!S132</f>
        <v>0</v>
      </c>
      <c r="Q1330" s="40">
        <f>RES_BA!T132</f>
        <v>0</v>
      </c>
      <c r="S1330" s="40">
        <f>RES_BA!U132</f>
        <v>0</v>
      </c>
    </row>
    <row r="1331" spans="3:19" hidden="1" outlineLevel="1" x14ac:dyDescent="0.3">
      <c r="C1331" s="89" t="str">
        <f>RES_BA!D133</f>
        <v>Equipment Category 4</v>
      </c>
      <c r="M1331" s="40">
        <f>RES_BA!R133</f>
        <v>0</v>
      </c>
      <c r="O1331" s="40">
        <f>RES_BA!S133</f>
        <v>0</v>
      </c>
      <c r="Q1331" s="40">
        <f>RES_BA!T133</f>
        <v>0</v>
      </c>
      <c r="S1331" s="40">
        <f>RES_BA!U133</f>
        <v>0</v>
      </c>
    </row>
    <row r="1332" spans="3:19" hidden="1" outlineLevel="1" x14ac:dyDescent="0.3">
      <c r="C1332" s="89" t="str">
        <f>RES_BA!D134</f>
        <v>Equipment Category 5</v>
      </c>
      <c r="M1332" s="40">
        <f>RES_BA!R134</f>
        <v>0</v>
      </c>
      <c r="O1332" s="40">
        <f>RES_BA!S134</f>
        <v>0</v>
      </c>
      <c r="Q1332" s="40">
        <f>RES_BA!T134</f>
        <v>0</v>
      </c>
      <c r="S1332" s="40">
        <f>RES_BA!U134</f>
        <v>0</v>
      </c>
    </row>
    <row r="1333" spans="3:19" hidden="1" outlineLevel="1" x14ac:dyDescent="0.3">
      <c r="C1333" s="89" t="str">
        <f>RES_BA!D135</f>
        <v>Equipment Category 6</v>
      </c>
      <c r="M1333" s="40">
        <f>RES_BA!R135</f>
        <v>0</v>
      </c>
      <c r="O1333" s="40">
        <f>RES_BA!S135</f>
        <v>0</v>
      </c>
      <c r="Q1333" s="40">
        <f>RES_BA!T135</f>
        <v>0</v>
      </c>
      <c r="S1333" s="40">
        <f>RES_BA!U135</f>
        <v>0</v>
      </c>
    </row>
    <row r="1334" spans="3:19" s="277" customFormat="1" hidden="1" outlineLevel="1" collapsed="1" x14ac:dyDescent="0.3">
      <c r="C1334" s="283" t="str">
        <f>RES_BA!D136</f>
        <v>Equipment Category 7</v>
      </c>
      <c r="M1334" s="279">
        <f>RES_BA!R136</f>
        <v>0</v>
      </c>
      <c r="O1334" s="279">
        <f>RES_BA!S136</f>
        <v>0</v>
      </c>
      <c r="Q1334" s="279">
        <f>RES_BA!T136</f>
        <v>0</v>
      </c>
      <c r="S1334" s="279">
        <f>RES_BA!U136</f>
        <v>0</v>
      </c>
    </row>
    <row r="1335" spans="3:19" s="277" customFormat="1" hidden="1" outlineLevel="1" x14ac:dyDescent="0.3">
      <c r="C1335" s="283" t="str">
        <f>RES_BA!D137</f>
        <v>Equipment Category 8</v>
      </c>
      <c r="M1335" s="279">
        <f>RES_BA!R137</f>
        <v>0</v>
      </c>
      <c r="O1335" s="279">
        <f>RES_BA!S137</f>
        <v>0</v>
      </c>
      <c r="Q1335" s="279">
        <f>RES_BA!T137</f>
        <v>0</v>
      </c>
      <c r="S1335" s="279">
        <f>RES_BA!U137</f>
        <v>0</v>
      </c>
    </row>
    <row r="1336" spans="3:19" s="277" customFormat="1" hidden="1" outlineLevel="1" x14ac:dyDescent="0.3">
      <c r="C1336" s="283" t="str">
        <f>RES_BA!D138</f>
        <v>Equipment Category 9</v>
      </c>
      <c r="M1336" s="279">
        <f>RES_BA!R138</f>
        <v>0</v>
      </c>
      <c r="O1336" s="279">
        <f>RES_BA!S138</f>
        <v>0</v>
      </c>
      <c r="Q1336" s="279">
        <f>RES_BA!T138</f>
        <v>0</v>
      </c>
      <c r="S1336" s="279">
        <f>RES_BA!U138</f>
        <v>0</v>
      </c>
    </row>
    <row r="1337" spans="3:19" s="277" customFormat="1" hidden="1" outlineLevel="1" x14ac:dyDescent="0.3">
      <c r="C1337" s="283" t="str">
        <f>RES_BA!D139</f>
        <v>Equipment Category 10</v>
      </c>
      <c r="M1337" s="279">
        <f>RES_BA!R139</f>
        <v>0</v>
      </c>
      <c r="O1337" s="279">
        <f>RES_BA!S139</f>
        <v>0</v>
      </c>
      <c r="Q1337" s="279">
        <f>RES_BA!T139</f>
        <v>0</v>
      </c>
      <c r="S1337" s="279">
        <f>RES_BA!U139</f>
        <v>0</v>
      </c>
    </row>
    <row r="1338" spans="3:19" s="277" customFormat="1" hidden="1" outlineLevel="1" x14ac:dyDescent="0.3">
      <c r="C1338" s="283" t="str">
        <f>RES_BA!D140</f>
        <v>Equipment Category 11</v>
      </c>
      <c r="M1338" s="279">
        <f>RES_BA!R140</f>
        <v>0</v>
      </c>
      <c r="O1338" s="279">
        <f>RES_BA!S140</f>
        <v>0</v>
      </c>
      <c r="Q1338" s="279">
        <f>RES_BA!T140</f>
        <v>0</v>
      </c>
      <c r="S1338" s="279">
        <f>RES_BA!U140</f>
        <v>0</v>
      </c>
    </row>
    <row r="1339" spans="3:19" s="277" customFormat="1" hidden="1" outlineLevel="1" x14ac:dyDescent="0.3">
      <c r="C1339" s="283" t="str">
        <f>RES_BA!D141</f>
        <v>Equipment Category 12</v>
      </c>
      <c r="M1339" s="279">
        <f>RES_BA!R141</f>
        <v>0</v>
      </c>
      <c r="O1339" s="279">
        <f>RES_BA!S141</f>
        <v>0</v>
      </c>
      <c r="Q1339" s="279">
        <f>RES_BA!T141</f>
        <v>0</v>
      </c>
      <c r="S1339" s="279">
        <f>RES_BA!U141</f>
        <v>0</v>
      </c>
    </row>
    <row r="1340" spans="3:19" s="277" customFormat="1" hidden="1" outlineLevel="1" collapsed="1" x14ac:dyDescent="0.3">
      <c r="C1340" s="283" t="str">
        <f>RES_BA!D142</f>
        <v>Equipment Category 13</v>
      </c>
      <c r="M1340" s="279">
        <f>RES_BA!R142</f>
        <v>0</v>
      </c>
      <c r="O1340" s="279">
        <f>RES_BA!S142</f>
        <v>0</v>
      </c>
      <c r="Q1340" s="279">
        <f>RES_BA!T142</f>
        <v>0</v>
      </c>
      <c r="S1340" s="279">
        <f>RES_BA!U142</f>
        <v>0</v>
      </c>
    </row>
    <row r="1341" spans="3:19" s="277" customFormat="1" hidden="1" outlineLevel="1" x14ac:dyDescent="0.3">
      <c r="C1341" s="283" t="str">
        <f>RES_BA!D143</f>
        <v>Equipment Category 14</v>
      </c>
      <c r="M1341" s="279">
        <f>RES_BA!R143</f>
        <v>0</v>
      </c>
      <c r="O1341" s="279">
        <f>RES_BA!S143</f>
        <v>0</v>
      </c>
      <c r="Q1341" s="279">
        <f>RES_BA!T143</f>
        <v>0</v>
      </c>
      <c r="S1341" s="279">
        <f>RES_BA!U143</f>
        <v>0</v>
      </c>
    </row>
    <row r="1342" spans="3:19" s="277" customFormat="1" hidden="1" outlineLevel="1" x14ac:dyDescent="0.3">
      <c r="C1342" s="283" t="str">
        <f>RES_BA!D144</f>
        <v>Equipment Category 15</v>
      </c>
      <c r="M1342" s="279">
        <f>RES_BA!R144</f>
        <v>0</v>
      </c>
      <c r="O1342" s="279">
        <f>RES_BA!S144</f>
        <v>0</v>
      </c>
      <c r="Q1342" s="279">
        <f>RES_BA!T144</f>
        <v>0</v>
      </c>
      <c r="S1342" s="279">
        <f>RES_BA!U144</f>
        <v>0</v>
      </c>
    </row>
    <row r="1343" spans="3:19" s="277" customFormat="1" hidden="1" outlineLevel="1" x14ac:dyDescent="0.3">
      <c r="C1343" s="283" t="str">
        <f>RES_BA!D145</f>
        <v>Equipment Category 16</v>
      </c>
      <c r="M1343" s="279">
        <f>RES_BA!R145</f>
        <v>0</v>
      </c>
      <c r="O1343" s="279">
        <f>RES_BA!S145</f>
        <v>0</v>
      </c>
      <c r="Q1343" s="279">
        <f>RES_BA!T145</f>
        <v>0</v>
      </c>
      <c r="S1343" s="279">
        <f>RES_BA!U145</f>
        <v>0</v>
      </c>
    </row>
    <row r="1344" spans="3:19" s="277" customFormat="1" hidden="1" outlineLevel="1" x14ac:dyDescent="0.3">
      <c r="C1344" s="283" t="str">
        <f>RES_BA!D146</f>
        <v>Equipment Category 17</v>
      </c>
      <c r="M1344" s="279">
        <f>RES_BA!R146</f>
        <v>0</v>
      </c>
      <c r="O1344" s="279">
        <f>RES_BA!S146</f>
        <v>0</v>
      </c>
      <c r="Q1344" s="279">
        <f>RES_BA!T146</f>
        <v>0</v>
      </c>
      <c r="S1344" s="279">
        <f>RES_BA!U146</f>
        <v>0</v>
      </c>
    </row>
    <row r="1345" spans="3:19" s="277" customFormat="1" hidden="1" outlineLevel="1" x14ac:dyDescent="0.3">
      <c r="C1345" s="283" t="str">
        <f>RES_BA!D147</f>
        <v>Equipment Category 18</v>
      </c>
      <c r="M1345" s="279">
        <f>RES_BA!R147</f>
        <v>0</v>
      </c>
      <c r="O1345" s="279">
        <f>RES_BA!S147</f>
        <v>0</v>
      </c>
      <c r="Q1345" s="279">
        <f>RES_BA!T147</f>
        <v>0</v>
      </c>
      <c r="S1345" s="279">
        <f>RES_BA!U147</f>
        <v>0</v>
      </c>
    </row>
    <row r="1346" spans="3:19" s="277" customFormat="1" hidden="1" outlineLevel="1" x14ac:dyDescent="0.3">
      <c r="C1346" s="283" t="str">
        <f>RES_BA!D148</f>
        <v>Equipment Category 19</v>
      </c>
      <c r="M1346" s="279">
        <f>RES_BA!R148</f>
        <v>0</v>
      </c>
      <c r="O1346" s="279">
        <f>RES_BA!S148</f>
        <v>0</v>
      </c>
      <c r="Q1346" s="279">
        <f>RES_BA!T148</f>
        <v>0</v>
      </c>
      <c r="S1346" s="279">
        <f>RES_BA!U148</f>
        <v>0</v>
      </c>
    </row>
    <row r="1347" spans="3:19" s="277" customFormat="1" hidden="1" outlineLevel="1" x14ac:dyDescent="0.3">
      <c r="C1347" s="283" t="str">
        <f>RES_BA!D149</f>
        <v>Equipment Category 20</v>
      </c>
      <c r="M1347" s="279">
        <f>RES_BA!R149</f>
        <v>0</v>
      </c>
      <c r="O1347" s="279">
        <f>RES_BA!S149</f>
        <v>0</v>
      </c>
      <c r="Q1347" s="279">
        <f>RES_BA!T149</f>
        <v>0</v>
      </c>
      <c r="S1347" s="279">
        <f>RES_BA!U149</f>
        <v>0</v>
      </c>
    </row>
    <row r="1348" spans="3:19" s="277" customFormat="1" hidden="1" outlineLevel="1" x14ac:dyDescent="0.3">
      <c r="C1348" s="283" t="str">
        <f>RES_BA!D150</f>
        <v>Equipment Category 21</v>
      </c>
      <c r="M1348" s="279">
        <f>RES_BA!R150</f>
        <v>0</v>
      </c>
      <c r="O1348" s="279">
        <f>RES_BA!S150</f>
        <v>0</v>
      </c>
      <c r="Q1348" s="279">
        <f>RES_BA!T150</f>
        <v>0</v>
      </c>
      <c r="S1348" s="279">
        <f>RES_BA!U150</f>
        <v>0</v>
      </c>
    </row>
    <row r="1349" spans="3:19" s="277" customFormat="1" hidden="1" outlineLevel="1" x14ac:dyDescent="0.3">
      <c r="C1349" s="283" t="str">
        <f>RES_BA!D151</f>
        <v>Equipment Category 22</v>
      </c>
      <c r="M1349" s="279">
        <f>RES_BA!R151</f>
        <v>0</v>
      </c>
      <c r="O1349" s="279">
        <f>RES_BA!S151</f>
        <v>0</v>
      </c>
      <c r="Q1349" s="279">
        <f>RES_BA!T151</f>
        <v>0</v>
      </c>
      <c r="S1349" s="279">
        <f>RES_BA!U151</f>
        <v>0</v>
      </c>
    </row>
    <row r="1350" spans="3:19" s="277" customFormat="1" hidden="1" outlineLevel="1" x14ac:dyDescent="0.3">
      <c r="C1350" s="283" t="str">
        <f>RES_BA!D152</f>
        <v>Equipment Category 23</v>
      </c>
      <c r="M1350" s="279">
        <f>RES_BA!R152</f>
        <v>0</v>
      </c>
      <c r="O1350" s="279">
        <f>RES_BA!S152</f>
        <v>0</v>
      </c>
      <c r="Q1350" s="279">
        <f>RES_BA!T152</f>
        <v>0</v>
      </c>
      <c r="S1350" s="279">
        <f>RES_BA!U152</f>
        <v>0</v>
      </c>
    </row>
    <row r="1351" spans="3:19" s="277" customFormat="1" hidden="1" outlineLevel="1" collapsed="1" x14ac:dyDescent="0.3">
      <c r="C1351" s="283" t="str">
        <f>RES_BA!D153</f>
        <v>Equipment Category 24</v>
      </c>
      <c r="M1351" s="279">
        <f>RES_BA!R153</f>
        <v>0</v>
      </c>
      <c r="O1351" s="279">
        <f>RES_BA!S153</f>
        <v>0</v>
      </c>
      <c r="Q1351" s="279">
        <f>RES_BA!T153</f>
        <v>0</v>
      </c>
      <c r="S1351" s="279">
        <f>RES_BA!U153</f>
        <v>0</v>
      </c>
    </row>
    <row r="1352" spans="3:19" s="277" customFormat="1" hidden="1" outlineLevel="1" x14ac:dyDescent="0.3">
      <c r="C1352" s="283" t="str">
        <f>RES_BA!D154</f>
        <v>Equipment Category 25</v>
      </c>
      <c r="M1352" s="279">
        <f>RES_BA!R154</f>
        <v>0</v>
      </c>
      <c r="O1352" s="279">
        <f>RES_BA!S154</f>
        <v>0</v>
      </c>
      <c r="Q1352" s="279">
        <f>RES_BA!T154</f>
        <v>0</v>
      </c>
      <c r="S1352" s="279">
        <f>RES_BA!U154</f>
        <v>0</v>
      </c>
    </row>
    <row r="1353" spans="3:19" s="277" customFormat="1" hidden="1" outlineLevel="1" x14ac:dyDescent="0.3">
      <c r="C1353" s="283" t="str">
        <f>RES_BA!D155</f>
        <v>Equipment Category 26</v>
      </c>
      <c r="M1353" s="279">
        <f>RES_BA!R155</f>
        <v>0</v>
      </c>
      <c r="O1353" s="279">
        <f>RES_BA!S155</f>
        <v>0</v>
      </c>
      <c r="Q1353" s="279">
        <f>RES_BA!T155</f>
        <v>0</v>
      </c>
      <c r="S1353" s="279">
        <f>RES_BA!U155</f>
        <v>0</v>
      </c>
    </row>
    <row r="1354" spans="3:19" s="277" customFormat="1" hidden="1" outlineLevel="1" x14ac:dyDescent="0.3">
      <c r="C1354" s="283" t="str">
        <f>RES_BA!D156</f>
        <v>Equipment Category 27</v>
      </c>
      <c r="M1354" s="279">
        <f>RES_BA!R156</f>
        <v>0</v>
      </c>
      <c r="O1354" s="279">
        <f>RES_BA!S156</f>
        <v>0</v>
      </c>
      <c r="Q1354" s="279">
        <f>RES_BA!T156</f>
        <v>0</v>
      </c>
      <c r="S1354" s="279">
        <f>RES_BA!U156</f>
        <v>0</v>
      </c>
    </row>
    <row r="1355" spans="3:19" s="277" customFormat="1" hidden="1" outlineLevel="1" x14ac:dyDescent="0.3">
      <c r="C1355" s="283" t="str">
        <f>RES_BA!D157</f>
        <v>Equipment Category 28</v>
      </c>
      <c r="M1355" s="279">
        <f>RES_BA!R157</f>
        <v>0</v>
      </c>
      <c r="O1355" s="279">
        <f>RES_BA!S157</f>
        <v>0</v>
      </c>
      <c r="Q1355" s="279">
        <f>RES_BA!T157</f>
        <v>0</v>
      </c>
      <c r="S1355" s="279">
        <f>RES_BA!U157</f>
        <v>0</v>
      </c>
    </row>
    <row r="1356" spans="3:19" s="277" customFormat="1" hidden="1" outlineLevel="1" x14ac:dyDescent="0.3">
      <c r="C1356" s="283" t="str">
        <f>RES_BA!D158</f>
        <v>Equipment Category 29</v>
      </c>
      <c r="M1356" s="279">
        <f>RES_BA!R158</f>
        <v>0</v>
      </c>
      <c r="O1356" s="279">
        <f>RES_BA!S158</f>
        <v>0</v>
      </c>
      <c r="Q1356" s="279">
        <f>RES_BA!T158</f>
        <v>0</v>
      </c>
      <c r="S1356" s="279">
        <f>RES_BA!U158</f>
        <v>0</v>
      </c>
    </row>
    <row r="1357" spans="3:19" s="277" customFormat="1" hidden="1" outlineLevel="1" x14ac:dyDescent="0.3">
      <c r="C1357" s="283" t="str">
        <f>RES_BA!D159</f>
        <v>Equipment Category 30</v>
      </c>
      <c r="M1357" s="279">
        <f>RES_BA!R159</f>
        <v>0</v>
      </c>
      <c r="O1357" s="279">
        <f>RES_BA!S159</f>
        <v>0</v>
      </c>
      <c r="Q1357" s="279">
        <f>RES_BA!T159</f>
        <v>0</v>
      </c>
      <c r="S1357" s="279">
        <f>RES_BA!U159</f>
        <v>0</v>
      </c>
    </row>
    <row r="1358" spans="3:19" s="277" customFormat="1" hidden="1" outlineLevel="1" x14ac:dyDescent="0.3">
      <c r="C1358" s="283" t="str">
        <f>RES_BA!D160</f>
        <v>Equipment Category 31</v>
      </c>
      <c r="M1358" s="279">
        <f>RES_BA!R160</f>
        <v>0</v>
      </c>
      <c r="O1358" s="279">
        <f>RES_BA!S160</f>
        <v>0</v>
      </c>
      <c r="Q1358" s="279">
        <f>RES_BA!T160</f>
        <v>0</v>
      </c>
      <c r="S1358" s="279">
        <f>RES_BA!U160</f>
        <v>0</v>
      </c>
    </row>
    <row r="1359" spans="3:19" s="277" customFormat="1" hidden="1" outlineLevel="1" x14ac:dyDescent="0.3">
      <c r="C1359" s="283" t="str">
        <f>RES_BA!D161</f>
        <v>Equipment Category 32</v>
      </c>
      <c r="M1359" s="279">
        <f>RES_BA!R161</f>
        <v>0</v>
      </c>
      <c r="O1359" s="279">
        <f>RES_BA!S161</f>
        <v>0</v>
      </c>
      <c r="Q1359" s="279">
        <f>RES_BA!T161</f>
        <v>0</v>
      </c>
      <c r="S1359" s="279">
        <f>RES_BA!U161</f>
        <v>0</v>
      </c>
    </row>
    <row r="1360" spans="3:19" s="277" customFormat="1" hidden="1" outlineLevel="1" x14ac:dyDescent="0.3">
      <c r="C1360" s="283" t="str">
        <f>RES_BA!D162</f>
        <v>Equipment Category 33</v>
      </c>
      <c r="M1360" s="279">
        <f>RES_BA!R162</f>
        <v>0</v>
      </c>
      <c r="O1360" s="279">
        <f>RES_BA!S162</f>
        <v>0</v>
      </c>
      <c r="Q1360" s="279">
        <f>RES_BA!T162</f>
        <v>0</v>
      </c>
      <c r="S1360" s="279">
        <f>RES_BA!U162</f>
        <v>0</v>
      </c>
    </row>
    <row r="1361" spans="3:19" s="277" customFormat="1" hidden="1" outlineLevel="1" collapsed="1" x14ac:dyDescent="0.3">
      <c r="C1361" s="283" t="str">
        <f>RES_BA!D163</f>
        <v>Equipment Category 34</v>
      </c>
      <c r="M1361" s="279">
        <f>RES_BA!R163</f>
        <v>0</v>
      </c>
      <c r="O1361" s="279">
        <f>RES_BA!S163</f>
        <v>0</v>
      </c>
      <c r="Q1361" s="279">
        <f>RES_BA!T163</f>
        <v>0</v>
      </c>
      <c r="S1361" s="279">
        <f>RES_BA!U163</f>
        <v>0</v>
      </c>
    </row>
    <row r="1362" spans="3:19" s="277" customFormat="1" hidden="1" outlineLevel="1" x14ac:dyDescent="0.3">
      <c r="C1362" s="283" t="str">
        <f>RES_BA!D164</f>
        <v>Equipment Category 35</v>
      </c>
      <c r="M1362" s="279">
        <f>RES_BA!R164</f>
        <v>0</v>
      </c>
      <c r="O1362" s="279">
        <f>RES_BA!S164</f>
        <v>0</v>
      </c>
      <c r="Q1362" s="279">
        <f>RES_BA!T164</f>
        <v>0</v>
      </c>
      <c r="S1362" s="279">
        <f>RES_BA!U164</f>
        <v>0</v>
      </c>
    </row>
    <row r="1363" spans="3:19" hidden="1" outlineLevel="1" x14ac:dyDescent="0.3"/>
    <row r="1364" spans="3:19" hidden="1" outlineLevel="1" x14ac:dyDescent="0.3"/>
    <row r="1365" spans="3:19" hidden="1" outlineLevel="1" x14ac:dyDescent="0.3">
      <c r="M1365" s="40" t="str">
        <f>$D$1210</f>
        <v>USD</v>
      </c>
      <c r="O1365" s="40" t="str">
        <f>$D$1210</f>
        <v>USD</v>
      </c>
      <c r="Q1365" s="40" t="str">
        <f>$D$1211</f>
        <v>GOZ</v>
      </c>
      <c r="S1365" s="40" t="str">
        <f>$D$1211</f>
        <v>GOZ</v>
      </c>
    </row>
    <row r="1366" spans="3:19" hidden="1" outlineLevel="1" x14ac:dyDescent="0.3">
      <c r="C1366" s="89" t="str">
        <f>RES_BA!D169</f>
        <v>Other Direct Costs Category 1</v>
      </c>
      <c r="M1366" s="40">
        <f>RES_BA!R169</f>
        <v>0</v>
      </c>
      <c r="O1366" s="40">
        <f>RES_BA!S169</f>
        <v>0</v>
      </c>
      <c r="Q1366" s="40">
        <f>RES_BA!T169</f>
        <v>0</v>
      </c>
      <c r="S1366" s="40">
        <f>RES_BA!U169</f>
        <v>0</v>
      </c>
    </row>
    <row r="1367" spans="3:19" hidden="1" outlineLevel="1" x14ac:dyDescent="0.3">
      <c r="C1367" s="89" t="str">
        <f>RES_BA!D170</f>
        <v>Other Direct Costs Category 2</v>
      </c>
      <c r="M1367" s="40">
        <f>RES_BA!R170</f>
        <v>0</v>
      </c>
      <c r="O1367" s="40">
        <f>RES_BA!S170</f>
        <v>0</v>
      </c>
      <c r="Q1367" s="40">
        <f>RES_BA!T170</f>
        <v>0</v>
      </c>
      <c r="S1367" s="40">
        <f>RES_BA!U170</f>
        <v>0</v>
      </c>
    </row>
    <row r="1368" spans="3:19" hidden="1" outlineLevel="1" x14ac:dyDescent="0.3">
      <c r="C1368" s="89" t="str">
        <f>RES_BA!D171</f>
        <v>Other Direct Costs Category 3</v>
      </c>
      <c r="M1368" s="40">
        <f>RES_BA!R171</f>
        <v>0</v>
      </c>
      <c r="O1368" s="40">
        <f>RES_BA!S171</f>
        <v>0</v>
      </c>
      <c r="Q1368" s="40">
        <f>RES_BA!T171</f>
        <v>0</v>
      </c>
      <c r="S1368" s="40">
        <f>RES_BA!U171</f>
        <v>0</v>
      </c>
    </row>
    <row r="1369" spans="3:19" hidden="1" outlineLevel="1" collapsed="1" x14ac:dyDescent="0.3">
      <c r="C1369" s="289" t="str">
        <f>RES_BA!D172</f>
        <v>Other Direct Costs Category 4</v>
      </c>
      <c r="M1369" s="290">
        <f>RES_BA!R172</f>
        <v>0</v>
      </c>
      <c r="O1369" s="290">
        <f>RES_BA!S172</f>
        <v>0</v>
      </c>
      <c r="Q1369" s="290">
        <f>RES_BA!T172</f>
        <v>0</v>
      </c>
      <c r="S1369" s="290">
        <f>RES_BA!U172</f>
        <v>0</v>
      </c>
    </row>
    <row r="1370" spans="3:19" hidden="1" outlineLevel="1" x14ac:dyDescent="0.3">
      <c r="C1370" s="289" t="str">
        <f>RES_BA!D173</f>
        <v>Other Direct Costs Category 5</v>
      </c>
      <c r="M1370" s="290">
        <f>RES_BA!R173</f>
        <v>0</v>
      </c>
      <c r="O1370" s="290">
        <f>RES_BA!S173</f>
        <v>0</v>
      </c>
      <c r="Q1370" s="290">
        <f>RES_BA!T173</f>
        <v>0</v>
      </c>
      <c r="S1370" s="290">
        <f>RES_BA!U173</f>
        <v>0</v>
      </c>
    </row>
    <row r="1371" spans="3:19" hidden="1" outlineLevel="1" x14ac:dyDescent="0.3">
      <c r="C1371" s="289" t="str">
        <f>RES_BA!D174</f>
        <v>Other Direct Costs Category 6</v>
      </c>
      <c r="M1371" s="290">
        <f>RES_BA!R174</f>
        <v>0</v>
      </c>
      <c r="O1371" s="290">
        <f>RES_BA!S174</f>
        <v>0</v>
      </c>
      <c r="Q1371" s="290">
        <f>RES_BA!T174</f>
        <v>0</v>
      </c>
      <c r="S1371" s="290">
        <f>RES_BA!U174</f>
        <v>0</v>
      </c>
    </row>
    <row r="1372" spans="3:19" hidden="1" outlineLevel="1" x14ac:dyDescent="0.3">
      <c r="C1372" s="289" t="str">
        <f>RES_BA!D175</f>
        <v>Other Direct Costs Category 7</v>
      </c>
      <c r="M1372" s="290">
        <f>RES_BA!R175</f>
        <v>0</v>
      </c>
      <c r="O1372" s="290">
        <f>RES_BA!S175</f>
        <v>0</v>
      </c>
      <c r="Q1372" s="290">
        <f>RES_BA!T175</f>
        <v>0</v>
      </c>
      <c r="S1372" s="290">
        <f>RES_BA!U175</f>
        <v>0</v>
      </c>
    </row>
    <row r="1373" spans="3:19" hidden="1" outlineLevel="1" x14ac:dyDescent="0.3">
      <c r="C1373" s="289" t="str">
        <f>RES_BA!D176</f>
        <v>Other Direct Costs Category 8</v>
      </c>
      <c r="M1373" s="290">
        <f>RES_BA!R176</f>
        <v>0</v>
      </c>
      <c r="O1373" s="290">
        <f>RES_BA!S176</f>
        <v>0</v>
      </c>
      <c r="Q1373" s="290">
        <f>RES_BA!T176</f>
        <v>0</v>
      </c>
      <c r="S1373" s="290">
        <f>RES_BA!U176</f>
        <v>0</v>
      </c>
    </row>
    <row r="1374" spans="3:19" hidden="1" outlineLevel="1" x14ac:dyDescent="0.3">
      <c r="C1374" s="289" t="str">
        <f>RES_BA!D177</f>
        <v>Other Direct Costs Category 9</v>
      </c>
      <c r="M1374" s="290">
        <f>RES_BA!R177</f>
        <v>0</v>
      </c>
      <c r="O1374" s="290">
        <f>RES_BA!S177</f>
        <v>0</v>
      </c>
      <c r="Q1374" s="290">
        <f>RES_BA!T177</f>
        <v>0</v>
      </c>
      <c r="S1374" s="290">
        <f>RES_BA!U177</f>
        <v>0</v>
      </c>
    </row>
    <row r="1375" spans="3:19" hidden="1" outlineLevel="1" x14ac:dyDescent="0.3">
      <c r="C1375" s="289" t="str">
        <f>RES_BA!D178</f>
        <v>Other Direct Costs Category 10</v>
      </c>
      <c r="M1375" s="290">
        <f>RES_BA!R178</f>
        <v>0</v>
      </c>
      <c r="O1375" s="290">
        <f>RES_BA!S178</f>
        <v>0</v>
      </c>
      <c r="Q1375" s="290">
        <f>RES_BA!T178</f>
        <v>0</v>
      </c>
      <c r="S1375" s="290">
        <f>RES_BA!U178</f>
        <v>0</v>
      </c>
    </row>
    <row r="1376" spans="3:19" hidden="1" outlineLevel="1" x14ac:dyDescent="0.3">
      <c r="C1376" s="289" t="str">
        <f>RES_BA!D179</f>
        <v>Other Direct Costs Category 11</v>
      </c>
      <c r="M1376" s="290">
        <f>RES_BA!R179</f>
        <v>0</v>
      </c>
      <c r="O1376" s="290">
        <f>RES_BA!S179</f>
        <v>0</v>
      </c>
      <c r="Q1376" s="290">
        <f>RES_BA!T179</f>
        <v>0</v>
      </c>
      <c r="S1376" s="290">
        <f>RES_BA!U179</f>
        <v>0</v>
      </c>
    </row>
    <row r="1377" spans="3:19" s="277" customFormat="1" hidden="1" outlineLevel="1" collapsed="1" x14ac:dyDescent="0.3">
      <c r="C1377" s="283" t="str">
        <f>RES_BA!D180</f>
        <v>Other Direct Costs Category 12</v>
      </c>
      <c r="M1377" s="279">
        <f>RES_BA!R180</f>
        <v>0</v>
      </c>
      <c r="O1377" s="279">
        <f>RES_BA!S180</f>
        <v>0</v>
      </c>
      <c r="Q1377" s="279">
        <f>RES_BA!T180</f>
        <v>0</v>
      </c>
      <c r="S1377" s="279">
        <f>RES_BA!U180</f>
        <v>0</v>
      </c>
    </row>
    <row r="1378" spans="3:19" s="277" customFormat="1" hidden="1" outlineLevel="1" x14ac:dyDescent="0.3">
      <c r="C1378" s="283" t="str">
        <f>RES_BA!D181</f>
        <v>Other Direct Costs Category 13</v>
      </c>
      <c r="M1378" s="279">
        <f>RES_BA!R181</f>
        <v>0</v>
      </c>
      <c r="O1378" s="279">
        <f>RES_BA!S181</f>
        <v>0</v>
      </c>
      <c r="Q1378" s="279">
        <f>RES_BA!T181</f>
        <v>0</v>
      </c>
      <c r="S1378" s="279">
        <f>RES_BA!U181</f>
        <v>0</v>
      </c>
    </row>
    <row r="1379" spans="3:19" s="277" customFormat="1" hidden="1" outlineLevel="1" x14ac:dyDescent="0.3">
      <c r="C1379" s="283" t="str">
        <f>RES_BA!D182</f>
        <v>Other Direct Costs Category 14</v>
      </c>
      <c r="M1379" s="279">
        <f>RES_BA!R182</f>
        <v>0</v>
      </c>
      <c r="O1379" s="279">
        <f>RES_BA!S182</f>
        <v>0</v>
      </c>
      <c r="Q1379" s="279">
        <f>RES_BA!T182</f>
        <v>0</v>
      </c>
      <c r="S1379" s="279">
        <f>RES_BA!U182</f>
        <v>0</v>
      </c>
    </row>
    <row r="1380" spans="3:19" s="277" customFormat="1" hidden="1" outlineLevel="1" x14ac:dyDescent="0.3">
      <c r="C1380" s="283" t="str">
        <f>RES_BA!D183</f>
        <v>Other Direct Costs Category 15</v>
      </c>
      <c r="M1380" s="279">
        <f>RES_BA!R183</f>
        <v>0</v>
      </c>
      <c r="O1380" s="279">
        <f>RES_BA!S183</f>
        <v>0</v>
      </c>
      <c r="Q1380" s="279">
        <f>RES_BA!T183</f>
        <v>0</v>
      </c>
      <c r="S1380" s="279">
        <f>RES_BA!U183</f>
        <v>0</v>
      </c>
    </row>
    <row r="1381" spans="3:19" s="277" customFormat="1" hidden="1" outlineLevel="1" x14ac:dyDescent="0.3">
      <c r="C1381" s="283" t="str">
        <f>RES_BA!D184</f>
        <v>Other Direct Costs Category 16</v>
      </c>
      <c r="M1381" s="279">
        <f>RES_BA!R184</f>
        <v>0</v>
      </c>
      <c r="O1381" s="279">
        <f>RES_BA!S184</f>
        <v>0</v>
      </c>
      <c r="Q1381" s="279">
        <f>RES_BA!T184</f>
        <v>0</v>
      </c>
      <c r="S1381" s="279">
        <f>RES_BA!U184</f>
        <v>0</v>
      </c>
    </row>
    <row r="1382" spans="3:19" s="277" customFormat="1" hidden="1" outlineLevel="1" x14ac:dyDescent="0.3">
      <c r="C1382" s="283" t="str">
        <f>RES_BA!D185</f>
        <v>Other Direct Costs Category 17</v>
      </c>
      <c r="M1382" s="279">
        <f>RES_BA!R185</f>
        <v>0</v>
      </c>
      <c r="O1382" s="279">
        <f>RES_BA!S185</f>
        <v>0</v>
      </c>
      <c r="Q1382" s="279">
        <f>RES_BA!T185</f>
        <v>0</v>
      </c>
      <c r="S1382" s="279">
        <f>RES_BA!U185</f>
        <v>0</v>
      </c>
    </row>
    <row r="1383" spans="3:19" s="277" customFormat="1" hidden="1" outlineLevel="1" x14ac:dyDescent="0.3">
      <c r="C1383" s="283" t="str">
        <f>RES_BA!D186</f>
        <v>Other Direct Costs Category 18</v>
      </c>
      <c r="M1383" s="279">
        <f>RES_BA!R186</f>
        <v>0</v>
      </c>
      <c r="O1383" s="279">
        <f>RES_BA!S186</f>
        <v>0</v>
      </c>
      <c r="Q1383" s="279">
        <f>RES_BA!T186</f>
        <v>0</v>
      </c>
      <c r="S1383" s="279">
        <f>RES_BA!U186</f>
        <v>0</v>
      </c>
    </row>
    <row r="1384" spans="3:19" s="277" customFormat="1" hidden="1" outlineLevel="1" x14ac:dyDescent="0.3">
      <c r="C1384" s="283" t="str">
        <f>RES_BA!D187</f>
        <v>Other Direct Costs Category 19</v>
      </c>
      <c r="M1384" s="279">
        <f>RES_BA!R187</f>
        <v>0</v>
      </c>
      <c r="O1384" s="279">
        <f>RES_BA!S187</f>
        <v>0</v>
      </c>
      <c r="Q1384" s="279">
        <f>RES_BA!T187</f>
        <v>0</v>
      </c>
      <c r="S1384" s="279">
        <f>RES_BA!U187</f>
        <v>0</v>
      </c>
    </row>
    <row r="1385" spans="3:19" s="277" customFormat="1" hidden="1" outlineLevel="1" x14ac:dyDescent="0.3">
      <c r="C1385" s="283" t="str">
        <f>RES_BA!D188</f>
        <v>Other Direct Costs Category 20</v>
      </c>
      <c r="M1385" s="279">
        <f>RES_BA!R188</f>
        <v>0</v>
      </c>
      <c r="O1385" s="279">
        <f>RES_BA!S188</f>
        <v>0</v>
      </c>
      <c r="Q1385" s="279">
        <f>RES_BA!T188</f>
        <v>0</v>
      </c>
      <c r="S1385" s="279">
        <f>RES_BA!U188</f>
        <v>0</v>
      </c>
    </row>
    <row r="1386" spans="3:19" s="277" customFormat="1" hidden="1" outlineLevel="1" x14ac:dyDescent="0.3">
      <c r="C1386" s="283" t="str">
        <f>RES_BA!D189</f>
        <v>Other Direct Costs Category 21</v>
      </c>
      <c r="M1386" s="279">
        <f>RES_BA!R189</f>
        <v>0</v>
      </c>
      <c r="O1386" s="279">
        <f>RES_BA!S189</f>
        <v>0</v>
      </c>
      <c r="Q1386" s="279">
        <f>RES_BA!T189</f>
        <v>0</v>
      </c>
      <c r="S1386" s="279">
        <f>RES_BA!U189</f>
        <v>0</v>
      </c>
    </row>
    <row r="1387" spans="3:19" hidden="1" outlineLevel="1" x14ac:dyDescent="0.3">
      <c r="C1387" s="289" t="str">
        <f>RES_BA!D190</f>
        <v>Other Direct Costs Category 22</v>
      </c>
      <c r="M1387" s="290">
        <f>RES_BA!R190</f>
        <v>0</v>
      </c>
      <c r="O1387" s="290">
        <f>RES_BA!S190</f>
        <v>0</v>
      </c>
      <c r="Q1387" s="290">
        <f>RES_BA!T190</f>
        <v>0</v>
      </c>
      <c r="S1387" s="290">
        <f>RES_BA!U190</f>
        <v>0</v>
      </c>
    </row>
    <row r="1388" spans="3:19" hidden="1" outlineLevel="1" x14ac:dyDescent="0.3">
      <c r="C1388" s="289" t="str">
        <f>RES_BA!D191</f>
        <v>Other Direct Costs Category 23</v>
      </c>
      <c r="M1388" s="290">
        <f>RES_BA!R191</f>
        <v>0</v>
      </c>
      <c r="O1388" s="290">
        <f>RES_BA!S191</f>
        <v>0</v>
      </c>
      <c r="Q1388" s="290">
        <f>RES_BA!T191</f>
        <v>0</v>
      </c>
      <c r="S1388" s="290">
        <f>RES_BA!U191</f>
        <v>0</v>
      </c>
    </row>
    <row r="1389" spans="3:19" hidden="1" outlineLevel="1" collapsed="1" x14ac:dyDescent="0.3">
      <c r="C1389" s="289" t="str">
        <f>RES_BA!D192</f>
        <v>Other Direct Costs Category 24</v>
      </c>
      <c r="M1389" s="290">
        <f>RES_BA!R192</f>
        <v>0</v>
      </c>
      <c r="O1389" s="290">
        <f>RES_BA!S192</f>
        <v>0</v>
      </c>
      <c r="Q1389" s="290">
        <f>RES_BA!T192</f>
        <v>0</v>
      </c>
      <c r="S1389" s="290">
        <f>RES_BA!U192</f>
        <v>0</v>
      </c>
    </row>
    <row r="1390" spans="3:19" hidden="1" outlineLevel="1" x14ac:dyDescent="0.3">
      <c r="C1390" s="289" t="str">
        <f>RES_BA!D193</f>
        <v>Other Direct Costs Category 25</v>
      </c>
      <c r="M1390" s="290">
        <f>RES_BA!R193</f>
        <v>0</v>
      </c>
      <c r="O1390" s="290">
        <f>RES_BA!S193</f>
        <v>0</v>
      </c>
      <c r="Q1390" s="290">
        <f>RES_BA!T193</f>
        <v>0</v>
      </c>
      <c r="S1390" s="290">
        <f>RES_BA!U193</f>
        <v>0</v>
      </c>
    </row>
    <row r="1391" spans="3:19" hidden="1" outlineLevel="1" x14ac:dyDescent="0.3">
      <c r="C1391" s="289" t="str">
        <f>RES_BA!D194</f>
        <v>Other Direct Costs Category 26</v>
      </c>
      <c r="M1391" s="290">
        <f>RES_BA!R194</f>
        <v>0</v>
      </c>
      <c r="O1391" s="290">
        <f>RES_BA!S194</f>
        <v>0</v>
      </c>
      <c r="Q1391" s="290">
        <f>RES_BA!T194</f>
        <v>0</v>
      </c>
      <c r="S1391" s="290">
        <f>RES_BA!U194</f>
        <v>0</v>
      </c>
    </row>
    <row r="1392" spans="3:19" hidden="1" outlineLevel="1" x14ac:dyDescent="0.3">
      <c r="C1392" s="289" t="str">
        <f>RES_BA!D195</f>
        <v>Other Direct Costs Category 27</v>
      </c>
      <c r="M1392" s="290">
        <f>RES_BA!R195</f>
        <v>0</v>
      </c>
      <c r="O1392" s="290">
        <f>RES_BA!S195</f>
        <v>0</v>
      </c>
      <c r="Q1392" s="290">
        <f>RES_BA!T195</f>
        <v>0</v>
      </c>
      <c r="S1392" s="290">
        <f>RES_BA!U195</f>
        <v>0</v>
      </c>
    </row>
    <row r="1393" spans="3:19" hidden="1" outlineLevel="1" x14ac:dyDescent="0.3">
      <c r="C1393" s="289" t="str">
        <f>RES_BA!D196</f>
        <v>Other Direct Costs Category 28</v>
      </c>
      <c r="M1393" s="290">
        <f>RES_BA!R196</f>
        <v>0</v>
      </c>
      <c r="O1393" s="290">
        <f>RES_BA!S196</f>
        <v>0</v>
      </c>
      <c r="Q1393" s="290">
        <f>RES_BA!T196</f>
        <v>0</v>
      </c>
      <c r="S1393" s="290">
        <f>RES_BA!U196</f>
        <v>0</v>
      </c>
    </row>
    <row r="1394" spans="3:19" hidden="1" outlineLevel="1" x14ac:dyDescent="0.3">
      <c r="C1394" s="289" t="str">
        <f>RES_BA!D197</f>
        <v>Other Direct Costs Category 29</v>
      </c>
      <c r="M1394" s="290">
        <f>RES_BA!R197</f>
        <v>0</v>
      </c>
      <c r="O1394" s="290">
        <f>RES_BA!S197</f>
        <v>0</v>
      </c>
      <c r="Q1394" s="290">
        <f>RES_BA!T197</f>
        <v>0</v>
      </c>
      <c r="S1394" s="290">
        <f>RES_BA!U197</f>
        <v>0</v>
      </c>
    </row>
    <row r="1395" spans="3:19" hidden="1" outlineLevel="1" x14ac:dyDescent="0.3">
      <c r="C1395" s="289" t="str">
        <f>RES_BA!D198</f>
        <v>Other Direct Costs Category 30</v>
      </c>
      <c r="M1395" s="290">
        <f>RES_BA!R198</f>
        <v>0</v>
      </c>
      <c r="O1395" s="290">
        <f>RES_BA!S198</f>
        <v>0</v>
      </c>
      <c r="Q1395" s="290">
        <f>RES_BA!T198</f>
        <v>0</v>
      </c>
      <c r="S1395" s="290">
        <f>RES_BA!U198</f>
        <v>0</v>
      </c>
    </row>
    <row r="1396" spans="3:19" hidden="1" outlineLevel="1" x14ac:dyDescent="0.3">
      <c r="C1396" s="289" t="str">
        <f>RES_BA!D199</f>
        <v>Other Direct Costs Category 31</v>
      </c>
      <c r="M1396" s="290">
        <f>RES_BA!R199</f>
        <v>0</v>
      </c>
      <c r="O1396" s="290">
        <f>RES_BA!S199</f>
        <v>0</v>
      </c>
      <c r="Q1396" s="290">
        <f>RES_BA!T199</f>
        <v>0</v>
      </c>
      <c r="S1396" s="290">
        <f>RES_BA!U199</f>
        <v>0</v>
      </c>
    </row>
    <row r="1397" spans="3:19" hidden="1" outlineLevel="1" x14ac:dyDescent="0.3">
      <c r="C1397" s="289" t="str">
        <f>RES_BA!D200</f>
        <v>Other Direct Costs Category 32</v>
      </c>
      <c r="M1397" s="290">
        <f>RES_BA!R200</f>
        <v>0</v>
      </c>
      <c r="O1397" s="290">
        <f>RES_BA!S200</f>
        <v>0</v>
      </c>
      <c r="Q1397" s="290">
        <f>RES_BA!T200</f>
        <v>0</v>
      </c>
      <c r="S1397" s="290">
        <f>RES_BA!U200</f>
        <v>0</v>
      </c>
    </row>
    <row r="1398" spans="3:19" hidden="1" outlineLevel="1" x14ac:dyDescent="0.3">
      <c r="C1398" s="289" t="str">
        <f>RES_BA!D201</f>
        <v>Other Direct Costs Category 33</v>
      </c>
      <c r="M1398" s="290">
        <f>RES_BA!R201</f>
        <v>0</v>
      </c>
      <c r="O1398" s="290">
        <f>RES_BA!S201</f>
        <v>0</v>
      </c>
      <c r="Q1398" s="290">
        <f>RES_BA!T201</f>
        <v>0</v>
      </c>
      <c r="S1398" s="290">
        <f>RES_BA!U201</f>
        <v>0</v>
      </c>
    </row>
    <row r="1399" spans="3:19" hidden="1" outlineLevel="1" x14ac:dyDescent="0.3">
      <c r="C1399" s="289" t="str">
        <f>RES_BA!D202</f>
        <v>Other Direct Costs Category 34</v>
      </c>
      <c r="M1399" s="290">
        <f>RES_BA!R202</f>
        <v>0</v>
      </c>
      <c r="O1399" s="290">
        <f>RES_BA!S202</f>
        <v>0</v>
      </c>
      <c r="Q1399" s="290">
        <f>RES_BA!T202</f>
        <v>0</v>
      </c>
      <c r="S1399" s="290">
        <f>RES_BA!U202</f>
        <v>0</v>
      </c>
    </row>
    <row r="1400" spans="3:19" hidden="1" outlineLevel="1" x14ac:dyDescent="0.3">
      <c r="C1400" s="289" t="str">
        <f>RES_BA!D203</f>
        <v>Other Direct Costs Category 35</v>
      </c>
      <c r="M1400" s="290">
        <f>RES_BA!R203</f>
        <v>0</v>
      </c>
      <c r="O1400" s="290">
        <f>RES_BA!S203</f>
        <v>0</v>
      </c>
      <c r="Q1400" s="290">
        <f>RES_BA!T203</f>
        <v>0</v>
      </c>
      <c r="S1400" s="290">
        <f>RES_BA!U203</f>
        <v>0</v>
      </c>
    </row>
    <row r="1401" spans="3:19" collapsed="1" x14ac:dyDescent="0.3"/>
  </sheetData>
  <sheetProtection algorithmName="SHA-512" hashValue="HXgHfS82PNNREsGCsLKtdCOqJnJl4FJgWQmudGFFYNIv5ux3T8WZfypzaSfTF9/HUlfDY535UPtzYMwEN3RWvQ==" saltValue="WXtbBxp6iFVISdWdbRDu5A==" spinCount="100000" sheet="1" objects="1" scenarios="1" formatColumns="0" formatRows="0"/>
  <mergeCells count="1053">
    <mergeCell ref="D1201:G1201"/>
    <mergeCell ref="D1202:G1202"/>
    <mergeCell ref="U1183:X1183"/>
    <mergeCell ref="U1184:X1184"/>
    <mergeCell ref="U1185:X1185"/>
    <mergeCell ref="U1186:X1186"/>
    <mergeCell ref="U1187:X1187"/>
    <mergeCell ref="U1188:X1188"/>
    <mergeCell ref="U1189:X1189"/>
    <mergeCell ref="U1190:X1190"/>
    <mergeCell ref="U1191:X1191"/>
    <mergeCell ref="U1192:X1192"/>
    <mergeCell ref="U1193:X1193"/>
    <mergeCell ref="U1194:X1194"/>
    <mergeCell ref="U1195:X1195"/>
    <mergeCell ref="U1196:X1196"/>
    <mergeCell ref="U1197:X1197"/>
    <mergeCell ref="U1198:X1198"/>
    <mergeCell ref="U1199:X1199"/>
    <mergeCell ref="U1200:X1200"/>
    <mergeCell ref="U1201:X1201"/>
    <mergeCell ref="U1202:X1202"/>
    <mergeCell ref="D1192:G1192"/>
    <mergeCell ref="D1193:G1193"/>
    <mergeCell ref="D1194:G1194"/>
    <mergeCell ref="D1195:G1195"/>
    <mergeCell ref="D1196:G1196"/>
    <mergeCell ref="D1197:G1197"/>
    <mergeCell ref="D1198:G1198"/>
    <mergeCell ref="D1199:G1199"/>
    <mergeCell ref="D1200:G1200"/>
    <mergeCell ref="D1183:G1183"/>
    <mergeCell ref="D1187:G1187"/>
    <mergeCell ref="D1188:G1188"/>
    <mergeCell ref="D1189:G1189"/>
    <mergeCell ref="D1190:G1190"/>
    <mergeCell ref="D1191:G1191"/>
    <mergeCell ref="U1135:X1135"/>
    <mergeCell ref="U1136:X1136"/>
    <mergeCell ref="U1137:X1137"/>
    <mergeCell ref="U1138:X1138"/>
    <mergeCell ref="U1139:X1139"/>
    <mergeCell ref="U1140:X1140"/>
    <mergeCell ref="U1141:X1141"/>
    <mergeCell ref="U1142:X1142"/>
    <mergeCell ref="U1143:X1143"/>
    <mergeCell ref="U1169:X1169"/>
    <mergeCell ref="U1170:X1170"/>
    <mergeCell ref="U1171:X1171"/>
    <mergeCell ref="U1172:X1172"/>
    <mergeCell ref="D1139:G1139"/>
    <mergeCell ref="D1140:G1140"/>
    <mergeCell ref="D1141:G1141"/>
    <mergeCell ref="D1168:G1168"/>
    <mergeCell ref="D1169:G1169"/>
    <mergeCell ref="D1170:G1170"/>
    <mergeCell ref="D1171:G1171"/>
    <mergeCell ref="D1172:G1172"/>
    <mergeCell ref="U1150:X1150"/>
    <mergeCell ref="U1151:X1151"/>
    <mergeCell ref="U1152:X1152"/>
    <mergeCell ref="U1159:X1159"/>
    <mergeCell ref="U1160:X1160"/>
    <mergeCell ref="U1161:X1161"/>
    <mergeCell ref="D1130:G1130"/>
    <mergeCell ref="D1131:G1131"/>
    <mergeCell ref="D1132:G1132"/>
    <mergeCell ref="D1133:G1133"/>
    <mergeCell ref="D1134:G1134"/>
    <mergeCell ref="D1135:G1135"/>
    <mergeCell ref="D1136:G1136"/>
    <mergeCell ref="D1137:G1137"/>
    <mergeCell ref="D1138:G1138"/>
    <mergeCell ref="D1184:G1184"/>
    <mergeCell ref="D1185:G1185"/>
    <mergeCell ref="D1186:G1186"/>
    <mergeCell ref="D1158:G1158"/>
    <mergeCell ref="D1154:G1154"/>
    <mergeCell ref="D1155:G1155"/>
    <mergeCell ref="D1156:G1156"/>
    <mergeCell ref="D1157:G1157"/>
    <mergeCell ref="U1162:X1162"/>
    <mergeCell ref="U1163:X1163"/>
    <mergeCell ref="U1164:X1164"/>
    <mergeCell ref="U1165:X1165"/>
    <mergeCell ref="U1166:X1166"/>
    <mergeCell ref="U1167:X1167"/>
    <mergeCell ref="U1168:X1168"/>
    <mergeCell ref="D1159:G1159"/>
    <mergeCell ref="D1160:G1160"/>
    <mergeCell ref="D1161:G1161"/>
    <mergeCell ref="D1162:G1162"/>
    <mergeCell ref="D1163:G1163"/>
    <mergeCell ref="D1164:G1164"/>
    <mergeCell ref="D1165:G1165"/>
    <mergeCell ref="D1166:G1166"/>
    <mergeCell ref="D1167:G1167"/>
    <mergeCell ref="U1104:X1104"/>
    <mergeCell ref="U1105:X1105"/>
    <mergeCell ref="U1106:X1106"/>
    <mergeCell ref="U1107:X1107"/>
    <mergeCell ref="U1108:X1108"/>
    <mergeCell ref="U1109:X1109"/>
    <mergeCell ref="U1110:X1110"/>
    <mergeCell ref="U1111:X1111"/>
    <mergeCell ref="U1112:X1112"/>
    <mergeCell ref="D1104:G1104"/>
    <mergeCell ref="D1105:G1105"/>
    <mergeCell ref="D1106:G1106"/>
    <mergeCell ref="D1107:G1107"/>
    <mergeCell ref="D1108:G1108"/>
    <mergeCell ref="D1109:G1109"/>
    <mergeCell ref="D1110:G1110"/>
    <mergeCell ref="D1111:G1111"/>
    <mergeCell ref="D1112:G1112"/>
    <mergeCell ref="D1101:G1101"/>
    <mergeCell ref="D1102:G1102"/>
    <mergeCell ref="D1103:G1103"/>
    <mergeCell ref="U1096:X1096"/>
    <mergeCell ref="U1097:X1097"/>
    <mergeCell ref="U1098:X1098"/>
    <mergeCell ref="U1099:X1099"/>
    <mergeCell ref="U1100:X1100"/>
    <mergeCell ref="U1101:X1101"/>
    <mergeCell ref="U1102:X1102"/>
    <mergeCell ref="U1103:X1103"/>
    <mergeCell ref="D1084:G1084"/>
    <mergeCell ref="U1087:X1087"/>
    <mergeCell ref="D1088:G1088"/>
    <mergeCell ref="U1088:X1088"/>
    <mergeCell ref="D1089:G1089"/>
    <mergeCell ref="U1089:X1089"/>
    <mergeCell ref="D1093:G1093"/>
    <mergeCell ref="U1093:X1093"/>
    <mergeCell ref="D1094:G1094"/>
    <mergeCell ref="U1094:X1094"/>
    <mergeCell ref="D1095:G1095"/>
    <mergeCell ref="U1095:X1095"/>
    <mergeCell ref="D1090:G1090"/>
    <mergeCell ref="U1090:X1090"/>
    <mergeCell ref="D1091:G1091"/>
    <mergeCell ref="U1091:X1091"/>
    <mergeCell ref="D1092:G1092"/>
    <mergeCell ref="U1092:X1092"/>
    <mergeCell ref="D1096:G1096"/>
    <mergeCell ref="D1097:G1097"/>
    <mergeCell ref="D1098:G1098"/>
    <mergeCell ref="U851:X851"/>
    <mergeCell ref="U852:X852"/>
    <mergeCell ref="U853:X853"/>
    <mergeCell ref="D1067:G1067"/>
    <mergeCell ref="D1068:G1068"/>
    <mergeCell ref="D1069:G1069"/>
    <mergeCell ref="D1070:G1070"/>
    <mergeCell ref="D1071:G1071"/>
    <mergeCell ref="D1072:G1072"/>
    <mergeCell ref="U1067:X1067"/>
    <mergeCell ref="U1068:X1068"/>
    <mergeCell ref="U1069:X1069"/>
    <mergeCell ref="U1070:X1070"/>
    <mergeCell ref="U1071:X1071"/>
    <mergeCell ref="U1072:X1072"/>
    <mergeCell ref="D862:G862"/>
    <mergeCell ref="D861:G861"/>
    <mergeCell ref="D1061:G1061"/>
    <mergeCell ref="U1061:X1061"/>
    <mergeCell ref="D1062:G1062"/>
    <mergeCell ref="U1062:X1062"/>
    <mergeCell ref="D1063:G1063"/>
    <mergeCell ref="U1063:X1063"/>
    <mergeCell ref="D1064:G1064"/>
    <mergeCell ref="U1064:X1064"/>
    <mergeCell ref="D1065:G1065"/>
    <mergeCell ref="U1065:X1065"/>
    <mergeCell ref="D1066:G1066"/>
    <mergeCell ref="U1066:X1066"/>
    <mergeCell ref="D1073:G1073"/>
    <mergeCell ref="D847:G847"/>
    <mergeCell ref="D848:G848"/>
    <mergeCell ref="D849:G849"/>
    <mergeCell ref="D850:G850"/>
    <mergeCell ref="D851:G851"/>
    <mergeCell ref="D852:G852"/>
    <mergeCell ref="D853:G853"/>
    <mergeCell ref="U834:X834"/>
    <mergeCell ref="U835:X835"/>
    <mergeCell ref="U836:X836"/>
    <mergeCell ref="U837:X837"/>
    <mergeCell ref="U838:X838"/>
    <mergeCell ref="U839:X839"/>
    <mergeCell ref="U840:X840"/>
    <mergeCell ref="U841:X841"/>
    <mergeCell ref="U842:X842"/>
    <mergeCell ref="U843:X843"/>
    <mergeCell ref="U844:X844"/>
    <mergeCell ref="U845:X845"/>
    <mergeCell ref="U846:X846"/>
    <mergeCell ref="U847:X847"/>
    <mergeCell ref="U848:X848"/>
    <mergeCell ref="U849:X849"/>
    <mergeCell ref="U850:X850"/>
    <mergeCell ref="D838:G838"/>
    <mergeCell ref="D839:G839"/>
    <mergeCell ref="D840:G840"/>
    <mergeCell ref="D841:G841"/>
    <mergeCell ref="D842:G842"/>
    <mergeCell ref="D843:G843"/>
    <mergeCell ref="D844:G844"/>
    <mergeCell ref="D845:G845"/>
    <mergeCell ref="D817:G817"/>
    <mergeCell ref="D818:G818"/>
    <mergeCell ref="D819:G819"/>
    <mergeCell ref="D820:G820"/>
    <mergeCell ref="D821:G821"/>
    <mergeCell ref="D779:G779"/>
    <mergeCell ref="D780:G780"/>
    <mergeCell ref="D781:G781"/>
    <mergeCell ref="D782:G782"/>
    <mergeCell ref="D783:G783"/>
    <mergeCell ref="D784:G784"/>
    <mergeCell ref="D785:G785"/>
    <mergeCell ref="D786:G786"/>
    <mergeCell ref="D787:G787"/>
    <mergeCell ref="D788:G788"/>
    <mergeCell ref="D846:G846"/>
    <mergeCell ref="U790:X790"/>
    <mergeCell ref="U791:X791"/>
    <mergeCell ref="U792:X792"/>
    <mergeCell ref="U793:X793"/>
    <mergeCell ref="U794:X794"/>
    <mergeCell ref="D834:G834"/>
    <mergeCell ref="D835:G835"/>
    <mergeCell ref="D836:G836"/>
    <mergeCell ref="D837:G837"/>
    <mergeCell ref="U781:X781"/>
    <mergeCell ref="U782:X782"/>
    <mergeCell ref="U783:X783"/>
    <mergeCell ref="U784:X784"/>
    <mergeCell ref="U785:X785"/>
    <mergeCell ref="U786:X786"/>
    <mergeCell ref="U787:X787"/>
    <mergeCell ref="D762:G762"/>
    <mergeCell ref="D763:G763"/>
    <mergeCell ref="D772:G772"/>
    <mergeCell ref="D773:G773"/>
    <mergeCell ref="D774:G774"/>
    <mergeCell ref="D775:G775"/>
    <mergeCell ref="D776:G776"/>
    <mergeCell ref="D777:G777"/>
    <mergeCell ref="D778:G778"/>
    <mergeCell ref="D822:G822"/>
    <mergeCell ref="D823:G823"/>
    <mergeCell ref="U801:X801"/>
    <mergeCell ref="U802:X802"/>
    <mergeCell ref="U803:X803"/>
    <mergeCell ref="U804:X804"/>
    <mergeCell ref="U805:X805"/>
    <mergeCell ref="U806:X806"/>
    <mergeCell ref="U807:X807"/>
    <mergeCell ref="U808:X808"/>
    <mergeCell ref="U809:X809"/>
    <mergeCell ref="U810:X810"/>
    <mergeCell ref="U811:X811"/>
    <mergeCell ref="U812:X812"/>
    <mergeCell ref="U813:X813"/>
    <mergeCell ref="U814:X814"/>
    <mergeCell ref="U815:X815"/>
    <mergeCell ref="U816:X816"/>
    <mergeCell ref="U820:X820"/>
    <mergeCell ref="U821:X821"/>
    <mergeCell ref="U822:X822"/>
    <mergeCell ref="U823:X823"/>
    <mergeCell ref="D816:G816"/>
    <mergeCell ref="D801:G801"/>
    <mergeCell ref="D802:G802"/>
    <mergeCell ref="D803:G803"/>
    <mergeCell ref="D804:G804"/>
    <mergeCell ref="D805:G805"/>
    <mergeCell ref="D806:G806"/>
    <mergeCell ref="D789:G789"/>
    <mergeCell ref="D790:G790"/>
    <mergeCell ref="D791:G791"/>
    <mergeCell ref="D792:G792"/>
    <mergeCell ref="D793:G793"/>
    <mergeCell ref="D794:G794"/>
    <mergeCell ref="U772:X772"/>
    <mergeCell ref="U773:X773"/>
    <mergeCell ref="U774:X774"/>
    <mergeCell ref="U775:X775"/>
    <mergeCell ref="U776:X776"/>
    <mergeCell ref="U777:X777"/>
    <mergeCell ref="U778:X778"/>
    <mergeCell ref="U779:X779"/>
    <mergeCell ref="U780:X780"/>
    <mergeCell ref="U788:X788"/>
    <mergeCell ref="U789:X789"/>
    <mergeCell ref="D749:G749"/>
    <mergeCell ref="D750:G750"/>
    <mergeCell ref="U747:X747"/>
    <mergeCell ref="U748:X748"/>
    <mergeCell ref="U749:X749"/>
    <mergeCell ref="U750:X750"/>
    <mergeCell ref="D730:G730"/>
    <mergeCell ref="D731:G731"/>
    <mergeCell ref="D732:G732"/>
    <mergeCell ref="D759:G759"/>
    <mergeCell ref="D760:G760"/>
    <mergeCell ref="U751:X751"/>
    <mergeCell ref="D740:G740"/>
    <mergeCell ref="U740:X740"/>
    <mergeCell ref="D741:G741"/>
    <mergeCell ref="U741:X741"/>
    <mergeCell ref="U761:X761"/>
    <mergeCell ref="D761:G761"/>
    <mergeCell ref="D739:G739"/>
    <mergeCell ref="U739:X739"/>
    <mergeCell ref="D733:G733"/>
    <mergeCell ref="D734:G734"/>
    <mergeCell ref="D747:G747"/>
    <mergeCell ref="D748:G748"/>
    <mergeCell ref="D441:G441"/>
    <mergeCell ref="D442:G442"/>
    <mergeCell ref="D443:G443"/>
    <mergeCell ref="D444:G444"/>
    <mergeCell ref="D445:G445"/>
    <mergeCell ref="U441:X441"/>
    <mergeCell ref="U442:X442"/>
    <mergeCell ref="U443:X443"/>
    <mergeCell ref="U444:X444"/>
    <mergeCell ref="U445:X445"/>
    <mergeCell ref="D499:G499"/>
    <mergeCell ref="D500:G500"/>
    <mergeCell ref="D501:G501"/>
    <mergeCell ref="D502:G502"/>
    <mergeCell ref="D503:G503"/>
    <mergeCell ref="D504:G504"/>
    <mergeCell ref="U485:X485"/>
    <mergeCell ref="U486:X486"/>
    <mergeCell ref="U487:X487"/>
    <mergeCell ref="U488:X488"/>
    <mergeCell ref="U489:X489"/>
    <mergeCell ref="U490:X490"/>
    <mergeCell ref="U491:X491"/>
    <mergeCell ref="U492:X492"/>
    <mergeCell ref="U493:X493"/>
    <mergeCell ref="U494:X494"/>
    <mergeCell ref="U495:X495"/>
    <mergeCell ref="U496:X496"/>
    <mergeCell ref="U497:X497"/>
    <mergeCell ref="U498:X498"/>
    <mergeCell ref="U428:X428"/>
    <mergeCell ref="U499:X499"/>
    <mergeCell ref="U500:X500"/>
    <mergeCell ref="U501:X501"/>
    <mergeCell ref="U502:X502"/>
    <mergeCell ref="D490:G490"/>
    <mergeCell ref="D491:G491"/>
    <mergeCell ref="D492:G492"/>
    <mergeCell ref="D493:G493"/>
    <mergeCell ref="D494:G494"/>
    <mergeCell ref="D495:G495"/>
    <mergeCell ref="D496:G496"/>
    <mergeCell ref="D497:G497"/>
    <mergeCell ref="D498:G498"/>
    <mergeCell ref="U437:X437"/>
    <mergeCell ref="U438:X438"/>
    <mergeCell ref="U439:X439"/>
    <mergeCell ref="U440:X440"/>
    <mergeCell ref="D485:G485"/>
    <mergeCell ref="D486:G486"/>
    <mergeCell ref="D487:G487"/>
    <mergeCell ref="D488:G488"/>
    <mergeCell ref="D489:G489"/>
    <mergeCell ref="U470:X470"/>
    <mergeCell ref="U471:X471"/>
    <mergeCell ref="U472:X472"/>
    <mergeCell ref="U473:X473"/>
    <mergeCell ref="U474:X474"/>
    <mergeCell ref="D439:G439"/>
    <mergeCell ref="D440:G440"/>
    <mergeCell ref="D468:G468"/>
    <mergeCell ref="D469:G469"/>
    <mergeCell ref="D398:G398"/>
    <mergeCell ref="D399:G399"/>
    <mergeCell ref="D400:G400"/>
    <mergeCell ref="D401:G401"/>
    <mergeCell ref="D402:G402"/>
    <mergeCell ref="D403:G403"/>
    <mergeCell ref="D404:G404"/>
    <mergeCell ref="D405:G405"/>
    <mergeCell ref="D406:G406"/>
    <mergeCell ref="D407:G407"/>
    <mergeCell ref="D408:G408"/>
    <mergeCell ref="D409:G409"/>
    <mergeCell ref="D410:G410"/>
    <mergeCell ref="U464:X464"/>
    <mergeCell ref="U465:X465"/>
    <mergeCell ref="U466:X466"/>
    <mergeCell ref="U467:X467"/>
    <mergeCell ref="D422:G422"/>
    <mergeCell ref="D423:G423"/>
    <mergeCell ref="D424:G424"/>
    <mergeCell ref="D425:G425"/>
    <mergeCell ref="D426:G426"/>
    <mergeCell ref="D427:G427"/>
    <mergeCell ref="D428:G428"/>
    <mergeCell ref="D429:G429"/>
    <mergeCell ref="D430:G430"/>
    <mergeCell ref="D431:G431"/>
    <mergeCell ref="D432:G432"/>
    <mergeCell ref="D433:G433"/>
    <mergeCell ref="D434:G434"/>
    <mergeCell ref="D435:G435"/>
    <mergeCell ref="D436:G436"/>
    <mergeCell ref="U398:X398"/>
    <mergeCell ref="U399:X399"/>
    <mergeCell ref="U400:X400"/>
    <mergeCell ref="U401:X401"/>
    <mergeCell ref="U402:X402"/>
    <mergeCell ref="U403:X403"/>
    <mergeCell ref="U404:X404"/>
    <mergeCell ref="U405:X405"/>
    <mergeCell ref="U406:X406"/>
    <mergeCell ref="U407:X407"/>
    <mergeCell ref="U408:X408"/>
    <mergeCell ref="U409:X409"/>
    <mergeCell ref="U410:X410"/>
    <mergeCell ref="U411:X411"/>
    <mergeCell ref="U412:X412"/>
    <mergeCell ref="U413:X413"/>
    <mergeCell ref="U414:X414"/>
    <mergeCell ref="D385:G385"/>
    <mergeCell ref="U369:X369"/>
    <mergeCell ref="U370:X370"/>
    <mergeCell ref="U371:X371"/>
    <mergeCell ref="U372:X372"/>
    <mergeCell ref="U373:X373"/>
    <mergeCell ref="U374:X374"/>
    <mergeCell ref="U375:X375"/>
    <mergeCell ref="U376:X376"/>
    <mergeCell ref="U377:X377"/>
    <mergeCell ref="U378:X378"/>
    <mergeCell ref="U379:X379"/>
    <mergeCell ref="U380:X380"/>
    <mergeCell ref="U381:X381"/>
    <mergeCell ref="U382:X382"/>
    <mergeCell ref="U383:X383"/>
    <mergeCell ref="U384:X384"/>
    <mergeCell ref="U385:X385"/>
    <mergeCell ref="D384:G384"/>
    <mergeCell ref="D154:G154"/>
    <mergeCell ref="D155:G155"/>
    <mergeCell ref="U136:X136"/>
    <mergeCell ref="U137:X137"/>
    <mergeCell ref="U138:X138"/>
    <mergeCell ref="U139:X139"/>
    <mergeCell ref="U140:X140"/>
    <mergeCell ref="U141:X141"/>
    <mergeCell ref="U142:X142"/>
    <mergeCell ref="U143:X143"/>
    <mergeCell ref="U144:X144"/>
    <mergeCell ref="U145:X145"/>
    <mergeCell ref="U146:X146"/>
    <mergeCell ref="U147:X147"/>
    <mergeCell ref="U148:X148"/>
    <mergeCell ref="U149:X149"/>
    <mergeCell ref="U150:X150"/>
    <mergeCell ref="U151:X151"/>
    <mergeCell ref="U152:X152"/>
    <mergeCell ref="U153:X153"/>
    <mergeCell ref="U154:X154"/>
    <mergeCell ref="U155:X155"/>
    <mergeCell ref="D145:G145"/>
    <mergeCell ref="D146:G146"/>
    <mergeCell ref="D147:G147"/>
    <mergeCell ref="D148:G148"/>
    <mergeCell ref="D149:G149"/>
    <mergeCell ref="D150:G150"/>
    <mergeCell ref="D151:G151"/>
    <mergeCell ref="D152:G152"/>
    <mergeCell ref="D153:G153"/>
    <mergeCell ref="D136:G136"/>
    <mergeCell ref="D143:G143"/>
    <mergeCell ref="D144:G144"/>
    <mergeCell ref="U82:X82"/>
    <mergeCell ref="U83:X83"/>
    <mergeCell ref="U84:X84"/>
    <mergeCell ref="U85:X85"/>
    <mergeCell ref="U86:X86"/>
    <mergeCell ref="U87:X87"/>
    <mergeCell ref="U88:X88"/>
    <mergeCell ref="U89:X89"/>
    <mergeCell ref="U90:X90"/>
    <mergeCell ref="U124:X124"/>
    <mergeCell ref="U125:X125"/>
    <mergeCell ref="D85:G85"/>
    <mergeCell ref="D86:G86"/>
    <mergeCell ref="D87:G87"/>
    <mergeCell ref="D88:G88"/>
    <mergeCell ref="D89:G89"/>
    <mergeCell ref="D90:G90"/>
    <mergeCell ref="D91:G91"/>
    <mergeCell ref="D92:G92"/>
    <mergeCell ref="D93:G93"/>
    <mergeCell ref="D94:G94"/>
    <mergeCell ref="D95:G95"/>
    <mergeCell ref="D96:G96"/>
    <mergeCell ref="U91:X91"/>
    <mergeCell ref="U115:X115"/>
    <mergeCell ref="U116:X116"/>
    <mergeCell ref="U117:X117"/>
    <mergeCell ref="U118:X118"/>
    <mergeCell ref="U119:X119"/>
    <mergeCell ref="U120:X120"/>
    <mergeCell ref="U121:X121"/>
    <mergeCell ref="U122:X122"/>
    <mergeCell ref="U123:X123"/>
    <mergeCell ref="U60:X60"/>
    <mergeCell ref="U61:X61"/>
    <mergeCell ref="U62:X62"/>
    <mergeCell ref="U63:X63"/>
    <mergeCell ref="U64:X64"/>
    <mergeCell ref="U65:X65"/>
    <mergeCell ref="D137:G137"/>
    <mergeCell ref="D138:G138"/>
    <mergeCell ref="U104:X104"/>
    <mergeCell ref="U105:X105"/>
    <mergeCell ref="U106:X106"/>
    <mergeCell ref="U107:X107"/>
    <mergeCell ref="U108:X108"/>
    <mergeCell ref="U109:X109"/>
    <mergeCell ref="U110:X110"/>
    <mergeCell ref="U111:X111"/>
    <mergeCell ref="U112:X112"/>
    <mergeCell ref="U113:X113"/>
    <mergeCell ref="U114:X114"/>
    <mergeCell ref="U78:X78"/>
    <mergeCell ref="U79:X79"/>
    <mergeCell ref="U80:X80"/>
    <mergeCell ref="U81:X81"/>
    <mergeCell ref="D107:G107"/>
    <mergeCell ref="D108:G108"/>
    <mergeCell ref="U133:X133"/>
    <mergeCell ref="U134:X134"/>
    <mergeCell ref="D135:G135"/>
    <mergeCell ref="U135:X135"/>
    <mergeCell ref="D110:G110"/>
    <mergeCell ref="D111:G111"/>
    <mergeCell ref="D78:G78"/>
    <mergeCell ref="U103:X103"/>
    <mergeCell ref="U92:X92"/>
    <mergeCell ref="U93:X93"/>
    <mergeCell ref="U94:X94"/>
    <mergeCell ref="U95:X95"/>
    <mergeCell ref="U96:X96"/>
    <mergeCell ref="U51:X51"/>
    <mergeCell ref="U52:X52"/>
    <mergeCell ref="U53:X53"/>
    <mergeCell ref="U54:X54"/>
    <mergeCell ref="U55:X55"/>
    <mergeCell ref="U56:X56"/>
    <mergeCell ref="U57:X57"/>
    <mergeCell ref="U58:X58"/>
    <mergeCell ref="U59:X59"/>
    <mergeCell ref="U77:X77"/>
    <mergeCell ref="D60:G60"/>
    <mergeCell ref="D61:G61"/>
    <mergeCell ref="D62:G62"/>
    <mergeCell ref="D63:G63"/>
    <mergeCell ref="D64:G64"/>
    <mergeCell ref="D65:G65"/>
    <mergeCell ref="D52:G52"/>
    <mergeCell ref="D53:G53"/>
    <mergeCell ref="D21:G21"/>
    <mergeCell ref="D22:G22"/>
    <mergeCell ref="D23:G23"/>
    <mergeCell ref="D24:G24"/>
    <mergeCell ref="D25:G25"/>
    <mergeCell ref="D26:G26"/>
    <mergeCell ref="D27:G27"/>
    <mergeCell ref="D28:G28"/>
    <mergeCell ref="D29:G29"/>
    <mergeCell ref="D30:G30"/>
    <mergeCell ref="D31:G31"/>
    <mergeCell ref="D32:G32"/>
    <mergeCell ref="D109:G109"/>
    <mergeCell ref="D54:G54"/>
    <mergeCell ref="D55:G55"/>
    <mergeCell ref="D56:G56"/>
    <mergeCell ref="D57:G57"/>
    <mergeCell ref="D58:G58"/>
    <mergeCell ref="D59:G59"/>
    <mergeCell ref="D718:G718"/>
    <mergeCell ref="D719:G719"/>
    <mergeCell ref="D720:G720"/>
    <mergeCell ref="D721:G721"/>
    <mergeCell ref="D722:G722"/>
    <mergeCell ref="D723:G723"/>
    <mergeCell ref="D724:G724"/>
    <mergeCell ref="D725:G725"/>
    <mergeCell ref="D726:G726"/>
    <mergeCell ref="D727:G727"/>
    <mergeCell ref="D728:G728"/>
    <mergeCell ref="D79:G79"/>
    <mergeCell ref="D80:G80"/>
    <mergeCell ref="D81:G81"/>
    <mergeCell ref="D82:G82"/>
    <mergeCell ref="D83:G83"/>
    <mergeCell ref="D84:G84"/>
    <mergeCell ref="D104:G104"/>
    <mergeCell ref="D105:G105"/>
    <mergeCell ref="D106:G106"/>
    <mergeCell ref="D103:G103"/>
    <mergeCell ref="D139:G139"/>
    <mergeCell ref="D140:G140"/>
    <mergeCell ref="D141:G141"/>
    <mergeCell ref="D142:G142"/>
    <mergeCell ref="D134:G134"/>
    <mergeCell ref="D512:G512"/>
    <mergeCell ref="D513:G513"/>
    <mergeCell ref="D481:G481"/>
    <mergeCell ref="D484:G484"/>
    <mergeCell ref="D450:G450"/>
    <mergeCell ref="D415:G415"/>
    <mergeCell ref="D729:G729"/>
    <mergeCell ref="D369:G369"/>
    <mergeCell ref="D370:G370"/>
    <mergeCell ref="D371:G371"/>
    <mergeCell ref="D372:G372"/>
    <mergeCell ref="D373:G373"/>
    <mergeCell ref="D374:G374"/>
    <mergeCell ref="D375:G375"/>
    <mergeCell ref="D376:G376"/>
    <mergeCell ref="D377:G377"/>
    <mergeCell ref="D378:G378"/>
    <mergeCell ref="D379:G379"/>
    <mergeCell ref="D380:G380"/>
    <mergeCell ref="D381:G381"/>
    <mergeCell ref="D382:G382"/>
    <mergeCell ref="D383:G383"/>
    <mergeCell ref="D112:G112"/>
    <mergeCell ref="D113:G113"/>
    <mergeCell ref="D114:G114"/>
    <mergeCell ref="D115:G115"/>
    <mergeCell ref="D116:G116"/>
    <mergeCell ref="D117:G117"/>
    <mergeCell ref="D118:G118"/>
    <mergeCell ref="D119:G119"/>
    <mergeCell ref="D120:G120"/>
    <mergeCell ref="D121:G121"/>
    <mergeCell ref="D122:G122"/>
    <mergeCell ref="D123:G123"/>
    <mergeCell ref="D124:G124"/>
    <mergeCell ref="D125:G125"/>
    <mergeCell ref="D164:G164"/>
    <mergeCell ref="D133:G133"/>
    <mergeCell ref="B3:F3"/>
    <mergeCell ref="D156:G156"/>
    <mergeCell ref="D163:G163"/>
    <mergeCell ref="D126:G126"/>
    <mergeCell ref="D46:G46"/>
    <mergeCell ref="D17:G17"/>
    <mergeCell ref="U130:X130"/>
    <mergeCell ref="D131:G131"/>
    <mergeCell ref="U131:X131"/>
    <mergeCell ref="D132:G132"/>
    <mergeCell ref="U132:X132"/>
    <mergeCell ref="D97:G97"/>
    <mergeCell ref="U100:X100"/>
    <mergeCell ref="D101:G101"/>
    <mergeCell ref="U101:X101"/>
    <mergeCell ref="D102:G102"/>
    <mergeCell ref="U43:X43"/>
    <mergeCell ref="D44:G44"/>
    <mergeCell ref="U44:X44"/>
    <mergeCell ref="D45:G45"/>
    <mergeCell ref="U102:X102"/>
    <mergeCell ref="D66:G66"/>
    <mergeCell ref="U71:X71"/>
    <mergeCell ref="D72:G72"/>
    <mergeCell ref="U72:X72"/>
    <mergeCell ref="U76:X76"/>
    <mergeCell ref="D77:G77"/>
    <mergeCell ref="U50:X50"/>
    <mergeCell ref="I8:M8"/>
    <mergeCell ref="U11:X11"/>
    <mergeCell ref="D12:G12"/>
    <mergeCell ref="U12:X12"/>
    <mergeCell ref="D13:G13"/>
    <mergeCell ref="U13:X13"/>
    <mergeCell ref="U17:X17"/>
    <mergeCell ref="D18:G18"/>
    <mergeCell ref="U18:X18"/>
    <mergeCell ref="D14:G14"/>
    <mergeCell ref="U14:X14"/>
    <mergeCell ref="D15:G15"/>
    <mergeCell ref="U15:X15"/>
    <mergeCell ref="D16:G16"/>
    <mergeCell ref="D50:G50"/>
    <mergeCell ref="D51:G51"/>
    <mergeCell ref="D33:G33"/>
    <mergeCell ref="D34:G34"/>
    <mergeCell ref="D35:G35"/>
    <mergeCell ref="D36:G36"/>
    <mergeCell ref="U29:X29"/>
    <mergeCell ref="U30:X30"/>
    <mergeCell ref="U31:X31"/>
    <mergeCell ref="U32:X32"/>
    <mergeCell ref="U33:X33"/>
    <mergeCell ref="U34:X34"/>
    <mergeCell ref="U35:X35"/>
    <mergeCell ref="U36:X36"/>
    <mergeCell ref="D49:G49"/>
    <mergeCell ref="U49:X49"/>
    <mergeCell ref="U20:X20"/>
    <mergeCell ref="U21:X21"/>
    <mergeCell ref="U22:X22"/>
    <mergeCell ref="U23:X23"/>
    <mergeCell ref="U24:X24"/>
    <mergeCell ref="U25:X25"/>
    <mergeCell ref="U16:X16"/>
    <mergeCell ref="D19:G19"/>
    <mergeCell ref="U19:X19"/>
    <mergeCell ref="U45:X45"/>
    <mergeCell ref="D37:G37"/>
    <mergeCell ref="U40:X40"/>
    <mergeCell ref="D41:G41"/>
    <mergeCell ref="U41:X41"/>
    <mergeCell ref="D42:G42"/>
    <mergeCell ref="U42:X42"/>
    <mergeCell ref="U46:X46"/>
    <mergeCell ref="D47:G47"/>
    <mergeCell ref="U47:X47"/>
    <mergeCell ref="D48:G48"/>
    <mergeCell ref="U48:X48"/>
    <mergeCell ref="D43:G43"/>
    <mergeCell ref="U483:X483"/>
    <mergeCell ref="D451:G451"/>
    <mergeCell ref="U451:X451"/>
    <mergeCell ref="D475:G475"/>
    <mergeCell ref="U479:X479"/>
    <mergeCell ref="D480:G480"/>
    <mergeCell ref="U480:X480"/>
    <mergeCell ref="D76:G76"/>
    <mergeCell ref="U420:X420"/>
    <mergeCell ref="D421:G421"/>
    <mergeCell ref="U421:X421"/>
    <mergeCell ref="D446:G446"/>
    <mergeCell ref="U26:X26"/>
    <mergeCell ref="U27:X27"/>
    <mergeCell ref="U28:X28"/>
    <mergeCell ref="D20:G20"/>
    <mergeCell ref="D505:G505"/>
    <mergeCell ref="D471:G471"/>
    <mergeCell ref="D472:G472"/>
    <mergeCell ref="D473:G473"/>
    <mergeCell ref="D474:G474"/>
    <mergeCell ref="U453:X453"/>
    <mergeCell ref="U454:X454"/>
    <mergeCell ref="U455:X455"/>
    <mergeCell ref="U456:X456"/>
    <mergeCell ref="U457:X457"/>
    <mergeCell ref="U458:X458"/>
    <mergeCell ref="U459:X459"/>
    <mergeCell ref="U460:X460"/>
    <mergeCell ref="U461:X461"/>
    <mergeCell ref="U462:X462"/>
    <mergeCell ref="U463:X463"/>
    <mergeCell ref="U481:X481"/>
    <mergeCell ref="D482:G482"/>
    <mergeCell ref="U482:X482"/>
    <mergeCell ref="D483:G483"/>
    <mergeCell ref="U468:X468"/>
    <mergeCell ref="U469:X469"/>
    <mergeCell ref="D470:G470"/>
    <mergeCell ref="U503:X503"/>
    <mergeCell ref="U504:X504"/>
    <mergeCell ref="D411:G411"/>
    <mergeCell ref="D412:G412"/>
    <mergeCell ref="U484:X484"/>
    <mergeCell ref="D453:G453"/>
    <mergeCell ref="D454:G454"/>
    <mergeCell ref="D455:G455"/>
    <mergeCell ref="D456:G456"/>
    <mergeCell ref="D457:G457"/>
    <mergeCell ref="D458:G458"/>
    <mergeCell ref="D459:G459"/>
    <mergeCell ref="D460:G460"/>
    <mergeCell ref="D461:G461"/>
    <mergeCell ref="D462:G462"/>
    <mergeCell ref="D463:G463"/>
    <mergeCell ref="D464:G464"/>
    <mergeCell ref="D465:G465"/>
    <mergeCell ref="D466:G466"/>
    <mergeCell ref="D467:G467"/>
    <mergeCell ref="U429:X429"/>
    <mergeCell ref="U430:X430"/>
    <mergeCell ref="D413:G413"/>
    <mergeCell ref="D414:G414"/>
    <mergeCell ref="D437:G437"/>
    <mergeCell ref="D438:G438"/>
    <mergeCell ref="U449:X449"/>
    <mergeCell ref="U450:X450"/>
    <mergeCell ref="U422:X422"/>
    <mergeCell ref="U423:X423"/>
    <mergeCell ref="U424:X424"/>
    <mergeCell ref="U425:X425"/>
    <mergeCell ref="U426:X426"/>
    <mergeCell ref="U427:X427"/>
    <mergeCell ref="D832:G832"/>
    <mergeCell ref="U832:X832"/>
    <mergeCell ref="D833:G833"/>
    <mergeCell ref="U833:X833"/>
    <mergeCell ref="D854:G854"/>
    <mergeCell ref="D362:G362"/>
    <mergeCell ref="U362:X362"/>
    <mergeCell ref="D363:G363"/>
    <mergeCell ref="U363:X363"/>
    <mergeCell ref="D364:G364"/>
    <mergeCell ref="U364:X364"/>
    <mergeCell ref="D365:G365"/>
    <mergeCell ref="U365:X365"/>
    <mergeCell ref="D366:G366"/>
    <mergeCell ref="U366:X366"/>
    <mergeCell ref="D367:G367"/>
    <mergeCell ref="U367:X367"/>
    <mergeCell ref="D368:G368"/>
    <mergeCell ref="U368:X368"/>
    <mergeCell ref="D386:G386"/>
    <mergeCell ref="U389:X389"/>
    <mergeCell ref="D390:G390"/>
    <mergeCell ref="U390:X390"/>
    <mergeCell ref="D795:G795"/>
    <mergeCell ref="U798:X798"/>
    <mergeCell ref="D799:G799"/>
    <mergeCell ref="U799:X799"/>
    <mergeCell ref="D800:G800"/>
    <mergeCell ref="U800:X800"/>
    <mergeCell ref="D824:G824"/>
    <mergeCell ref="U828:X828"/>
    <mergeCell ref="D829:G829"/>
    <mergeCell ref="D830:G830"/>
    <mergeCell ref="U830:X830"/>
    <mergeCell ref="D831:G831"/>
    <mergeCell ref="U831:X831"/>
    <mergeCell ref="D807:G807"/>
    <mergeCell ref="D808:G808"/>
    <mergeCell ref="D809:G809"/>
    <mergeCell ref="D810:G810"/>
    <mergeCell ref="D811:G811"/>
    <mergeCell ref="D812:G812"/>
    <mergeCell ref="D813:G813"/>
    <mergeCell ref="D814:G814"/>
    <mergeCell ref="D815:G815"/>
    <mergeCell ref="D745:G745"/>
    <mergeCell ref="U745:X745"/>
    <mergeCell ref="D746:G746"/>
    <mergeCell ref="U746:X746"/>
    <mergeCell ref="D764:G764"/>
    <mergeCell ref="U769:X769"/>
    <mergeCell ref="D770:G770"/>
    <mergeCell ref="U770:X770"/>
    <mergeCell ref="D771:G771"/>
    <mergeCell ref="U771:X771"/>
    <mergeCell ref="D751:G751"/>
    <mergeCell ref="D752:G752"/>
    <mergeCell ref="D753:G753"/>
    <mergeCell ref="D754:G754"/>
    <mergeCell ref="D755:G755"/>
    <mergeCell ref="D756:G756"/>
    <mergeCell ref="D757:G757"/>
    <mergeCell ref="D758:G758"/>
    <mergeCell ref="U752:X752"/>
    <mergeCell ref="U718:X718"/>
    <mergeCell ref="U719:X719"/>
    <mergeCell ref="U720:X720"/>
    <mergeCell ref="U721:X721"/>
    <mergeCell ref="U722:X722"/>
    <mergeCell ref="U723:X723"/>
    <mergeCell ref="U724:X724"/>
    <mergeCell ref="U725:X725"/>
    <mergeCell ref="U726:X726"/>
    <mergeCell ref="U727:X727"/>
    <mergeCell ref="U728:X728"/>
    <mergeCell ref="U729:X729"/>
    <mergeCell ref="U829:X829"/>
    <mergeCell ref="U753:X753"/>
    <mergeCell ref="U754:X754"/>
    <mergeCell ref="U755:X755"/>
    <mergeCell ref="U756:X756"/>
    <mergeCell ref="U757:X757"/>
    <mergeCell ref="U758:X758"/>
    <mergeCell ref="U759:X759"/>
    <mergeCell ref="U760:X760"/>
    <mergeCell ref="U730:X730"/>
    <mergeCell ref="U731:X731"/>
    <mergeCell ref="U732:X732"/>
    <mergeCell ref="U733:X733"/>
    <mergeCell ref="U734:X734"/>
    <mergeCell ref="U762:X762"/>
    <mergeCell ref="U763:X763"/>
    <mergeCell ref="U817:X817"/>
    <mergeCell ref="U818:X818"/>
    <mergeCell ref="U819:X819"/>
    <mergeCell ref="I706:M706"/>
    <mergeCell ref="I1055:M1055"/>
    <mergeCell ref="U1058:X1058"/>
    <mergeCell ref="D1059:G1059"/>
    <mergeCell ref="U1059:X1059"/>
    <mergeCell ref="D1060:G1060"/>
    <mergeCell ref="U1060:X1060"/>
    <mergeCell ref="U709:X709"/>
    <mergeCell ref="D710:G710"/>
    <mergeCell ref="U710:X710"/>
    <mergeCell ref="D711:G711"/>
    <mergeCell ref="U711:X711"/>
    <mergeCell ref="D712:G712"/>
    <mergeCell ref="U712:X712"/>
    <mergeCell ref="D713:G713"/>
    <mergeCell ref="U713:X713"/>
    <mergeCell ref="D714:G714"/>
    <mergeCell ref="U714:X714"/>
    <mergeCell ref="D742:G742"/>
    <mergeCell ref="U742:X742"/>
    <mergeCell ref="D743:G743"/>
    <mergeCell ref="U743:X743"/>
    <mergeCell ref="D744:G744"/>
    <mergeCell ref="U744:X744"/>
    <mergeCell ref="D715:G715"/>
    <mergeCell ref="U715:X715"/>
    <mergeCell ref="D716:G716"/>
    <mergeCell ref="U716:X716"/>
    <mergeCell ref="D717:G717"/>
    <mergeCell ref="U717:X717"/>
    <mergeCell ref="D735:G735"/>
    <mergeCell ref="U738:X738"/>
    <mergeCell ref="D1074:G1074"/>
    <mergeCell ref="D1075:G1075"/>
    <mergeCell ref="D1076:G1076"/>
    <mergeCell ref="D1077:G1077"/>
    <mergeCell ref="D1078:G1078"/>
    <mergeCell ref="D1079:G1079"/>
    <mergeCell ref="D1080:G1080"/>
    <mergeCell ref="D1081:G1081"/>
    <mergeCell ref="D1082:G1082"/>
    <mergeCell ref="D1083:G1083"/>
    <mergeCell ref="U1073:X1073"/>
    <mergeCell ref="U1074:X1074"/>
    <mergeCell ref="U1075:X1075"/>
    <mergeCell ref="U1076:X1076"/>
    <mergeCell ref="U1077:X1077"/>
    <mergeCell ref="U1078:X1078"/>
    <mergeCell ref="U1079:X1079"/>
    <mergeCell ref="U1080:X1080"/>
    <mergeCell ref="U1081:X1081"/>
    <mergeCell ref="U1082:X1082"/>
    <mergeCell ref="U1083:X1083"/>
    <mergeCell ref="U1153:X1153"/>
    <mergeCell ref="U1148:X1148"/>
    <mergeCell ref="D1149:G1149"/>
    <mergeCell ref="U1149:X1149"/>
    <mergeCell ref="D1113:G1113"/>
    <mergeCell ref="U1118:X1118"/>
    <mergeCell ref="D1119:G1119"/>
    <mergeCell ref="U1119:X1119"/>
    <mergeCell ref="D1120:G1120"/>
    <mergeCell ref="U1120:X1120"/>
    <mergeCell ref="D1142:G1142"/>
    <mergeCell ref="D1143:G1143"/>
    <mergeCell ref="U1122:X1122"/>
    <mergeCell ref="U1123:X1123"/>
    <mergeCell ref="U1124:X1124"/>
    <mergeCell ref="U1125:X1125"/>
    <mergeCell ref="U1126:X1126"/>
    <mergeCell ref="U1127:X1127"/>
    <mergeCell ref="U1128:X1128"/>
    <mergeCell ref="U1129:X1129"/>
    <mergeCell ref="U1130:X1130"/>
    <mergeCell ref="U1131:X1131"/>
    <mergeCell ref="U1132:X1132"/>
    <mergeCell ref="U1133:X1133"/>
    <mergeCell ref="U1134:X1134"/>
    <mergeCell ref="D1152:G1152"/>
    <mergeCell ref="D1153:G1153"/>
    <mergeCell ref="D1125:G1125"/>
    <mergeCell ref="D1126:G1126"/>
    <mergeCell ref="D1127:G1127"/>
    <mergeCell ref="D1128:G1128"/>
    <mergeCell ref="D1129:G1129"/>
    <mergeCell ref="U1156:X1156"/>
    <mergeCell ref="U1157:X1157"/>
    <mergeCell ref="U1158:X1158"/>
    <mergeCell ref="D1122:G1122"/>
    <mergeCell ref="D1123:G1123"/>
    <mergeCell ref="D1124:G1124"/>
    <mergeCell ref="D396:G396"/>
    <mergeCell ref="U396:X396"/>
    <mergeCell ref="D1099:G1099"/>
    <mergeCell ref="D1100:G1100"/>
    <mergeCell ref="D1203:G1203"/>
    <mergeCell ref="D1210:G1210"/>
    <mergeCell ref="D1211:G1211"/>
    <mergeCell ref="D1121:G1121"/>
    <mergeCell ref="U1121:X1121"/>
    <mergeCell ref="D1180:G1180"/>
    <mergeCell ref="U1180:X1180"/>
    <mergeCell ref="D1181:G1181"/>
    <mergeCell ref="U1181:X1181"/>
    <mergeCell ref="D1182:G1182"/>
    <mergeCell ref="U1182:X1182"/>
    <mergeCell ref="D1173:G1173"/>
    <mergeCell ref="U1177:X1177"/>
    <mergeCell ref="D1178:G1178"/>
    <mergeCell ref="U1178:X1178"/>
    <mergeCell ref="D1179:G1179"/>
    <mergeCell ref="U1179:X1179"/>
    <mergeCell ref="D1144:G1144"/>
    <mergeCell ref="U1147:X1147"/>
    <mergeCell ref="D1148:G1148"/>
    <mergeCell ref="D1150:G1150"/>
    <mergeCell ref="D1151:G1151"/>
    <mergeCell ref="D397:G397"/>
    <mergeCell ref="U397:X397"/>
    <mergeCell ref="U1154:X1154"/>
    <mergeCell ref="U1155:X1155"/>
    <mergeCell ref="D452:G452"/>
    <mergeCell ref="U452:X452"/>
    <mergeCell ref="D73:G73"/>
    <mergeCell ref="U73:X73"/>
    <mergeCell ref="D74:G74"/>
    <mergeCell ref="U74:X74"/>
    <mergeCell ref="D75:G75"/>
    <mergeCell ref="U75:X75"/>
    <mergeCell ref="I357:M357"/>
    <mergeCell ref="U360:X360"/>
    <mergeCell ref="D361:G361"/>
    <mergeCell ref="U361:X361"/>
    <mergeCell ref="D391:G391"/>
    <mergeCell ref="U391:X391"/>
    <mergeCell ref="D392:G392"/>
    <mergeCell ref="U392:X392"/>
    <mergeCell ref="D393:G393"/>
    <mergeCell ref="U393:X393"/>
    <mergeCell ref="U431:X431"/>
    <mergeCell ref="U432:X432"/>
    <mergeCell ref="U433:X433"/>
    <mergeCell ref="U434:X434"/>
    <mergeCell ref="U435:X435"/>
    <mergeCell ref="U436:X436"/>
    <mergeCell ref="D394:G394"/>
    <mergeCell ref="U394:X394"/>
    <mergeCell ref="D395:G395"/>
    <mergeCell ref="U395:X395"/>
  </mergeCells>
  <dataValidations count="24">
    <dataValidation type="list" allowBlank="1" showInputMessage="1" showErrorMessage="1" sqref="D131:G135 D136:G155" xr:uid="{00000000-0002-0000-1400-000000000000}">
      <formula1>LU_ACT_14_ODCS</formula1>
    </dataValidation>
    <dataValidation type="list" allowBlank="1" showInputMessage="1" showErrorMessage="1" sqref="D101:G103 D104:G125" xr:uid="{00000000-0002-0000-1400-000001000000}">
      <formula1>LU_ACT_14_Equipment</formula1>
    </dataValidation>
    <dataValidation type="list" allowBlank="1" showInputMessage="1" showErrorMessage="1" sqref="D72:G77 D78:G96" xr:uid="{00000000-0002-0000-1400-000002000000}">
      <formula1>LU_ACT_14_Supplies</formula1>
    </dataValidation>
    <dataValidation type="list" allowBlank="1" showInputMessage="1" showErrorMessage="1" sqref="D41:G48 D49:G65" xr:uid="{00000000-0002-0000-1400-000003000000}">
      <formula1>LU_ACT_14_Allowances</formula1>
    </dataValidation>
    <dataValidation type="list" allowBlank="1" showInputMessage="1" showErrorMessage="1" sqref="D12:G19 D20:G36" xr:uid="{00000000-0002-0000-1400-000004000000}">
      <formula1>LU_ACT_14_Pers_Res</formula1>
    </dataValidation>
    <dataValidation type="list" allowBlank="1" showInputMessage="1" showErrorMessage="1" sqref="D480:G484 D485:G504" xr:uid="{00000000-0002-0000-1400-000006000000}">
      <formula1>LU_ACT_15_ODCS</formula1>
    </dataValidation>
    <dataValidation type="list" allowBlank="1" showInputMessage="1" showErrorMessage="1" sqref="D450:G452 D453:G474" xr:uid="{00000000-0002-0000-1400-000007000000}">
      <formula1>LU_ACT_15_Equipment</formula1>
    </dataValidation>
    <dataValidation type="list" allowBlank="1" showInputMessage="1" showErrorMessage="1" sqref="D421:G421 D422:G440 D441:G445" xr:uid="{00000000-0002-0000-1400-000008000000}">
      <formula1>LU_ACT_15_Supplies</formula1>
    </dataValidation>
    <dataValidation type="list" allowBlank="1" showInputMessage="1" showErrorMessage="1" sqref="D390:G397 D398:G414" xr:uid="{00000000-0002-0000-1400-000009000000}">
      <formula1>LU_ACT_15_Allowances</formula1>
    </dataValidation>
    <dataValidation type="list" allowBlank="1" showInputMessage="1" showErrorMessage="1" sqref="D361:G368 D369:G385" xr:uid="{00000000-0002-0000-1400-00000A000000}">
      <formula1>LU_ACT_15_Pers_Res</formula1>
    </dataValidation>
    <dataValidation type="list" allowBlank="1" showInputMessage="1" showErrorMessage="1" sqref="D829:G833 D834:G853" xr:uid="{00000000-0002-0000-1400-00000C000000}">
      <formula1>LU_ACT_16_ODCS</formula1>
    </dataValidation>
    <dataValidation type="list" allowBlank="1" showInputMessage="1" showErrorMessage="1" sqref="D799:G800 D801:G823" xr:uid="{00000000-0002-0000-1400-00000D000000}">
      <formula1>LU_ACT_16_Equipment</formula1>
    </dataValidation>
    <dataValidation type="list" allowBlank="1" showInputMessage="1" showErrorMessage="1" sqref="D770:G771 D772:G794" xr:uid="{00000000-0002-0000-1400-00000E000000}">
      <formula1>LU_ACT_16_Supplies</formula1>
    </dataValidation>
    <dataValidation type="list" allowBlank="1" showInputMessage="1" showErrorMessage="1" sqref="D739:G746 D747:G763" xr:uid="{00000000-0002-0000-1400-00000F000000}">
      <formula1>LU_ACT_16_Allowances</formula1>
    </dataValidation>
    <dataValidation type="list" allowBlank="1" showInputMessage="1" showErrorMessage="1" sqref="D710:G717 D718:G734" xr:uid="{00000000-0002-0000-1400-000010000000}">
      <formula1>LU_ACT_16_Pers_Res</formula1>
    </dataValidation>
    <dataValidation type="list" allowBlank="1" showInputMessage="1" showErrorMessage="1" sqref="D1059:G1066 D1067:G1083" xr:uid="{00000000-0002-0000-1400-000012000000}">
      <formula1>LU_ACT_24_Pers_Res</formula1>
    </dataValidation>
    <dataValidation type="list" allowBlank="1" showInputMessage="1" showErrorMessage="1" sqref="D1088:G1095 D1096:G1112" xr:uid="{00000000-0002-0000-1400-000013000000}">
      <formula1>LU_ACT_24_Allowances</formula1>
    </dataValidation>
    <dataValidation type="list" allowBlank="1" showInputMessage="1" showErrorMessage="1" sqref="D1119:G1121 D1122:G1143" xr:uid="{00000000-0002-0000-1400-000014000000}">
      <formula1>LU_ACT_24_Supplies</formula1>
    </dataValidation>
    <dataValidation type="list" allowBlank="1" showInputMessage="1" showErrorMessage="1" sqref="D1148:G1149 D1150:G1172" xr:uid="{00000000-0002-0000-1400-000015000000}">
      <formula1>LU_ACT_24_Equipment</formula1>
    </dataValidation>
    <dataValidation type="list" allowBlank="1" showInputMessage="1" showErrorMessage="1" sqref="D1178:G1182 D1183:G1202" xr:uid="{00000000-0002-0000-1400-000016000000}">
      <formula1>LU_ACT_24_ODCS</formula1>
    </dataValidation>
    <dataValidation type="whole" showDropDown="1" showErrorMessage="1" errorTitle="Drop Down Box Cell Link" error="The value in a drop down box cell link must be a whole number within the control's lookup range rows." sqref="I9" xr:uid="{97D4C3DC-FCC9-4C1B-87A7-9B19FEFB54A2}">
      <formula1>1</formula1>
      <formula2>ROWS(LU_ACT_14_Meet_Curr)</formula2>
    </dataValidation>
    <dataValidation type="whole" showDropDown="1" showErrorMessage="1" errorTitle="Drop Down Box Cell Link" error="The value in a drop down box cell link must be a whole number within the control's lookup range rows." sqref="I358" xr:uid="{B2729166-3C10-4B32-A9BB-6B4C102867B4}">
      <formula1>1</formula1>
      <formula2>ROWS(LU_ACT_15_Meet_Curr)</formula2>
    </dataValidation>
    <dataValidation type="whole" showDropDown="1" showErrorMessage="1" errorTitle="Drop Down Box Cell Link" error="The value in a drop down box cell link must be a whole number within the control's lookup range rows." sqref="I707" xr:uid="{69B9CA15-6323-4880-A5BB-B6D79538269C}">
      <formula1>1</formula1>
      <formula2>ROWS(LU_ACT_16_Meet_Curr)</formula2>
    </dataValidation>
    <dataValidation type="whole" showDropDown="1" showErrorMessage="1" errorTitle="Drop Down Box Cell Link" error="The value in a drop down box cell link must be a whole number within the control's lookup range rows." sqref="I1056" xr:uid="{7FD070BF-90BB-4F50-8AEF-43BAFC7C0673}">
      <formula1>1</formula1>
      <formula2>ROWS(LU_ACT_24_Meet_Curr)</formula2>
    </dataValidation>
  </dataValidations>
  <hyperlinks>
    <hyperlink ref="A4" location="$B$5" tooltip="Go to Top of Sheet" display="$B$5" xr:uid="{00000000-0004-0000-1400-000000000000}"/>
    <hyperlink ref="B4" location="HL_Sheet_Main_34" tooltip="Go to Previous Sheet" display="HL_Sheet_Main_34" xr:uid="{00000000-0004-0000-1400-000001000000}"/>
    <hyperlink ref="C4" location="HL_Sheet_Main_4" tooltip="Go to Next Sheet" display="HL_Sheet_Main_4" xr:uid="{00000000-0004-0000-1400-000002000000}"/>
    <hyperlink ref="B3" location="HL_Home" tooltip="Go to Table of Contents" display="HL_Home" xr:uid="{00000000-0004-0000-1400-000003000000}"/>
    <hyperlink ref="D4" location="HL_Err_Chk" tooltip="Go to Error Checks" display="HL_Err_Chk" xr:uid="{00000000-0004-0000-1400-000004000000}"/>
    <hyperlink ref="F4" location="HL_Alt_Chk" tooltip="Go to Alert Checks" display="HL_Alt_Chk" xr:uid="{00000000-0004-0000-14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pmDropDownACT_141">
              <controlPr defaultSize="0" autoFill="0" autoPict="0">
                <anchor moveWithCells="1">
                  <from>
                    <xdr:col>8</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76802" r:id="rId5" name="bpmDropDownACT_151">
              <controlPr defaultSize="0" autoFill="0" autoPict="0">
                <anchor moveWithCells="1">
                  <from>
                    <xdr:col>8</xdr:col>
                    <xdr:colOff>0</xdr:colOff>
                    <xdr:row>357</xdr:row>
                    <xdr:rowOff>0</xdr:rowOff>
                  </from>
                  <to>
                    <xdr:col>9</xdr:col>
                    <xdr:colOff>0</xdr:colOff>
                    <xdr:row>358</xdr:row>
                    <xdr:rowOff>0</xdr:rowOff>
                  </to>
                </anchor>
              </controlPr>
            </control>
          </mc:Choice>
        </mc:AlternateContent>
        <mc:AlternateContent xmlns:mc="http://schemas.openxmlformats.org/markup-compatibility/2006">
          <mc:Choice Requires="x14">
            <control shapeId="76803" r:id="rId6" name="bpmDropDownACT_161">
              <controlPr defaultSize="0" autoFill="0" autoPict="0">
                <anchor moveWithCells="1">
                  <from>
                    <xdr:col>8</xdr:col>
                    <xdr:colOff>0</xdr:colOff>
                    <xdr:row>706</xdr:row>
                    <xdr:rowOff>0</xdr:rowOff>
                  </from>
                  <to>
                    <xdr:col>9</xdr:col>
                    <xdr:colOff>0</xdr:colOff>
                    <xdr:row>707</xdr:row>
                    <xdr:rowOff>0</xdr:rowOff>
                  </to>
                </anchor>
              </controlPr>
            </control>
          </mc:Choice>
        </mc:AlternateContent>
        <mc:AlternateContent xmlns:mc="http://schemas.openxmlformats.org/markup-compatibility/2006">
          <mc:Choice Requires="x14">
            <control shapeId="76804" r:id="rId7" name="bpmDropDownACT_241">
              <controlPr defaultSize="0" autoFill="0" autoPict="0">
                <anchor moveWithCells="1">
                  <from>
                    <xdr:col>8</xdr:col>
                    <xdr:colOff>0</xdr:colOff>
                    <xdr:row>1055</xdr:row>
                    <xdr:rowOff>0</xdr:rowOff>
                  </from>
                  <to>
                    <xdr:col>9</xdr:col>
                    <xdr:colOff>0</xdr:colOff>
                    <xdr:row>1056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theme="9"/>
    <pageSetUpPr autoPageBreaks="0" fitToPage="1"/>
  </sheetPr>
  <dimension ref="C3:P27"/>
  <sheetViews>
    <sheetView showGridLines="0" zoomScaleNormal="100" workbookViewId="0"/>
  </sheetViews>
  <sheetFormatPr defaultColWidth="11.6640625" defaultRowHeight="13.8" x14ac:dyDescent="0.3"/>
  <cols>
    <col min="3" max="6" width="3.6640625" customWidth="1"/>
  </cols>
  <sheetData>
    <row r="3" spans="3:16" ht="14.4" x14ac:dyDescent="0.3">
      <c r="O3" s="125" t="s">
        <v>621</v>
      </c>
    </row>
    <row r="4" spans="3:16" ht="14.4" x14ac:dyDescent="0.3">
      <c r="N4" s="125" t="s">
        <v>606</v>
      </c>
      <c r="P4" s="125" t="s">
        <v>605</v>
      </c>
    </row>
    <row r="9" spans="3:16" ht="23.4" x14ac:dyDescent="0.3">
      <c r="C9" s="2" t="s">
        <v>526</v>
      </c>
    </row>
    <row r="10" spans="3:16" ht="21" x14ac:dyDescent="0.3">
      <c r="C10" s="10" t="s">
        <v>68</v>
      </c>
    </row>
    <row r="11" spans="3:16" ht="18" x14ac:dyDescent="0.3">
      <c r="C11" s="6" t="str">
        <f>Model_Name</f>
        <v>Oral Cholera Vaccine Activity-Based Costing</v>
      </c>
    </row>
    <row r="12" spans="3:16" x14ac:dyDescent="0.3">
      <c r="C12" s="331" t="s">
        <v>2</v>
      </c>
      <c r="D12" s="331"/>
      <c r="E12" s="331"/>
      <c r="F12" s="331"/>
      <c r="G12" s="331"/>
    </row>
    <row r="13" spans="3:16" x14ac:dyDescent="0.3">
      <c r="C13" s="8" t="s">
        <v>10</v>
      </c>
      <c r="D13" s="9" t="s">
        <v>11</v>
      </c>
    </row>
    <row r="16" spans="3:16" x14ac:dyDescent="0.3">
      <c r="O16" s="5" t="str">
        <f>"Go to "&amp;HL_Cost_per_Statistics</f>
        <v>Go to Cost per Statistics</v>
      </c>
    </row>
    <row r="17" spans="3:3" ht="14.4" x14ac:dyDescent="0.3">
      <c r="C17" s="3" t="s">
        <v>6</v>
      </c>
    </row>
    <row r="18" spans="3:3" ht="14.4" x14ac:dyDescent="0.3">
      <c r="C18" s="3" t="s">
        <v>650</v>
      </c>
    </row>
    <row r="19" spans="3:3" ht="14.4" x14ac:dyDescent="0.3">
      <c r="C19" s="3"/>
    </row>
    <row r="20" spans="3:3" ht="14.4" x14ac:dyDescent="0.3">
      <c r="C20" s="3"/>
    </row>
    <row r="21" spans="3:3" x14ac:dyDescent="0.3">
      <c r="C21" s="4" t="s">
        <v>614</v>
      </c>
    </row>
    <row r="22" spans="3:3" x14ac:dyDescent="0.3">
      <c r="C22" s="4" t="s">
        <v>615</v>
      </c>
    </row>
    <row r="23" spans="3:3" x14ac:dyDescent="0.3">
      <c r="C23" s="4" t="s">
        <v>616</v>
      </c>
    </row>
    <row r="24" spans="3:3" x14ac:dyDescent="0.3">
      <c r="C24" s="4" t="s">
        <v>617</v>
      </c>
    </row>
    <row r="25" spans="3:3" x14ac:dyDescent="0.3">
      <c r="C25" s="4" t="s">
        <v>620</v>
      </c>
    </row>
    <row r="26" spans="3:3" x14ac:dyDescent="0.3">
      <c r="C26" s="4" t="s">
        <v>619</v>
      </c>
    </row>
    <row r="27" spans="3:3" x14ac:dyDescent="0.3">
      <c r="C27" s="4" t="s">
        <v>618</v>
      </c>
    </row>
  </sheetData>
  <mergeCells count="1">
    <mergeCell ref="C12:G12"/>
  </mergeCells>
  <hyperlinks>
    <hyperlink ref="C13" location="HL_Sheet_Main_36" tooltip="Go to Previous Sheet" display="HL_Sheet_Main_36" xr:uid="{00000000-0004-0000-1500-000000000000}"/>
    <hyperlink ref="D13" location="HL_Sheet_Main_51" tooltip="Go to Next Sheet" display="HL_Sheet_Main_51" xr:uid="{00000000-0004-0000-1500-000001000000}"/>
    <hyperlink ref="O16" location="HL_Cost_per_Statistics" tooltip="Go to Cost per Statistics" display="HL_Cost_per_Statistics" xr:uid="{00000000-0004-0000-1500-000002000000}"/>
    <hyperlink ref="C12" location="HL_Home" tooltip="Go to Table of Contents" display="HL_Home" xr:uid="{00000000-0004-0000-15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pageSetUpPr autoPageBreaks="0"/>
  </sheetPr>
  <dimension ref="A1:R138"/>
  <sheetViews>
    <sheetView showGridLines="0" zoomScaleNormal="100" workbookViewId="0">
      <pane xSplit="1" ySplit="4" topLeftCell="B5" activePane="bottomRight" state="frozen"/>
      <selection activeCell="H63" sqref="H63:P63"/>
      <selection pane="topRight" activeCell="H63" sqref="H63:P63"/>
      <selection pane="bottomLeft" activeCell="H63" sqref="H63:P63"/>
      <selection pane="bottomRight" activeCell="L35" sqref="L35"/>
    </sheetView>
  </sheetViews>
  <sheetFormatPr defaultColWidth="11.6640625" defaultRowHeight="13.8" x14ac:dyDescent="0.3"/>
  <cols>
    <col min="1" max="5" width="3.6640625" customWidth="1"/>
  </cols>
  <sheetData>
    <row r="1" spans="1:18" ht="23.4" x14ac:dyDescent="0.3">
      <c r="B1" s="2" t="s">
        <v>369</v>
      </c>
    </row>
    <row r="2" spans="1:18" ht="18" x14ac:dyDescent="0.3">
      <c r="B2" s="6" t="str">
        <f>Model_Name</f>
        <v>Oral Cholera Vaccine Activity-Based Costing</v>
      </c>
    </row>
    <row r="3" spans="1:18" x14ac:dyDescent="0.3">
      <c r="B3" s="331" t="s">
        <v>2</v>
      </c>
      <c r="C3" s="331"/>
      <c r="D3" s="331"/>
      <c r="E3" s="331"/>
      <c r="F3" s="331"/>
    </row>
    <row r="4" spans="1:18" x14ac:dyDescent="0.3">
      <c r="A4" s="7" t="s">
        <v>5</v>
      </c>
      <c r="B4" s="8" t="s">
        <v>10</v>
      </c>
      <c r="C4" s="9" t="s">
        <v>11</v>
      </c>
      <c r="D4" s="38" t="s">
        <v>25</v>
      </c>
      <c r="F4" s="39" t="s">
        <v>26</v>
      </c>
    </row>
    <row r="7" spans="1:18" ht="18" x14ac:dyDescent="0.3">
      <c r="B7" s="49" t="s">
        <v>394</v>
      </c>
      <c r="J7" s="100" t="s">
        <v>384</v>
      </c>
      <c r="K7" s="433" t="s">
        <v>385</v>
      </c>
      <c r="L7" s="433"/>
      <c r="M7" s="59" t="s">
        <v>384</v>
      </c>
      <c r="N7" s="59" t="s">
        <v>385</v>
      </c>
      <c r="O7" s="59" t="s">
        <v>385</v>
      </c>
      <c r="P7" s="433" t="s">
        <v>391</v>
      </c>
      <c r="Q7" s="426"/>
    </row>
    <row r="8" spans="1:18" ht="14.4" x14ac:dyDescent="0.3">
      <c r="D8" s="101" t="s">
        <v>372</v>
      </c>
      <c r="I8" s="59" t="s">
        <v>379</v>
      </c>
      <c r="J8" s="59" t="s">
        <v>382</v>
      </c>
      <c r="K8" s="59" t="s">
        <v>382</v>
      </c>
      <c r="L8" s="59" t="s">
        <v>383</v>
      </c>
      <c r="M8" s="100" t="s">
        <v>380</v>
      </c>
      <c r="N8" s="100" t="s">
        <v>380</v>
      </c>
      <c r="O8" s="100" t="s">
        <v>381</v>
      </c>
      <c r="P8" s="100" t="s">
        <v>380</v>
      </c>
      <c r="Q8" s="100" t="s">
        <v>381</v>
      </c>
    </row>
    <row r="9" spans="1:18" x14ac:dyDescent="0.3">
      <c r="D9" t="str">
        <f>Count_BA!D9</f>
        <v>Area_Counts Category 1</v>
      </c>
      <c r="I9" s="53">
        <f>Count_BA!I9</f>
        <v>0</v>
      </c>
      <c r="J9" s="138">
        <v>0</v>
      </c>
      <c r="K9" s="138">
        <v>0</v>
      </c>
      <c r="L9" s="138">
        <v>0</v>
      </c>
      <c r="M9" s="53">
        <f t="shared" ref="M9:M33" si="0">I9*J9</f>
        <v>0</v>
      </c>
      <c r="N9" s="53">
        <f t="shared" ref="N9:N33" si="1">I9*(K9-J9)</f>
        <v>0</v>
      </c>
      <c r="O9" s="53">
        <f t="shared" ref="O9:O33" si="2">I9*L9</f>
        <v>0</v>
      </c>
      <c r="P9" s="53">
        <f t="shared" ref="P9:P33" si="3">M9+N9</f>
        <v>0</v>
      </c>
      <c r="Q9" s="53">
        <f t="shared" ref="Q9:Q33" si="4">O9</f>
        <v>0</v>
      </c>
      <c r="R9" s="137">
        <v>0</v>
      </c>
    </row>
    <row r="10" spans="1:18" x14ac:dyDescent="0.3">
      <c r="D10" t="str">
        <f>Count_BA!D10</f>
        <v>Area_Counts Category 2</v>
      </c>
      <c r="I10" s="53">
        <f>Count_BA!I10</f>
        <v>0</v>
      </c>
      <c r="J10" s="138">
        <v>0</v>
      </c>
      <c r="K10" s="138">
        <v>0</v>
      </c>
      <c r="L10" s="138">
        <v>0</v>
      </c>
      <c r="M10" s="53">
        <f t="shared" si="0"/>
        <v>0</v>
      </c>
      <c r="N10" s="53">
        <f t="shared" si="1"/>
        <v>0</v>
      </c>
      <c r="O10" s="53">
        <f t="shared" si="2"/>
        <v>0</v>
      </c>
      <c r="P10" s="53">
        <f t="shared" si="3"/>
        <v>0</v>
      </c>
      <c r="Q10" s="53">
        <f t="shared" si="4"/>
        <v>0</v>
      </c>
      <c r="R10" s="137">
        <v>0</v>
      </c>
    </row>
    <row r="11" spans="1:18" x14ac:dyDescent="0.3">
      <c r="D11" t="str">
        <f>Count_BA!D11</f>
        <v>Area_Counts Category 3</v>
      </c>
      <c r="I11" s="53">
        <f>Count_BA!I11</f>
        <v>0</v>
      </c>
      <c r="J11" s="138">
        <v>0</v>
      </c>
      <c r="K11" s="138">
        <v>0</v>
      </c>
      <c r="L11" s="138">
        <v>0</v>
      </c>
      <c r="M11" s="53">
        <f t="shared" si="0"/>
        <v>0</v>
      </c>
      <c r="N11" s="53">
        <f t="shared" si="1"/>
        <v>0</v>
      </c>
      <c r="O11" s="53">
        <f t="shared" si="2"/>
        <v>0</v>
      </c>
      <c r="P11" s="53">
        <f t="shared" si="3"/>
        <v>0</v>
      </c>
      <c r="Q11" s="53">
        <f t="shared" si="4"/>
        <v>0</v>
      </c>
      <c r="R11" s="137">
        <v>0</v>
      </c>
    </row>
    <row r="12" spans="1:18" x14ac:dyDescent="0.3">
      <c r="D12" t="str">
        <f>Count_BA!D12</f>
        <v>Area_Counts Category 4</v>
      </c>
      <c r="I12" s="53">
        <f>Count_BA!I12</f>
        <v>0</v>
      </c>
      <c r="J12" s="138">
        <v>0</v>
      </c>
      <c r="K12" s="138">
        <v>0</v>
      </c>
      <c r="L12" s="138">
        <v>0</v>
      </c>
      <c r="M12" s="53">
        <f t="shared" si="0"/>
        <v>0</v>
      </c>
      <c r="N12" s="53">
        <f t="shared" si="1"/>
        <v>0</v>
      </c>
      <c r="O12" s="53">
        <f t="shared" si="2"/>
        <v>0</v>
      </c>
      <c r="P12" s="53">
        <f t="shared" si="3"/>
        <v>0</v>
      </c>
      <c r="Q12" s="53">
        <f t="shared" si="4"/>
        <v>0</v>
      </c>
      <c r="R12" s="137">
        <v>0</v>
      </c>
    </row>
    <row r="13" spans="1:18" x14ac:dyDescent="0.3">
      <c r="D13" t="str">
        <f>Count_BA!D13</f>
        <v>Area_Counts Category 5</v>
      </c>
      <c r="I13" s="53">
        <f>Count_BA!I13</f>
        <v>0</v>
      </c>
      <c r="J13" s="138">
        <v>0</v>
      </c>
      <c r="K13" s="138">
        <v>0</v>
      </c>
      <c r="L13" s="138">
        <v>0</v>
      </c>
      <c r="M13" s="53">
        <f t="shared" si="0"/>
        <v>0</v>
      </c>
      <c r="N13" s="53">
        <f t="shared" si="1"/>
        <v>0</v>
      </c>
      <c r="O13" s="53">
        <f t="shared" si="2"/>
        <v>0</v>
      </c>
      <c r="P13" s="53">
        <f t="shared" si="3"/>
        <v>0</v>
      </c>
      <c r="Q13" s="53">
        <f t="shared" si="4"/>
        <v>0</v>
      </c>
      <c r="R13" s="137">
        <v>0</v>
      </c>
    </row>
    <row r="14" spans="1:18" x14ac:dyDescent="0.3">
      <c r="D14" t="str">
        <f>Count_BA!D14</f>
        <v>Area_Counts Category 6</v>
      </c>
      <c r="I14" s="53">
        <f>Count_BA!I14</f>
        <v>0</v>
      </c>
      <c r="J14" s="138">
        <v>0</v>
      </c>
      <c r="K14" s="138">
        <v>0</v>
      </c>
      <c r="L14" s="138">
        <v>0</v>
      </c>
      <c r="M14" s="53">
        <f t="shared" si="0"/>
        <v>0</v>
      </c>
      <c r="N14" s="53">
        <f t="shared" si="1"/>
        <v>0</v>
      </c>
      <c r="O14" s="53">
        <f t="shared" si="2"/>
        <v>0</v>
      </c>
      <c r="P14" s="53">
        <f t="shared" si="3"/>
        <v>0</v>
      </c>
      <c r="Q14" s="53">
        <f t="shared" si="4"/>
        <v>0</v>
      </c>
      <c r="R14" s="137">
        <v>0</v>
      </c>
    </row>
    <row r="15" spans="1:18" x14ac:dyDescent="0.3">
      <c r="D15" t="str">
        <f>Count_BA!D15</f>
        <v>Area_Counts Category 7</v>
      </c>
      <c r="I15" s="53">
        <f>Count_BA!I15</f>
        <v>0</v>
      </c>
      <c r="J15" s="138">
        <v>0</v>
      </c>
      <c r="K15" s="138">
        <v>0</v>
      </c>
      <c r="L15" s="138">
        <v>0</v>
      </c>
      <c r="M15" s="53">
        <f t="shared" si="0"/>
        <v>0</v>
      </c>
      <c r="N15" s="53">
        <f t="shared" si="1"/>
        <v>0</v>
      </c>
      <c r="O15" s="53">
        <f t="shared" si="2"/>
        <v>0</v>
      </c>
      <c r="P15" s="53">
        <f t="shared" si="3"/>
        <v>0</v>
      </c>
      <c r="Q15" s="53">
        <f t="shared" si="4"/>
        <v>0</v>
      </c>
      <c r="R15" s="137">
        <v>0</v>
      </c>
    </row>
    <row r="16" spans="1:18" x14ac:dyDescent="0.3">
      <c r="D16" t="str">
        <f>Count_BA!D16</f>
        <v>Area_Counts Category 8</v>
      </c>
      <c r="I16" s="53">
        <f>Count_BA!I16</f>
        <v>0</v>
      </c>
      <c r="J16" s="138">
        <v>0</v>
      </c>
      <c r="K16" s="138">
        <v>0</v>
      </c>
      <c r="L16" s="138">
        <v>0</v>
      </c>
      <c r="M16" s="53">
        <f t="shared" si="0"/>
        <v>0</v>
      </c>
      <c r="N16" s="53">
        <f t="shared" si="1"/>
        <v>0</v>
      </c>
      <c r="O16" s="53">
        <f t="shared" si="2"/>
        <v>0</v>
      </c>
      <c r="P16" s="53">
        <f t="shared" si="3"/>
        <v>0</v>
      </c>
      <c r="Q16" s="53">
        <f t="shared" si="4"/>
        <v>0</v>
      </c>
      <c r="R16" s="137">
        <v>0</v>
      </c>
    </row>
    <row r="17" spans="4:18" x14ac:dyDescent="0.3">
      <c r="D17" t="str">
        <f>Count_BA!D17</f>
        <v>Area_Counts Category 9</v>
      </c>
      <c r="I17" s="53">
        <f>Count_BA!I17</f>
        <v>0</v>
      </c>
      <c r="J17" s="138">
        <v>0</v>
      </c>
      <c r="K17" s="138">
        <v>0</v>
      </c>
      <c r="L17" s="138">
        <v>0</v>
      </c>
      <c r="M17" s="53">
        <f t="shared" si="0"/>
        <v>0</v>
      </c>
      <c r="N17" s="53">
        <f t="shared" si="1"/>
        <v>0</v>
      </c>
      <c r="O17" s="53">
        <f t="shared" si="2"/>
        <v>0</v>
      </c>
      <c r="P17" s="53">
        <f t="shared" si="3"/>
        <v>0</v>
      </c>
      <c r="Q17" s="53">
        <f t="shared" si="4"/>
        <v>0</v>
      </c>
      <c r="R17" s="137">
        <v>0</v>
      </c>
    </row>
    <row r="18" spans="4:18" x14ac:dyDescent="0.3">
      <c r="D18" t="str">
        <f>Count_BA!D18</f>
        <v>Area_Counts Category 10</v>
      </c>
      <c r="I18" s="53">
        <f>Count_BA!I18</f>
        <v>0</v>
      </c>
      <c r="J18" s="138">
        <v>0</v>
      </c>
      <c r="K18" s="138">
        <v>0</v>
      </c>
      <c r="L18" s="138">
        <v>0</v>
      </c>
      <c r="M18" s="53">
        <f t="shared" si="0"/>
        <v>0</v>
      </c>
      <c r="N18" s="53">
        <f t="shared" si="1"/>
        <v>0</v>
      </c>
      <c r="O18" s="53">
        <f t="shared" si="2"/>
        <v>0</v>
      </c>
      <c r="P18" s="53">
        <f t="shared" si="3"/>
        <v>0</v>
      </c>
      <c r="Q18" s="53">
        <f t="shared" si="4"/>
        <v>0</v>
      </c>
      <c r="R18" s="137">
        <v>0</v>
      </c>
    </row>
    <row r="19" spans="4:18" x14ac:dyDescent="0.3">
      <c r="D19" t="str">
        <f>Count_BA!D19</f>
        <v>Area_Counts Category 11</v>
      </c>
      <c r="I19" s="213">
        <f>Count_BA!I19</f>
        <v>0</v>
      </c>
      <c r="J19" s="138">
        <v>0</v>
      </c>
      <c r="K19" s="138">
        <v>0</v>
      </c>
      <c r="L19" s="138">
        <v>0</v>
      </c>
      <c r="M19" s="213">
        <f t="shared" si="0"/>
        <v>0</v>
      </c>
      <c r="N19" s="213">
        <f t="shared" si="1"/>
        <v>0</v>
      </c>
      <c r="O19" s="213">
        <f t="shared" si="2"/>
        <v>0</v>
      </c>
      <c r="P19" s="213">
        <f t="shared" si="3"/>
        <v>0</v>
      </c>
      <c r="Q19" s="213">
        <f t="shared" si="4"/>
        <v>0</v>
      </c>
      <c r="R19" s="261">
        <v>0</v>
      </c>
    </row>
    <row r="20" spans="4:18" x14ac:dyDescent="0.3">
      <c r="D20" t="str">
        <f>Count_BA!D20</f>
        <v>Area_Counts Category 12</v>
      </c>
      <c r="I20" s="213">
        <f>Count_BA!I20</f>
        <v>0</v>
      </c>
      <c r="J20" s="138">
        <v>0</v>
      </c>
      <c r="K20" s="138">
        <v>0</v>
      </c>
      <c r="L20" s="138">
        <v>0</v>
      </c>
      <c r="M20" s="213">
        <f t="shared" si="0"/>
        <v>0</v>
      </c>
      <c r="N20" s="213">
        <f t="shared" si="1"/>
        <v>0</v>
      </c>
      <c r="O20" s="213">
        <f t="shared" si="2"/>
        <v>0</v>
      </c>
      <c r="P20" s="213">
        <f t="shared" si="3"/>
        <v>0</v>
      </c>
      <c r="Q20" s="213">
        <f t="shared" si="4"/>
        <v>0</v>
      </c>
      <c r="R20" s="261">
        <v>0</v>
      </c>
    </row>
    <row r="21" spans="4:18" x14ac:dyDescent="0.3">
      <c r="D21" t="str">
        <f>Count_BA!D21</f>
        <v>Area_Counts Category 13</v>
      </c>
      <c r="I21" s="213">
        <f>Count_BA!I21</f>
        <v>0</v>
      </c>
      <c r="J21" s="138">
        <v>0</v>
      </c>
      <c r="K21" s="138">
        <v>0</v>
      </c>
      <c r="L21" s="138">
        <v>0</v>
      </c>
      <c r="M21" s="213">
        <f t="shared" si="0"/>
        <v>0</v>
      </c>
      <c r="N21" s="213">
        <f t="shared" si="1"/>
        <v>0</v>
      </c>
      <c r="O21" s="213">
        <f t="shared" si="2"/>
        <v>0</v>
      </c>
      <c r="P21" s="213">
        <f t="shared" si="3"/>
        <v>0</v>
      </c>
      <c r="Q21" s="213">
        <f t="shared" si="4"/>
        <v>0</v>
      </c>
      <c r="R21" s="261">
        <v>0</v>
      </c>
    </row>
    <row r="22" spans="4:18" x14ac:dyDescent="0.3">
      <c r="D22" t="str">
        <f>Count_BA!D22</f>
        <v>Area_Counts Category 14</v>
      </c>
      <c r="I22" s="213">
        <f>Count_BA!I22</f>
        <v>0</v>
      </c>
      <c r="J22" s="138">
        <v>0</v>
      </c>
      <c r="K22" s="138">
        <v>0</v>
      </c>
      <c r="L22" s="138">
        <v>0</v>
      </c>
      <c r="M22" s="213">
        <f t="shared" si="0"/>
        <v>0</v>
      </c>
      <c r="N22" s="213">
        <f t="shared" si="1"/>
        <v>0</v>
      </c>
      <c r="O22" s="213">
        <f t="shared" si="2"/>
        <v>0</v>
      </c>
      <c r="P22" s="213">
        <f t="shared" si="3"/>
        <v>0</v>
      </c>
      <c r="Q22" s="213">
        <f t="shared" si="4"/>
        <v>0</v>
      </c>
      <c r="R22" s="261">
        <v>0</v>
      </c>
    </row>
    <row r="23" spans="4:18" x14ac:dyDescent="0.3">
      <c r="D23" t="str">
        <f>Count_BA!D23</f>
        <v>Area_Counts Category 15</v>
      </c>
      <c r="I23" s="213">
        <f>Count_BA!I23</f>
        <v>0</v>
      </c>
      <c r="J23" s="138">
        <v>0</v>
      </c>
      <c r="K23" s="138">
        <v>0</v>
      </c>
      <c r="L23" s="138">
        <v>0</v>
      </c>
      <c r="M23" s="213">
        <f t="shared" si="0"/>
        <v>0</v>
      </c>
      <c r="N23" s="213">
        <f t="shared" si="1"/>
        <v>0</v>
      </c>
      <c r="O23" s="213">
        <f t="shared" si="2"/>
        <v>0</v>
      </c>
      <c r="P23" s="213">
        <f t="shared" si="3"/>
        <v>0</v>
      </c>
      <c r="Q23" s="213">
        <f t="shared" si="4"/>
        <v>0</v>
      </c>
      <c r="R23" s="261">
        <v>0</v>
      </c>
    </row>
    <row r="24" spans="4:18" x14ac:dyDescent="0.3">
      <c r="D24" t="str">
        <f>Count_BA!D24</f>
        <v>Area_Counts Category 16</v>
      </c>
      <c r="I24" s="213">
        <f>Count_BA!I24</f>
        <v>0</v>
      </c>
      <c r="J24" s="138">
        <v>0</v>
      </c>
      <c r="K24" s="138">
        <v>0</v>
      </c>
      <c r="L24" s="138">
        <v>0</v>
      </c>
      <c r="M24" s="213">
        <f t="shared" si="0"/>
        <v>0</v>
      </c>
      <c r="N24" s="213">
        <f t="shared" si="1"/>
        <v>0</v>
      </c>
      <c r="O24" s="213">
        <f t="shared" si="2"/>
        <v>0</v>
      </c>
      <c r="P24" s="213">
        <f t="shared" si="3"/>
        <v>0</v>
      </c>
      <c r="Q24" s="213">
        <f t="shared" si="4"/>
        <v>0</v>
      </c>
      <c r="R24" s="261">
        <v>0</v>
      </c>
    </row>
    <row r="25" spans="4:18" x14ac:dyDescent="0.3">
      <c r="D25" t="str">
        <f>Count_BA!D25</f>
        <v>Area_Counts Category 17</v>
      </c>
      <c r="I25" s="213">
        <f>Count_BA!I25</f>
        <v>0</v>
      </c>
      <c r="J25" s="138">
        <v>0</v>
      </c>
      <c r="K25" s="138">
        <v>0</v>
      </c>
      <c r="L25" s="138">
        <v>0</v>
      </c>
      <c r="M25" s="213">
        <f t="shared" si="0"/>
        <v>0</v>
      </c>
      <c r="N25" s="213">
        <f t="shared" si="1"/>
        <v>0</v>
      </c>
      <c r="O25" s="213">
        <f t="shared" si="2"/>
        <v>0</v>
      </c>
      <c r="P25" s="213">
        <f t="shared" si="3"/>
        <v>0</v>
      </c>
      <c r="Q25" s="213">
        <f t="shared" si="4"/>
        <v>0</v>
      </c>
      <c r="R25" s="261">
        <v>0</v>
      </c>
    </row>
    <row r="26" spans="4:18" x14ac:dyDescent="0.3">
      <c r="D26" t="str">
        <f>Count_BA!D26</f>
        <v>Area_Counts Category 18</v>
      </c>
      <c r="I26" s="213">
        <f>Count_BA!I26</f>
        <v>0</v>
      </c>
      <c r="J26" s="138">
        <v>0</v>
      </c>
      <c r="K26" s="138">
        <v>0</v>
      </c>
      <c r="L26" s="138">
        <v>0</v>
      </c>
      <c r="M26" s="213">
        <f t="shared" si="0"/>
        <v>0</v>
      </c>
      <c r="N26" s="213">
        <f t="shared" si="1"/>
        <v>0</v>
      </c>
      <c r="O26" s="213">
        <f t="shared" si="2"/>
        <v>0</v>
      </c>
      <c r="P26" s="213">
        <f t="shared" si="3"/>
        <v>0</v>
      </c>
      <c r="Q26" s="213">
        <f t="shared" si="4"/>
        <v>0</v>
      </c>
      <c r="R26" s="261">
        <v>0</v>
      </c>
    </row>
    <row r="27" spans="4:18" x14ac:dyDescent="0.3">
      <c r="D27" t="str">
        <f>Count_BA!D27</f>
        <v>Area_Counts Category 19</v>
      </c>
      <c r="I27" s="213">
        <f>Count_BA!I27</f>
        <v>0</v>
      </c>
      <c r="J27" s="138">
        <v>0</v>
      </c>
      <c r="K27" s="138">
        <v>0</v>
      </c>
      <c r="L27" s="138">
        <v>0</v>
      </c>
      <c r="M27" s="213">
        <f t="shared" si="0"/>
        <v>0</v>
      </c>
      <c r="N27" s="213">
        <f t="shared" si="1"/>
        <v>0</v>
      </c>
      <c r="O27" s="213">
        <f t="shared" si="2"/>
        <v>0</v>
      </c>
      <c r="P27" s="213">
        <f t="shared" si="3"/>
        <v>0</v>
      </c>
      <c r="Q27" s="213">
        <f t="shared" si="4"/>
        <v>0</v>
      </c>
      <c r="R27" s="261">
        <v>0</v>
      </c>
    </row>
    <row r="28" spans="4:18" x14ac:dyDescent="0.3">
      <c r="D28" t="str">
        <f>Count_BA!D28</f>
        <v>Area_Counts Category 20</v>
      </c>
      <c r="I28" s="213">
        <f>Count_BA!I28</f>
        <v>0</v>
      </c>
      <c r="J28" s="138">
        <v>0</v>
      </c>
      <c r="K28" s="138">
        <v>0</v>
      </c>
      <c r="L28" s="138">
        <v>0</v>
      </c>
      <c r="M28" s="213">
        <f t="shared" si="0"/>
        <v>0</v>
      </c>
      <c r="N28" s="213">
        <f t="shared" si="1"/>
        <v>0</v>
      </c>
      <c r="O28" s="213">
        <f t="shared" si="2"/>
        <v>0</v>
      </c>
      <c r="P28" s="213">
        <f t="shared" si="3"/>
        <v>0</v>
      </c>
      <c r="Q28" s="213">
        <f t="shared" si="4"/>
        <v>0</v>
      </c>
      <c r="R28" s="261">
        <v>0</v>
      </c>
    </row>
    <row r="29" spans="4:18" x14ac:dyDescent="0.3">
      <c r="D29" t="str">
        <f>Count_BA!D29</f>
        <v>Area_Counts Category 21</v>
      </c>
      <c r="I29" s="213">
        <f>Count_BA!I29</f>
        <v>0</v>
      </c>
      <c r="J29" s="138">
        <v>0</v>
      </c>
      <c r="K29" s="138">
        <v>0</v>
      </c>
      <c r="L29" s="138">
        <v>0</v>
      </c>
      <c r="M29" s="213">
        <f t="shared" si="0"/>
        <v>0</v>
      </c>
      <c r="N29" s="213">
        <f t="shared" si="1"/>
        <v>0</v>
      </c>
      <c r="O29" s="213">
        <f t="shared" si="2"/>
        <v>0</v>
      </c>
      <c r="P29" s="213">
        <f t="shared" si="3"/>
        <v>0</v>
      </c>
      <c r="Q29" s="213">
        <f t="shared" si="4"/>
        <v>0</v>
      </c>
      <c r="R29" s="261">
        <v>0</v>
      </c>
    </row>
    <row r="30" spans="4:18" x14ac:dyDescent="0.3">
      <c r="D30" t="str">
        <f>Count_BA!D30</f>
        <v>Area_Counts Category 22</v>
      </c>
      <c r="I30" s="213">
        <f>Count_BA!I30</f>
        <v>0</v>
      </c>
      <c r="J30" s="138">
        <v>0</v>
      </c>
      <c r="K30" s="138">
        <v>0</v>
      </c>
      <c r="L30" s="138">
        <v>0</v>
      </c>
      <c r="M30" s="213">
        <f t="shared" si="0"/>
        <v>0</v>
      </c>
      <c r="N30" s="213">
        <f t="shared" si="1"/>
        <v>0</v>
      </c>
      <c r="O30" s="213">
        <f t="shared" si="2"/>
        <v>0</v>
      </c>
      <c r="P30" s="213">
        <f t="shared" si="3"/>
        <v>0</v>
      </c>
      <c r="Q30" s="213">
        <f t="shared" si="4"/>
        <v>0</v>
      </c>
      <c r="R30" s="261">
        <v>0</v>
      </c>
    </row>
    <row r="31" spans="4:18" x14ac:dyDescent="0.3">
      <c r="D31" t="str">
        <f>Count_BA!D31</f>
        <v>Area_Counts Category 23</v>
      </c>
      <c r="I31" s="213">
        <f>Count_BA!I31</f>
        <v>0</v>
      </c>
      <c r="J31" s="138">
        <v>0</v>
      </c>
      <c r="K31" s="138">
        <v>0</v>
      </c>
      <c r="L31" s="138">
        <v>0</v>
      </c>
      <c r="M31" s="213">
        <f t="shared" si="0"/>
        <v>0</v>
      </c>
      <c r="N31" s="213">
        <f t="shared" si="1"/>
        <v>0</v>
      </c>
      <c r="O31" s="213">
        <f t="shared" si="2"/>
        <v>0</v>
      </c>
      <c r="P31" s="213">
        <f t="shared" si="3"/>
        <v>0</v>
      </c>
      <c r="Q31" s="213">
        <f t="shared" si="4"/>
        <v>0</v>
      </c>
      <c r="R31" s="261">
        <v>0</v>
      </c>
    </row>
    <row r="32" spans="4:18" x14ac:dyDescent="0.3">
      <c r="D32" t="str">
        <f>Count_BA!D32</f>
        <v>Area_Counts Category 24</v>
      </c>
      <c r="I32" s="213">
        <f>Count_BA!I32</f>
        <v>0</v>
      </c>
      <c r="J32" s="138">
        <v>0</v>
      </c>
      <c r="K32" s="138">
        <v>0</v>
      </c>
      <c r="L32" s="138">
        <v>0</v>
      </c>
      <c r="M32" s="213">
        <f t="shared" si="0"/>
        <v>0</v>
      </c>
      <c r="N32" s="213">
        <f t="shared" si="1"/>
        <v>0</v>
      </c>
      <c r="O32" s="213">
        <f t="shared" si="2"/>
        <v>0</v>
      </c>
      <c r="P32" s="213">
        <f t="shared" si="3"/>
        <v>0</v>
      </c>
      <c r="Q32" s="213">
        <f t="shared" si="4"/>
        <v>0</v>
      </c>
      <c r="R32" s="261">
        <v>0</v>
      </c>
    </row>
    <row r="33" spans="2:18" x14ac:dyDescent="0.3">
      <c r="D33" t="str">
        <f>Count_BA!D33</f>
        <v>Area_Counts Category 25</v>
      </c>
      <c r="I33" s="213">
        <f>Count_BA!I33</f>
        <v>0</v>
      </c>
      <c r="J33" s="138">
        <v>0</v>
      </c>
      <c r="K33" s="138">
        <v>0</v>
      </c>
      <c r="L33" s="138">
        <v>0</v>
      </c>
      <c r="M33" s="213">
        <f t="shared" si="0"/>
        <v>0</v>
      </c>
      <c r="N33" s="213">
        <f t="shared" si="1"/>
        <v>0</v>
      </c>
      <c r="O33" s="213">
        <f t="shared" si="2"/>
        <v>0</v>
      </c>
      <c r="P33" s="213">
        <f t="shared" si="3"/>
        <v>0</v>
      </c>
      <c r="Q33" s="213">
        <f t="shared" si="4"/>
        <v>0</v>
      </c>
      <c r="R33" s="261">
        <v>0</v>
      </c>
    </row>
    <row r="34" spans="2:18" ht="14.4" x14ac:dyDescent="0.3">
      <c r="D34" s="125" t="s">
        <v>388</v>
      </c>
      <c r="I34" s="124">
        <f>SUM(I9:I33)</f>
        <v>0</v>
      </c>
      <c r="J34" s="313">
        <f>IFERROR(M34/I34,0)</f>
        <v>0</v>
      </c>
      <c r="K34" s="313">
        <f>IFERROR(P34/I34, 0)</f>
        <v>0</v>
      </c>
      <c r="L34" s="313">
        <f>IFERROR(Q34/I34, 0)</f>
        <v>0</v>
      </c>
      <c r="M34" s="124">
        <f>SUM(M9:M33)</f>
        <v>0</v>
      </c>
      <c r="N34" s="124">
        <f>SUM(N9:N33)</f>
        <v>0</v>
      </c>
      <c r="O34" s="124">
        <f>SUM(O9:O33)</f>
        <v>0</v>
      </c>
      <c r="P34" s="124">
        <f>SUM(P9:P33)</f>
        <v>0</v>
      </c>
      <c r="Q34" s="124">
        <f>SUM(Q9:Q33)</f>
        <v>0</v>
      </c>
      <c r="R34" s="102">
        <f>P34+Q34</f>
        <v>0</v>
      </c>
    </row>
    <row r="37" spans="2:18" ht="18" x14ac:dyDescent="0.3">
      <c r="B37" s="49" t="s">
        <v>395</v>
      </c>
    </row>
    <row r="38" spans="2:18" x14ac:dyDescent="0.3">
      <c r="J38" s="100" t="s">
        <v>384</v>
      </c>
      <c r="K38" s="433" t="s">
        <v>385</v>
      </c>
      <c r="L38" s="426"/>
      <c r="O38" s="59" t="s">
        <v>384</v>
      </c>
      <c r="P38" s="433" t="s">
        <v>391</v>
      </c>
      <c r="Q38" s="426"/>
    </row>
    <row r="39" spans="2:18" ht="14.4" x14ac:dyDescent="0.3">
      <c r="D39" s="101" t="s">
        <v>372</v>
      </c>
      <c r="I39" s="59" t="s">
        <v>379</v>
      </c>
      <c r="J39" s="100" t="s">
        <v>380</v>
      </c>
      <c r="K39" s="100" t="s">
        <v>380</v>
      </c>
      <c r="L39" s="100" t="s">
        <v>381</v>
      </c>
      <c r="M39" s="59" t="s">
        <v>386</v>
      </c>
      <c r="N39" s="59" t="s">
        <v>387</v>
      </c>
      <c r="O39" s="59" t="s">
        <v>382</v>
      </c>
      <c r="P39" s="59" t="s">
        <v>382</v>
      </c>
      <c r="Q39" s="59" t="s">
        <v>383</v>
      </c>
    </row>
    <row r="40" spans="2:18" x14ac:dyDescent="0.3">
      <c r="D40" s="434" t="str">
        <f>Count_BA!D9</f>
        <v>Area_Counts Category 1</v>
      </c>
      <c r="E40" s="434"/>
      <c r="F40" s="434"/>
      <c r="G40" s="434"/>
      <c r="H40" s="434"/>
      <c r="I40" s="102">
        <f>Count_BA!I9</f>
        <v>0</v>
      </c>
      <c r="J40" s="118">
        <v>0</v>
      </c>
      <c r="K40" s="135">
        <v>0</v>
      </c>
      <c r="L40" s="135">
        <v>0</v>
      </c>
      <c r="M40" s="53">
        <f t="shared" ref="M40:M64" si="5">J40+K40</f>
        <v>0</v>
      </c>
      <c r="N40" s="53">
        <f t="shared" ref="N40:N64" si="6">L40</f>
        <v>0</v>
      </c>
      <c r="O40" s="310">
        <f t="shared" ref="O40:O64" si="7">IFERROR(J40/$I40,0)</f>
        <v>0</v>
      </c>
      <c r="P40" s="310">
        <f t="shared" ref="P40:P64" si="8">IFERROR(M40/$I40,0)</f>
        <v>0</v>
      </c>
      <c r="Q40" s="310">
        <f t="shared" ref="Q40:Q64" si="9">IFERROR(N40/I40,0)</f>
        <v>0</v>
      </c>
    </row>
    <row r="41" spans="2:18" x14ac:dyDescent="0.3">
      <c r="D41" s="434" t="str">
        <f>Count_BA!D10</f>
        <v>Area_Counts Category 2</v>
      </c>
      <c r="E41" s="434"/>
      <c r="F41" s="434"/>
      <c r="G41" s="434"/>
      <c r="H41" s="434"/>
      <c r="I41" s="102">
        <f>Count_BA!I10</f>
        <v>0</v>
      </c>
      <c r="J41" s="118">
        <v>0</v>
      </c>
      <c r="K41" s="135">
        <v>0</v>
      </c>
      <c r="L41" s="135">
        <v>0</v>
      </c>
      <c r="M41" s="53">
        <f t="shared" si="5"/>
        <v>0</v>
      </c>
      <c r="N41" s="53">
        <f t="shared" si="6"/>
        <v>0</v>
      </c>
      <c r="O41" s="310">
        <f t="shared" si="7"/>
        <v>0</v>
      </c>
      <c r="P41" s="310">
        <f t="shared" si="8"/>
        <v>0</v>
      </c>
      <c r="Q41" s="310">
        <f t="shared" si="9"/>
        <v>0</v>
      </c>
    </row>
    <row r="42" spans="2:18" x14ac:dyDescent="0.3">
      <c r="D42" s="434" t="str">
        <f>Count_BA!D11</f>
        <v>Area_Counts Category 3</v>
      </c>
      <c r="E42" s="434"/>
      <c r="F42" s="434"/>
      <c r="G42" s="434"/>
      <c r="H42" s="434"/>
      <c r="I42" s="102">
        <f>Count_BA!I11</f>
        <v>0</v>
      </c>
      <c r="J42" s="118">
        <v>0</v>
      </c>
      <c r="K42" s="135">
        <v>0</v>
      </c>
      <c r="L42" s="135">
        <v>0</v>
      </c>
      <c r="M42" s="53">
        <f t="shared" si="5"/>
        <v>0</v>
      </c>
      <c r="N42" s="53">
        <f t="shared" si="6"/>
        <v>0</v>
      </c>
      <c r="O42" s="310">
        <f t="shared" si="7"/>
        <v>0</v>
      </c>
      <c r="P42" s="310">
        <f t="shared" si="8"/>
        <v>0</v>
      </c>
      <c r="Q42" s="310">
        <f t="shared" si="9"/>
        <v>0</v>
      </c>
    </row>
    <row r="43" spans="2:18" x14ac:dyDescent="0.3">
      <c r="D43" s="434" t="str">
        <f>Count_BA!D12</f>
        <v>Area_Counts Category 4</v>
      </c>
      <c r="E43" s="434"/>
      <c r="F43" s="434"/>
      <c r="G43" s="434"/>
      <c r="H43" s="434"/>
      <c r="I43" s="102">
        <f>Count_BA!I12</f>
        <v>0</v>
      </c>
      <c r="J43" s="118">
        <v>0</v>
      </c>
      <c r="K43" s="135">
        <v>0</v>
      </c>
      <c r="L43" s="135">
        <v>0</v>
      </c>
      <c r="M43" s="53">
        <f t="shared" si="5"/>
        <v>0</v>
      </c>
      <c r="N43" s="53">
        <f t="shared" si="6"/>
        <v>0</v>
      </c>
      <c r="O43" s="310">
        <f t="shared" si="7"/>
        <v>0</v>
      </c>
      <c r="P43" s="310">
        <f t="shared" si="8"/>
        <v>0</v>
      </c>
      <c r="Q43" s="310">
        <f t="shared" si="9"/>
        <v>0</v>
      </c>
    </row>
    <row r="44" spans="2:18" x14ac:dyDescent="0.3">
      <c r="D44" s="434" t="str">
        <f>Count_BA!D13</f>
        <v>Area_Counts Category 5</v>
      </c>
      <c r="E44" s="434"/>
      <c r="F44" s="434"/>
      <c r="G44" s="434"/>
      <c r="H44" s="434"/>
      <c r="I44" s="102">
        <f>Count_BA!I13</f>
        <v>0</v>
      </c>
      <c r="J44" s="118">
        <v>0</v>
      </c>
      <c r="K44" s="135">
        <v>0</v>
      </c>
      <c r="L44" s="135">
        <v>0</v>
      </c>
      <c r="M44" s="53">
        <f t="shared" si="5"/>
        <v>0</v>
      </c>
      <c r="N44" s="53">
        <f t="shared" si="6"/>
        <v>0</v>
      </c>
      <c r="O44" s="310">
        <f t="shared" si="7"/>
        <v>0</v>
      </c>
      <c r="P44" s="310">
        <f t="shared" si="8"/>
        <v>0</v>
      </c>
      <c r="Q44" s="310">
        <f t="shared" si="9"/>
        <v>0</v>
      </c>
    </row>
    <row r="45" spans="2:18" x14ac:dyDescent="0.3">
      <c r="D45" s="434" t="str">
        <f>Count_BA!D14</f>
        <v>Area_Counts Category 6</v>
      </c>
      <c r="E45" s="434"/>
      <c r="F45" s="434"/>
      <c r="G45" s="434"/>
      <c r="H45" s="434"/>
      <c r="I45" s="102">
        <f>Count_BA!I14</f>
        <v>0</v>
      </c>
      <c r="J45" s="118">
        <v>0</v>
      </c>
      <c r="K45" s="135">
        <v>0</v>
      </c>
      <c r="L45" s="135">
        <v>0</v>
      </c>
      <c r="M45" s="53">
        <f t="shared" si="5"/>
        <v>0</v>
      </c>
      <c r="N45" s="53">
        <f t="shared" si="6"/>
        <v>0</v>
      </c>
      <c r="O45" s="310">
        <f t="shared" si="7"/>
        <v>0</v>
      </c>
      <c r="P45" s="310">
        <f t="shared" si="8"/>
        <v>0</v>
      </c>
      <c r="Q45" s="310">
        <f t="shared" si="9"/>
        <v>0</v>
      </c>
    </row>
    <row r="46" spans="2:18" x14ac:dyDescent="0.3">
      <c r="D46" s="434" t="str">
        <f>Count_BA!D15</f>
        <v>Area_Counts Category 7</v>
      </c>
      <c r="E46" s="434"/>
      <c r="F46" s="434"/>
      <c r="G46" s="434"/>
      <c r="H46" s="434"/>
      <c r="I46" s="102">
        <f>Count_BA!I15</f>
        <v>0</v>
      </c>
      <c r="J46" s="118">
        <v>0</v>
      </c>
      <c r="K46" s="135">
        <v>0</v>
      </c>
      <c r="L46" s="135">
        <v>0</v>
      </c>
      <c r="M46" s="53">
        <f t="shared" si="5"/>
        <v>0</v>
      </c>
      <c r="N46" s="53">
        <f t="shared" si="6"/>
        <v>0</v>
      </c>
      <c r="O46" s="310">
        <f t="shared" si="7"/>
        <v>0</v>
      </c>
      <c r="P46" s="310">
        <f t="shared" si="8"/>
        <v>0</v>
      </c>
      <c r="Q46" s="310">
        <f t="shared" si="9"/>
        <v>0</v>
      </c>
    </row>
    <row r="47" spans="2:18" x14ac:dyDescent="0.3">
      <c r="D47" s="434" t="str">
        <f>Count_BA!D16</f>
        <v>Area_Counts Category 8</v>
      </c>
      <c r="E47" s="434"/>
      <c r="F47" s="434"/>
      <c r="G47" s="434"/>
      <c r="H47" s="434"/>
      <c r="I47" s="102">
        <f>Count_BA!I16</f>
        <v>0</v>
      </c>
      <c r="J47" s="118">
        <v>0</v>
      </c>
      <c r="K47" s="135">
        <v>0</v>
      </c>
      <c r="L47" s="135">
        <v>0</v>
      </c>
      <c r="M47" s="53">
        <f t="shared" si="5"/>
        <v>0</v>
      </c>
      <c r="N47" s="53">
        <f t="shared" si="6"/>
        <v>0</v>
      </c>
      <c r="O47" s="310">
        <f t="shared" si="7"/>
        <v>0</v>
      </c>
      <c r="P47" s="310">
        <f t="shared" si="8"/>
        <v>0</v>
      </c>
      <c r="Q47" s="310">
        <f t="shared" si="9"/>
        <v>0</v>
      </c>
    </row>
    <row r="48" spans="2:18" x14ac:dyDescent="0.3">
      <c r="D48" s="434" t="str">
        <f>Count_BA!D17</f>
        <v>Area_Counts Category 9</v>
      </c>
      <c r="E48" s="434"/>
      <c r="F48" s="434"/>
      <c r="G48" s="434"/>
      <c r="H48" s="434"/>
      <c r="I48" s="102">
        <f>Count_BA!I17</f>
        <v>0</v>
      </c>
      <c r="J48" s="118">
        <v>0</v>
      </c>
      <c r="K48" s="135">
        <v>0</v>
      </c>
      <c r="L48" s="135">
        <v>0</v>
      </c>
      <c r="M48" s="53">
        <f t="shared" si="5"/>
        <v>0</v>
      </c>
      <c r="N48" s="53">
        <f t="shared" si="6"/>
        <v>0</v>
      </c>
      <c r="O48" s="310">
        <f t="shared" si="7"/>
        <v>0</v>
      </c>
      <c r="P48" s="310">
        <f t="shared" si="8"/>
        <v>0</v>
      </c>
      <c r="Q48" s="310">
        <f t="shared" si="9"/>
        <v>0</v>
      </c>
    </row>
    <row r="49" spans="4:17" x14ac:dyDescent="0.3">
      <c r="D49" s="434" t="str">
        <f>Count_BA!D18</f>
        <v>Area_Counts Category 10</v>
      </c>
      <c r="E49" s="434"/>
      <c r="F49" s="434"/>
      <c r="G49" s="434"/>
      <c r="H49" s="434"/>
      <c r="I49" s="102">
        <f>Count_BA!I18</f>
        <v>0</v>
      </c>
      <c r="J49" s="118">
        <v>0</v>
      </c>
      <c r="K49" s="135">
        <v>0</v>
      </c>
      <c r="L49" s="135">
        <v>0</v>
      </c>
      <c r="M49" s="53">
        <f t="shared" si="5"/>
        <v>0</v>
      </c>
      <c r="N49" s="53">
        <f t="shared" si="6"/>
        <v>0</v>
      </c>
      <c r="O49" s="310">
        <f t="shared" si="7"/>
        <v>0</v>
      </c>
      <c r="P49" s="310">
        <f t="shared" si="8"/>
        <v>0</v>
      </c>
      <c r="Q49" s="310">
        <f t="shared" si="9"/>
        <v>0</v>
      </c>
    </row>
    <row r="50" spans="4:17" x14ac:dyDescent="0.3">
      <c r="D50" s="429" t="str">
        <f>Count_BA!D19</f>
        <v>Area_Counts Category 11</v>
      </c>
      <c r="E50" s="429"/>
      <c r="F50" s="429"/>
      <c r="G50" s="429"/>
      <c r="H50" s="429"/>
      <c r="I50" s="212">
        <f>Count_BA!I19</f>
        <v>0</v>
      </c>
      <c r="J50" s="118">
        <v>0</v>
      </c>
      <c r="K50" s="118">
        <v>0</v>
      </c>
      <c r="L50" s="118">
        <v>0</v>
      </c>
      <c r="M50" s="213">
        <f t="shared" si="5"/>
        <v>0</v>
      </c>
      <c r="N50" s="213">
        <f t="shared" si="6"/>
        <v>0</v>
      </c>
      <c r="O50" s="310">
        <f t="shared" si="7"/>
        <v>0</v>
      </c>
      <c r="P50" s="310">
        <f t="shared" si="8"/>
        <v>0</v>
      </c>
      <c r="Q50" s="310">
        <f t="shared" si="9"/>
        <v>0</v>
      </c>
    </row>
    <row r="51" spans="4:17" x14ac:dyDescent="0.3">
      <c r="D51" s="429" t="str">
        <f>Count_BA!D20</f>
        <v>Area_Counts Category 12</v>
      </c>
      <c r="E51" s="429"/>
      <c r="F51" s="429"/>
      <c r="G51" s="429"/>
      <c r="H51" s="429"/>
      <c r="I51" s="212">
        <f>Count_BA!I20</f>
        <v>0</v>
      </c>
      <c r="J51" s="118">
        <v>0</v>
      </c>
      <c r="K51" s="118">
        <v>0</v>
      </c>
      <c r="L51" s="118">
        <v>0</v>
      </c>
      <c r="M51" s="213">
        <f t="shared" si="5"/>
        <v>0</v>
      </c>
      <c r="N51" s="213">
        <f t="shared" si="6"/>
        <v>0</v>
      </c>
      <c r="O51" s="310">
        <f t="shared" si="7"/>
        <v>0</v>
      </c>
      <c r="P51" s="310">
        <f t="shared" si="8"/>
        <v>0</v>
      </c>
      <c r="Q51" s="310">
        <f t="shared" si="9"/>
        <v>0</v>
      </c>
    </row>
    <row r="52" spans="4:17" x14ac:dyDescent="0.3">
      <c r="D52" s="429" t="str">
        <f>Count_BA!D21</f>
        <v>Area_Counts Category 13</v>
      </c>
      <c r="E52" s="435"/>
      <c r="F52" s="435"/>
      <c r="G52" s="435"/>
      <c r="H52" s="435"/>
      <c r="I52" s="212">
        <f>Count_BA!I21</f>
        <v>0</v>
      </c>
      <c r="J52" s="118">
        <v>0</v>
      </c>
      <c r="K52" s="118">
        <v>0</v>
      </c>
      <c r="L52" s="118">
        <v>0</v>
      </c>
      <c r="M52" s="213">
        <f t="shared" si="5"/>
        <v>0</v>
      </c>
      <c r="N52" s="213">
        <f t="shared" si="6"/>
        <v>0</v>
      </c>
      <c r="O52" s="310">
        <f t="shared" si="7"/>
        <v>0</v>
      </c>
      <c r="P52" s="310">
        <f t="shared" si="8"/>
        <v>0</v>
      </c>
      <c r="Q52" s="310">
        <f t="shared" si="9"/>
        <v>0</v>
      </c>
    </row>
    <row r="53" spans="4:17" x14ac:dyDescent="0.3">
      <c r="D53" s="429" t="str">
        <f>Count_BA!D22</f>
        <v>Area_Counts Category 14</v>
      </c>
      <c r="E53" s="435"/>
      <c r="F53" s="435"/>
      <c r="G53" s="435"/>
      <c r="H53" s="435"/>
      <c r="I53" s="212">
        <f>Count_BA!I22</f>
        <v>0</v>
      </c>
      <c r="J53" s="118">
        <v>0</v>
      </c>
      <c r="K53" s="118">
        <v>0</v>
      </c>
      <c r="L53" s="118">
        <v>0</v>
      </c>
      <c r="M53" s="213">
        <f t="shared" si="5"/>
        <v>0</v>
      </c>
      <c r="N53" s="213">
        <f t="shared" si="6"/>
        <v>0</v>
      </c>
      <c r="O53" s="310">
        <f t="shared" si="7"/>
        <v>0</v>
      </c>
      <c r="P53" s="310">
        <f t="shared" si="8"/>
        <v>0</v>
      </c>
      <c r="Q53" s="310">
        <f t="shared" si="9"/>
        <v>0</v>
      </c>
    </row>
    <row r="54" spans="4:17" x14ac:dyDescent="0.3">
      <c r="D54" s="429" t="str">
        <f>Count_BA!D23</f>
        <v>Area_Counts Category 15</v>
      </c>
      <c r="E54" s="435"/>
      <c r="F54" s="435"/>
      <c r="G54" s="435"/>
      <c r="H54" s="435"/>
      <c r="I54" s="212">
        <f>Count_BA!I23</f>
        <v>0</v>
      </c>
      <c r="J54" s="118">
        <v>0</v>
      </c>
      <c r="K54" s="118">
        <v>0</v>
      </c>
      <c r="L54" s="118">
        <v>0</v>
      </c>
      <c r="M54" s="213">
        <f t="shared" si="5"/>
        <v>0</v>
      </c>
      <c r="N54" s="213">
        <f t="shared" si="6"/>
        <v>0</v>
      </c>
      <c r="O54" s="310">
        <f t="shared" si="7"/>
        <v>0</v>
      </c>
      <c r="P54" s="310">
        <f t="shared" si="8"/>
        <v>0</v>
      </c>
      <c r="Q54" s="310">
        <f t="shared" si="9"/>
        <v>0</v>
      </c>
    </row>
    <row r="55" spans="4:17" x14ac:dyDescent="0.3">
      <c r="D55" s="429" t="str">
        <f>Count_BA!D24</f>
        <v>Area_Counts Category 16</v>
      </c>
      <c r="E55" s="435"/>
      <c r="F55" s="435"/>
      <c r="G55" s="435"/>
      <c r="H55" s="435"/>
      <c r="I55" s="212">
        <f>Count_BA!I24</f>
        <v>0</v>
      </c>
      <c r="J55" s="118">
        <v>0</v>
      </c>
      <c r="K55" s="118">
        <v>0</v>
      </c>
      <c r="L55" s="118">
        <v>0</v>
      </c>
      <c r="M55" s="213">
        <f t="shared" si="5"/>
        <v>0</v>
      </c>
      <c r="N55" s="213">
        <f t="shared" si="6"/>
        <v>0</v>
      </c>
      <c r="O55" s="310">
        <f t="shared" si="7"/>
        <v>0</v>
      </c>
      <c r="P55" s="310">
        <f t="shared" si="8"/>
        <v>0</v>
      </c>
      <c r="Q55" s="310">
        <f t="shared" si="9"/>
        <v>0</v>
      </c>
    </row>
    <row r="56" spans="4:17" x14ac:dyDescent="0.3">
      <c r="D56" s="429" t="str">
        <f>Count_BA!D25</f>
        <v>Area_Counts Category 17</v>
      </c>
      <c r="E56" s="435"/>
      <c r="F56" s="435"/>
      <c r="G56" s="435"/>
      <c r="H56" s="435"/>
      <c r="I56" s="212">
        <f>Count_BA!I25</f>
        <v>0</v>
      </c>
      <c r="J56" s="118">
        <v>0</v>
      </c>
      <c r="K56" s="118">
        <v>0</v>
      </c>
      <c r="L56" s="118">
        <v>0</v>
      </c>
      <c r="M56" s="213">
        <f t="shared" si="5"/>
        <v>0</v>
      </c>
      <c r="N56" s="213">
        <f t="shared" si="6"/>
        <v>0</v>
      </c>
      <c r="O56" s="310">
        <f t="shared" si="7"/>
        <v>0</v>
      </c>
      <c r="P56" s="310">
        <f t="shared" si="8"/>
        <v>0</v>
      </c>
      <c r="Q56" s="310">
        <f t="shared" si="9"/>
        <v>0</v>
      </c>
    </row>
    <row r="57" spans="4:17" x14ac:dyDescent="0.3">
      <c r="D57" s="429" t="str">
        <f>Count_BA!D26</f>
        <v>Area_Counts Category 18</v>
      </c>
      <c r="E57" s="435"/>
      <c r="F57" s="435"/>
      <c r="G57" s="435"/>
      <c r="H57" s="435"/>
      <c r="I57" s="212">
        <f>Count_BA!I26</f>
        <v>0</v>
      </c>
      <c r="J57" s="118">
        <v>0</v>
      </c>
      <c r="K57" s="118">
        <v>0</v>
      </c>
      <c r="L57" s="118">
        <v>0</v>
      </c>
      <c r="M57" s="213">
        <f t="shared" si="5"/>
        <v>0</v>
      </c>
      <c r="N57" s="213">
        <f t="shared" si="6"/>
        <v>0</v>
      </c>
      <c r="O57" s="310">
        <f t="shared" si="7"/>
        <v>0</v>
      </c>
      <c r="P57" s="310">
        <f t="shared" si="8"/>
        <v>0</v>
      </c>
      <c r="Q57" s="310">
        <f t="shared" si="9"/>
        <v>0</v>
      </c>
    </row>
    <row r="58" spans="4:17" x14ac:dyDescent="0.3">
      <c r="D58" s="429" t="str">
        <f>Count_BA!D27</f>
        <v>Area_Counts Category 19</v>
      </c>
      <c r="E58" s="435"/>
      <c r="F58" s="435"/>
      <c r="G58" s="435"/>
      <c r="H58" s="435"/>
      <c r="I58" s="212">
        <f>Count_BA!I27</f>
        <v>0</v>
      </c>
      <c r="J58" s="118">
        <v>0</v>
      </c>
      <c r="K58" s="118">
        <v>0</v>
      </c>
      <c r="L58" s="118">
        <v>0</v>
      </c>
      <c r="M58" s="213">
        <f t="shared" si="5"/>
        <v>0</v>
      </c>
      <c r="N58" s="213">
        <f t="shared" si="6"/>
        <v>0</v>
      </c>
      <c r="O58" s="310">
        <f t="shared" si="7"/>
        <v>0</v>
      </c>
      <c r="P58" s="310">
        <f t="shared" si="8"/>
        <v>0</v>
      </c>
      <c r="Q58" s="310">
        <f t="shared" si="9"/>
        <v>0</v>
      </c>
    </row>
    <row r="59" spans="4:17" x14ac:dyDescent="0.3">
      <c r="D59" s="429" t="str">
        <f>Count_BA!D28</f>
        <v>Area_Counts Category 20</v>
      </c>
      <c r="E59" s="435"/>
      <c r="F59" s="435"/>
      <c r="G59" s="435"/>
      <c r="H59" s="435"/>
      <c r="I59" s="212">
        <f>Count_BA!I28</f>
        <v>0</v>
      </c>
      <c r="J59" s="118">
        <v>0</v>
      </c>
      <c r="K59" s="118">
        <v>0</v>
      </c>
      <c r="L59" s="118">
        <v>0</v>
      </c>
      <c r="M59" s="213">
        <f t="shared" si="5"/>
        <v>0</v>
      </c>
      <c r="N59" s="213">
        <f t="shared" si="6"/>
        <v>0</v>
      </c>
      <c r="O59" s="310">
        <f t="shared" si="7"/>
        <v>0</v>
      </c>
      <c r="P59" s="310">
        <f t="shared" si="8"/>
        <v>0</v>
      </c>
      <c r="Q59" s="310">
        <f t="shared" si="9"/>
        <v>0</v>
      </c>
    </row>
    <row r="60" spans="4:17" x14ac:dyDescent="0.3">
      <c r="D60" s="429" t="str">
        <f>Count_BA!D29</f>
        <v>Area_Counts Category 21</v>
      </c>
      <c r="E60" s="435"/>
      <c r="F60" s="435"/>
      <c r="G60" s="435"/>
      <c r="H60" s="435"/>
      <c r="I60" s="212">
        <f>Count_BA!I29</f>
        <v>0</v>
      </c>
      <c r="J60" s="118">
        <v>0</v>
      </c>
      <c r="K60" s="118">
        <v>0</v>
      </c>
      <c r="L60" s="118">
        <v>0</v>
      </c>
      <c r="M60" s="213">
        <f t="shared" si="5"/>
        <v>0</v>
      </c>
      <c r="N60" s="213">
        <f t="shared" si="6"/>
        <v>0</v>
      </c>
      <c r="O60" s="310">
        <f t="shared" si="7"/>
        <v>0</v>
      </c>
      <c r="P60" s="310">
        <f t="shared" si="8"/>
        <v>0</v>
      </c>
      <c r="Q60" s="310">
        <f t="shared" si="9"/>
        <v>0</v>
      </c>
    </row>
    <row r="61" spans="4:17" x14ac:dyDescent="0.3">
      <c r="D61" s="429" t="str">
        <f>Count_BA!D30</f>
        <v>Area_Counts Category 22</v>
      </c>
      <c r="E61" s="435"/>
      <c r="F61" s="435"/>
      <c r="G61" s="435"/>
      <c r="H61" s="435"/>
      <c r="I61" s="212">
        <f>Count_BA!I30</f>
        <v>0</v>
      </c>
      <c r="J61" s="118">
        <v>0</v>
      </c>
      <c r="K61" s="118">
        <v>0</v>
      </c>
      <c r="L61" s="118">
        <v>0</v>
      </c>
      <c r="M61" s="213">
        <f t="shared" si="5"/>
        <v>0</v>
      </c>
      <c r="N61" s="213">
        <f t="shared" si="6"/>
        <v>0</v>
      </c>
      <c r="O61" s="310">
        <f t="shared" si="7"/>
        <v>0</v>
      </c>
      <c r="P61" s="310">
        <f t="shared" si="8"/>
        <v>0</v>
      </c>
      <c r="Q61" s="310">
        <f t="shared" si="9"/>
        <v>0</v>
      </c>
    </row>
    <row r="62" spans="4:17" x14ac:dyDescent="0.3">
      <c r="D62" s="429" t="str">
        <f>Count_BA!D31</f>
        <v>Area_Counts Category 23</v>
      </c>
      <c r="E62" s="435"/>
      <c r="F62" s="435"/>
      <c r="G62" s="435"/>
      <c r="H62" s="435"/>
      <c r="I62" s="212">
        <f>Count_BA!I31</f>
        <v>0</v>
      </c>
      <c r="J62" s="118">
        <v>0</v>
      </c>
      <c r="K62" s="118">
        <v>0</v>
      </c>
      <c r="L62" s="118">
        <v>0</v>
      </c>
      <c r="M62" s="213">
        <f t="shared" si="5"/>
        <v>0</v>
      </c>
      <c r="N62" s="213">
        <f t="shared" si="6"/>
        <v>0</v>
      </c>
      <c r="O62" s="310">
        <f t="shared" si="7"/>
        <v>0</v>
      </c>
      <c r="P62" s="310">
        <f t="shared" si="8"/>
        <v>0</v>
      </c>
      <c r="Q62" s="310">
        <f t="shared" si="9"/>
        <v>0</v>
      </c>
    </row>
    <row r="63" spans="4:17" x14ac:dyDescent="0.3">
      <c r="D63" s="429" t="str">
        <f>Count_BA!D32</f>
        <v>Area_Counts Category 24</v>
      </c>
      <c r="E63" s="435"/>
      <c r="F63" s="435"/>
      <c r="G63" s="435"/>
      <c r="H63" s="435"/>
      <c r="I63" s="212">
        <f>Count_BA!I32</f>
        <v>0</v>
      </c>
      <c r="J63" s="118">
        <v>0</v>
      </c>
      <c r="K63" s="118">
        <v>0</v>
      </c>
      <c r="L63" s="118">
        <v>0</v>
      </c>
      <c r="M63" s="213">
        <f t="shared" si="5"/>
        <v>0</v>
      </c>
      <c r="N63" s="213">
        <f t="shared" si="6"/>
        <v>0</v>
      </c>
      <c r="O63" s="310">
        <f t="shared" si="7"/>
        <v>0</v>
      </c>
      <c r="P63" s="310">
        <f t="shared" si="8"/>
        <v>0</v>
      </c>
      <c r="Q63" s="310">
        <f t="shared" si="9"/>
        <v>0</v>
      </c>
    </row>
    <row r="64" spans="4:17" x14ac:dyDescent="0.3">
      <c r="D64" s="429" t="str">
        <f>Count_BA!D33</f>
        <v>Area_Counts Category 25</v>
      </c>
      <c r="E64" s="435"/>
      <c r="F64" s="435"/>
      <c r="G64" s="435"/>
      <c r="H64" s="435"/>
      <c r="I64" s="212">
        <f>Count_BA!I33</f>
        <v>0</v>
      </c>
      <c r="J64" s="118">
        <v>0</v>
      </c>
      <c r="K64" s="118">
        <v>0</v>
      </c>
      <c r="L64" s="118">
        <v>0</v>
      </c>
      <c r="M64" s="213">
        <f t="shared" si="5"/>
        <v>0</v>
      </c>
      <c r="N64" s="213">
        <f t="shared" si="6"/>
        <v>0</v>
      </c>
      <c r="O64" s="310">
        <f t="shared" si="7"/>
        <v>0</v>
      </c>
      <c r="P64" s="310">
        <f t="shared" si="8"/>
        <v>0</v>
      </c>
      <c r="Q64" s="310">
        <f t="shared" si="9"/>
        <v>0</v>
      </c>
    </row>
    <row r="65" spans="2:17" ht="14.4" x14ac:dyDescent="0.3">
      <c r="D65" s="427" t="s">
        <v>388</v>
      </c>
      <c r="E65" s="427"/>
      <c r="F65" s="427"/>
      <c r="G65" s="427"/>
      <c r="H65" s="427"/>
      <c r="I65" s="311">
        <f t="shared" ref="I65:N65" si="10">SUM(I40:I64)</f>
        <v>0</v>
      </c>
      <c r="J65" s="306">
        <f t="shared" si="10"/>
        <v>0</v>
      </c>
      <c r="K65" s="306">
        <f t="shared" si="10"/>
        <v>0</v>
      </c>
      <c r="L65" s="306">
        <f t="shared" si="10"/>
        <v>0</v>
      </c>
      <c r="M65" s="306">
        <f t="shared" si="10"/>
        <v>0</v>
      </c>
      <c r="N65" s="306">
        <f t="shared" si="10"/>
        <v>0</v>
      </c>
      <c r="O65" s="312">
        <f>IFERROR(J65/$I65, 0)</f>
        <v>0</v>
      </c>
      <c r="P65" s="313">
        <f>IFERROR(M65/I65, 0)</f>
        <v>0</v>
      </c>
      <c r="Q65" s="313">
        <f>IFERROR(N65/I65,0)</f>
        <v>0</v>
      </c>
    </row>
    <row r="68" spans="2:17" ht="18" x14ac:dyDescent="0.3">
      <c r="B68" s="49" t="s">
        <v>397</v>
      </c>
    </row>
    <row r="69" spans="2:17" ht="14.4" x14ac:dyDescent="0.3">
      <c r="D69" s="101" t="s">
        <v>372</v>
      </c>
      <c r="I69" s="59" t="s">
        <v>389</v>
      </c>
      <c r="J69" s="100" t="s">
        <v>160</v>
      </c>
      <c r="K69" s="100" t="s">
        <v>161</v>
      </c>
      <c r="L69" s="100" t="s">
        <v>162</v>
      </c>
      <c r="M69" s="100" t="s">
        <v>390</v>
      </c>
      <c r="N69" s="59" t="s">
        <v>379</v>
      </c>
      <c r="O69" s="59" t="s">
        <v>392</v>
      </c>
      <c r="Q69" s="59" t="s">
        <v>393</v>
      </c>
    </row>
    <row r="70" spans="2:17" x14ac:dyDescent="0.3">
      <c r="D70" s="434" t="str">
        <f>Count_BA!D9</f>
        <v>Area_Counts Category 1</v>
      </c>
      <c r="E70" s="434"/>
      <c r="F70" s="434"/>
      <c r="G70" s="434"/>
      <c r="H70" s="434"/>
      <c r="I70" s="135">
        <v>0</v>
      </c>
      <c r="J70" s="53">
        <f>Count_BA!K9</f>
        <v>0</v>
      </c>
      <c r="K70" s="53">
        <f>Count_BA!L9</f>
        <v>0</v>
      </c>
      <c r="L70" s="53">
        <f>Count_BA!M9</f>
        <v>0</v>
      </c>
      <c r="M70" s="136">
        <f t="shared" ref="M70:M94" si="11">SUM(J70:L70)</f>
        <v>0</v>
      </c>
      <c r="N70" s="53">
        <f>Count_BA!I9</f>
        <v>0</v>
      </c>
      <c r="O70" s="314">
        <f t="shared" ref="O70:O94" si="12">IFERROR(N70/M70,0)</f>
        <v>0</v>
      </c>
      <c r="Q70" s="134">
        <f t="shared" ref="Q70:Q94" si="13">Q40</f>
        <v>0</v>
      </c>
    </row>
    <row r="71" spans="2:17" x14ac:dyDescent="0.3">
      <c r="D71" s="434" t="str">
        <f>Count_BA!D10</f>
        <v>Area_Counts Category 2</v>
      </c>
      <c r="E71" s="434"/>
      <c r="F71" s="434"/>
      <c r="G71" s="434"/>
      <c r="H71" s="434"/>
      <c r="I71" s="135">
        <v>0</v>
      </c>
      <c r="J71" s="53">
        <f>Count_BA!K10</f>
        <v>0</v>
      </c>
      <c r="K71" s="53">
        <f>Count_BA!L10</f>
        <v>0</v>
      </c>
      <c r="L71" s="53">
        <f>Count_BA!M10</f>
        <v>0</v>
      </c>
      <c r="M71" s="136">
        <f t="shared" si="11"/>
        <v>0</v>
      </c>
      <c r="N71" s="53">
        <f>Count_BA!I10</f>
        <v>0</v>
      </c>
      <c r="O71" s="314">
        <f t="shared" si="12"/>
        <v>0</v>
      </c>
      <c r="Q71" s="134">
        <f t="shared" si="13"/>
        <v>0</v>
      </c>
    </row>
    <row r="72" spans="2:17" x14ac:dyDescent="0.3">
      <c r="D72" s="434" t="str">
        <f>Count_BA!D11</f>
        <v>Area_Counts Category 3</v>
      </c>
      <c r="E72" s="434"/>
      <c r="F72" s="434"/>
      <c r="G72" s="434"/>
      <c r="H72" s="434"/>
      <c r="I72" s="135">
        <v>0</v>
      </c>
      <c r="J72" s="53">
        <f>Count_BA!K11</f>
        <v>0</v>
      </c>
      <c r="K72" s="53">
        <f>Count_BA!L11</f>
        <v>0</v>
      </c>
      <c r="L72" s="53">
        <f>Count_BA!M11</f>
        <v>0</v>
      </c>
      <c r="M72" s="136">
        <f t="shared" si="11"/>
        <v>0</v>
      </c>
      <c r="N72" s="53">
        <f>Count_BA!I11</f>
        <v>0</v>
      </c>
      <c r="O72" s="314">
        <f t="shared" si="12"/>
        <v>0</v>
      </c>
      <c r="Q72" s="134">
        <f t="shared" si="13"/>
        <v>0</v>
      </c>
    </row>
    <row r="73" spans="2:17" x14ac:dyDescent="0.3">
      <c r="D73" s="434" t="str">
        <f>Count_BA!D12</f>
        <v>Area_Counts Category 4</v>
      </c>
      <c r="E73" s="434"/>
      <c r="F73" s="434"/>
      <c r="G73" s="434"/>
      <c r="H73" s="434"/>
      <c r="I73" s="135">
        <v>0</v>
      </c>
      <c r="J73" s="53">
        <f>Count_BA!K12</f>
        <v>0</v>
      </c>
      <c r="K73" s="53">
        <f>Count_BA!L12</f>
        <v>0</v>
      </c>
      <c r="L73" s="53">
        <f>Count_BA!M12</f>
        <v>0</v>
      </c>
      <c r="M73" s="136">
        <f t="shared" si="11"/>
        <v>0</v>
      </c>
      <c r="N73" s="53">
        <f>Count_BA!I12</f>
        <v>0</v>
      </c>
      <c r="O73" s="314">
        <f t="shared" si="12"/>
        <v>0</v>
      </c>
      <c r="Q73" s="134">
        <f t="shared" si="13"/>
        <v>0</v>
      </c>
    </row>
    <row r="74" spans="2:17" x14ac:dyDescent="0.3">
      <c r="D74" s="434" t="str">
        <f>Count_BA!D13</f>
        <v>Area_Counts Category 5</v>
      </c>
      <c r="E74" s="434"/>
      <c r="F74" s="434"/>
      <c r="G74" s="434"/>
      <c r="H74" s="434"/>
      <c r="I74" s="135">
        <v>0</v>
      </c>
      <c r="J74" s="53">
        <f>Count_BA!K13</f>
        <v>0</v>
      </c>
      <c r="K74" s="53">
        <f>Count_BA!L13</f>
        <v>0</v>
      </c>
      <c r="L74" s="53">
        <f>Count_BA!M13</f>
        <v>0</v>
      </c>
      <c r="M74" s="136">
        <f t="shared" si="11"/>
        <v>0</v>
      </c>
      <c r="N74" s="53">
        <f>Count_BA!I13</f>
        <v>0</v>
      </c>
      <c r="O74" s="314">
        <f t="shared" si="12"/>
        <v>0</v>
      </c>
      <c r="Q74" s="134">
        <f t="shared" si="13"/>
        <v>0</v>
      </c>
    </row>
    <row r="75" spans="2:17" x14ac:dyDescent="0.3">
      <c r="D75" s="434" t="str">
        <f>Count_BA!D14</f>
        <v>Area_Counts Category 6</v>
      </c>
      <c r="E75" s="434"/>
      <c r="F75" s="434"/>
      <c r="G75" s="434"/>
      <c r="H75" s="434"/>
      <c r="I75" s="135">
        <v>0</v>
      </c>
      <c r="J75" s="53">
        <f>Count_BA!K14</f>
        <v>0</v>
      </c>
      <c r="K75" s="53">
        <f>Count_BA!L14</f>
        <v>0</v>
      </c>
      <c r="L75" s="53">
        <f>Count_BA!M14</f>
        <v>0</v>
      </c>
      <c r="M75" s="136">
        <f t="shared" si="11"/>
        <v>0</v>
      </c>
      <c r="N75" s="53">
        <f>Count_BA!I14</f>
        <v>0</v>
      </c>
      <c r="O75" s="314">
        <f t="shared" si="12"/>
        <v>0</v>
      </c>
      <c r="Q75" s="134">
        <f t="shared" si="13"/>
        <v>0</v>
      </c>
    </row>
    <row r="76" spans="2:17" x14ac:dyDescent="0.3">
      <c r="D76" s="434" t="str">
        <f>Count_BA!D15</f>
        <v>Area_Counts Category 7</v>
      </c>
      <c r="E76" s="434"/>
      <c r="F76" s="434"/>
      <c r="G76" s="434"/>
      <c r="H76" s="434"/>
      <c r="I76" s="135">
        <v>0</v>
      </c>
      <c r="J76" s="53">
        <f>Count_BA!K15</f>
        <v>0</v>
      </c>
      <c r="K76" s="53">
        <f>Count_BA!L15</f>
        <v>0</v>
      </c>
      <c r="L76" s="53">
        <f>Count_BA!M15</f>
        <v>0</v>
      </c>
      <c r="M76" s="136">
        <f t="shared" si="11"/>
        <v>0</v>
      </c>
      <c r="N76" s="53">
        <f>Count_BA!I15</f>
        <v>0</v>
      </c>
      <c r="O76" s="314">
        <f t="shared" si="12"/>
        <v>0</v>
      </c>
      <c r="Q76" s="134">
        <f t="shared" si="13"/>
        <v>0</v>
      </c>
    </row>
    <row r="77" spans="2:17" x14ac:dyDescent="0.3">
      <c r="D77" s="434" t="str">
        <f>Count_BA!D16</f>
        <v>Area_Counts Category 8</v>
      </c>
      <c r="E77" s="434"/>
      <c r="F77" s="434"/>
      <c r="G77" s="434"/>
      <c r="H77" s="434"/>
      <c r="I77" s="135">
        <v>0</v>
      </c>
      <c r="J77" s="53">
        <f>Count_BA!K16</f>
        <v>0</v>
      </c>
      <c r="K77" s="53">
        <f>Count_BA!L16</f>
        <v>0</v>
      </c>
      <c r="L77" s="53">
        <f>Count_BA!M16</f>
        <v>0</v>
      </c>
      <c r="M77" s="136">
        <f t="shared" si="11"/>
        <v>0</v>
      </c>
      <c r="N77" s="53">
        <f>Count_BA!I16</f>
        <v>0</v>
      </c>
      <c r="O77" s="314">
        <f t="shared" si="12"/>
        <v>0</v>
      </c>
      <c r="Q77" s="134">
        <f t="shared" si="13"/>
        <v>0</v>
      </c>
    </row>
    <row r="78" spans="2:17" x14ac:dyDescent="0.3">
      <c r="D78" s="434" t="str">
        <f>Count_BA!D17</f>
        <v>Area_Counts Category 9</v>
      </c>
      <c r="E78" s="434"/>
      <c r="F78" s="434"/>
      <c r="G78" s="434"/>
      <c r="H78" s="434"/>
      <c r="I78" s="135">
        <v>0</v>
      </c>
      <c r="J78" s="53">
        <f>Count_BA!K17</f>
        <v>0</v>
      </c>
      <c r="K78" s="53">
        <f>Count_BA!L17</f>
        <v>0</v>
      </c>
      <c r="L78" s="53">
        <f>Count_BA!M17</f>
        <v>0</v>
      </c>
      <c r="M78" s="136">
        <f t="shared" si="11"/>
        <v>0</v>
      </c>
      <c r="N78" s="53">
        <f>Count_BA!I17</f>
        <v>0</v>
      </c>
      <c r="O78" s="314">
        <f t="shared" si="12"/>
        <v>0</v>
      </c>
      <c r="Q78" s="134">
        <f t="shared" si="13"/>
        <v>0</v>
      </c>
    </row>
    <row r="79" spans="2:17" x14ac:dyDescent="0.3">
      <c r="D79" s="434" t="str">
        <f>Count_BA!D18</f>
        <v>Area_Counts Category 10</v>
      </c>
      <c r="E79" s="434"/>
      <c r="F79" s="434"/>
      <c r="G79" s="434"/>
      <c r="H79" s="434"/>
      <c r="I79" s="135">
        <v>0</v>
      </c>
      <c r="J79" s="53">
        <f>Count_BA!K18</f>
        <v>0</v>
      </c>
      <c r="K79" s="53">
        <f>Count_BA!L18</f>
        <v>0</v>
      </c>
      <c r="L79" s="53">
        <f>Count_BA!M18</f>
        <v>0</v>
      </c>
      <c r="M79" s="136">
        <f t="shared" si="11"/>
        <v>0</v>
      </c>
      <c r="N79" s="53">
        <f>Count_BA!I18</f>
        <v>0</v>
      </c>
      <c r="O79" s="314">
        <f t="shared" si="12"/>
        <v>0</v>
      </c>
      <c r="Q79" s="134">
        <f t="shared" si="13"/>
        <v>0</v>
      </c>
    </row>
    <row r="80" spans="2:17" x14ac:dyDescent="0.3">
      <c r="D80" s="429" t="str">
        <f>Count_BA!D19</f>
        <v>Area_Counts Category 11</v>
      </c>
      <c r="E80" s="429"/>
      <c r="F80" s="429"/>
      <c r="G80" s="429"/>
      <c r="H80" s="429"/>
      <c r="I80" s="118">
        <v>0</v>
      </c>
      <c r="J80" s="213">
        <f>Count_BA!K19</f>
        <v>0</v>
      </c>
      <c r="K80" s="213">
        <f>Count_BA!L19</f>
        <v>0</v>
      </c>
      <c r="L80" s="213">
        <f>Count_BA!M19</f>
        <v>0</v>
      </c>
      <c r="M80" s="124">
        <f t="shared" si="11"/>
        <v>0</v>
      </c>
      <c r="N80" s="213">
        <f>Count_BA!I19</f>
        <v>0</v>
      </c>
      <c r="O80" s="314">
        <f t="shared" si="12"/>
        <v>0</v>
      </c>
      <c r="Q80" s="134">
        <f t="shared" si="13"/>
        <v>0</v>
      </c>
    </row>
    <row r="81" spans="4:17" x14ac:dyDescent="0.3">
      <c r="D81" s="429" t="str">
        <f>Count_BA!D20</f>
        <v>Area_Counts Category 12</v>
      </c>
      <c r="E81" s="429"/>
      <c r="F81" s="429"/>
      <c r="G81" s="429"/>
      <c r="H81" s="429"/>
      <c r="I81" s="118">
        <v>0</v>
      </c>
      <c r="J81" s="213">
        <f>Count_BA!K20</f>
        <v>0</v>
      </c>
      <c r="K81" s="213">
        <f>Count_BA!L20</f>
        <v>0</v>
      </c>
      <c r="L81" s="213">
        <f>Count_BA!M20</f>
        <v>0</v>
      </c>
      <c r="M81" s="124">
        <f t="shared" si="11"/>
        <v>0</v>
      </c>
      <c r="N81" s="213">
        <f>Count_BA!I20</f>
        <v>0</v>
      </c>
      <c r="O81" s="314">
        <f t="shared" si="12"/>
        <v>0</v>
      </c>
      <c r="Q81" s="134">
        <f t="shared" si="13"/>
        <v>0</v>
      </c>
    </row>
    <row r="82" spans="4:17" x14ac:dyDescent="0.3">
      <c r="D82" s="429" t="str">
        <f>Count_BA!D21</f>
        <v>Area_Counts Category 13</v>
      </c>
      <c r="E82" s="435"/>
      <c r="F82" s="435"/>
      <c r="G82" s="435"/>
      <c r="H82" s="378"/>
      <c r="I82" s="118">
        <v>0</v>
      </c>
      <c r="J82" s="213">
        <f>Count_BA!K21</f>
        <v>0</v>
      </c>
      <c r="K82" s="213">
        <f>Count_BA!L21</f>
        <v>0</v>
      </c>
      <c r="L82" s="213">
        <f>Count_BA!M21</f>
        <v>0</v>
      </c>
      <c r="M82" s="124">
        <f t="shared" si="11"/>
        <v>0</v>
      </c>
      <c r="N82" s="213">
        <f>Count_BA!I21</f>
        <v>0</v>
      </c>
      <c r="O82" s="314">
        <f t="shared" si="12"/>
        <v>0</v>
      </c>
      <c r="Q82" s="134">
        <f t="shared" si="13"/>
        <v>0</v>
      </c>
    </row>
    <row r="83" spans="4:17" x14ac:dyDescent="0.3">
      <c r="D83" s="429" t="str">
        <f>Count_BA!D22</f>
        <v>Area_Counts Category 14</v>
      </c>
      <c r="E83" s="435"/>
      <c r="F83" s="435"/>
      <c r="G83" s="435"/>
      <c r="H83" s="378"/>
      <c r="I83" s="118">
        <v>0</v>
      </c>
      <c r="J83" s="213">
        <f>Count_BA!K22</f>
        <v>0</v>
      </c>
      <c r="K83" s="213">
        <f>Count_BA!L22</f>
        <v>0</v>
      </c>
      <c r="L83" s="213">
        <f>Count_BA!M22</f>
        <v>0</v>
      </c>
      <c r="M83" s="124">
        <f t="shared" si="11"/>
        <v>0</v>
      </c>
      <c r="N83" s="213">
        <f>Count_BA!I22</f>
        <v>0</v>
      </c>
      <c r="O83" s="314">
        <f t="shared" si="12"/>
        <v>0</v>
      </c>
      <c r="Q83" s="134">
        <f t="shared" si="13"/>
        <v>0</v>
      </c>
    </row>
    <row r="84" spans="4:17" x14ac:dyDescent="0.3">
      <c r="D84" s="429" t="str">
        <f>Count_BA!D23</f>
        <v>Area_Counts Category 15</v>
      </c>
      <c r="E84" s="435"/>
      <c r="F84" s="435"/>
      <c r="G84" s="435"/>
      <c r="H84" s="378"/>
      <c r="I84" s="118">
        <v>0</v>
      </c>
      <c r="J84" s="213">
        <f>Count_BA!K23</f>
        <v>0</v>
      </c>
      <c r="K84" s="213">
        <f>Count_BA!L23</f>
        <v>0</v>
      </c>
      <c r="L84" s="213">
        <f>Count_BA!M23</f>
        <v>0</v>
      </c>
      <c r="M84" s="124">
        <f t="shared" si="11"/>
        <v>0</v>
      </c>
      <c r="N84" s="213">
        <f>Count_BA!I23</f>
        <v>0</v>
      </c>
      <c r="O84" s="314">
        <f t="shared" si="12"/>
        <v>0</v>
      </c>
      <c r="Q84" s="134">
        <f t="shared" si="13"/>
        <v>0</v>
      </c>
    </row>
    <row r="85" spans="4:17" x14ac:dyDescent="0.3">
      <c r="D85" s="429" t="str">
        <f>Count_BA!D24</f>
        <v>Area_Counts Category 16</v>
      </c>
      <c r="E85" s="435"/>
      <c r="F85" s="435"/>
      <c r="G85" s="435"/>
      <c r="H85" s="378"/>
      <c r="I85" s="118">
        <v>0</v>
      </c>
      <c r="J85" s="213">
        <f>Count_BA!K24</f>
        <v>0</v>
      </c>
      <c r="K85" s="213">
        <f>Count_BA!L24</f>
        <v>0</v>
      </c>
      <c r="L85" s="213">
        <f>Count_BA!M24</f>
        <v>0</v>
      </c>
      <c r="M85" s="124">
        <f t="shared" si="11"/>
        <v>0</v>
      </c>
      <c r="N85" s="213">
        <f>Count_BA!I24</f>
        <v>0</v>
      </c>
      <c r="O85" s="314">
        <f t="shared" si="12"/>
        <v>0</v>
      </c>
      <c r="Q85" s="134">
        <f t="shared" si="13"/>
        <v>0</v>
      </c>
    </row>
    <row r="86" spans="4:17" x14ac:dyDescent="0.3">
      <c r="D86" s="429" t="str">
        <f>Count_BA!D25</f>
        <v>Area_Counts Category 17</v>
      </c>
      <c r="E86" s="435"/>
      <c r="F86" s="435"/>
      <c r="G86" s="435"/>
      <c r="H86" s="378"/>
      <c r="I86" s="118">
        <v>0</v>
      </c>
      <c r="J86" s="213">
        <f>Count_BA!K25</f>
        <v>0</v>
      </c>
      <c r="K86" s="213">
        <f>Count_BA!L25</f>
        <v>0</v>
      </c>
      <c r="L86" s="213">
        <f>Count_BA!M25</f>
        <v>0</v>
      </c>
      <c r="M86" s="124">
        <f t="shared" si="11"/>
        <v>0</v>
      </c>
      <c r="N86" s="213">
        <f>Count_BA!I25</f>
        <v>0</v>
      </c>
      <c r="O86" s="314">
        <f t="shared" si="12"/>
        <v>0</v>
      </c>
      <c r="Q86" s="134">
        <f t="shared" si="13"/>
        <v>0</v>
      </c>
    </row>
    <row r="87" spans="4:17" x14ac:dyDescent="0.3">
      <c r="D87" s="429" t="str">
        <f>Count_BA!D26</f>
        <v>Area_Counts Category 18</v>
      </c>
      <c r="E87" s="435"/>
      <c r="F87" s="435"/>
      <c r="G87" s="435"/>
      <c r="H87" s="378"/>
      <c r="I87" s="118">
        <v>0</v>
      </c>
      <c r="J87" s="213">
        <f>Count_BA!K26</f>
        <v>0</v>
      </c>
      <c r="K87" s="213">
        <f>Count_BA!L26</f>
        <v>0</v>
      </c>
      <c r="L87" s="213">
        <f>Count_BA!M26</f>
        <v>0</v>
      </c>
      <c r="M87" s="124">
        <f t="shared" si="11"/>
        <v>0</v>
      </c>
      <c r="N87" s="213">
        <f>Count_BA!I26</f>
        <v>0</v>
      </c>
      <c r="O87" s="314">
        <f t="shared" si="12"/>
        <v>0</v>
      </c>
      <c r="Q87" s="134">
        <f t="shared" si="13"/>
        <v>0</v>
      </c>
    </row>
    <row r="88" spans="4:17" x14ac:dyDescent="0.3">
      <c r="D88" s="429" t="str">
        <f>Count_BA!D27</f>
        <v>Area_Counts Category 19</v>
      </c>
      <c r="E88" s="435"/>
      <c r="F88" s="435"/>
      <c r="G88" s="435"/>
      <c r="H88" s="378"/>
      <c r="I88" s="118">
        <v>0</v>
      </c>
      <c r="J88" s="213">
        <f>Count_BA!K27</f>
        <v>0</v>
      </c>
      <c r="K88" s="213">
        <f>Count_BA!L27</f>
        <v>0</v>
      </c>
      <c r="L88" s="213">
        <f>Count_BA!M27</f>
        <v>0</v>
      </c>
      <c r="M88" s="124">
        <f t="shared" si="11"/>
        <v>0</v>
      </c>
      <c r="N88" s="213">
        <f>Count_BA!I27</f>
        <v>0</v>
      </c>
      <c r="O88" s="314">
        <f t="shared" si="12"/>
        <v>0</v>
      </c>
      <c r="Q88" s="134">
        <f t="shared" si="13"/>
        <v>0</v>
      </c>
    </row>
    <row r="89" spans="4:17" x14ac:dyDescent="0.3">
      <c r="D89" s="429" t="str">
        <f>Count_BA!D28</f>
        <v>Area_Counts Category 20</v>
      </c>
      <c r="E89" s="435"/>
      <c r="F89" s="435"/>
      <c r="G89" s="435"/>
      <c r="H89" s="378"/>
      <c r="I89" s="118">
        <v>0</v>
      </c>
      <c r="J89" s="213">
        <f>Count_BA!K28</f>
        <v>0</v>
      </c>
      <c r="K89" s="213">
        <f>Count_BA!L28</f>
        <v>0</v>
      </c>
      <c r="L89" s="213">
        <f>Count_BA!M28</f>
        <v>0</v>
      </c>
      <c r="M89" s="124">
        <f t="shared" si="11"/>
        <v>0</v>
      </c>
      <c r="N89" s="213">
        <f>Count_BA!I28</f>
        <v>0</v>
      </c>
      <c r="O89" s="314">
        <f t="shared" si="12"/>
        <v>0</v>
      </c>
      <c r="Q89" s="134">
        <f t="shared" si="13"/>
        <v>0</v>
      </c>
    </row>
    <row r="90" spans="4:17" x14ac:dyDescent="0.3">
      <c r="D90" s="429" t="str">
        <f>Count_BA!D29</f>
        <v>Area_Counts Category 21</v>
      </c>
      <c r="E90" s="435"/>
      <c r="F90" s="435"/>
      <c r="G90" s="435"/>
      <c r="H90" s="378"/>
      <c r="I90" s="118">
        <v>0</v>
      </c>
      <c r="J90" s="213">
        <f>Count_BA!K29</f>
        <v>0</v>
      </c>
      <c r="K90" s="213">
        <f>Count_BA!L29</f>
        <v>0</v>
      </c>
      <c r="L90" s="213">
        <f>Count_BA!M29</f>
        <v>0</v>
      </c>
      <c r="M90" s="124">
        <f t="shared" si="11"/>
        <v>0</v>
      </c>
      <c r="N90" s="213">
        <f>Count_BA!I29</f>
        <v>0</v>
      </c>
      <c r="O90" s="314">
        <f t="shared" si="12"/>
        <v>0</v>
      </c>
      <c r="Q90" s="134">
        <f t="shared" si="13"/>
        <v>0</v>
      </c>
    </row>
    <row r="91" spans="4:17" x14ac:dyDescent="0.3">
      <c r="D91" s="429" t="str">
        <f>Count_BA!D30</f>
        <v>Area_Counts Category 22</v>
      </c>
      <c r="E91" s="435"/>
      <c r="F91" s="435"/>
      <c r="G91" s="435"/>
      <c r="H91" s="378"/>
      <c r="I91" s="118">
        <v>0</v>
      </c>
      <c r="J91" s="213">
        <f>Count_BA!K30</f>
        <v>0</v>
      </c>
      <c r="K91" s="213">
        <f>Count_BA!L30</f>
        <v>0</v>
      </c>
      <c r="L91" s="213">
        <f>Count_BA!M30</f>
        <v>0</v>
      </c>
      <c r="M91" s="124">
        <f t="shared" si="11"/>
        <v>0</v>
      </c>
      <c r="N91" s="213">
        <f>Count_BA!I30</f>
        <v>0</v>
      </c>
      <c r="O91" s="314">
        <f t="shared" si="12"/>
        <v>0</v>
      </c>
      <c r="Q91" s="134">
        <f t="shared" si="13"/>
        <v>0</v>
      </c>
    </row>
    <row r="92" spans="4:17" x14ac:dyDescent="0.3">
      <c r="D92" s="429" t="str">
        <f>Count_BA!D31</f>
        <v>Area_Counts Category 23</v>
      </c>
      <c r="E92" s="435"/>
      <c r="F92" s="435"/>
      <c r="G92" s="435"/>
      <c r="H92" s="378"/>
      <c r="I92" s="118">
        <v>0</v>
      </c>
      <c r="J92" s="213">
        <f>Count_BA!K31</f>
        <v>0</v>
      </c>
      <c r="K92" s="213">
        <f>Count_BA!L31</f>
        <v>0</v>
      </c>
      <c r="L92" s="213">
        <f>Count_BA!M31</f>
        <v>0</v>
      </c>
      <c r="M92" s="124">
        <f t="shared" si="11"/>
        <v>0</v>
      </c>
      <c r="N92" s="213">
        <f>Count_BA!I31</f>
        <v>0</v>
      </c>
      <c r="O92" s="314">
        <f t="shared" si="12"/>
        <v>0</v>
      </c>
      <c r="Q92" s="134">
        <f t="shared" si="13"/>
        <v>0</v>
      </c>
    </row>
    <row r="93" spans="4:17" x14ac:dyDescent="0.3">
      <c r="D93" s="429" t="str">
        <f>Count_BA!D32</f>
        <v>Area_Counts Category 24</v>
      </c>
      <c r="E93" s="435"/>
      <c r="F93" s="435"/>
      <c r="G93" s="435"/>
      <c r="H93" s="378"/>
      <c r="I93" s="118">
        <v>0</v>
      </c>
      <c r="J93" s="213">
        <f>Count_BA!K32</f>
        <v>0</v>
      </c>
      <c r="K93" s="213">
        <f>Count_BA!L32</f>
        <v>0</v>
      </c>
      <c r="L93" s="213">
        <f>Count_BA!M32</f>
        <v>0</v>
      </c>
      <c r="M93" s="124">
        <f t="shared" si="11"/>
        <v>0</v>
      </c>
      <c r="N93" s="213">
        <f>Count_BA!I32</f>
        <v>0</v>
      </c>
      <c r="O93" s="314">
        <f t="shared" si="12"/>
        <v>0</v>
      </c>
      <c r="Q93" s="134">
        <f t="shared" si="13"/>
        <v>0</v>
      </c>
    </row>
    <row r="94" spans="4:17" x14ac:dyDescent="0.3">
      <c r="D94" s="429" t="str">
        <f>Count_BA!D33</f>
        <v>Area_Counts Category 25</v>
      </c>
      <c r="E94" s="435"/>
      <c r="F94" s="435"/>
      <c r="G94" s="435"/>
      <c r="H94" s="378"/>
      <c r="I94" s="118">
        <v>0</v>
      </c>
      <c r="J94" s="213">
        <f>Count_BA!K33</f>
        <v>0</v>
      </c>
      <c r="K94" s="213">
        <f>Count_BA!L33</f>
        <v>0</v>
      </c>
      <c r="L94" s="213">
        <f>Count_BA!M33</f>
        <v>0</v>
      </c>
      <c r="M94" s="124">
        <f t="shared" si="11"/>
        <v>0</v>
      </c>
      <c r="N94" s="213">
        <f>Count_BA!I33</f>
        <v>0</v>
      </c>
      <c r="O94" s="314">
        <f t="shared" si="12"/>
        <v>0</v>
      </c>
      <c r="Q94" s="134">
        <f t="shared" si="13"/>
        <v>0</v>
      </c>
    </row>
    <row r="95" spans="4:17" ht="14.4" x14ac:dyDescent="0.3">
      <c r="D95" s="427" t="s">
        <v>388</v>
      </c>
      <c r="E95" s="427"/>
      <c r="F95" s="427"/>
      <c r="G95" s="427"/>
      <c r="H95" s="427"/>
      <c r="I95" s="124">
        <f t="shared" ref="I95:N95" si="14">SUM(I70:I94)</f>
        <v>0</v>
      </c>
      <c r="J95" s="124">
        <f t="shared" si="14"/>
        <v>0</v>
      </c>
      <c r="K95" s="124">
        <f t="shared" si="14"/>
        <v>0</v>
      </c>
      <c r="L95" s="124">
        <f t="shared" si="14"/>
        <v>0</v>
      </c>
      <c r="M95" s="124">
        <f t="shared" si="14"/>
        <v>0</v>
      </c>
      <c r="N95" s="136">
        <f t="shared" si="14"/>
        <v>0</v>
      </c>
      <c r="O95" s="315">
        <f>IFERROR(N95/M95,0)</f>
        <v>0</v>
      </c>
      <c r="Q95" s="316">
        <f>Q65</f>
        <v>0</v>
      </c>
    </row>
    <row r="97" spans="2:11" ht="18" x14ac:dyDescent="0.3">
      <c r="B97" s="49" t="s">
        <v>396</v>
      </c>
    </row>
    <row r="98" spans="2:11" ht="14.4" x14ac:dyDescent="0.3">
      <c r="D98" s="101" t="s">
        <v>372</v>
      </c>
      <c r="I98" s="59" t="s">
        <v>374</v>
      </c>
      <c r="J98" s="59" t="s">
        <v>375</v>
      </c>
      <c r="K98" s="59" t="s">
        <v>376</v>
      </c>
    </row>
    <row r="99" spans="2:11" x14ac:dyDescent="0.3">
      <c r="D99" s="434" t="str">
        <f>Count_BA!D9</f>
        <v>Area_Counts Category 1</v>
      </c>
      <c r="E99" s="434"/>
      <c r="F99" s="434"/>
      <c r="G99" s="434"/>
      <c r="H99" s="434"/>
      <c r="I99" s="102">
        <f>Count_BA!O9</f>
        <v>0</v>
      </c>
      <c r="J99" s="102">
        <f>Count_BA!P9</f>
        <v>0</v>
      </c>
      <c r="K99" s="102">
        <f>Count_BA!Q9</f>
        <v>0</v>
      </c>
    </row>
    <row r="100" spans="2:11" x14ac:dyDescent="0.3">
      <c r="D100" s="434" t="str">
        <f>Count_BA!D10</f>
        <v>Area_Counts Category 2</v>
      </c>
      <c r="E100" s="434"/>
      <c r="F100" s="434"/>
      <c r="G100" s="434"/>
      <c r="H100" s="434"/>
      <c r="I100" s="102">
        <f>Count_BA!O10</f>
        <v>0</v>
      </c>
      <c r="J100" s="102">
        <f>Count_BA!P10</f>
        <v>0</v>
      </c>
      <c r="K100" s="102">
        <f>Count_BA!Q10</f>
        <v>0</v>
      </c>
    </row>
    <row r="101" spans="2:11" x14ac:dyDescent="0.3">
      <c r="D101" s="434" t="str">
        <f>Count_BA!D11</f>
        <v>Area_Counts Category 3</v>
      </c>
      <c r="E101" s="434"/>
      <c r="F101" s="434"/>
      <c r="G101" s="434"/>
      <c r="H101" s="434"/>
      <c r="I101" s="102">
        <f>Count_BA!O11</f>
        <v>0</v>
      </c>
      <c r="J101" s="102">
        <f>Count_BA!P11</f>
        <v>0</v>
      </c>
      <c r="K101" s="102">
        <f>Count_BA!Q11</f>
        <v>0</v>
      </c>
    </row>
    <row r="102" spans="2:11" x14ac:dyDescent="0.3">
      <c r="D102" s="434" t="str">
        <f>Count_BA!D12</f>
        <v>Area_Counts Category 4</v>
      </c>
      <c r="E102" s="434"/>
      <c r="F102" s="434"/>
      <c r="G102" s="434"/>
      <c r="H102" s="434"/>
      <c r="I102" s="102">
        <f>Count_BA!O12</f>
        <v>0</v>
      </c>
      <c r="J102" s="102">
        <f>Count_BA!P12</f>
        <v>0</v>
      </c>
      <c r="K102" s="102">
        <f>Count_BA!Q12</f>
        <v>0</v>
      </c>
    </row>
    <row r="103" spans="2:11" x14ac:dyDescent="0.3">
      <c r="D103" s="434" t="str">
        <f>Count_BA!D13</f>
        <v>Area_Counts Category 5</v>
      </c>
      <c r="E103" s="434"/>
      <c r="F103" s="434"/>
      <c r="G103" s="434"/>
      <c r="H103" s="434"/>
      <c r="I103" s="102">
        <f>Count_BA!O13</f>
        <v>0</v>
      </c>
      <c r="J103" s="102">
        <f>Count_BA!P13</f>
        <v>0</v>
      </c>
      <c r="K103" s="102">
        <f>Count_BA!Q13</f>
        <v>0</v>
      </c>
    </row>
    <row r="104" spans="2:11" x14ac:dyDescent="0.3">
      <c r="D104" s="434" t="str">
        <f>Count_BA!D14</f>
        <v>Area_Counts Category 6</v>
      </c>
      <c r="E104" s="434"/>
      <c r="F104" s="434"/>
      <c r="G104" s="434"/>
      <c r="H104" s="434"/>
      <c r="I104" s="102">
        <f>Count_BA!O14</f>
        <v>0</v>
      </c>
      <c r="J104" s="102">
        <f>Count_BA!P14</f>
        <v>0</v>
      </c>
      <c r="K104" s="102">
        <f>Count_BA!Q14</f>
        <v>0</v>
      </c>
    </row>
    <row r="105" spans="2:11" x14ac:dyDescent="0.3">
      <c r="D105" s="434" t="str">
        <f>Count_BA!D15</f>
        <v>Area_Counts Category 7</v>
      </c>
      <c r="E105" s="434"/>
      <c r="F105" s="434"/>
      <c r="G105" s="434"/>
      <c r="H105" s="434"/>
      <c r="I105" s="102">
        <f>Count_BA!O15</f>
        <v>0</v>
      </c>
      <c r="J105" s="102">
        <f>Count_BA!P15</f>
        <v>0</v>
      </c>
      <c r="K105" s="102">
        <f>Count_BA!Q15</f>
        <v>0</v>
      </c>
    </row>
    <row r="106" spans="2:11" x14ac:dyDescent="0.3">
      <c r="D106" s="434" t="str">
        <f>Count_BA!D16</f>
        <v>Area_Counts Category 8</v>
      </c>
      <c r="E106" s="434"/>
      <c r="F106" s="434"/>
      <c r="G106" s="434"/>
      <c r="H106" s="434"/>
      <c r="I106" s="102">
        <f>Count_BA!O16</f>
        <v>0</v>
      </c>
      <c r="J106" s="102">
        <f>Count_BA!P16</f>
        <v>0</v>
      </c>
      <c r="K106" s="102">
        <f>Count_BA!Q16</f>
        <v>0</v>
      </c>
    </row>
    <row r="107" spans="2:11" x14ac:dyDescent="0.3">
      <c r="D107" s="434" t="str">
        <f>Count_BA!D17</f>
        <v>Area_Counts Category 9</v>
      </c>
      <c r="E107" s="434"/>
      <c r="F107" s="434"/>
      <c r="G107" s="434"/>
      <c r="H107" s="434"/>
      <c r="I107" s="102">
        <f>Count_BA!O17</f>
        <v>0</v>
      </c>
      <c r="J107" s="102">
        <f>Count_BA!P17</f>
        <v>0</v>
      </c>
      <c r="K107" s="102">
        <f>Count_BA!Q17</f>
        <v>0</v>
      </c>
    </row>
    <row r="108" spans="2:11" x14ac:dyDescent="0.3">
      <c r="D108" s="434" t="str">
        <f>Count_BA!D18</f>
        <v>Area_Counts Category 10</v>
      </c>
      <c r="E108" s="434"/>
      <c r="F108" s="434"/>
      <c r="G108" s="434"/>
      <c r="H108" s="434"/>
      <c r="I108" s="102">
        <f>Count_BA!O18</f>
        <v>0</v>
      </c>
      <c r="J108" s="102">
        <f>Count_BA!P18</f>
        <v>0</v>
      </c>
      <c r="K108" s="102">
        <f>Count_BA!Q18</f>
        <v>0</v>
      </c>
    </row>
    <row r="109" spans="2:11" x14ac:dyDescent="0.3">
      <c r="D109" s="429" t="str">
        <f>Count_BA!D19</f>
        <v>Area_Counts Category 11</v>
      </c>
      <c r="E109" s="429"/>
      <c r="F109" s="429"/>
      <c r="G109" s="429"/>
      <c r="H109" s="429"/>
      <c r="I109" s="212">
        <f>Count_BA!O19</f>
        <v>0</v>
      </c>
      <c r="J109" s="212">
        <f>Count_BA!P19</f>
        <v>0</v>
      </c>
      <c r="K109" s="212">
        <f>Count_BA!Q19</f>
        <v>0</v>
      </c>
    </row>
    <row r="110" spans="2:11" x14ac:dyDescent="0.3">
      <c r="D110" s="429" t="str">
        <f>Count_BA!D20</f>
        <v>Area_Counts Category 12</v>
      </c>
      <c r="E110" s="429"/>
      <c r="F110" s="429"/>
      <c r="G110" s="429"/>
      <c r="H110" s="429"/>
      <c r="I110" s="212">
        <f>Count_BA!O20</f>
        <v>0</v>
      </c>
      <c r="J110" s="212">
        <f>Count_BA!P20</f>
        <v>0</v>
      </c>
      <c r="K110" s="212">
        <f>Count_BA!Q20</f>
        <v>0</v>
      </c>
    </row>
    <row r="111" spans="2:11" x14ac:dyDescent="0.3">
      <c r="D111" s="429" t="str">
        <f>Count_BA!D21</f>
        <v>Area_Counts Category 13</v>
      </c>
      <c r="E111" s="435"/>
      <c r="F111" s="435"/>
      <c r="G111" s="435"/>
      <c r="H111" s="435"/>
      <c r="I111" s="212">
        <f>Count_BA!O21</f>
        <v>0</v>
      </c>
      <c r="J111" s="212">
        <f>Count_BA!P21</f>
        <v>0</v>
      </c>
      <c r="K111" s="212">
        <f>Count_BA!Q21</f>
        <v>0</v>
      </c>
    </row>
    <row r="112" spans="2:11" x14ac:dyDescent="0.3">
      <c r="D112" s="429" t="str">
        <f>Count_BA!D22</f>
        <v>Area_Counts Category 14</v>
      </c>
      <c r="E112" s="435"/>
      <c r="F112" s="435"/>
      <c r="G112" s="435"/>
      <c r="H112" s="435"/>
      <c r="I112" s="212">
        <f>Count_BA!O22</f>
        <v>0</v>
      </c>
      <c r="J112" s="212">
        <f>Count_BA!P22</f>
        <v>0</v>
      </c>
      <c r="K112" s="212">
        <f>Count_BA!Q22</f>
        <v>0</v>
      </c>
    </row>
    <row r="113" spans="4:11" x14ac:dyDescent="0.3">
      <c r="D113" s="429" t="str">
        <f>Count_BA!D23</f>
        <v>Area_Counts Category 15</v>
      </c>
      <c r="E113" s="435"/>
      <c r="F113" s="435"/>
      <c r="G113" s="435"/>
      <c r="H113" s="435"/>
      <c r="I113" s="212">
        <f>Count_BA!O23</f>
        <v>0</v>
      </c>
      <c r="J113" s="212">
        <f>Count_BA!P23</f>
        <v>0</v>
      </c>
      <c r="K113" s="212">
        <f>Count_BA!Q23</f>
        <v>0</v>
      </c>
    </row>
    <row r="114" spans="4:11" x14ac:dyDescent="0.3">
      <c r="D114" s="429" t="str">
        <f>Count_BA!D24</f>
        <v>Area_Counts Category 16</v>
      </c>
      <c r="E114" s="435"/>
      <c r="F114" s="435"/>
      <c r="G114" s="435"/>
      <c r="H114" s="435"/>
      <c r="I114" s="212">
        <f>Count_BA!O24</f>
        <v>0</v>
      </c>
      <c r="J114" s="212">
        <f>Count_BA!P24</f>
        <v>0</v>
      </c>
      <c r="K114" s="212">
        <f>Count_BA!Q24</f>
        <v>0</v>
      </c>
    </row>
    <row r="115" spans="4:11" x14ac:dyDescent="0.3">
      <c r="D115" s="429" t="str">
        <f>Count_BA!D25</f>
        <v>Area_Counts Category 17</v>
      </c>
      <c r="E115" s="435"/>
      <c r="F115" s="435"/>
      <c r="G115" s="435"/>
      <c r="H115" s="435"/>
      <c r="I115" s="212">
        <f>Count_BA!O25</f>
        <v>0</v>
      </c>
      <c r="J115" s="212">
        <f>Count_BA!P25</f>
        <v>0</v>
      </c>
      <c r="K115" s="212">
        <f>Count_BA!Q25</f>
        <v>0</v>
      </c>
    </row>
    <row r="116" spans="4:11" x14ac:dyDescent="0.3">
      <c r="D116" s="429" t="str">
        <f>Count_BA!D26</f>
        <v>Area_Counts Category 18</v>
      </c>
      <c r="E116" s="435"/>
      <c r="F116" s="435"/>
      <c r="G116" s="435"/>
      <c r="H116" s="435"/>
      <c r="I116" s="212">
        <f>Count_BA!O26</f>
        <v>0</v>
      </c>
      <c r="J116" s="212">
        <f>Count_BA!P26</f>
        <v>0</v>
      </c>
      <c r="K116" s="212">
        <f>Count_BA!Q26</f>
        <v>0</v>
      </c>
    </row>
    <row r="117" spans="4:11" x14ac:dyDescent="0.3">
      <c r="D117" s="429" t="str">
        <f>Count_BA!D27</f>
        <v>Area_Counts Category 19</v>
      </c>
      <c r="E117" s="435"/>
      <c r="F117" s="435"/>
      <c r="G117" s="435"/>
      <c r="H117" s="435"/>
      <c r="I117" s="212">
        <f>Count_BA!O27</f>
        <v>0</v>
      </c>
      <c r="J117" s="212">
        <f>Count_BA!P27</f>
        <v>0</v>
      </c>
      <c r="K117" s="212">
        <f>Count_BA!Q27</f>
        <v>0</v>
      </c>
    </row>
    <row r="118" spans="4:11" x14ac:dyDescent="0.3">
      <c r="D118" s="429" t="str">
        <f>Count_BA!D28</f>
        <v>Area_Counts Category 20</v>
      </c>
      <c r="E118" s="435"/>
      <c r="F118" s="435"/>
      <c r="G118" s="435"/>
      <c r="H118" s="435"/>
      <c r="I118" s="212">
        <f>Count_BA!O28</f>
        <v>0</v>
      </c>
      <c r="J118" s="212">
        <f>Count_BA!P28</f>
        <v>0</v>
      </c>
      <c r="K118" s="212">
        <f>Count_BA!Q28</f>
        <v>0</v>
      </c>
    </row>
    <row r="119" spans="4:11" x14ac:dyDescent="0.3">
      <c r="D119" s="429" t="str">
        <f>Count_BA!D29</f>
        <v>Area_Counts Category 21</v>
      </c>
      <c r="E119" s="435"/>
      <c r="F119" s="435"/>
      <c r="G119" s="435"/>
      <c r="H119" s="435"/>
      <c r="I119" s="212">
        <f>Count_BA!O29</f>
        <v>0</v>
      </c>
      <c r="J119" s="212">
        <f>Count_BA!P29</f>
        <v>0</v>
      </c>
      <c r="K119" s="212">
        <f>Count_BA!Q29</f>
        <v>0</v>
      </c>
    </row>
    <row r="120" spans="4:11" x14ac:dyDescent="0.3">
      <c r="D120" s="429" t="str">
        <f>Count_BA!D30</f>
        <v>Area_Counts Category 22</v>
      </c>
      <c r="E120" s="435"/>
      <c r="F120" s="435"/>
      <c r="G120" s="435"/>
      <c r="H120" s="435"/>
      <c r="I120" s="212">
        <f>Count_BA!O30</f>
        <v>0</v>
      </c>
      <c r="J120" s="212">
        <f>Count_BA!P30</f>
        <v>0</v>
      </c>
      <c r="K120" s="212">
        <f>Count_BA!Q30</f>
        <v>0</v>
      </c>
    </row>
    <row r="121" spans="4:11" x14ac:dyDescent="0.3">
      <c r="D121" s="429" t="str">
        <f>Count_BA!D31</f>
        <v>Area_Counts Category 23</v>
      </c>
      <c r="E121" s="435"/>
      <c r="F121" s="435"/>
      <c r="G121" s="435"/>
      <c r="H121" s="435"/>
      <c r="I121" s="212">
        <f>Count_BA!O31</f>
        <v>0</v>
      </c>
      <c r="J121" s="212">
        <f>Count_BA!P31</f>
        <v>0</v>
      </c>
      <c r="K121" s="212">
        <f>Count_BA!Q31</f>
        <v>0</v>
      </c>
    </row>
    <row r="122" spans="4:11" x14ac:dyDescent="0.3">
      <c r="D122" s="429" t="str">
        <f>Count_BA!D32</f>
        <v>Area_Counts Category 24</v>
      </c>
      <c r="E122" s="435"/>
      <c r="F122" s="435"/>
      <c r="G122" s="435"/>
      <c r="H122" s="435"/>
      <c r="I122" s="212">
        <f>Count_BA!O32</f>
        <v>0</v>
      </c>
      <c r="J122" s="212">
        <f>Count_BA!P32</f>
        <v>0</v>
      </c>
      <c r="K122" s="212">
        <f>Count_BA!Q32</f>
        <v>0</v>
      </c>
    </row>
    <row r="123" spans="4:11" x14ac:dyDescent="0.3">
      <c r="D123" s="429" t="str">
        <f>Count_BA!D33</f>
        <v>Area_Counts Category 25</v>
      </c>
      <c r="E123" s="435"/>
      <c r="F123" s="435"/>
      <c r="G123" s="435"/>
      <c r="H123" s="435"/>
      <c r="I123" s="212">
        <f>Count_BA!O33</f>
        <v>0</v>
      </c>
      <c r="J123" s="212">
        <f>Count_BA!P33</f>
        <v>0</v>
      </c>
      <c r="K123" s="212">
        <f>Count_BA!Q33</f>
        <v>0</v>
      </c>
    </row>
    <row r="136" spans="3:9" x14ac:dyDescent="0.3">
      <c r="C136" s="436" t="str">
        <f>"Go to "&amp;HL_Count_Ass</f>
        <v>Go to Counts - Assumptions</v>
      </c>
      <c r="D136" s="436"/>
      <c r="E136" s="436"/>
      <c r="F136" s="436"/>
      <c r="G136" s="436"/>
      <c r="H136" s="436"/>
      <c r="I136" s="436"/>
    </row>
    <row r="137" spans="3:9" x14ac:dyDescent="0.3">
      <c r="C137" s="436" t="str">
        <f>"Go to "&amp;HL_Count_Ass_A</f>
        <v>Go to Counts - Assumptions</v>
      </c>
      <c r="D137" s="436"/>
      <c r="E137" s="436"/>
      <c r="F137" s="436"/>
      <c r="G137" s="436"/>
      <c r="H137" s="436"/>
      <c r="I137" s="436"/>
    </row>
    <row r="138" spans="3:9" x14ac:dyDescent="0.3">
      <c r="C138" s="436" t="str">
        <f>"Go to "&amp;HL_Count_Out_A</f>
        <v>Go to Counts - Outputs</v>
      </c>
      <c r="D138" s="436"/>
      <c r="E138" s="436"/>
      <c r="F138" s="436"/>
      <c r="G138" s="436"/>
      <c r="H138" s="436"/>
      <c r="I138" s="436"/>
    </row>
  </sheetData>
  <sheetProtection algorithmName="SHA-512" hashValue="g2Avvym2R12W+Za3NuubTdP0hOWHoFH1dVcK/Ia6tlu5Gg/eKywPNjavYA1vDAXRcUWN4IwNgAn7ND/+qADGHQ==" saltValue="In8FLq7vHdmlX+zVjyjzZg==" spinCount="100000" sheet="1" objects="1" scenarios="1" formatColumns="0" formatRows="0"/>
  <mergeCells count="85">
    <mergeCell ref="D119:H119"/>
    <mergeCell ref="D59:H59"/>
    <mergeCell ref="D89:H89"/>
    <mergeCell ref="D118:H118"/>
    <mergeCell ref="D58:H58"/>
    <mergeCell ref="D88:H88"/>
    <mergeCell ref="D117:H117"/>
    <mergeCell ref="D87:H87"/>
    <mergeCell ref="D116:H116"/>
    <mergeCell ref="D110:H110"/>
    <mergeCell ref="D115:H115"/>
    <mergeCell ref="D82:H82"/>
    <mergeCell ref="D111:H111"/>
    <mergeCell ref="D64:H64"/>
    <mergeCell ref="D94:H94"/>
    <mergeCell ref="D61:H61"/>
    <mergeCell ref="D123:H123"/>
    <mergeCell ref="D63:H63"/>
    <mergeCell ref="D93:H93"/>
    <mergeCell ref="D122:H122"/>
    <mergeCell ref="D62:H62"/>
    <mergeCell ref="D92:H92"/>
    <mergeCell ref="D121:H121"/>
    <mergeCell ref="D91:H91"/>
    <mergeCell ref="D120:H120"/>
    <mergeCell ref="D85:H85"/>
    <mergeCell ref="D114:H114"/>
    <mergeCell ref="D84:H84"/>
    <mergeCell ref="D113:H113"/>
    <mergeCell ref="D83:H83"/>
    <mergeCell ref="D112:H112"/>
    <mergeCell ref="D90:H90"/>
    <mergeCell ref="D55:H55"/>
    <mergeCell ref="D54:H54"/>
    <mergeCell ref="D53:H53"/>
    <mergeCell ref="D60:H60"/>
    <mergeCell ref="D57:H57"/>
    <mergeCell ref="B3:F3"/>
    <mergeCell ref="C136:I136"/>
    <mergeCell ref="C137:I137"/>
    <mergeCell ref="D49:H49"/>
    <mergeCell ref="D74:H74"/>
    <mergeCell ref="D75:H75"/>
    <mergeCell ref="D107:H107"/>
    <mergeCell ref="D108:H108"/>
    <mergeCell ref="D101:H101"/>
    <mergeCell ref="D102:H102"/>
    <mergeCell ref="D103:H103"/>
    <mergeCell ref="D104:H104"/>
    <mergeCell ref="D105:H105"/>
    <mergeCell ref="D50:H50"/>
    <mergeCell ref="D80:H80"/>
    <mergeCell ref="D109:H109"/>
    <mergeCell ref="C138:I138"/>
    <mergeCell ref="D40:H40"/>
    <mergeCell ref="D41:H41"/>
    <mergeCell ref="D42:H42"/>
    <mergeCell ref="D43:H43"/>
    <mergeCell ref="D44:H44"/>
    <mergeCell ref="D45:H45"/>
    <mergeCell ref="D46:H46"/>
    <mergeCell ref="D47:H47"/>
    <mergeCell ref="D48:H48"/>
    <mergeCell ref="D78:H78"/>
    <mergeCell ref="D79:H79"/>
    <mergeCell ref="D99:H99"/>
    <mergeCell ref="D73:H73"/>
    <mergeCell ref="D106:H106"/>
    <mergeCell ref="D51:H51"/>
    <mergeCell ref="P7:Q7"/>
    <mergeCell ref="K38:L38"/>
    <mergeCell ref="P38:Q38"/>
    <mergeCell ref="D95:H95"/>
    <mergeCell ref="D100:H100"/>
    <mergeCell ref="D76:H76"/>
    <mergeCell ref="D77:H77"/>
    <mergeCell ref="K7:L7"/>
    <mergeCell ref="D65:H65"/>
    <mergeCell ref="D70:H70"/>
    <mergeCell ref="D71:H71"/>
    <mergeCell ref="D72:H72"/>
    <mergeCell ref="D81:H81"/>
    <mergeCell ref="D56:H56"/>
    <mergeCell ref="D86:H86"/>
    <mergeCell ref="D52:H52"/>
  </mergeCells>
  <hyperlinks>
    <hyperlink ref="A4" location="$B$5" tooltip="Go to Top of Sheet" display="$B$5" xr:uid="{00000000-0004-0000-1600-000000000000}"/>
    <hyperlink ref="B4" location="HL_Sheet_Main_12" tooltip="Go to Previous Sheet" display="HL_Sheet_Main_12" xr:uid="{00000000-0004-0000-1600-000001000000}"/>
    <hyperlink ref="C136:I136" location="HL_Count_Ass" tooltip="Click to follow hyperlink." display="HL_Count_Ass" xr:uid="{00000000-0004-0000-1600-000002000000}"/>
    <hyperlink ref="C137:I137" location="HL_Count_Ass_A" tooltip="Click to follow hyperlink." display="HL_Count_Ass_A" xr:uid="{00000000-0004-0000-1600-000003000000}"/>
    <hyperlink ref="C138:I138" location="HL_Count_Out_A" tooltip="Click to follow hyperlink." display="HL_Count_Out_A" xr:uid="{00000000-0004-0000-1600-000004000000}"/>
    <hyperlink ref="C4" location="HL_Sheet_Main_51" tooltip="Go to Next Sheet" display="HL_Sheet_Main_51" xr:uid="{00000000-0004-0000-1600-000005000000}"/>
    <hyperlink ref="B3" location="HL_Home" tooltip="Go to Table of Contents" display="HL_Home" xr:uid="{00000000-0004-0000-1600-000006000000}"/>
    <hyperlink ref="D4" location="HL_Err_Chk" tooltip="Go to Error Checks" display="HL_Err_Chk" xr:uid="{00000000-0004-0000-1600-000007000000}"/>
    <hyperlink ref="F4" location="HL_Alt_Chk" tooltip="Go to Alert Checks" display="HL_Alt_Chk" xr:uid="{00000000-0004-0000-1600-000008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pageSetUpPr autoPageBreaks="0"/>
  </sheetPr>
  <dimension ref="A1:S24"/>
  <sheetViews>
    <sheetView showGridLines="0" zoomScaleNormal="100" workbookViewId="0">
      <pane xSplit="1" ySplit="4" topLeftCell="B5" activePane="bottomRight" state="frozen"/>
      <selection pane="topRight" activeCell="B1" sqref="B1"/>
      <selection pane="bottomLeft" activeCell="A5" sqref="A5"/>
      <selection pane="bottomRight" activeCell="L16" sqref="L16"/>
    </sheetView>
  </sheetViews>
  <sheetFormatPr defaultColWidth="11.6640625" defaultRowHeight="13.8" outlineLevelRow="1" x14ac:dyDescent="0.3"/>
  <cols>
    <col min="1" max="5" width="3.6640625" customWidth="1"/>
    <col min="10" max="10" width="14.6640625" customWidth="1"/>
    <col min="11" max="11" width="2.109375" customWidth="1"/>
    <col min="12" max="12" width="13.44140625" customWidth="1"/>
    <col min="13" max="14" width="1.88671875" customWidth="1"/>
    <col min="15" max="15" width="14.6640625" bestFit="1" customWidth="1"/>
    <col min="16" max="16" width="1.5546875" customWidth="1"/>
    <col min="17" max="17" width="14.6640625" bestFit="1" customWidth="1"/>
  </cols>
  <sheetData>
    <row r="1" spans="1:17" ht="23.4" x14ac:dyDescent="0.3">
      <c r="B1" s="274" t="s">
        <v>400</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26</v>
      </c>
    </row>
    <row r="7" spans="1:17" ht="18" x14ac:dyDescent="0.3">
      <c r="B7" s="49" t="s">
        <v>659</v>
      </c>
    </row>
    <row r="8" spans="1:17" ht="14.4" x14ac:dyDescent="0.3">
      <c r="C8" s="50" t="str">
        <f>VACC_BA!B99</f>
        <v xml:space="preserve">Vaccine Procurement and Shipment to Field HQ (Using Retrospective Costing) </v>
      </c>
    </row>
    <row r="9" spans="1:17" ht="27.6" x14ac:dyDescent="0.3">
      <c r="J9" s="51" t="str">
        <f>"FINANCIAL COST ("&amp;HL_Vacc_Applied_Currency&amp;")"</f>
        <v>FINANCIAL COST (GOZ)</v>
      </c>
      <c r="L9" s="51" t="str">
        <f>"ECONOMIC COST ("&amp;HL_Vacc_Applied_Currency&amp;")"</f>
        <v>ECONOMIC COST (GOZ)</v>
      </c>
      <c r="O9" s="51" t="str">
        <f>"FINANCIAL COST ("&amp;IF(HL_Vacc_Applied_Currency=Vacc_LU!$D$18,Vacc_LU!$D$19,Vacc_LU!$D$18)&amp;")"</f>
        <v>FINANCIAL COST (USD)</v>
      </c>
      <c r="Q9" s="51" t="str">
        <f>"ECONOMIC COST ("&amp;IF(HL_Vacc_Applied_Currency=Vacc_LU!$D$18,Vacc_LU!$D$19,Vacc_LU!$D$18)&amp;")"</f>
        <v>ECONOMIC COST (USD)</v>
      </c>
    </row>
    <row r="11" spans="1:17" x14ac:dyDescent="0.3">
      <c r="C11" s="59" t="s">
        <v>506</v>
      </c>
      <c r="J11" s="154">
        <f>VACC_BA!K54</f>
        <v>0</v>
      </c>
      <c r="L11" s="154">
        <f>VACC_BA!L54</f>
        <v>0</v>
      </c>
      <c r="O11" s="318">
        <f>IFERROR(IF(HL_Vacc_Applied_Currency=Vacc_LU!$D$18,J11*$I$23,J11/$I$23), 0)</f>
        <v>0</v>
      </c>
      <c r="Q11" s="318">
        <f>IFERROR(IF(HL_Vacc_Applied_Currency=Vacc_LU!$D$18,L11*$I$23,L11/$I$23), 0)</f>
        <v>0</v>
      </c>
    </row>
    <row r="12" spans="1:17" x14ac:dyDescent="0.3">
      <c r="C12" s="59" t="s">
        <v>507</v>
      </c>
      <c r="J12" s="154">
        <f>IF(HL_Vacc_Sel_Pros_Retro=Vacc_LU!$D$12,VACC_BA!K97,VACC_BA!N97)</f>
        <v>0</v>
      </c>
      <c r="L12" s="154">
        <f>IF(HL_Vacc_Sel_Pros_Retro=Vacc_LU!$D$12,VACC_BA!L97,VACC_BA!O97)</f>
        <v>0</v>
      </c>
      <c r="O12" s="318">
        <f>IFERROR(IF(HL_Vacc_Applied_Currency=Vacc_LU!$D$18,J12*$I$23,J12/$I$23), 0)</f>
        <v>0</v>
      </c>
      <c r="Q12" s="318">
        <f>IFERROR(IF(HL_Vacc_Applied_Currency=Vacc_LU!$D$18,L12*$I$23,L12/$I$23), 0)</f>
        <v>0</v>
      </c>
    </row>
    <row r="13" spans="1:17" x14ac:dyDescent="0.3">
      <c r="C13" s="59" t="s">
        <v>505</v>
      </c>
      <c r="J13" s="162">
        <f>J11+J12</f>
        <v>0</v>
      </c>
      <c r="L13" s="162">
        <f>L11+L12</f>
        <v>0</v>
      </c>
      <c r="O13" s="319">
        <f>IFERROR(IF(HL_Vacc_Applied_Currency=Vacc_LU!$D$18,J13*$I$23,J13/$I$23), 0)</f>
        <v>0</v>
      </c>
      <c r="Q13" s="319">
        <f>IFERROR(IF(HL_Vacc_Applied_Currency=Vacc_LU!$D$18,L13*$I$23,L13/$I$23), 0)</f>
        <v>0</v>
      </c>
    </row>
    <row r="14" spans="1:17" x14ac:dyDescent="0.3">
      <c r="G14" s="100" t="s">
        <v>518</v>
      </c>
      <c r="H14" s="53">
        <f>IF(HL_Vacc_Sel_Pros_Retro=Vacc_LU!$D$12,HL_Vacc_NET_PROC_PROSP,HL_Vacc_NET_PROC_REQ_RETRO)</f>
        <v>0</v>
      </c>
    </row>
    <row r="15" spans="1:17" ht="14.4" thickBot="1" x14ac:dyDescent="0.35">
      <c r="C15" s="59" t="s">
        <v>519</v>
      </c>
      <c r="J15" s="56">
        <f>$H14*J13</f>
        <v>0</v>
      </c>
      <c r="L15" s="56">
        <f>$H14*L13</f>
        <v>0</v>
      </c>
      <c r="O15" s="56">
        <f>$H14*O13</f>
        <v>0</v>
      </c>
      <c r="Q15" s="56">
        <f>$H14*Q13</f>
        <v>0</v>
      </c>
    </row>
    <row r="16" spans="1:17" ht="14.4" hidden="1" thickTop="1" x14ac:dyDescent="0.3">
      <c r="C16" s="59" t="s">
        <v>509</v>
      </c>
      <c r="J16" s="53">
        <f>VACC_BA!N105</f>
        <v>0</v>
      </c>
      <c r="L16" s="53">
        <f>VACC_BA!O105</f>
        <v>0</v>
      </c>
      <c r="O16" s="53">
        <f>VACC_BA!Q105</f>
        <v>0</v>
      </c>
      <c r="Q16" s="53">
        <f>VACC_BA!R105</f>
        <v>0</v>
      </c>
    </row>
    <row r="17" spans="2:19" ht="14.4" thickTop="1" x14ac:dyDescent="0.3">
      <c r="B17" s="14"/>
      <c r="C17" s="14"/>
      <c r="D17" s="14"/>
      <c r="E17" s="14"/>
      <c r="F17" s="14"/>
      <c r="G17" s="14"/>
      <c r="H17" s="14"/>
      <c r="I17" s="14"/>
      <c r="J17" s="14"/>
      <c r="K17" s="14"/>
      <c r="L17" s="14"/>
      <c r="M17" s="14"/>
      <c r="N17" s="14"/>
      <c r="O17" s="14"/>
      <c r="P17" s="14"/>
      <c r="Q17" s="14"/>
      <c r="R17" s="14"/>
      <c r="S17" s="14"/>
    </row>
    <row r="18" spans="2:19" x14ac:dyDescent="0.3">
      <c r="C18" s="436" t="str">
        <f>"Go to "&amp;HL_Vacc_Ass</f>
        <v>Go to Vaccine - Assumptions</v>
      </c>
      <c r="D18" s="436"/>
      <c r="E18" s="436"/>
      <c r="F18" s="436"/>
      <c r="G18" s="436"/>
      <c r="H18" s="436"/>
      <c r="I18" s="436"/>
    </row>
    <row r="19" spans="2:19" x14ac:dyDescent="0.3">
      <c r="C19" s="436" t="str">
        <f>"Go to "&amp;HL_Vacc_Out_A</f>
        <v>Go to Vaccine - Outputs</v>
      </c>
      <c r="D19" s="436"/>
      <c r="E19" s="436"/>
      <c r="F19" s="436"/>
      <c r="G19" s="436"/>
      <c r="H19" s="436"/>
      <c r="I19" s="436"/>
    </row>
    <row r="21" spans="2:19" x14ac:dyDescent="0.3">
      <c r="B21" s="59" t="s">
        <v>591</v>
      </c>
    </row>
    <row r="22" spans="2:19" hidden="1" outlineLevel="1" x14ac:dyDescent="0.3">
      <c r="C22" s="52" t="str">
        <f>CURR_TA!D13</f>
        <v>USD</v>
      </c>
      <c r="I22" s="102">
        <f>CURR_TA!J13</f>
        <v>1</v>
      </c>
    </row>
    <row r="23" spans="2:19" hidden="1" outlineLevel="1" x14ac:dyDescent="0.3">
      <c r="C23" s="52" t="str">
        <f>CURR_TA!D14</f>
        <v>GOZ</v>
      </c>
      <c r="I23" s="102">
        <f>CURR_TA!J14</f>
        <v>0</v>
      </c>
    </row>
    <row r="24" spans="2:19" collapsed="1" x14ac:dyDescent="0.3"/>
  </sheetData>
  <sheetProtection algorithmName="SHA-512" hashValue="Pegpwwqt9uvnT64KylJBAWOwrFxOgOaSWtwgX/20487uV8uQNi4m++Cg+2ylFsqz+qPHmSf+XwHYGE0B1pbmAw==" saltValue="yy3JvqTYY1SPEjPpMzK/9w==" spinCount="100000" sheet="1" objects="1" scenarios="1" formatColumns="0" formatRows="0"/>
  <mergeCells count="3">
    <mergeCell ref="C19:I19"/>
    <mergeCell ref="C18:I18"/>
    <mergeCell ref="B3:F3"/>
  </mergeCells>
  <hyperlinks>
    <hyperlink ref="A4" location="$B$5" tooltip="Go to Top of Sheet" display="$B$5" xr:uid="{00000000-0004-0000-1700-000000000000}"/>
    <hyperlink ref="C18:I18" location="HL_Vacc_Ass" tooltip="Click to follow hyperlink." display="HL_Vacc_Ass" xr:uid="{00000000-0004-0000-1700-000001000000}"/>
    <hyperlink ref="C19:I19" location="HL_Vacc_Out_A" tooltip="Click to follow hyperlink." display="HL_Vacc_Out_A" xr:uid="{00000000-0004-0000-1700-000002000000}"/>
    <hyperlink ref="C4" location="HL_Sheet_Main_42" tooltip="Go to Next Sheet" display="HL_Sheet_Main_42" xr:uid="{00000000-0004-0000-1700-000003000000}"/>
    <hyperlink ref="B4" location="HL_Sheet_Main_4" tooltip="Go to Previous Sheet" display="HL_Sheet_Main_4" xr:uid="{00000000-0004-0000-1700-000004000000}"/>
    <hyperlink ref="B3" location="HL_Home" tooltip="Go to Table of Contents" display="HL_Home" xr:uid="{00000000-0004-0000-1700-000005000000}"/>
    <hyperlink ref="D4" location="HL_Err_Chk" tooltip="Go to Error Checks" display="HL_Err_Chk" xr:uid="{00000000-0004-0000-1700-000006000000}"/>
    <hyperlink ref="F4" location="HL_Alt_Chk" tooltip="Go to Alert Checks" display="HL_Alt_Chk" xr:uid="{00000000-0004-0000-1700-000007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8">
    <pageSetUpPr autoPageBreaks="0"/>
  </sheetPr>
  <dimension ref="A1:S32"/>
  <sheetViews>
    <sheetView showGridLines="0" zoomScaleNormal="100" workbookViewId="0">
      <pane xSplit="1" ySplit="4" topLeftCell="B5" activePane="bottomRight" state="frozen"/>
      <selection pane="topRight" activeCell="B1" sqref="B1"/>
      <selection pane="bottomLeft" activeCell="A5" sqref="A5"/>
      <selection pane="bottomRight" activeCell="Q28" sqref="Q28"/>
    </sheetView>
  </sheetViews>
  <sheetFormatPr defaultColWidth="11.6640625" defaultRowHeight="13.8" outlineLevelCol="1" x14ac:dyDescent="0.3"/>
  <cols>
    <col min="1" max="5" width="3.6640625" customWidth="1"/>
    <col min="10" max="10" width="11.6640625" customWidth="1" outlineLevel="1"/>
    <col min="11" max="11" width="3.44140625" customWidth="1" outlineLevel="1"/>
    <col min="12" max="12" width="11.6640625" customWidth="1" outlineLevel="1"/>
    <col min="13" max="13" width="3.109375" customWidth="1" outlineLevel="1"/>
    <col min="14" max="14" width="2.44140625" customWidth="1" outlineLevel="1"/>
    <col min="15" max="15" width="11.6640625" customWidth="1" outlineLevel="1"/>
    <col min="16" max="16" width="2.6640625" customWidth="1" outlineLevel="1"/>
    <col min="17" max="17" width="11.6640625" customWidth="1" outlineLevel="1"/>
  </cols>
  <sheetData>
    <row r="1" spans="1:17" ht="23.4" x14ac:dyDescent="0.3">
      <c r="B1" s="2" t="s">
        <v>658</v>
      </c>
    </row>
    <row r="2" spans="1:17" ht="18" x14ac:dyDescent="0.3">
      <c r="B2" s="6" t="str">
        <f>Model_Name</f>
        <v>Oral Cholera Vaccine Activity-Based Costing</v>
      </c>
      <c r="I2" s="254"/>
    </row>
    <row r="3" spans="1:17" x14ac:dyDescent="0.3">
      <c r="B3" s="331" t="s">
        <v>2</v>
      </c>
      <c r="C3" s="331"/>
      <c r="D3" s="331"/>
      <c r="E3" s="331"/>
      <c r="F3" s="331"/>
    </row>
    <row r="4" spans="1:17" x14ac:dyDescent="0.3">
      <c r="A4" s="7" t="s">
        <v>5</v>
      </c>
      <c r="B4" s="8" t="s">
        <v>10</v>
      </c>
      <c r="C4" s="9" t="s">
        <v>11</v>
      </c>
      <c r="D4" s="38" t="s">
        <v>25</v>
      </c>
      <c r="F4" s="39" t="s">
        <v>26</v>
      </c>
    </row>
    <row r="6" spans="1:17" ht="18" x14ac:dyDescent="0.3">
      <c r="B6" s="49" t="s">
        <v>123</v>
      </c>
    </row>
    <row r="8" spans="1:17" ht="14.4" x14ac:dyDescent="0.3">
      <c r="C8" s="50" t="str">
        <f>MICRO_BA!B7</f>
        <v>Microplanning Activity #1 [not in use]</v>
      </c>
    </row>
    <row r="9" spans="1:17" ht="27.6" x14ac:dyDescent="0.3">
      <c r="J9" s="51" t="str">
        <f>"FINANCIAL COST ("&amp;INDEX(LU_ACT_Meet_Curr,DD_ACT_Meet1_Curr)&amp;")"</f>
        <v>FINANCIAL COST (GOZ)</v>
      </c>
      <c r="L9" s="51" t="str">
        <f>"ECONOMIC COST ("&amp;INDEX(LU_ACT_Meet_Curr,DD_ACT_Meet1_Curr)&amp;")"</f>
        <v>ECONOMIC COST (GOZ)</v>
      </c>
      <c r="O9" s="51" t="str">
        <f>"FINANCIAL COST ("&amp;IF(DD_ACT_Meet1_Curr=2,MICRO_BA!$D$165,MICRO_BA!$D$166)&amp;")"</f>
        <v>FINANCIAL COST (USD)</v>
      </c>
      <c r="Q9" s="51" t="str">
        <f>"FINANCIAL COST ("&amp;IF(DD_ACT_Meet1_Curr=2,MICRO_BA!$D$165,MICRO_BA!$D$166)&amp;")"</f>
        <v>FINANCIAL COST (USD)</v>
      </c>
    </row>
    <row r="10" spans="1:17" x14ac:dyDescent="0.3">
      <c r="D10" s="52" t="str">
        <f>MICRO_BA!C10</f>
        <v>Personnel</v>
      </c>
      <c r="J10" s="53">
        <f>MICRO_BA!Q37</f>
        <v>0</v>
      </c>
      <c r="L10" s="53">
        <f>MICRO_BA!S37</f>
        <v>0</v>
      </c>
      <c r="O10" s="54">
        <f>IFERROR(IF(DD_ACT_Meet1_Curr=2,J10/MICRO_BA!$I$166,J10*MICRO_BA!$I$166), 0)</f>
        <v>0</v>
      </c>
      <c r="Q10" s="54">
        <f>IFERROR(IF(DD_ACT_Meet1_Curr=2,L10/MICRO_BA!$I$166,L10*MICRO_BA!$I$166), 0)</f>
        <v>0</v>
      </c>
    </row>
    <row r="11" spans="1:17" x14ac:dyDescent="0.3">
      <c r="D11" s="52" t="str">
        <f>MICRO_BA!C40</f>
        <v>Allowances</v>
      </c>
      <c r="J11" s="53">
        <f>MICRO_BA!Q67</f>
        <v>0</v>
      </c>
      <c r="L11" s="53">
        <f>MICRO_BA!S67</f>
        <v>0</v>
      </c>
      <c r="O11" s="54">
        <f>IFERROR(IF(DD_ACT_Meet1_Curr=2,J11/MICRO_BA!$I$166,J11*MICRO_BA!$I$166), 0)</f>
        <v>0</v>
      </c>
      <c r="Q11" s="54">
        <f>IFERROR(IF(DD_ACT_Meet1_Curr=2,L11/MICRO_BA!$I$166,L11*MICRO_BA!$I$166), 0)</f>
        <v>0</v>
      </c>
    </row>
    <row r="12" spans="1:17" x14ac:dyDescent="0.3">
      <c r="D12" s="52" t="str">
        <f>MICRO_BA!C70</f>
        <v>Materials &amp; Supplies</v>
      </c>
      <c r="J12" s="53">
        <f>MICRO_BA!Q97</f>
        <v>0</v>
      </c>
      <c r="L12" s="53">
        <f>MICRO_BA!S97</f>
        <v>0</v>
      </c>
      <c r="O12" s="54">
        <f>IFERROR(IF(DD_ACT_Meet1_Curr=2,J12/MICRO_BA!$I$166,J12*MICRO_BA!$I$166), 0)</f>
        <v>0</v>
      </c>
      <c r="Q12" s="54">
        <f>IFERROR(IF(DD_ACT_Meet1_Curr=2,L12/MICRO_BA!$I$166,L12*MICRO_BA!$I$166), 0)</f>
        <v>0</v>
      </c>
    </row>
    <row r="13" spans="1:17" x14ac:dyDescent="0.3">
      <c r="D13" s="52" t="str">
        <f>MICRO_BA!C100</f>
        <v>Equipment</v>
      </c>
      <c r="J13" s="53">
        <f>MICRO_BA!Q127</f>
        <v>0</v>
      </c>
      <c r="L13" s="53">
        <f>MICRO_BA!S127</f>
        <v>0</v>
      </c>
      <c r="O13" s="54">
        <f>IFERROR(IF(DD_ACT_Meet1_Curr=2,J13/MICRO_BA!$I$166,J13*MICRO_BA!$I$166), 0)</f>
        <v>0</v>
      </c>
      <c r="Q13" s="54">
        <f>IFERROR(IF(DD_ACT_Meet1_Curr=2,L13/MICRO_BA!$I$166,L13*MICRO_BA!$I$166), 0)</f>
        <v>0</v>
      </c>
    </row>
    <row r="14" spans="1:17" x14ac:dyDescent="0.3">
      <c r="D14" s="52" t="str">
        <f>MICRO_BA!C130</f>
        <v>Other Direct Costs</v>
      </c>
      <c r="J14" s="53">
        <f>MICRO_BA!Q158</f>
        <v>0</v>
      </c>
      <c r="L14" s="53">
        <f>MICRO_BA!S158</f>
        <v>0</v>
      </c>
      <c r="O14" s="54">
        <f>IFERROR(IF(DD_ACT_Meet1_Curr=2,J14/MICRO_BA!$I$166,J14*MICRO_BA!$I$166), 0)</f>
        <v>0</v>
      </c>
      <c r="Q14" s="54">
        <f>IFERROR(IF(DD_ACT_Meet1_Curr=2,L14/MICRO_BA!$I$166,L14*MICRO_BA!$I$166), 0)</f>
        <v>0</v>
      </c>
    </row>
    <row r="15" spans="1:17" x14ac:dyDescent="0.3">
      <c r="D15" s="163" t="str">
        <f>"Single "&amp;C8</f>
        <v>Single Microplanning Activity #1 [not in use]</v>
      </c>
      <c r="J15" s="164">
        <f>SUM(J10:J14)</f>
        <v>0</v>
      </c>
      <c r="L15" s="164">
        <f>SUM(L10:L14)</f>
        <v>0</v>
      </c>
      <c r="O15" s="164">
        <f>SUM(O10:O14)</f>
        <v>0</v>
      </c>
      <c r="Q15" s="164">
        <f>SUM(Q10:Q14)</f>
        <v>0</v>
      </c>
    </row>
    <row r="17" spans="2:19" ht="14.4" x14ac:dyDescent="0.3">
      <c r="C17" s="101" t="s">
        <v>474</v>
      </c>
      <c r="H17" s="133">
        <v>0</v>
      </c>
    </row>
    <row r="18" spans="2:19" ht="15" thickBot="1" x14ac:dyDescent="0.35">
      <c r="C18" s="151" t="str">
        <f>"Subtotal Cost: "&amp;C8&amp;" Activities"</f>
        <v>Subtotal Cost: Microplanning Activity #1 [not in use] Activities</v>
      </c>
      <c r="J18" s="56">
        <f>J15*HL_ACT_Number_Nat_Micro</f>
        <v>0</v>
      </c>
      <c r="L18" s="56">
        <f>L15*HL_ACT_Number_Nat_Micro</f>
        <v>0</v>
      </c>
      <c r="O18" s="56">
        <f>O15*HL_ACT_Number_Nat_Micro</f>
        <v>0</v>
      </c>
      <c r="Q18" s="56">
        <f>Q15*HL_ACT_Number_Nat_Micro</f>
        <v>0</v>
      </c>
    </row>
    <row r="19" spans="2:19" ht="14.4" thickTop="1" x14ac:dyDescent="0.3">
      <c r="B19" s="437" t="str">
        <f>"Go to "&amp;HL_ACT_Nat_Microplanning</f>
        <v>Go to Microplanning Activity #1 [not in use]</v>
      </c>
      <c r="C19" s="438"/>
      <c r="D19" s="438"/>
      <c r="E19" s="438"/>
      <c r="F19" s="438"/>
      <c r="G19" s="438"/>
      <c r="H19" s="438"/>
      <c r="I19" s="438"/>
      <c r="J19" s="438"/>
      <c r="K19" s="438"/>
      <c r="L19" s="438"/>
      <c r="M19" s="438"/>
      <c r="N19" s="438"/>
      <c r="O19" s="438"/>
      <c r="P19" s="438"/>
      <c r="Q19" s="438"/>
      <c r="R19" s="438"/>
      <c r="S19" s="438"/>
    </row>
    <row r="21" spans="2:19" ht="14.4" x14ac:dyDescent="0.3">
      <c r="C21" s="50" t="str">
        <f>MICRO_BA!B358</f>
        <v>Microplanning Activity #2 [not in use]</v>
      </c>
    </row>
    <row r="22" spans="2:19" ht="27.6" x14ac:dyDescent="0.3">
      <c r="J22" s="51" t="str">
        <f>"FINANCIAL COST ("&amp;INDEX(LU_ACT_2_Meet_Curr,DD_ACT_2_Meet1_Curr)&amp;")"</f>
        <v>FINANCIAL COST (GOZ)</v>
      </c>
      <c r="L22" s="51" t="str">
        <f>"ECONOMIC COST ("&amp;INDEX(LU_ACT_2_Meet_Curr,DD_ACT_2_Meet1_Curr)&amp;")"</f>
        <v>ECONOMIC COST (GOZ)</v>
      </c>
      <c r="O22" s="51" t="str">
        <f>"FINANCIAL COST ("&amp;IF(DD_ACT_2_Meet1_Curr=2,MICRO_BA!$D$513,MICRO_BA!$D$514)&amp;")"</f>
        <v>FINANCIAL COST (USD)</v>
      </c>
      <c r="Q22" s="51" t="str">
        <f>"FINANCIAL COST ("&amp;IF(DD_ACT_2_Meet1_Curr=2,MICRO_BA!$D$513,MICRO_BA!$D$514)&amp;")"</f>
        <v>FINANCIAL COST (USD)</v>
      </c>
    </row>
    <row r="23" spans="2:19" x14ac:dyDescent="0.3">
      <c r="D23" s="52" t="str">
        <f>MICRO_BA!C361</f>
        <v>Personnel</v>
      </c>
      <c r="J23" s="53">
        <f>MICRO_BA!Q388</f>
        <v>0</v>
      </c>
      <c r="L23" s="53">
        <f>MICRO_BA!S388</f>
        <v>0</v>
      </c>
      <c r="O23" s="54">
        <f>IFERROR(IF(DD_ACT_2_Meet1_Curr=2,J23/MICRO_BA!$I$514,J23*MICRO_BA!$I$514), 0)</f>
        <v>0</v>
      </c>
      <c r="Q23" s="54">
        <f>IFERROR(IF(DD_ACT_2_Meet1_Curr=2,L23/MICRO_BA!$I$514,L23*MICRO_BA!$I$514), 0)</f>
        <v>0</v>
      </c>
    </row>
    <row r="24" spans="2:19" x14ac:dyDescent="0.3">
      <c r="D24" s="52" t="str">
        <f>MICRO_BA!C390</f>
        <v>Allowances</v>
      </c>
      <c r="J24" s="53">
        <f>MICRO_BA!Q417</f>
        <v>0</v>
      </c>
      <c r="L24" s="53">
        <f>MICRO_BA!S417</f>
        <v>0</v>
      </c>
      <c r="O24" s="54">
        <f>IFERROR(IF(DD_ACT_2_Meet1_Curr=2,J24/MICRO_BA!$I$514,J24*MICRO_BA!$I$514),0)</f>
        <v>0</v>
      </c>
      <c r="Q24" s="54">
        <f>IFERROR(IF(DD_ACT_2_Meet1_Curr=2,L24/MICRO_BA!$I$514,L24*MICRO_BA!$I$514), 0)</f>
        <v>0</v>
      </c>
    </row>
    <row r="25" spans="2:19" x14ac:dyDescent="0.3">
      <c r="D25" s="52" t="str">
        <f>MICRO_BA!C420</f>
        <v>Materials &amp; Supplies</v>
      </c>
      <c r="J25" s="53">
        <f>MICRO_BA!Q447</f>
        <v>0</v>
      </c>
      <c r="L25" s="53">
        <f>MICRO_BA!S447</f>
        <v>0</v>
      </c>
      <c r="O25" s="54">
        <f>IFERROR(IF(DD_ACT_2_Meet1_Curr=2,J25/MICRO_BA!$I$514,J25*MICRO_BA!$I$514), 0)</f>
        <v>0</v>
      </c>
      <c r="Q25" s="54">
        <f>IFERROR(IF(DD_ACT_2_Meet1_Curr=2,L25/MICRO_BA!$I$514,L25*MICRO_BA!$I$514), 0)</f>
        <v>0</v>
      </c>
    </row>
    <row r="26" spans="2:19" x14ac:dyDescent="0.3">
      <c r="D26" s="52" t="str">
        <f>MICRO_BA!C449</f>
        <v>Equipment</v>
      </c>
      <c r="J26" s="53">
        <f>MICRO_BA!Q476</f>
        <v>0</v>
      </c>
      <c r="L26" s="53">
        <f>MICRO_BA!S476</f>
        <v>0</v>
      </c>
      <c r="O26" s="54">
        <f>IFERROR(IF(DD_ACT_2_Meet1_Curr=2,J26/MICRO_BA!$I$514,J26*MICRO_BA!$I$514), 0)</f>
        <v>0</v>
      </c>
      <c r="Q26" s="54">
        <f>IFERROR(IF(DD_ACT_2_Meet1_Curr=2,L26/MICRO_BA!$I$514,L26*MICRO_BA!$I$514), 0)</f>
        <v>0</v>
      </c>
    </row>
    <row r="27" spans="2:19" x14ac:dyDescent="0.3">
      <c r="D27" s="52" t="str">
        <f>MICRO_BA!C478</f>
        <v>Other Direct Costs</v>
      </c>
      <c r="J27" s="53">
        <f>MICRO_BA!Q506</f>
        <v>0</v>
      </c>
      <c r="L27" s="53">
        <f>MICRO_BA!S506</f>
        <v>0</v>
      </c>
      <c r="O27" s="54">
        <f>IFERROR(IF(DD_ACT_2_Meet1_Curr=2,J27/MICRO_BA!$I$514,J27*MICRO_BA!$I$514), 0)</f>
        <v>0</v>
      </c>
      <c r="Q27" s="54">
        <f>IFERROR(IF(DD_ACT_2_Meet1_Curr=2,L27/MICRO_BA!$I$514,L27*MICRO_BA!$I$514), 0)</f>
        <v>0</v>
      </c>
    </row>
    <row r="28" spans="2:19" ht="14.4" thickBot="1" x14ac:dyDescent="0.35">
      <c r="D28" s="55" t="str">
        <f>"Single "&amp;C21</f>
        <v>Single Microplanning Activity #2 [not in use]</v>
      </c>
      <c r="J28" s="164">
        <f>SUM(J23:J27)</f>
        <v>0</v>
      </c>
      <c r="L28" s="164">
        <f>SUM(L23:L27)</f>
        <v>0</v>
      </c>
      <c r="O28" s="164">
        <f>SUM(O23:O27)</f>
        <v>0</v>
      </c>
      <c r="Q28" s="164">
        <f>SUM(Q23:Q27)</f>
        <v>0</v>
      </c>
    </row>
    <row r="29" spans="2:19" ht="14.4" thickTop="1" x14ac:dyDescent="0.3"/>
    <row r="30" spans="2:19" ht="14.4" x14ac:dyDescent="0.3">
      <c r="C30" s="101" t="s">
        <v>474</v>
      </c>
      <c r="H30" s="133">
        <v>0</v>
      </c>
    </row>
    <row r="31" spans="2:19" ht="15" thickBot="1" x14ac:dyDescent="0.35">
      <c r="C31" s="151" t="str">
        <f>"Subtotal Cost: "&amp;C21&amp; " Activities"</f>
        <v>Subtotal Cost: Microplanning Activity #2 [not in use] Activities</v>
      </c>
      <c r="J31" s="56">
        <f>J28*HL_ACT_2_Number_Dist_Micro</f>
        <v>0</v>
      </c>
      <c r="L31" s="56">
        <f>L28*HL_ACT_2_Number_Dist_Micro</f>
        <v>0</v>
      </c>
      <c r="O31" s="56">
        <f>O28*HL_ACT_2_Number_Dist_Micro</f>
        <v>0</v>
      </c>
      <c r="Q31" s="56">
        <f>Q28*HL_ACT_2_Number_Dist_Micro</f>
        <v>0</v>
      </c>
    </row>
    <row r="32" spans="2:19" ht="14.4" thickTop="1" x14ac:dyDescent="0.3">
      <c r="B32" s="437" t="s">
        <v>517</v>
      </c>
      <c r="C32" s="438"/>
      <c r="D32" s="438"/>
      <c r="E32" s="438"/>
      <c r="F32" s="438"/>
      <c r="G32" s="438"/>
      <c r="H32" s="438"/>
      <c r="I32" s="438"/>
      <c r="J32" s="438"/>
      <c r="K32" s="438"/>
      <c r="L32" s="438"/>
      <c r="M32" s="438"/>
      <c r="N32" s="438"/>
      <c r="O32" s="438"/>
      <c r="P32" s="438"/>
      <c r="Q32" s="438"/>
      <c r="R32" s="438"/>
      <c r="S32" s="438"/>
    </row>
  </sheetData>
  <sheetProtection algorithmName="SHA-512" hashValue="D8Y3+G1v/QPupoIE7T4/U15Egj5tF3ziZUDjkMmLXqITZ4tPeXMO4JH2aWy2Bo4ow5zyid7qai0f/d5E6WSpbw==" saltValue="1wSI75AHVclCJ+RQy/p9kg==" spinCount="100000" sheet="1" objects="1" scenarios="1" formatColumns="0" formatRows="0"/>
  <mergeCells count="3">
    <mergeCell ref="B3:F3"/>
    <mergeCell ref="B19:S19"/>
    <mergeCell ref="B32:S32"/>
  </mergeCells>
  <hyperlinks>
    <hyperlink ref="A4" location="$B$5" tooltip="Go to Top of Sheet" display="$B$5" xr:uid="{00000000-0004-0000-1800-000000000000}"/>
    <hyperlink ref="C4" location="HL_Sheet_Main_58" tooltip="Go to Next Sheet" display="HL_Sheet_Main_58" xr:uid="{00000000-0004-0000-1800-000001000000}"/>
    <hyperlink ref="B19:S19" location="HL_ACT_Nat_Microplanning" tooltip="Click to follow hyperlink." display="HL_ACT_Nat_Microplanning" xr:uid="{00000000-0004-0000-1800-000002000000}"/>
    <hyperlink ref="B32:S32" location="HL_ACT_2_Dist_Micro_Ass" tooltip="Click to follow hyperlink." display="HL_ACT_2_Dist_Micro_Ass" xr:uid="{00000000-0004-0000-1800-000003000000}"/>
    <hyperlink ref="B4" location="HL_Sheet_Main_51" tooltip="Go to Previous Sheet" display="HL_Sheet_Main_51" xr:uid="{00000000-0004-0000-1800-000004000000}"/>
    <hyperlink ref="B3" location="HL_Home" tooltip="Go to Table of Contents" display="HL_Home" xr:uid="{00000000-0004-0000-1800-000005000000}"/>
    <hyperlink ref="D4" location="HL_Err_Chk" tooltip="Go to Error Checks" display="HL_Err_Chk" xr:uid="{00000000-0004-0000-1800-000006000000}"/>
    <hyperlink ref="F4" location="HL_Alt_Chk" tooltip="Go to Alert Checks" display="HL_Alt_Chk" xr:uid="{00000000-0004-0000-1800-000007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9">
    <pageSetUpPr autoPageBreaks="0"/>
  </sheetPr>
  <dimension ref="A1:R44"/>
  <sheetViews>
    <sheetView showGridLines="0" zoomScaleNormal="100" workbookViewId="0">
      <pane xSplit="1" ySplit="4" topLeftCell="B5" activePane="bottomRight" state="frozen"/>
      <selection pane="topRight" activeCell="B1" sqref="B1"/>
      <selection pane="bottomLeft" activeCell="A5" sqref="A5"/>
      <selection pane="bottomRight" activeCell="Q40" sqref="Q40"/>
    </sheetView>
  </sheetViews>
  <sheetFormatPr defaultColWidth="11.6640625" defaultRowHeight="13.8" x14ac:dyDescent="0.3"/>
  <cols>
    <col min="1" max="5" width="3.6640625" customWidth="1"/>
    <col min="9" max="9" width="16.44140625" customWidth="1"/>
    <col min="11" max="11" width="3" customWidth="1"/>
    <col min="13" max="13" width="4.109375" customWidth="1"/>
    <col min="14" max="14" width="3.33203125" customWidth="1"/>
    <col min="16" max="16" width="2.44140625" customWidth="1"/>
  </cols>
  <sheetData>
    <row r="1" spans="1:17" ht="23.4" x14ac:dyDescent="0.3">
      <c r="B1" s="274" t="s">
        <v>687</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26</v>
      </c>
    </row>
    <row r="7" spans="1:17" ht="18" x14ac:dyDescent="0.3">
      <c r="B7" s="49" t="s">
        <v>226</v>
      </c>
    </row>
    <row r="9" spans="1:17" ht="14.4" x14ac:dyDescent="0.3">
      <c r="C9" s="50" t="str">
        <f>SENS_BA!B7</f>
        <v>Sensitisation Activity #1 [not in use]</v>
      </c>
    </row>
    <row r="10" spans="1:17" ht="27.6" x14ac:dyDescent="0.3">
      <c r="J10" s="51" t="str">
        <f>"FINANCIAL COST ("&amp;INDEX(LU_ACT_3_Meet_Curr,DD_ACT_3_Meet1_Curr)&amp;")"</f>
        <v>FINANCIAL COST (GOZ)</v>
      </c>
      <c r="L10" s="51" t="str">
        <f>"ECONOMIC COST ("&amp;INDEX(LU_ACT_3_Meet_Curr,DD_ACT_3_Meet1_Curr)&amp;")"</f>
        <v>ECONOMIC COST (GOZ)</v>
      </c>
      <c r="O10" s="51" t="str">
        <f>"FINANCIAL COST ("&amp;IF(DD_ACT_3_Meet1_Curr=2,SENS_BA!$D$163,SENS_BA!$D$164)&amp;")"</f>
        <v>FINANCIAL COST (USD)</v>
      </c>
      <c r="Q10" s="51" t="str">
        <f>"FINANCIAL COST ("&amp;IF(DD_ACT_3_Meet1_Curr=2,SENS_BA!$D$163,SENS_BA!$D$164)&amp;")"</f>
        <v>FINANCIAL COST (USD)</v>
      </c>
    </row>
    <row r="11" spans="1:17" x14ac:dyDescent="0.3">
      <c r="D11" s="52" t="str">
        <f>SENS_BA!C10</f>
        <v>Personnel</v>
      </c>
      <c r="J11" s="53">
        <f>SENS_BA!Q37</f>
        <v>0</v>
      </c>
      <c r="L11" s="53">
        <f>SENS_BA!S37</f>
        <v>0</v>
      </c>
      <c r="O11" s="54">
        <f>IFERROR(IF(DD_ACT_3_Meet1_Curr=2,J11/SENS_BA!$I$164,J11*SENS_BA!$I$164), 0)</f>
        <v>0</v>
      </c>
      <c r="Q11" s="54">
        <f>IFERROR(IF(DD_ACT_3_Meet1_Curr=2,L11/SENS_BA!$I$164,L11*SENS_BA!$I$164), 0)</f>
        <v>0</v>
      </c>
    </row>
    <row r="12" spans="1:17" x14ac:dyDescent="0.3">
      <c r="D12" s="52" t="str">
        <f>SENS_BA!C39</f>
        <v>Allowances</v>
      </c>
      <c r="J12" s="53">
        <f>SENS_BA!Q66</f>
        <v>0</v>
      </c>
      <c r="L12" s="53">
        <f>SENS_BA!S66</f>
        <v>0</v>
      </c>
      <c r="O12" s="54">
        <f>IFERROR(IF(DD_ACT_3_Meet1_Curr=2,J12/SENS_BA!$I$164,J12*SENS_BA!$I$164), 0)</f>
        <v>0</v>
      </c>
      <c r="Q12" s="54">
        <f>IFERROR(IF(DD_ACT_3_Meet1_Curr=2,L12/SENS_BA!$I$164,L12*SENS_BA!$I$164), 0)</f>
        <v>0</v>
      </c>
    </row>
    <row r="13" spans="1:17" x14ac:dyDescent="0.3">
      <c r="D13" s="52" t="str">
        <f>SENS_BA!C70</f>
        <v>Materials &amp; Supplies</v>
      </c>
      <c r="J13" s="53">
        <f>SENS_BA!Q97</f>
        <v>0</v>
      </c>
      <c r="L13" s="53">
        <f>SENS_BA!S97</f>
        <v>0</v>
      </c>
      <c r="O13" s="54">
        <f>IFERROR(IF(DD_ACT_3_Meet1_Curr=2,J13/SENS_BA!$I$164,J13*SENS_BA!$I$164), 0)</f>
        <v>0</v>
      </c>
      <c r="Q13" s="54">
        <f>IFERROR(IF(DD_ACT_3_Meet1_Curr=2,L13/SENS_BA!$I$164,L13*SENS_BA!$I$164), 0)</f>
        <v>0</v>
      </c>
    </row>
    <row r="14" spans="1:17" x14ac:dyDescent="0.3">
      <c r="D14" s="52" t="str">
        <f>SENS_BA!C99</f>
        <v>Equipment</v>
      </c>
      <c r="J14" s="53">
        <f>SENS_BA!Q126</f>
        <v>0</v>
      </c>
      <c r="L14" s="53">
        <f>SENS_BA!S126</f>
        <v>0</v>
      </c>
      <c r="O14" s="54">
        <f>IFERROR(IF(DD_ACT_3_Meet1_Curr=2,J14/SENS_BA!$I$164,J14*SENS_BA!$I$164), 0)</f>
        <v>0</v>
      </c>
      <c r="Q14" s="54">
        <f>IFERROR(IF(DD_ACT_3_Meet1_Curr=2,L14/SENS_BA!$I$164,L14*SENS_BA!$I$164), 0)</f>
        <v>0</v>
      </c>
    </row>
    <row r="15" spans="1:17" x14ac:dyDescent="0.3">
      <c r="D15" s="52" t="str">
        <f>SENS_BA!C128</f>
        <v>Other Direct Costs</v>
      </c>
      <c r="J15" s="53">
        <f>SENS_BA!Q156</f>
        <v>0</v>
      </c>
      <c r="L15" s="53">
        <f>SENS_BA!S156</f>
        <v>0</v>
      </c>
      <c r="O15" s="54">
        <f>IFERROR(IF(DD_ACT_3_Meet1_Curr=2,J15/SENS_BA!$I$164,J15*SENS_BA!$I$164), 0)</f>
        <v>0</v>
      </c>
      <c r="Q15" s="54">
        <f>IFERROR(IF(DD_ACT_3_Meet1_Curr=2,L15/SENS_BA!$I$164,L15*SENS_BA!$I$164), 0)</f>
        <v>0</v>
      </c>
    </row>
    <row r="16" spans="1:17" x14ac:dyDescent="0.3">
      <c r="D16" s="153" t="str">
        <f>"Single "&amp;C9</f>
        <v>Single Sensitisation Activity #1 [not in use]</v>
      </c>
      <c r="J16" s="164">
        <f>SUM(J11:J15)</f>
        <v>0</v>
      </c>
      <c r="L16" s="164">
        <f>SUM(L11:L15)</f>
        <v>0</v>
      </c>
      <c r="O16" s="164">
        <f>SUM(O11:O15)</f>
        <v>0</v>
      </c>
      <c r="Q16" s="164">
        <f>SUM(Q11:Q15)</f>
        <v>0</v>
      </c>
    </row>
    <row r="18" spans="2:18" ht="14.4" x14ac:dyDescent="0.3">
      <c r="C18" s="101" t="s">
        <v>474</v>
      </c>
      <c r="H18" s="133">
        <v>0</v>
      </c>
    </row>
    <row r="19" spans="2:18" ht="15" thickBot="1" x14ac:dyDescent="0.35">
      <c r="C19" s="151" t="str">
        <f>"Subtotal Cost: "&amp;C9&amp;" Activities"</f>
        <v>Subtotal Cost: Sensitisation Activity #1 [not in use] Activities</v>
      </c>
      <c r="J19" s="56">
        <f>J16*HL_ACT_3_Number_Nat_Sens</f>
        <v>0</v>
      </c>
      <c r="L19" s="56">
        <f>L16*HL_ACT_3_Number_Nat_Sens</f>
        <v>0</v>
      </c>
      <c r="O19" s="56">
        <f>O16*HL_ACT_3_Number_Nat_Sens</f>
        <v>0</v>
      </c>
      <c r="Q19" s="56">
        <f>Q16*HL_ACT_3_Number_Nat_Sens</f>
        <v>0</v>
      </c>
    </row>
    <row r="20" spans="2:18" ht="14.4" thickTop="1" x14ac:dyDescent="0.3">
      <c r="B20" s="14"/>
      <c r="C20" s="14"/>
      <c r="D20" s="14"/>
      <c r="E20" s="14"/>
      <c r="F20" s="14"/>
      <c r="G20" s="14"/>
      <c r="H20" s="14"/>
      <c r="I20" s="14"/>
      <c r="J20" s="14"/>
      <c r="K20" s="14"/>
      <c r="L20" s="14"/>
      <c r="M20" s="14"/>
      <c r="N20" s="14"/>
      <c r="O20" s="14"/>
      <c r="P20" s="14"/>
      <c r="Q20" s="14"/>
      <c r="R20" s="14"/>
    </row>
    <row r="21" spans="2:18" ht="14.4" x14ac:dyDescent="0.3">
      <c r="C21" s="50" t="str">
        <f>SENS_BA!B356</f>
        <v>Sensitisation Activity #2 [not in use]</v>
      </c>
    </row>
    <row r="22" spans="2:18" ht="27.6" x14ac:dyDescent="0.3">
      <c r="J22" s="51" t="str">
        <f>"FINANCIAL COST ("&amp;INDEX(LU_ACT_4_Meet_Curr,DD_ACT_4_Meet1_Curr)&amp;")"</f>
        <v>FINANCIAL COST (GOZ)</v>
      </c>
      <c r="L22" s="51" t="str">
        <f>"ECONOMIC COST ("&amp;INDEX(LU_ACT_4_Meet_Curr,DD_ACT_4_Meet1_Curr)&amp;")"</f>
        <v>ECONOMIC COST (GOZ)</v>
      </c>
      <c r="O22" s="51" t="str">
        <f>"FINANCIAL COST ("&amp;IF(DD_ACT_4_Meet1_Curr=2,SENS_BA!$D$512,SENS_BA!$D$513)&amp;")"</f>
        <v>FINANCIAL COST (USD)</v>
      </c>
      <c r="Q22" s="51" t="str">
        <f>"FINANCIAL COST ("&amp;IF(DD_ACT_4_Meet1_Curr=2,SENS_BA!$D$512,SENS_BA!$D$513)&amp;")"</f>
        <v>FINANCIAL COST (USD)</v>
      </c>
    </row>
    <row r="23" spans="2:18" x14ac:dyDescent="0.3">
      <c r="D23" s="52" t="str">
        <f>SENS_BA!C359</f>
        <v>Personnel</v>
      </c>
      <c r="J23" s="53">
        <f>SENS_BA!Q386</f>
        <v>0</v>
      </c>
      <c r="L23" s="53">
        <f>SENS_BA!S386</f>
        <v>0</v>
      </c>
      <c r="O23" s="54">
        <f>IFERROR(IF(DD_ACT_4_Meet1_Curr=2,J23/SENS_BA!$I$513,J23*SENS_BA!$I$513), 0)</f>
        <v>0</v>
      </c>
      <c r="Q23" s="54">
        <f>IFERROR(IF(DD_ACT_4_Meet1_Curr=2,L23/SENS_BA!$I$513,L23*SENS_BA!$I$513), 0)</f>
        <v>0</v>
      </c>
    </row>
    <row r="24" spans="2:18" x14ac:dyDescent="0.3">
      <c r="D24" s="52" t="str">
        <f>SENS_BA!C388</f>
        <v>Allowances</v>
      </c>
      <c r="J24" s="53">
        <f>SENS_BA!Q415</f>
        <v>0</v>
      </c>
      <c r="L24" s="53">
        <f>SENS_BA!S415</f>
        <v>0</v>
      </c>
      <c r="O24" s="54">
        <f>IFERROR(IF(DD_ACT_4_Meet1_Curr=2,J24/SENS_BA!$I$513,J24*SENS_BA!$I$513), 0)</f>
        <v>0</v>
      </c>
      <c r="Q24" s="54">
        <f>IFERROR(IF(DD_ACT_4_Meet1_Curr=2,L24/SENS_BA!$I$513,L24*SENS_BA!$I$513), 0)</f>
        <v>0</v>
      </c>
    </row>
    <row r="25" spans="2:18" x14ac:dyDescent="0.3">
      <c r="D25" s="52" t="str">
        <f>SENS_BA!C419</f>
        <v>Materials &amp; Supplies</v>
      </c>
      <c r="J25" s="53">
        <f>SENS_BA!Q446</f>
        <v>0</v>
      </c>
      <c r="L25" s="53">
        <f>SENS_BA!S446</f>
        <v>0</v>
      </c>
      <c r="O25" s="54">
        <f>IFERROR(IF(DD_ACT_4_Meet1_Curr=2,J25/SENS_BA!$I$513,J25*SENS_BA!$I$513), 0)</f>
        <v>0</v>
      </c>
      <c r="Q25" s="54">
        <f>IFERROR(IF(DD_ACT_4_Meet1_Curr=2,L25/SENS_BA!$I$513,L25*SENS_BA!$I$513), 0)</f>
        <v>0</v>
      </c>
    </row>
    <row r="26" spans="2:18" x14ac:dyDescent="0.3">
      <c r="D26" s="52" t="str">
        <f>SENS_BA!C448</f>
        <v>Equipment</v>
      </c>
      <c r="J26" s="53">
        <f>SENS_BA!Q475</f>
        <v>0</v>
      </c>
      <c r="L26" s="53">
        <f>SENS_BA!S475</f>
        <v>0</v>
      </c>
      <c r="O26" s="54">
        <f>IFERROR(IF(DD_ACT_4_Meet1_Curr=2,J26/SENS_BA!$I$513,J26*SENS_BA!$I$513), 0)</f>
        <v>0</v>
      </c>
      <c r="Q26" s="54">
        <f>IFERROR(IF(DD_ACT_4_Meet1_Curr=2,L26/SENS_BA!$I$513,L26*SENS_BA!$I$513), 0)</f>
        <v>0</v>
      </c>
    </row>
    <row r="27" spans="2:18" x14ac:dyDescent="0.3">
      <c r="D27" s="52" t="str">
        <f>SENS_BA!C477</f>
        <v>Other Direct Costs</v>
      </c>
      <c r="J27" s="53">
        <f>SENS_BA!Q505</f>
        <v>0</v>
      </c>
      <c r="L27" s="53">
        <f>SENS_BA!S505</f>
        <v>0</v>
      </c>
      <c r="O27" s="54">
        <f>IFERROR(IF(DD_ACT_4_Meet1_Curr=2,J27/SENS_BA!$I$513,J27*SENS_BA!$I$513), 0)</f>
        <v>0</v>
      </c>
      <c r="Q27" s="54">
        <f>IFERROR(IF(DD_ACT_4_Meet1_Curr=2,L27/SENS_BA!$I$513,L27*SENS_BA!$I$513), 0)</f>
        <v>0</v>
      </c>
    </row>
    <row r="28" spans="2:18" x14ac:dyDescent="0.3">
      <c r="D28" s="153" t="str">
        <f>"Single "&amp;C21</f>
        <v>Single Sensitisation Activity #2 [not in use]</v>
      </c>
      <c r="J28" s="164">
        <f>SUM(J23:J27)</f>
        <v>0</v>
      </c>
      <c r="L28" s="164">
        <f>SUM(L23:L27)</f>
        <v>0</v>
      </c>
      <c r="O28" s="164">
        <f>SUM(O23:O27)</f>
        <v>0</v>
      </c>
      <c r="Q28" s="164">
        <f>SUM(Q23:Q27)</f>
        <v>0</v>
      </c>
    </row>
    <row r="30" spans="2:18" ht="14.4" x14ac:dyDescent="0.3">
      <c r="C30" s="101" t="s">
        <v>474</v>
      </c>
      <c r="H30" s="133">
        <v>0</v>
      </c>
    </row>
    <row r="31" spans="2:18" ht="15" thickBot="1" x14ac:dyDescent="0.35">
      <c r="C31" s="151" t="str">
        <f>"Subtotal Cost: "&amp;C21&amp;" Activities"</f>
        <v>Subtotal Cost: Sensitisation Activity #2 [not in use] Activities</v>
      </c>
      <c r="J31" s="56">
        <f>J28*$H$30</f>
        <v>0</v>
      </c>
      <c r="L31" s="56">
        <f>L28*$H$30</f>
        <v>0</v>
      </c>
      <c r="O31" s="56">
        <f>O28*$H$30</f>
        <v>0</v>
      </c>
      <c r="Q31" s="56">
        <f>Q28*$H$30</f>
        <v>0</v>
      </c>
    </row>
    <row r="32" spans="2:18" ht="14.4" thickTop="1" x14ac:dyDescent="0.3">
      <c r="B32" s="14"/>
      <c r="C32" s="14"/>
      <c r="D32" s="14"/>
      <c r="E32" s="14"/>
      <c r="F32" s="14"/>
      <c r="G32" s="14"/>
      <c r="H32" s="14"/>
      <c r="I32" s="14"/>
      <c r="J32" s="14"/>
      <c r="K32" s="14"/>
      <c r="L32" s="14"/>
      <c r="M32" s="14"/>
      <c r="N32" s="14"/>
      <c r="O32" s="14"/>
      <c r="P32" s="14"/>
      <c r="Q32" s="14"/>
      <c r="R32" s="14"/>
    </row>
    <row r="33" spans="2:18" ht="14.4" x14ac:dyDescent="0.3">
      <c r="C33" s="50" t="str">
        <f>SENS_BA!B705</f>
        <v>Sensitisation Activity #3 [not in use]</v>
      </c>
    </row>
    <row r="34" spans="2:18" ht="27.6" x14ac:dyDescent="0.3">
      <c r="J34" s="51" t="str">
        <f>"FINANCIAL COST ("&amp;INDEX(LU_ACT_5_Meet_Curr,DD_ACT_5_Meet1_Curr)&amp;")"</f>
        <v>FINANCIAL COST (GOZ)</v>
      </c>
      <c r="L34" s="51" t="str">
        <f>"ECONOMIC COST ("&amp;INDEX(LU_ACT_5_Meet_Curr,DD_ACT_5_Meet1_Curr)&amp;")"</f>
        <v>ECONOMIC COST (GOZ)</v>
      </c>
      <c r="O34" s="51" t="str">
        <f>"FINANCIAL COST ("&amp;IF(DD_ACT_5_Meet1_Curr=2,SENS_BA!$D$861,SENS_BA!$D$862)&amp;")"</f>
        <v>FINANCIAL COST (USD)</v>
      </c>
      <c r="Q34" s="51" t="str">
        <f>"FINANCIAL COST ("&amp;IF(DD_ACT_5_Meet1_Curr=2,SENS_BA!$D$861,SENS_BA!$D$862)&amp;")"</f>
        <v>FINANCIAL COST (USD)</v>
      </c>
    </row>
    <row r="35" spans="2:18" x14ac:dyDescent="0.3">
      <c r="D35" s="52" t="str">
        <f>SENS_BA!C708</f>
        <v>Personnel</v>
      </c>
      <c r="J35" s="53">
        <f>SENS_BA!Q735</f>
        <v>0</v>
      </c>
      <c r="L35" s="53">
        <f>SENS_BA!S735</f>
        <v>0</v>
      </c>
      <c r="O35" s="54">
        <f>IFERROR(IF(DD_ACT_5_Meet1_Curr=2,J35/SENS_BA!$I$862,J35*SENS_BA!$I$862), 0)</f>
        <v>0</v>
      </c>
      <c r="Q35" s="54">
        <f>IFERROR(IF(DD_ACT_5_Meet1_Curr=2,L35/SENS_BA!$I$862,L35*SENS_BA!$I$862), 0)</f>
        <v>0</v>
      </c>
    </row>
    <row r="36" spans="2:18" x14ac:dyDescent="0.3">
      <c r="D36" s="52" t="str">
        <f>SENS_BA!C737</f>
        <v>Allowances</v>
      </c>
      <c r="J36" s="53">
        <f>SENS_BA!Q764</f>
        <v>0</v>
      </c>
      <c r="L36" s="53">
        <f>SENS_BA!S764</f>
        <v>0</v>
      </c>
      <c r="O36" s="54">
        <f>IFERROR(IF(DD_ACT_5_Meet1_Curr=2,J36/SENS_BA!$I$862,J36*SENS_BA!$I$862), 0)</f>
        <v>0</v>
      </c>
      <c r="Q36" s="54">
        <f>IFERROR(IF(DD_ACT_5_Meet1_Curr=2,L36/SENS_BA!$I$862,L36*SENS_BA!$I$862), 0)</f>
        <v>0</v>
      </c>
    </row>
    <row r="37" spans="2:18" x14ac:dyDescent="0.3">
      <c r="D37" s="52" t="str">
        <f>SENS_BA!C768</f>
        <v>Materials &amp; Supplies</v>
      </c>
      <c r="J37" s="53">
        <f>SENS_BA!Q795</f>
        <v>0</v>
      </c>
      <c r="L37" s="53">
        <f>SENS_BA!S795</f>
        <v>0</v>
      </c>
      <c r="O37" s="54">
        <f>IFERROR(IF(DD_ACT_5_Meet1_Curr=2,J37/SENS_BA!$I$862,J37*SENS_BA!$I$862), 0)</f>
        <v>0</v>
      </c>
      <c r="Q37" s="54">
        <f>IFERROR(IF(DD_ACT_5_Meet1_Curr=2,L37/SENS_BA!$I$862,L37*SENS_BA!$I$862), 0)</f>
        <v>0</v>
      </c>
    </row>
    <row r="38" spans="2:18" x14ac:dyDescent="0.3">
      <c r="D38" s="52" t="str">
        <f>SENS_BA!C797</f>
        <v>Equipment</v>
      </c>
      <c r="J38" s="53">
        <f>SENS_BA!Q824</f>
        <v>0</v>
      </c>
      <c r="L38" s="53">
        <f>SENS_BA!S824</f>
        <v>0</v>
      </c>
      <c r="O38" s="54">
        <f>IFERROR(IF(DD_ACT_5_Meet1_Curr=2,J38/SENS_BA!$I$862,J38*SENS_BA!$I$862), 0)</f>
        <v>0</v>
      </c>
      <c r="Q38" s="54">
        <f>IFERROR(IF(DD_ACT_5_Meet1_Curr=2,L38/SENS_BA!$I$862,L38*SENS_BA!$I$862), 0)</f>
        <v>0</v>
      </c>
    </row>
    <row r="39" spans="2:18" x14ac:dyDescent="0.3">
      <c r="D39" s="52" t="str">
        <f>SENS_BA!C826</f>
        <v>Other Direct Costs</v>
      </c>
      <c r="J39" s="53">
        <f>SENS_BA!Q854</f>
        <v>0</v>
      </c>
      <c r="L39" s="53">
        <f>SENS_BA!S854</f>
        <v>0</v>
      </c>
      <c r="O39" s="54">
        <f>IFERROR(IF(DD_ACT_5_Meet1_Curr=2,J39/SENS_BA!$I$862,J39*SENS_BA!$I$862), 0)</f>
        <v>0</v>
      </c>
      <c r="Q39" s="54">
        <f>IFERROR(IF(DD_ACT_5_Meet1_Curr=2,L39/SENS_BA!$I$862,L39*SENS_BA!$I$862), 0)</f>
        <v>0</v>
      </c>
    </row>
    <row r="40" spans="2:18" x14ac:dyDescent="0.3">
      <c r="D40" s="153" t="str">
        <f>"Single "&amp;C33</f>
        <v>Single Sensitisation Activity #3 [not in use]</v>
      </c>
      <c r="J40" s="164">
        <f>SUM(J35:J39)</f>
        <v>0</v>
      </c>
      <c r="L40" s="164">
        <f>SUM(L35:L39)</f>
        <v>0</v>
      </c>
      <c r="O40" s="164">
        <f>SUM(O35:O39)</f>
        <v>0</v>
      </c>
      <c r="Q40" s="164">
        <f>SUM(Q35:Q39)</f>
        <v>0</v>
      </c>
    </row>
    <row r="42" spans="2:18" ht="14.4" x14ac:dyDescent="0.3">
      <c r="C42" s="101" t="s">
        <v>474</v>
      </c>
      <c r="H42" s="133">
        <v>0</v>
      </c>
    </row>
    <row r="43" spans="2:18" ht="15" thickBot="1" x14ac:dyDescent="0.35">
      <c r="C43" s="151" t="str">
        <f>"Subtotal Cost: "&amp;C33&amp;" Activities"</f>
        <v>Subtotal Cost: Sensitisation Activity #3 [not in use] Activities</v>
      </c>
      <c r="J43" s="56">
        <f>J40*HL_ACT_5_Number_Local_Sens</f>
        <v>0</v>
      </c>
      <c r="L43" s="56">
        <f>L40*HL_ACT_5_Number_Local_Sens</f>
        <v>0</v>
      </c>
      <c r="O43" s="56">
        <f>O40*HL_ACT_5_Number_Local_Sens</f>
        <v>0</v>
      </c>
      <c r="Q43" s="56">
        <f>Q40*HL_ACT_5_Number_Local_Sens</f>
        <v>0</v>
      </c>
    </row>
    <row r="44" spans="2:18" ht="14.4" thickTop="1" x14ac:dyDescent="0.3">
      <c r="B44" s="14"/>
      <c r="C44" s="14"/>
      <c r="D44" s="14"/>
      <c r="E44" s="14"/>
      <c r="F44" s="14"/>
      <c r="G44" s="14"/>
      <c r="H44" s="14"/>
      <c r="I44" s="14"/>
      <c r="J44" s="14"/>
      <c r="K44" s="14"/>
      <c r="L44" s="14"/>
      <c r="M44" s="14"/>
      <c r="N44" s="14"/>
      <c r="O44" s="14"/>
      <c r="P44" s="14"/>
      <c r="Q44" s="14"/>
      <c r="R44" s="14"/>
    </row>
  </sheetData>
  <sheetProtection algorithmName="SHA-512" hashValue="WCBvtyP/PyVihjjwUwayu9qS79PinEgBw5Psw8X5t3jqeMllGuupdWBaqUX/1asCJM0ZXFSLMUJyHU6T2nM1cw==" saltValue="X5AB5lWfTayibAUo6Q1c9w==" spinCount="100000" sheet="1" objects="1" scenarios="1" formatColumns="0" formatRows="0"/>
  <mergeCells count="1">
    <mergeCell ref="B3:F3"/>
  </mergeCells>
  <hyperlinks>
    <hyperlink ref="A4" location="$B$5" tooltip="Go to Top of Sheet" display="$B$5" xr:uid="{00000000-0004-0000-1900-000000000000}"/>
    <hyperlink ref="B4" location="HL_Sheet_Main_42" tooltip="Go to Previous Sheet" display="HL_Sheet_Main_42" xr:uid="{00000000-0004-0000-1900-000001000000}"/>
    <hyperlink ref="C4" location="HL_Sheet_Main_59" tooltip="Go to Next Sheet" display="HL_Sheet_Main_59" xr:uid="{00000000-0004-0000-1900-000002000000}"/>
    <hyperlink ref="B3" location="HL_Home" tooltip="Go to Table of Contents" display="HL_Home" xr:uid="{00000000-0004-0000-1900-000003000000}"/>
    <hyperlink ref="D4" location="HL_Err_Chk" tooltip="Go to Error Checks" display="HL_Err_Chk" xr:uid="{00000000-0004-0000-1900-000004000000}"/>
    <hyperlink ref="F4" location="HL_Alt_Chk" tooltip="Go to Alert Checks" display="HL_Alt_Chk" xr:uid="{00000000-0004-0000-19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0">
    <outlinePr showOutlineSymbols="0"/>
    <pageSetUpPr autoPageBreaks="0"/>
  </sheetPr>
  <dimension ref="A1:R44"/>
  <sheetViews>
    <sheetView showGridLines="0" showRowColHeaders="0" showOutlineSymbol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11.6640625" defaultRowHeight="13.8" x14ac:dyDescent="0.3"/>
  <cols>
    <col min="1" max="5" width="3.6640625" customWidth="1"/>
    <col min="9" max="9" width="12" customWidth="1"/>
    <col min="11" max="11" width="2.6640625" customWidth="1"/>
    <col min="13" max="13" width="2.88671875" customWidth="1"/>
    <col min="14" max="14" width="3.6640625" customWidth="1"/>
    <col min="16" max="16" width="3.109375" customWidth="1"/>
  </cols>
  <sheetData>
    <row r="1" spans="1:17" ht="23.4" x14ac:dyDescent="0.3">
      <c r="B1" s="2" t="s">
        <v>657</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26</v>
      </c>
    </row>
    <row r="7" spans="1:17" ht="18" x14ac:dyDescent="0.3">
      <c r="B7" s="49" t="s">
        <v>469</v>
      </c>
    </row>
    <row r="9" spans="1:17" ht="14.4" x14ac:dyDescent="0.3">
      <c r="C9" s="50" t="str">
        <f>IEC_BA!B7</f>
        <v>Communication Materials Activity #1 [not in use]</v>
      </c>
    </row>
    <row r="10" spans="1:17" ht="27.6" x14ac:dyDescent="0.3">
      <c r="J10" s="51" t="str">
        <f>"FINANCIAL COST ("&amp;INDEX(LU_ACT_6_Meet_Curr,DD_ACT_6_Meet1_Curr)&amp;")"</f>
        <v>FINANCIAL COST (GOZ)</v>
      </c>
      <c r="L10" s="51" t="str">
        <f>"ECONOMIC COST ("&amp;INDEX(LU_ACT_6_Meet_Curr,DD_ACT_6_Meet1_Curr)&amp;")"</f>
        <v>ECONOMIC COST (GOZ)</v>
      </c>
      <c r="O10" s="51" t="str">
        <f>"FINANCIAL COST ("&amp;IF(DD_ACT_6_Meet1_Curr=2,IEC_BA!$D$161,IEC_BA!$D$162)&amp;")"</f>
        <v>FINANCIAL COST (USD)</v>
      </c>
      <c r="Q10" s="51" t="str">
        <f>"FINANCIAL COST ("&amp;IF(DD_ACT_6_Meet1_Curr=2,IEC_BA!$D$161,IEC_BA!$D$162)&amp;")"</f>
        <v>FINANCIAL COST (USD)</v>
      </c>
    </row>
    <row r="11" spans="1:17" x14ac:dyDescent="0.3">
      <c r="D11" s="52" t="str">
        <f>IEC_BA!C10</f>
        <v>Personnel</v>
      </c>
      <c r="J11" s="53">
        <f>IEC_BA!Q37</f>
        <v>0</v>
      </c>
      <c r="L11" s="53">
        <f>IEC_BA!S37</f>
        <v>0</v>
      </c>
      <c r="O11" s="54">
        <f>IFERROR(IF(DD_ACT_6_Meet1_Curr=2,J11/IEC_BA!$I$162,J11*IEC_BA!$I$162), 0)</f>
        <v>0</v>
      </c>
      <c r="Q11" s="54">
        <f>IFERROR(IF(DD_ACT_6_Meet1_Curr=2,L11/IEC_BA!$I$162,L11*IEC_BA!$I$162), 0)</f>
        <v>0</v>
      </c>
    </row>
    <row r="12" spans="1:17" x14ac:dyDescent="0.3">
      <c r="D12" s="52" t="str">
        <f>IEC_BA!C39</f>
        <v>Allowances</v>
      </c>
      <c r="J12" s="53">
        <f>IEC_BA!Q66</f>
        <v>0</v>
      </c>
      <c r="L12" s="53">
        <f>IEC_BA!S66</f>
        <v>0</v>
      </c>
      <c r="O12" s="54">
        <f>IFERROR(IF(DD_ACT_6_Meet1_Curr=2,J12/IEC_BA!$I$162,J12*IEC_BA!$I$162), 0)</f>
        <v>0</v>
      </c>
      <c r="Q12" s="54">
        <f>IFERROR(IF(DD_ACT_6_Meet1_Curr=2,L12/IEC_BA!$I$162,L12*IEC_BA!$I$162), 0)</f>
        <v>0</v>
      </c>
    </row>
    <row r="13" spans="1:17" x14ac:dyDescent="0.3">
      <c r="D13" s="52" t="str">
        <f>IEC_BA!C68</f>
        <v>Materials &amp; Supplies</v>
      </c>
      <c r="J13" s="53">
        <f>IEC_BA!Q95</f>
        <v>0</v>
      </c>
      <c r="L13" s="53">
        <f>IEC_BA!S95</f>
        <v>0</v>
      </c>
      <c r="O13" s="54">
        <f>IFERROR(IF(DD_ACT_6_Meet1_Curr=2,J13/IEC_BA!$I$162,J13*IEC_BA!$I$162), 0)</f>
        <v>0</v>
      </c>
      <c r="Q13" s="54">
        <f>IFERROR(IF(DD_ACT_6_Meet1_Curr=2,L13/IEC_BA!$I$162,L13*IEC_BA!$I$162), 0)</f>
        <v>0</v>
      </c>
    </row>
    <row r="14" spans="1:17" x14ac:dyDescent="0.3">
      <c r="D14" s="52" t="str">
        <f>IEC_BA!C97</f>
        <v>Equipment</v>
      </c>
      <c r="J14" s="53">
        <f>IEC_BA!Q124</f>
        <v>0</v>
      </c>
      <c r="L14" s="53">
        <f>IEC_BA!S124</f>
        <v>0</v>
      </c>
      <c r="O14" s="54">
        <f>IFERROR(IF(DD_ACT_6_Meet1_Curr=2,J14/IEC_BA!$I$162,J14*IEC_BA!$I$162), 0)</f>
        <v>0</v>
      </c>
      <c r="Q14" s="54">
        <f>IFERROR(IF(DD_ACT_6_Meet1_Curr=2,L14/IEC_BA!$I$162,L14*IEC_BA!$I$162), 0)</f>
        <v>0</v>
      </c>
    </row>
    <row r="15" spans="1:17" x14ac:dyDescent="0.3">
      <c r="D15" s="52" t="str">
        <f>IEC_BA!C126</f>
        <v>Other Direct Costs</v>
      </c>
      <c r="J15" s="53">
        <f>IEC_BA!Q154</f>
        <v>0</v>
      </c>
      <c r="L15" s="53">
        <f>IEC_BA!S154</f>
        <v>0</v>
      </c>
      <c r="O15" s="54">
        <f>IFERROR(IF(DD_ACT_6_Meet1_Curr=2,J15/IEC_BA!$I$162,J15*IEC_BA!$I$162), 0)</f>
        <v>0</v>
      </c>
      <c r="Q15" s="54">
        <f>IFERROR(IF(DD_ACT_6_Meet1_Curr=2,L15/IEC_BA!$I$162,L15*IEC_BA!$I$162), 0)</f>
        <v>0</v>
      </c>
    </row>
    <row r="16" spans="1:17" x14ac:dyDescent="0.3">
      <c r="D16" s="153" t="str">
        <f>"Single "&amp;C9&amp;" Activity"</f>
        <v>Single Communication Materials Activity #1 [not in use] Activity</v>
      </c>
      <c r="J16" s="164">
        <f>SUM(J11:J15)</f>
        <v>0</v>
      </c>
      <c r="L16" s="164">
        <f>SUM(L11:L15)</f>
        <v>0</v>
      </c>
      <c r="O16" s="164">
        <f>SUM(O11:O15)</f>
        <v>0</v>
      </c>
      <c r="Q16" s="164">
        <f>SUM(Q11:Q15)</f>
        <v>0</v>
      </c>
    </row>
    <row r="18" spans="2:18" ht="14.4" x14ac:dyDescent="0.3">
      <c r="C18" s="101" t="s">
        <v>474</v>
      </c>
      <c r="H18" s="133">
        <v>0</v>
      </c>
    </row>
    <row r="19" spans="2:18" ht="15" thickBot="1" x14ac:dyDescent="0.35">
      <c r="C19" s="151" t="str">
        <f>"Subtotal Cost: "&amp;C9&amp;" Activities"</f>
        <v>Subtotal Cost: Communication Materials Activity #1 [not in use] Activities</v>
      </c>
      <c r="J19" s="56">
        <f>HL_ACT_6_COMM_DESIGN*J16</f>
        <v>0</v>
      </c>
      <c r="L19" s="56">
        <f>HL_ACT_6_COMM_DESIGN*L16</f>
        <v>0</v>
      </c>
      <c r="O19" s="56">
        <f>HL_ACT_6_COMM_DESIGN*O16</f>
        <v>0</v>
      </c>
      <c r="Q19" s="56">
        <f>HL_ACT_6_COMM_DESIGN*Q16</f>
        <v>0</v>
      </c>
    </row>
    <row r="20" spans="2:18" ht="14.4" thickTop="1" x14ac:dyDescent="0.3">
      <c r="B20" s="14"/>
      <c r="C20" s="14"/>
      <c r="D20" s="14"/>
      <c r="E20" s="14"/>
      <c r="F20" s="14"/>
      <c r="G20" s="14"/>
      <c r="H20" s="14"/>
      <c r="I20" s="14"/>
      <c r="J20" s="14"/>
      <c r="K20" s="14"/>
      <c r="L20" s="14"/>
      <c r="M20" s="14"/>
      <c r="N20" s="14"/>
      <c r="O20" s="14"/>
      <c r="P20" s="14"/>
      <c r="Q20" s="14"/>
      <c r="R20" s="14"/>
    </row>
    <row r="21" spans="2:18" ht="14.4" x14ac:dyDescent="0.3">
      <c r="C21" s="50" t="str">
        <f>IEC_BA!B354</f>
        <v>Communication Materials Activity #2 [not in use]</v>
      </c>
    </row>
    <row r="22" spans="2:18" ht="27.6" x14ac:dyDescent="0.3">
      <c r="J22" s="51" t="str">
        <f>"FINANCIAL COST ("&amp;INDEX(LU_ACT_21_Meet_Curr,DD_ACT_21_Meet1_Curr)&amp;")"</f>
        <v>FINANCIAL COST (GOZ)</v>
      </c>
      <c r="L22" s="51" t="str">
        <f>"ECONOMIC COST ("&amp;INDEX(LU_ACT_21_Meet_Curr,DD_ACT_21_Meet1_Curr)&amp;")"</f>
        <v>ECONOMIC COST (GOZ)</v>
      </c>
      <c r="O22" s="51" t="str">
        <f>"FINANCIAL COST ("&amp;IF(DD_ACT_21_Meet1_Curr=2,IEC_BA!$D$510,IEC_BA!$D$511)&amp;")"</f>
        <v>FINANCIAL COST (USD)</v>
      </c>
      <c r="Q22" s="51" t="str">
        <f>"FINANCIAL COST ("&amp;IF(DD_ACT_21_Meet1_Curr=2,IEC_BA!$D$510,IEC_BA!$D$511)&amp;")"</f>
        <v>FINANCIAL COST (USD)</v>
      </c>
    </row>
    <row r="23" spans="2:18" x14ac:dyDescent="0.3">
      <c r="D23" s="52" t="str">
        <f>IEC_BA!C357</f>
        <v>Personnel</v>
      </c>
      <c r="J23" s="53">
        <f>IEC_BA!Q384</f>
        <v>0</v>
      </c>
      <c r="L23" s="53">
        <f>IEC_BA!S384</f>
        <v>0</v>
      </c>
      <c r="O23" s="54">
        <f>IFERROR(IF(DD_ACT_21_Meet1_Curr=2,J23/IEC_BA!$I$511,J23*IEC_BA!$I$511), 0)</f>
        <v>0</v>
      </c>
      <c r="Q23" s="54">
        <f>IFERROR(IF(DD_ACT_21_Meet1_Curr=2,L23/IEC_BA!$I$511,L23*IEC_BA!$I$511), 0)</f>
        <v>0</v>
      </c>
    </row>
    <row r="24" spans="2:18" x14ac:dyDescent="0.3">
      <c r="D24" s="52" t="str">
        <f>IEC_BA!C386</f>
        <v>Allowances</v>
      </c>
      <c r="J24" s="53">
        <f>IEC_BA!Q413</f>
        <v>0</v>
      </c>
      <c r="L24" s="53">
        <f>IEC_BA!S413</f>
        <v>0</v>
      </c>
      <c r="O24" s="54">
        <f>IFERROR(IF(DD_ACT_21_Meet1_Curr=2,J24/IEC_BA!$I$511,J24*IEC_BA!$I$511), 0)</f>
        <v>0</v>
      </c>
      <c r="Q24" s="54">
        <f>IFERROR(IF(DD_ACT_21_Meet1_Curr=2,L24/IEC_BA!$I$511,L24*IEC_BA!$I$511), 0)</f>
        <v>0</v>
      </c>
    </row>
    <row r="25" spans="2:18" x14ac:dyDescent="0.3">
      <c r="D25" s="52" t="str">
        <f>IEC_BA!C417</f>
        <v>Materials &amp; Supplies</v>
      </c>
      <c r="J25" s="53">
        <f>IEC_BA!Q444</f>
        <v>0</v>
      </c>
      <c r="L25" s="53">
        <f>IEC_BA!S444</f>
        <v>0</v>
      </c>
      <c r="O25" s="54">
        <f>IFERROR(IF(DD_ACT_21_Meet1_Curr=2,J25/IEC_BA!$I$511,J25*IEC_BA!$I$511), 0)</f>
        <v>0</v>
      </c>
      <c r="Q25" s="54">
        <f>IFERROR(IF(DD_ACT_21_Meet1_Curr=2,L25/IEC_BA!$I$511,L25*IEC_BA!$I$511), 0)</f>
        <v>0</v>
      </c>
    </row>
    <row r="26" spans="2:18" x14ac:dyDescent="0.3">
      <c r="D26" s="52" t="str">
        <f>IEC_BA!C446</f>
        <v>Equipment</v>
      </c>
      <c r="J26" s="53">
        <f>IEC_BA!Q473</f>
        <v>0</v>
      </c>
      <c r="L26" s="53">
        <f>IEC_BA!S473</f>
        <v>0</v>
      </c>
      <c r="O26" s="54">
        <f>IFERROR(IF(DD_ACT_21_Meet1_Curr=2,J26/IEC_BA!$I$511,J26*IEC_BA!$I$511), 0)</f>
        <v>0</v>
      </c>
      <c r="Q26" s="54">
        <f>IFERROR(IF(DD_ACT_21_Meet1_Curr=2,L26/IEC_BA!$I$511,L26*IEC_BA!$I$511), 0)</f>
        <v>0</v>
      </c>
    </row>
    <row r="27" spans="2:18" x14ac:dyDescent="0.3">
      <c r="D27" s="52" t="str">
        <f>IEC_BA!C475</f>
        <v>Other Direct Costs</v>
      </c>
      <c r="J27" s="53">
        <f>IEC_BA!Q503</f>
        <v>0</v>
      </c>
      <c r="L27" s="53">
        <f>IEC_BA!S503</f>
        <v>0</v>
      </c>
      <c r="O27" s="54">
        <f>IFERROR(IF(DD_ACT_21_Meet1_Curr=2,J27/IEC_BA!$I$511,J27*IEC_BA!$I$511), 0)</f>
        <v>0</v>
      </c>
      <c r="Q27" s="54">
        <f>IFERROR(IF(DD_ACT_21_Meet1_Curr=2,L27/IEC_BA!$I$511,L27*IEC_BA!$I$511), 0)</f>
        <v>0</v>
      </c>
    </row>
    <row r="28" spans="2:18" x14ac:dyDescent="0.3">
      <c r="D28" s="153" t="str">
        <f>"Single "&amp;C21&amp;" Activity"</f>
        <v>Single Communication Materials Activity #2 [not in use] Activity</v>
      </c>
      <c r="J28" s="164">
        <f>SUM(J23:J27)</f>
        <v>0</v>
      </c>
      <c r="L28" s="164">
        <f>SUM(L23:L27)</f>
        <v>0</v>
      </c>
      <c r="O28" s="164">
        <f>SUM(O23:O27)</f>
        <v>0</v>
      </c>
      <c r="Q28" s="164">
        <f>SUM(Q23:Q27)</f>
        <v>0</v>
      </c>
    </row>
    <row r="30" spans="2:18" ht="14.4" x14ac:dyDescent="0.3">
      <c r="C30" s="101" t="s">
        <v>474</v>
      </c>
      <c r="H30" s="133">
        <v>0</v>
      </c>
    </row>
    <row r="31" spans="2:18" ht="15" thickBot="1" x14ac:dyDescent="0.35">
      <c r="C31" s="151" t="str">
        <f>"Subtotal Cost: "&amp;C21&amp;" Activities"</f>
        <v>Subtotal Cost: Communication Materials Activity #2 [not in use] Activities</v>
      </c>
      <c r="J31" s="56">
        <f>HL_ACT_21_COMM_PRETEST*J28</f>
        <v>0</v>
      </c>
      <c r="L31" s="56">
        <f>HL_ACT_21_COMM_PRETEST*L28</f>
        <v>0</v>
      </c>
      <c r="O31" s="56">
        <f>HL_ACT_21_COMM_PRETEST*O28</f>
        <v>0</v>
      </c>
      <c r="Q31" s="56">
        <f>HL_ACT_21_COMM_PRETEST*Q28</f>
        <v>0</v>
      </c>
    </row>
    <row r="32" spans="2:18" ht="14.4" thickTop="1" x14ac:dyDescent="0.3">
      <c r="B32" s="14"/>
      <c r="C32" s="14"/>
      <c r="D32" s="14"/>
      <c r="E32" s="14"/>
      <c r="F32" s="14"/>
      <c r="G32" s="14"/>
      <c r="H32" s="14"/>
      <c r="I32" s="14"/>
      <c r="J32" s="14"/>
      <c r="K32" s="14"/>
      <c r="L32" s="14"/>
      <c r="M32" s="14"/>
      <c r="N32" s="14"/>
      <c r="O32" s="14"/>
      <c r="P32" s="14"/>
      <c r="Q32" s="14"/>
      <c r="R32" s="14"/>
    </row>
    <row r="33" spans="2:18" ht="14.4" x14ac:dyDescent="0.3">
      <c r="C33" s="50" t="str">
        <f>IEC_BA!B703</f>
        <v>Communication Materials Activity #3 [not in use]</v>
      </c>
    </row>
    <row r="34" spans="2:18" ht="27.6" x14ac:dyDescent="0.3">
      <c r="J34" s="51" t="str">
        <f>"FINANCIAL COST ("&amp;INDEX(LU_ACT_22_Meet_Curr,DD_ACT_22_Meet1_Curr)&amp;")"</f>
        <v>FINANCIAL COST (GOZ)</v>
      </c>
      <c r="L34" s="51" t="str">
        <f>"ECONOMIC COST ("&amp;INDEX(LU_ACT_22_Meet_Curr,DD_ACT_22_Meet1_Curr)&amp;")"</f>
        <v>ECONOMIC COST (GOZ)</v>
      </c>
      <c r="O34" s="51" t="str">
        <f>"FINANCIAL COST ("&amp;IF(DD_ACT_22_Meet1_Curr=2,IEC_BA!$D$859,IEC_BA!$D$860)&amp;")"</f>
        <v>FINANCIAL COST (USD)</v>
      </c>
      <c r="Q34" s="51" t="str">
        <f>"FINANCIAL COST ("&amp;IF(DD_ACT_22_Meet1_Curr=2,IEC_BA!$D$859,IEC_BA!$D$860)&amp;")"</f>
        <v>FINANCIAL COST (USD)</v>
      </c>
    </row>
    <row r="35" spans="2:18" x14ac:dyDescent="0.3">
      <c r="D35" s="52" t="str">
        <f>IEC_BA!C706</f>
        <v>Personnel</v>
      </c>
      <c r="J35" s="53">
        <f>IEC_BA!Q733</f>
        <v>0</v>
      </c>
      <c r="L35" s="53">
        <f>IEC_BA!S733</f>
        <v>0</v>
      </c>
      <c r="O35" s="54">
        <f>IFERROR(IF(DD_ACT_22_Meet1_Curr=2,J35/IEC_BA!$I$860,J35*IEC_BA!$I$860), 0)</f>
        <v>0</v>
      </c>
      <c r="Q35" s="54">
        <f>IFERROR(IF(DD_ACT_22_Meet1_Curr=2,L35/IEC_BA!$I$860,L35*IEC_BA!$I$860), 0)</f>
        <v>0</v>
      </c>
    </row>
    <row r="36" spans="2:18" x14ac:dyDescent="0.3">
      <c r="D36" s="52" t="str">
        <f>IEC_BA!C735</f>
        <v>Allowances</v>
      </c>
      <c r="J36" s="53">
        <f>IEC_BA!Q762</f>
        <v>0</v>
      </c>
      <c r="L36" s="53">
        <f>IEC_BA!S762</f>
        <v>0</v>
      </c>
      <c r="O36" s="54">
        <f>IFERROR(IF(DD_ACT_22_Meet1_Curr=2,J36/IEC_BA!$I$860,J36*IEC_BA!$I$860), 0)</f>
        <v>0</v>
      </c>
      <c r="Q36" s="54">
        <f>IFERROR(IF(DD_ACT_22_Meet1_Curr=2,L36/IEC_BA!$I$860,L36*IEC_BA!$I$860), 0)</f>
        <v>0</v>
      </c>
    </row>
    <row r="37" spans="2:18" x14ac:dyDescent="0.3">
      <c r="D37" s="52" t="str">
        <f>IEC_BA!C766</f>
        <v>Materials &amp; Supplies</v>
      </c>
      <c r="J37" s="53">
        <f>IEC_BA!Q793</f>
        <v>0</v>
      </c>
      <c r="L37" s="53">
        <f>IEC_BA!S793</f>
        <v>0</v>
      </c>
      <c r="O37" s="54">
        <f>IFERROR(IF(DD_ACT_22_Meet1_Curr=2,J37/IEC_BA!$I$860,J37*IEC_BA!$I$860), 0)</f>
        <v>0</v>
      </c>
      <c r="Q37" s="54">
        <f>IFERROR(IF(DD_ACT_22_Meet1_Curr=2,L37/IEC_BA!$I$860,L37*IEC_BA!$I$860), 0)</f>
        <v>0</v>
      </c>
    </row>
    <row r="38" spans="2:18" x14ac:dyDescent="0.3">
      <c r="D38" s="52" t="str">
        <f>IEC_BA!C795</f>
        <v>Equipment</v>
      </c>
      <c r="J38" s="53">
        <f>IEC_BA!Q822</f>
        <v>0</v>
      </c>
      <c r="L38" s="53">
        <f>IEC_BA!S822</f>
        <v>0</v>
      </c>
      <c r="O38" s="54">
        <f>IFERROR(IF(DD_ACT_22_Meet1_Curr=2,J38/IEC_BA!$I$860,J38*IEC_BA!$I$860), 0)</f>
        <v>0</v>
      </c>
      <c r="Q38" s="54">
        <f>IFERROR(IF(DD_ACT_22_Meet1_Curr=2,L38/IEC_BA!$I$860,L38*IEC_BA!$I$860), 0)</f>
        <v>0</v>
      </c>
    </row>
    <row r="39" spans="2:18" x14ac:dyDescent="0.3">
      <c r="D39" s="52" t="str">
        <f>IEC_BA!C824</f>
        <v>Other Direct Costs</v>
      </c>
      <c r="J39" s="53">
        <f>IEC_BA!Q852</f>
        <v>0</v>
      </c>
      <c r="L39" s="53">
        <f>IEC_BA!S852</f>
        <v>0</v>
      </c>
      <c r="O39" s="54">
        <f>IFERROR(IF(DD_ACT_22_Meet1_Curr=2,J39/IEC_BA!$I$860,J39*IEC_BA!$I$860), 0)</f>
        <v>0</v>
      </c>
      <c r="Q39" s="54">
        <f>IFERROR(IF(DD_ACT_22_Meet1_Curr=2,L39/IEC_BA!$I$860,L39*IEC_BA!$I$860), 0)</f>
        <v>0</v>
      </c>
    </row>
    <row r="40" spans="2:18" x14ac:dyDescent="0.3">
      <c r="D40" s="153" t="str">
        <f>"Single "&amp;C33&amp;" Activity"</f>
        <v>Single Communication Materials Activity #3 [not in use] Activity</v>
      </c>
      <c r="J40" s="164">
        <f>SUM(J35:J39)</f>
        <v>0</v>
      </c>
      <c r="L40" s="164">
        <f>SUM(L35:L39)</f>
        <v>0</v>
      </c>
      <c r="O40" s="164">
        <f>SUM(O35:O39)</f>
        <v>0</v>
      </c>
      <c r="Q40" s="164">
        <f>SUM(Q35:Q39)</f>
        <v>0</v>
      </c>
    </row>
    <row r="42" spans="2:18" ht="14.4" x14ac:dyDescent="0.3">
      <c r="C42" s="101" t="s">
        <v>474</v>
      </c>
      <c r="H42" s="133">
        <v>0</v>
      </c>
    </row>
    <row r="43" spans="2:18" ht="15" thickBot="1" x14ac:dyDescent="0.35">
      <c r="C43" s="151" t="str">
        <f>"Subtotal Cost: "&amp;C33&amp;" Activities"</f>
        <v>Subtotal Cost: Communication Materials Activity #3 [not in use] Activities</v>
      </c>
      <c r="J43" s="56">
        <f>HL_ACT_22_COMM_PROD*J40</f>
        <v>0</v>
      </c>
      <c r="L43" s="56">
        <f>HL_ACT_22_COMM_PROD*L40</f>
        <v>0</v>
      </c>
      <c r="O43" s="56">
        <f>HL_ACT_22_COMM_PROD*O40</f>
        <v>0</v>
      </c>
      <c r="Q43" s="56">
        <f>HL_ACT_22_COMM_PROD*Q40</f>
        <v>0</v>
      </c>
    </row>
    <row r="44" spans="2:18" ht="14.4" thickTop="1" x14ac:dyDescent="0.3">
      <c r="B44" s="14"/>
      <c r="C44" s="14"/>
      <c r="D44" s="14"/>
      <c r="E44" s="14"/>
      <c r="F44" s="14"/>
      <c r="G44" s="14"/>
      <c r="H44" s="14"/>
      <c r="I44" s="14"/>
      <c r="J44" s="14"/>
      <c r="K44" s="14"/>
      <c r="L44" s="14"/>
      <c r="M44" s="14"/>
      <c r="N44" s="14"/>
      <c r="O44" s="14"/>
      <c r="P44" s="14"/>
      <c r="Q44" s="14"/>
      <c r="R44" s="14"/>
    </row>
  </sheetData>
  <sheetProtection algorithmName="SHA-512" hashValue="2Fo0prs3ihYgBQfjBCbbdAVRD3gPUap38avRNqyfwMwQsp/N3sGahXsNec+he9+jri6TWzC0PWaD1lMMZojVyA==" saltValue="lW8LsD/fvu0OOHMYq5nD6g==" spinCount="100000" sheet="1" objects="1" scenarios="1" formatColumns="0" formatRows="0"/>
  <mergeCells count="1">
    <mergeCell ref="B3:F3"/>
  </mergeCells>
  <hyperlinks>
    <hyperlink ref="A4" location="$B$5" tooltip="Go to Top of Sheet" display="$B$5" xr:uid="{00000000-0004-0000-1A00-000000000000}"/>
    <hyperlink ref="B4" location="HL_Sheet_Main_58" tooltip="Go to Previous Sheet" display="HL_Sheet_Main_58" xr:uid="{00000000-0004-0000-1A00-000001000000}"/>
    <hyperlink ref="C4" location="HL_Sheet_Main_60" tooltip="Go to Next Sheet" display="HL_Sheet_Main_60" xr:uid="{00000000-0004-0000-1A00-000002000000}"/>
    <hyperlink ref="B3" location="HL_Home" tooltip="Go to Table of Contents" display="HL_Home" xr:uid="{00000000-0004-0000-1A00-000003000000}"/>
    <hyperlink ref="D4" location="HL_Err_Chk" tooltip="Go to Error Checks" display="HL_Err_Chk" xr:uid="{00000000-0004-0000-1A00-000004000000}"/>
    <hyperlink ref="F4" location="HL_Alt_Chk" tooltip="Go to Alert Checks" display="HL_Alt_Chk" xr:uid="{00000000-0004-0000-1A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outlinePr showOutlineSymbols="0"/>
    <pageSetUpPr autoPageBreaks="0"/>
  </sheetPr>
  <dimension ref="A1:R97"/>
  <sheetViews>
    <sheetView showGridLines="0" showRowColHeaders="0" showOutlineSymbols="0" zoomScaleNormal="100" workbookViewId="0">
      <pane xSplit="1" ySplit="4" topLeftCell="B5" activePane="bottomRight" state="frozen"/>
      <selection pane="topRight" activeCell="B1" sqref="B1"/>
      <selection pane="bottomLeft" activeCell="A5" sqref="A5"/>
      <selection pane="bottomRight" activeCell="R60" sqref="R60"/>
    </sheetView>
  </sheetViews>
  <sheetFormatPr defaultColWidth="11.6640625" defaultRowHeight="13.8" outlineLevelRow="1" x14ac:dyDescent="0.3"/>
  <cols>
    <col min="1" max="5" width="3.6640625" customWidth="1"/>
    <col min="11" max="11" width="5.33203125" customWidth="1"/>
    <col min="13" max="13" width="4.33203125" customWidth="1"/>
    <col min="14" max="14" width="4.88671875" customWidth="1"/>
    <col min="16" max="16" width="4.109375" customWidth="1"/>
  </cols>
  <sheetData>
    <row r="1" spans="1:17" ht="23.4" x14ac:dyDescent="0.3">
      <c r="B1" s="2" t="s">
        <v>656</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26</v>
      </c>
    </row>
    <row r="6" spans="1:17" ht="18" x14ac:dyDescent="0.3">
      <c r="B6" s="49" t="s">
        <v>491</v>
      </c>
    </row>
    <row r="8" spans="1:17" ht="14.4" x14ac:dyDescent="0.3">
      <c r="C8" s="50" t="str">
        <f>TRAIN_BA!B7</f>
        <v>Training Activity #1 [not in use]</v>
      </c>
    </row>
    <row r="9" spans="1:17" ht="27.6" x14ac:dyDescent="0.3">
      <c r="J9" s="51" t="str">
        <f>"FINANCIAL COST ("&amp;INDEX(LU_ACT_17_Meet_Curr,DD_ACT_17_Meet1_Curr)&amp;")"</f>
        <v>FINANCIAL COST (GOZ)</v>
      </c>
      <c r="L9" s="51" t="str">
        <f>"ECONOMIC COST ("&amp;INDEX(LU_ACT_17_Meet_Curr,DD_ACT_17_Meet1_Curr)&amp;")"</f>
        <v>ECONOMIC COST (GOZ)</v>
      </c>
      <c r="O9" s="51" t="str">
        <f>"FINANCIAL COST ("&amp;IF(DD_ACT_17_Meet1_Curr=2,TRAIN_BA!$D$164,TRAIN_BA!$D$165)&amp;")"</f>
        <v>FINANCIAL COST (USD)</v>
      </c>
      <c r="Q9" s="51" t="str">
        <f>"FINANCIAL COST ("&amp;IF(DD_ACT_17_Meet1_Curr=2,TRAIN_BA!$D$164,TRAIN_BA!$D$165)&amp;")"</f>
        <v>FINANCIAL COST (USD)</v>
      </c>
    </row>
    <row r="10" spans="1:17" x14ac:dyDescent="0.3">
      <c r="D10" s="52" t="str">
        <f>TRAIN_BA!C11</f>
        <v>Personnel</v>
      </c>
      <c r="J10" s="53">
        <f>TRAIN_BA!Q38</f>
        <v>0</v>
      </c>
      <c r="L10" s="53">
        <f>TRAIN_BA!S38</f>
        <v>0</v>
      </c>
      <c r="O10" s="54">
        <f>IFERROR(IF(DD_ACT_17_Meet1_Curr=2,J10/TRAIN_BA!$I$165,J10*TRAIN_BA!$I$165), 0)</f>
        <v>0</v>
      </c>
      <c r="Q10" s="54">
        <f>IFERROR(IF(DD_ACT_17_Meet1_Curr=2,L10/TRAIN_BA!$I$165,L10*TRAIN_BA!$I$165), 0)</f>
        <v>0</v>
      </c>
    </row>
    <row r="11" spans="1:17" x14ac:dyDescent="0.3">
      <c r="D11" s="52" t="str">
        <f>TRAIN_BA!C40</f>
        <v>Allowances</v>
      </c>
      <c r="J11" s="53">
        <f>TRAIN_BA!Q67</f>
        <v>0</v>
      </c>
      <c r="L11" s="53">
        <f>TRAIN_BA!S67</f>
        <v>0</v>
      </c>
      <c r="O11" s="54">
        <f>IFERROR(IF(DD_ACT_17_Meet1_Curr=2,J11/TRAIN_BA!$I$165,J11*TRAIN_BA!$I$165), 0)</f>
        <v>0</v>
      </c>
      <c r="Q11" s="54">
        <f>IFERROR(IF(DD_ACT_17_Meet1_Curr=2,L11/TRAIN_BA!$I$165,L11*TRAIN_BA!$I$165), 0)</f>
        <v>0</v>
      </c>
    </row>
    <row r="12" spans="1:17" x14ac:dyDescent="0.3">
      <c r="D12" s="52" t="str">
        <f>TRAIN_BA!C71</f>
        <v>Materials &amp; Supplies</v>
      </c>
      <c r="J12" s="53">
        <f>TRAIN_BA!Q98</f>
        <v>0</v>
      </c>
      <c r="L12" s="53">
        <f>TRAIN_BA!S98</f>
        <v>0</v>
      </c>
      <c r="O12" s="54">
        <f>IFERROR(IF(DD_ACT_17_Meet1_Curr=2,J12/TRAIN_BA!$I$165,J12*TRAIN_BA!$I$165), 0)</f>
        <v>0</v>
      </c>
      <c r="Q12" s="54">
        <f>IFERROR(IF(DD_ACT_17_Meet1_Curr=2,L12/TRAIN_BA!$I$165,L12*TRAIN_BA!$I$165), 0)</f>
        <v>0</v>
      </c>
    </row>
    <row r="13" spans="1:17" x14ac:dyDescent="0.3">
      <c r="D13" s="52" t="str">
        <f>TRAIN_BA!C100</f>
        <v>Equipment</v>
      </c>
      <c r="J13" s="53">
        <f>TRAIN_BA!Q127</f>
        <v>0</v>
      </c>
      <c r="L13" s="53">
        <f>TRAIN_BA!S127</f>
        <v>0</v>
      </c>
      <c r="O13" s="54">
        <f>IFERROR(IF(DD_ACT_17_Meet1_Curr=2,J13/TRAIN_BA!$I$165,J13*TRAIN_BA!$I$165), 0)</f>
        <v>0</v>
      </c>
      <c r="Q13" s="54">
        <f>IFERROR(IF(DD_ACT_17_Meet1_Curr=2,L13/TRAIN_BA!$I$165,L13*TRAIN_BA!$I$165), 0)</f>
        <v>0</v>
      </c>
    </row>
    <row r="14" spans="1:17" x14ac:dyDescent="0.3">
      <c r="D14" s="52" t="str">
        <f>TRAIN_BA!C129</f>
        <v>Other Direct Costs</v>
      </c>
      <c r="J14" s="53">
        <f>TRAIN_BA!Q157</f>
        <v>0</v>
      </c>
      <c r="L14" s="53">
        <f>TRAIN_BA!S157</f>
        <v>0</v>
      </c>
      <c r="O14" s="54">
        <f>IFERROR(IF(DD_ACT_17_Meet1_Curr=2,J14/TRAIN_BA!$I$165,J14*TRAIN_BA!$I$165), 0)</f>
        <v>0</v>
      </c>
      <c r="Q14" s="54">
        <f>IFERROR(IF(DD_ACT_17_Meet1_Curr=2,L14/TRAIN_BA!$I$165,L14*TRAIN_BA!$I$165), 0)</f>
        <v>0</v>
      </c>
    </row>
    <row r="15" spans="1:17" x14ac:dyDescent="0.3">
      <c r="D15" s="153" t="str">
        <f>"Single "&amp;C8&amp;" Activity"</f>
        <v>Single Training Activity #1 [not in use] Activity</v>
      </c>
      <c r="J15" s="164">
        <f>SUM(J10:J14)</f>
        <v>0</v>
      </c>
      <c r="L15" s="164">
        <f>SUM(L10:L14)</f>
        <v>0</v>
      </c>
      <c r="O15" s="164">
        <f>SUM(O10:O14)</f>
        <v>0</v>
      </c>
      <c r="Q15" s="164">
        <f>SUM(Q10:Q14)</f>
        <v>0</v>
      </c>
    </row>
    <row r="17" spans="2:18" ht="14.4" x14ac:dyDescent="0.3">
      <c r="C17" s="101" t="s">
        <v>474</v>
      </c>
      <c r="H17" s="133">
        <v>0</v>
      </c>
    </row>
    <row r="18" spans="2:18" ht="15" thickBot="1" x14ac:dyDescent="0.35">
      <c r="C18" s="151" t="str">
        <f>"Subtotal Cost: "&amp;C8&amp;" Activities"</f>
        <v>Subtotal Cost: Training Activity #1 [not in use] Activities</v>
      </c>
      <c r="J18" s="56">
        <f>$H$17*J15</f>
        <v>0</v>
      </c>
      <c r="L18" s="56">
        <f>$H$17*L15</f>
        <v>0</v>
      </c>
      <c r="O18" s="56">
        <f>$H$17*O15</f>
        <v>0</v>
      </c>
      <c r="Q18" s="56">
        <f>$H$17*Q15</f>
        <v>0</v>
      </c>
    </row>
    <row r="19" spans="2:18" ht="14.4" thickTop="1" x14ac:dyDescent="0.3"/>
    <row r="20" spans="2:18" ht="14.4" x14ac:dyDescent="0.3">
      <c r="C20" s="101" t="s">
        <v>592</v>
      </c>
      <c r="J20" s="48">
        <v>0</v>
      </c>
      <c r="L20" s="48">
        <v>0</v>
      </c>
      <c r="O20" s="48">
        <v>0</v>
      </c>
      <c r="Q20" s="48">
        <v>0</v>
      </c>
    </row>
    <row r="21" spans="2:18" ht="14.4" x14ac:dyDescent="0.3">
      <c r="C21" s="101" t="s">
        <v>533</v>
      </c>
      <c r="J21" s="53">
        <f>IFERROR(J15/J20,0)</f>
        <v>0</v>
      </c>
      <c r="L21" s="53">
        <f>IFERROR(L15/L20,0)</f>
        <v>0</v>
      </c>
      <c r="O21" s="53">
        <f>IFERROR(O15/O20,0)</f>
        <v>0</v>
      </c>
      <c r="Q21" s="53">
        <f>IFERROR(Q15/Q20,0)</f>
        <v>0</v>
      </c>
    </row>
    <row r="22" spans="2:18" x14ac:dyDescent="0.3">
      <c r="B22" s="14"/>
      <c r="C22" s="14"/>
      <c r="D22" s="14"/>
      <c r="E22" s="14"/>
      <c r="F22" s="14"/>
      <c r="G22" s="14"/>
      <c r="H22" s="14"/>
      <c r="I22" s="14"/>
      <c r="J22" s="14"/>
      <c r="K22" s="14"/>
      <c r="L22" s="14"/>
      <c r="M22" s="14"/>
      <c r="N22" s="14"/>
      <c r="O22" s="14"/>
      <c r="P22" s="14"/>
      <c r="Q22" s="14"/>
      <c r="R22" s="14"/>
    </row>
    <row r="23" spans="2:18" ht="14.4" x14ac:dyDescent="0.3">
      <c r="C23" s="50" t="str">
        <f>TRAIN_BA!B357</f>
        <v>Training Activity #2 [not in use]</v>
      </c>
    </row>
    <row r="24" spans="2:18" ht="27.6" x14ac:dyDescent="0.3">
      <c r="J24" s="51" t="str">
        <f>"FINANCIAL COST ("&amp;INDEX(LU_ACT_18_Meet_Curr,DD_ACT_18_Meet1_Curr)&amp;")"</f>
        <v>FINANCIAL COST (GOZ)</v>
      </c>
      <c r="L24" s="51" t="str">
        <f>"ECONOMIC COST ("&amp;INDEX(LU_ACT_18_Meet_Curr,DD_ACT_18_Meet1_Curr)&amp;")"</f>
        <v>ECONOMIC COST (GOZ)</v>
      </c>
      <c r="O24" s="51" t="str">
        <f>"FINANCIAL COST ("&amp;IF(DD_ACT_18_Meet1_Curr=2,TRAIN_BA!$D$513,TRAIN_BA!$D$514)&amp;")"</f>
        <v>FINANCIAL COST (USD)</v>
      </c>
      <c r="Q24" s="51" t="str">
        <f>"FINANCIAL COST ("&amp;IF(DD_ACT_18_Meet1_Curr=2,TRAIN_BA!$D$513,TRAIN_BA!$D$514)&amp;")"</f>
        <v>FINANCIAL COST (USD)</v>
      </c>
    </row>
    <row r="25" spans="2:18" x14ac:dyDescent="0.3">
      <c r="D25" s="52" t="str">
        <f>TRAIN_BA!C360</f>
        <v>Personnel</v>
      </c>
      <c r="J25" s="53">
        <f>TRAIN_BA!Q387</f>
        <v>0</v>
      </c>
      <c r="L25" s="53">
        <f>TRAIN_BA!S387</f>
        <v>0</v>
      </c>
      <c r="O25" s="54">
        <f>IFERROR(IF(DD_ACT_18_Meet1_Curr=2,J25/TRAIN_BA!$I$514,J25*TRAIN_BA!$I$514), 0)</f>
        <v>0</v>
      </c>
      <c r="Q25" s="54">
        <f>IFERROR(IF(DD_ACT_18_Meet1_Curr=2,L25/TRAIN_BA!$I$514,L25*TRAIN_BA!$I$514), 0)</f>
        <v>0</v>
      </c>
    </row>
    <row r="26" spans="2:18" x14ac:dyDescent="0.3">
      <c r="D26" s="52" t="str">
        <f>TRAIN_BA!C389</f>
        <v>Allowances</v>
      </c>
      <c r="J26" s="53">
        <f>TRAIN_BA!Q416</f>
        <v>0</v>
      </c>
      <c r="L26" s="53">
        <f>TRAIN_BA!S416</f>
        <v>0</v>
      </c>
      <c r="O26" s="54">
        <f>IFERROR(IF(DD_ACT_18_Meet1_Curr=2,J26/TRAIN_BA!$I$514,J26*TRAIN_BA!$I$514), 0)</f>
        <v>0</v>
      </c>
      <c r="Q26" s="54">
        <f>IFERROR(IF(DD_ACT_18_Meet1_Curr=2,L26/TRAIN_BA!$I$514,L26*TRAIN_BA!$I$514), 0)</f>
        <v>0</v>
      </c>
    </row>
    <row r="27" spans="2:18" x14ac:dyDescent="0.3">
      <c r="D27" s="52" t="str">
        <f>TRAIN_BA!C420</f>
        <v>Materials &amp; Supplies</v>
      </c>
      <c r="J27" s="53">
        <f>TRAIN_BA!Q447</f>
        <v>0</v>
      </c>
      <c r="L27" s="53">
        <f>TRAIN_BA!S447</f>
        <v>0</v>
      </c>
      <c r="O27" s="54">
        <f>IFERROR(IF(DD_ACT_18_Meet1_Curr=2,J27/TRAIN_BA!$I$514,J27*TRAIN_BA!$I$514), 0)</f>
        <v>0</v>
      </c>
      <c r="Q27" s="54">
        <f>IFERROR(IF(DD_ACT_18_Meet1_Curr=2,L27/TRAIN_BA!$I$514,L27*TRAIN_BA!$I$514), 0)</f>
        <v>0</v>
      </c>
    </row>
    <row r="28" spans="2:18" x14ac:dyDescent="0.3">
      <c r="D28" s="52" t="str">
        <f>TRAIN_BA!C449</f>
        <v>Equipment</v>
      </c>
      <c r="J28" s="53">
        <f>TRAIN_BA!Q476</f>
        <v>0</v>
      </c>
      <c r="L28" s="53">
        <f>TRAIN_BA!S476</f>
        <v>0</v>
      </c>
      <c r="O28" s="54">
        <f>IFERROR(IF(DD_ACT_18_Meet1_Curr=2,J28/TRAIN_BA!$I$514,J28*TRAIN_BA!$I$514), 0)</f>
        <v>0</v>
      </c>
      <c r="Q28" s="54">
        <f>IFERROR(IF(DD_ACT_18_Meet1_Curr=2,L28/TRAIN_BA!$I$514,L28*TRAIN_BA!$I$514), 0)</f>
        <v>0</v>
      </c>
    </row>
    <row r="29" spans="2:18" x14ac:dyDescent="0.3">
      <c r="D29" s="52" t="str">
        <f>TRAIN_BA!C478</f>
        <v>Other Direct Costs</v>
      </c>
      <c r="J29" s="53">
        <f>TRAIN_BA!Q506</f>
        <v>0</v>
      </c>
      <c r="L29" s="53">
        <f>TRAIN_BA!S506</f>
        <v>0</v>
      </c>
      <c r="O29" s="54">
        <f>IFERROR(IF(DD_ACT_18_Meet1_Curr=2,J29/TRAIN_BA!$I$514,J29*TRAIN_BA!$I$514), 0)</f>
        <v>0</v>
      </c>
      <c r="Q29" s="54">
        <f>IFERROR(IF(DD_ACT_18_Meet1_Curr=2,L29/TRAIN_BA!$I$514,L29*TRAIN_BA!$I$514), 0)</f>
        <v>0</v>
      </c>
    </row>
    <row r="30" spans="2:18" x14ac:dyDescent="0.3">
      <c r="D30" s="153" t="str">
        <f>"Single "&amp;C23&amp;" Activity"</f>
        <v>Single Training Activity #2 [not in use] Activity</v>
      </c>
      <c r="J30" s="164">
        <f>SUM(J25:J29)</f>
        <v>0</v>
      </c>
      <c r="L30" s="164">
        <f>SUM(L25:L29)</f>
        <v>0</v>
      </c>
      <c r="O30" s="164">
        <f>SUM(O25:O29)</f>
        <v>0</v>
      </c>
      <c r="Q30" s="164">
        <f>SUM(Q25:Q29)</f>
        <v>0</v>
      </c>
    </row>
    <row r="32" spans="2:18" ht="14.4" x14ac:dyDescent="0.3">
      <c r="C32" s="101" t="s">
        <v>474</v>
      </c>
      <c r="H32" s="133">
        <v>0</v>
      </c>
    </row>
    <row r="33" spans="2:18" ht="15" thickBot="1" x14ac:dyDescent="0.35">
      <c r="C33" s="151" t="str">
        <f>"Subtotal Cost: "&amp;C23&amp;" Activities"</f>
        <v>Subtotal Cost: Training Activity #2 [not in use] Activities</v>
      </c>
      <c r="J33" s="56">
        <f>$H$32*J30</f>
        <v>0</v>
      </c>
      <c r="L33" s="56">
        <f>$H$32*L30</f>
        <v>0</v>
      </c>
      <c r="O33" s="56">
        <f>$H$32*O30</f>
        <v>0</v>
      </c>
      <c r="Q33" s="56">
        <f>$H$32*Q30</f>
        <v>0</v>
      </c>
    </row>
    <row r="34" spans="2:18" ht="14.4" thickTop="1" x14ac:dyDescent="0.3"/>
    <row r="35" spans="2:18" ht="14.4" x14ac:dyDescent="0.3">
      <c r="C35" s="101" t="s">
        <v>592</v>
      </c>
      <c r="J35" s="48">
        <v>0</v>
      </c>
      <c r="L35" s="48">
        <v>0</v>
      </c>
      <c r="O35" s="48">
        <v>0</v>
      </c>
      <c r="Q35" s="48">
        <v>0</v>
      </c>
    </row>
    <row r="36" spans="2:18" ht="14.4" x14ac:dyDescent="0.3">
      <c r="C36" s="101" t="s">
        <v>532</v>
      </c>
      <c r="J36" s="53">
        <f>IFERROR(J30/J35,0)</f>
        <v>0</v>
      </c>
      <c r="L36" s="53">
        <f>IFERROR(L30/L35,0)</f>
        <v>0</v>
      </c>
      <c r="O36" s="53">
        <f>IFERROR(O30/O35,0)</f>
        <v>0</v>
      </c>
      <c r="Q36" s="53">
        <f>IFERROR(Q30/Q35,0)</f>
        <v>0</v>
      </c>
    </row>
    <row r="37" spans="2:18" x14ac:dyDescent="0.3">
      <c r="B37" s="14"/>
      <c r="C37" s="14"/>
      <c r="D37" s="14"/>
      <c r="E37" s="14"/>
      <c r="F37" s="14"/>
      <c r="G37" s="14"/>
      <c r="H37" s="14"/>
      <c r="I37" s="14"/>
      <c r="J37" s="14"/>
      <c r="K37" s="14"/>
      <c r="L37" s="14"/>
      <c r="M37" s="14"/>
      <c r="N37" s="14"/>
      <c r="O37" s="14"/>
      <c r="P37" s="14"/>
      <c r="Q37" s="14"/>
      <c r="R37" s="14"/>
    </row>
    <row r="38" spans="2:18" ht="14.4" x14ac:dyDescent="0.3">
      <c r="C38" s="50" t="str">
        <f>TRAIN_BA!B706</f>
        <v>Training Activity #3 [not in use]</v>
      </c>
    </row>
    <row r="39" spans="2:18" ht="27.6" x14ac:dyDescent="0.3">
      <c r="J39" s="51" t="str">
        <f>"FINANCIAL COST ("&amp;INDEX(LU_ACT_19_Meet_Curr,DD_ACT_19_Meet1_Curr)&amp;")"</f>
        <v>FINANCIAL COST (GOZ)</v>
      </c>
      <c r="L39" s="51" t="str">
        <f>"ECONOMIC COST ("&amp;INDEX(LU_ACT_19_Meet_Curr,DD_ACT_19_Meet1_Curr)&amp;")"</f>
        <v>ECONOMIC COST (GOZ)</v>
      </c>
      <c r="O39" s="51" t="str">
        <f>"FINANCIAL COST ("&amp;IF(DD_ACT_19_Meet1_Curr=2,TRAIN_BA!$D$862,TRAIN_BA!$D$863)&amp;")"</f>
        <v>FINANCIAL COST (USD)</v>
      </c>
      <c r="Q39" s="51" t="str">
        <f>"FINANCIAL COST ("&amp;IF(DD_ACT_19_Meet1_Curr=2,TRAIN_BA!$D$862,TRAIN_BA!$D$863)&amp;")"</f>
        <v>FINANCIAL COST (USD)</v>
      </c>
    </row>
    <row r="40" spans="2:18" x14ac:dyDescent="0.3">
      <c r="D40" s="52" t="str">
        <f>TRAIN_BA!C709</f>
        <v>Personnel</v>
      </c>
      <c r="J40" s="53">
        <f>TRAIN_BA!Q736</f>
        <v>0</v>
      </c>
      <c r="L40" s="53">
        <f>TRAIN_BA!S736</f>
        <v>0</v>
      </c>
      <c r="O40" s="54">
        <f>IFERROR(IF(DD_ACT_19_Meet1_Curr=2,J40/TRAIN_BA!$I$863,J40*TRAIN_BA!$I$863), 0)</f>
        <v>0</v>
      </c>
      <c r="Q40" s="54">
        <f>IFERROR(IF(DD_ACT_19_Meet1_Curr=2,L40/TRAIN_BA!$I$863,L40*TRAIN_BA!$I$863), 0)</f>
        <v>0</v>
      </c>
    </row>
    <row r="41" spans="2:18" x14ac:dyDescent="0.3">
      <c r="D41" s="52" t="str">
        <f>TRAIN_BA!C738</f>
        <v>Allowances</v>
      </c>
      <c r="J41" s="53">
        <f>TRAIN_BA!Q765</f>
        <v>0</v>
      </c>
      <c r="L41" s="53">
        <f>TRAIN_BA!S765</f>
        <v>0</v>
      </c>
      <c r="O41" s="54">
        <f>IFERROR(IF(DD_ACT_19_Meet1_Curr=2,J41/TRAIN_BA!$I$863,J41*TRAIN_BA!$I$863), 0)</f>
        <v>0</v>
      </c>
      <c r="Q41" s="54">
        <f>IFERROR(IF(DD_ACT_19_Meet1_Curr=2,L41/TRAIN_BA!$I$863,L41*TRAIN_BA!$I$863), 0)</f>
        <v>0</v>
      </c>
    </row>
    <row r="42" spans="2:18" x14ac:dyDescent="0.3">
      <c r="D42" s="52" t="str">
        <f>TRAIN_BA!C769</f>
        <v>Materials &amp; Supplies</v>
      </c>
      <c r="J42" s="53">
        <f>TRAIN_BA!Q796</f>
        <v>0</v>
      </c>
      <c r="L42" s="53">
        <f>TRAIN_BA!S796</f>
        <v>0</v>
      </c>
      <c r="O42" s="54">
        <f>IFERROR(IF(DD_ACT_19_Meet1_Curr=2,J42/TRAIN_BA!$I$863,J42*TRAIN_BA!$I$863), 0)</f>
        <v>0</v>
      </c>
      <c r="Q42" s="54">
        <f>IFERROR(IF(DD_ACT_19_Meet1_Curr=2,L42/TRAIN_BA!$I$863,L42*TRAIN_BA!$I$863), 0)</f>
        <v>0</v>
      </c>
    </row>
    <row r="43" spans="2:18" x14ac:dyDescent="0.3">
      <c r="D43" s="52" t="str">
        <f>TRAIN_BA!C798</f>
        <v>Equipment</v>
      </c>
      <c r="J43" s="53">
        <f>TRAIN_BA!Q825</f>
        <v>0</v>
      </c>
      <c r="L43" s="53">
        <f>TRAIN_BA!S825</f>
        <v>0</v>
      </c>
      <c r="O43" s="54">
        <f>IFERROR(IF(DD_ACT_19_Meet1_Curr=2,J43/TRAIN_BA!$I$863,J43*TRAIN_BA!$I$863), 0)</f>
        <v>0</v>
      </c>
      <c r="Q43" s="54">
        <f>IFERROR(IF(DD_ACT_19_Meet1_Curr=2,L43/TRAIN_BA!$I$863,L43*TRAIN_BA!$I$863), 0)</f>
        <v>0</v>
      </c>
    </row>
    <row r="44" spans="2:18" x14ac:dyDescent="0.3">
      <c r="D44" s="52" t="str">
        <f>TRAIN_BA!C827</f>
        <v>Other Direct Costs</v>
      </c>
      <c r="J44" s="53">
        <f>TRAIN_BA!Q855</f>
        <v>0</v>
      </c>
      <c r="L44" s="53">
        <f>TRAIN_BA!S855</f>
        <v>0</v>
      </c>
      <c r="O44" s="54">
        <f>IFERROR(IF(DD_ACT_19_Meet1_Curr=2,J44/TRAIN_BA!$I$863,J44*TRAIN_BA!$I$863), 0)</f>
        <v>0</v>
      </c>
      <c r="Q44" s="54">
        <f>IFERROR(IF(DD_ACT_19_Meet1_Curr=2,L44/TRAIN_BA!$I$863,L44*TRAIN_BA!$I$863), 0)</f>
        <v>0</v>
      </c>
    </row>
    <row r="45" spans="2:18" x14ac:dyDescent="0.3">
      <c r="D45" s="153" t="str">
        <f>"Single "&amp;C38&amp;" Activity"</f>
        <v>Single Training Activity #3 [not in use] Activity</v>
      </c>
      <c r="J45" s="164">
        <f>SUM(J40:J44)</f>
        <v>0</v>
      </c>
      <c r="L45" s="164">
        <f>SUM(L40:L44)</f>
        <v>0</v>
      </c>
      <c r="O45" s="164">
        <f>SUM(O40:O44)</f>
        <v>0</v>
      </c>
      <c r="Q45" s="164">
        <f>SUM(Q40:Q44)</f>
        <v>0</v>
      </c>
    </row>
    <row r="47" spans="2:18" ht="14.4" x14ac:dyDescent="0.3">
      <c r="C47" s="101" t="s">
        <v>474</v>
      </c>
      <c r="H47" s="133">
        <v>0</v>
      </c>
    </row>
    <row r="48" spans="2:18" ht="15" thickBot="1" x14ac:dyDescent="0.35">
      <c r="C48" s="151" t="str">
        <f>"Subtotal Cost: "&amp;C38&amp;" Activities"</f>
        <v>Subtotal Cost: Training Activity #3 [not in use] Activities</v>
      </c>
      <c r="J48" s="56">
        <f>$H$47*J45</f>
        <v>0</v>
      </c>
      <c r="L48" s="56">
        <f>$H$47*L45</f>
        <v>0</v>
      </c>
      <c r="O48" s="56">
        <f>$H$47*O45</f>
        <v>0</v>
      </c>
      <c r="Q48" s="56">
        <f>$H$47*Q45</f>
        <v>0</v>
      </c>
    </row>
    <row r="49" spans="2:18" ht="14.4" thickTop="1" x14ac:dyDescent="0.3"/>
    <row r="50" spans="2:18" ht="14.4" x14ac:dyDescent="0.3">
      <c r="C50" s="101" t="s">
        <v>592</v>
      </c>
      <c r="J50" s="48">
        <v>0</v>
      </c>
      <c r="L50" s="48">
        <v>0</v>
      </c>
      <c r="O50" s="48">
        <v>0</v>
      </c>
      <c r="Q50" s="48">
        <v>0</v>
      </c>
    </row>
    <row r="51" spans="2:18" ht="14.4" x14ac:dyDescent="0.3">
      <c r="C51" s="101" t="s">
        <v>593</v>
      </c>
      <c r="J51" s="53">
        <f>IFERROR(J45/J50,0)</f>
        <v>0</v>
      </c>
      <c r="L51" s="53">
        <f>IFERROR(L45/L50,0)</f>
        <v>0</v>
      </c>
      <c r="O51" s="53">
        <f>IFERROR(O45/O50,0)</f>
        <v>0</v>
      </c>
      <c r="Q51" s="53">
        <f>IFERROR(Q45/Q50,0)</f>
        <v>0</v>
      </c>
    </row>
    <row r="52" spans="2:18" x14ac:dyDescent="0.3">
      <c r="B52" s="14"/>
      <c r="C52" s="14"/>
      <c r="D52" s="14"/>
      <c r="E52" s="14"/>
      <c r="F52" s="14"/>
      <c r="G52" s="14"/>
      <c r="H52" s="14"/>
      <c r="I52" s="14"/>
      <c r="J52" s="14"/>
      <c r="K52" s="14"/>
      <c r="L52" s="14"/>
      <c r="M52" s="14"/>
      <c r="N52" s="14"/>
      <c r="O52" s="14"/>
      <c r="P52" s="14"/>
      <c r="Q52" s="14"/>
      <c r="R52" s="14"/>
    </row>
    <row r="53" spans="2:18" ht="14.4" x14ac:dyDescent="0.3">
      <c r="C53" s="50" t="str">
        <f>TRAIN_BA!B1055</f>
        <v>Training Activity #4 [not in use]</v>
      </c>
    </row>
    <row r="54" spans="2:18" ht="27.6" x14ac:dyDescent="0.3">
      <c r="J54" s="51" t="str">
        <f>"FINANCIAL COST ("&amp;INDEX(LU_ACT_20_Meet_Curr,DD_ACT_20_Meet1_Curr)&amp;")"</f>
        <v>FINANCIAL COST (GOZ)</v>
      </c>
      <c r="L54" s="51" t="str">
        <f>"ECONOMIC COST ("&amp;INDEX(LU_ACT_20_Meet_Curr,DD_ACT_20_Meet1_Curr)&amp;")"</f>
        <v>ECONOMIC COST (GOZ)</v>
      </c>
      <c r="O54" s="51" t="str">
        <f>"FINANCIAL COST ("&amp;IF(DD_ACT_20_Meet1_Curr=2,TRAIN_BA!$D$1211,TRAIN_BA!$D$1212)&amp;")"</f>
        <v>FINANCIAL COST (USD)</v>
      </c>
      <c r="Q54" s="51" t="str">
        <f>"FINANCIAL COST ("&amp;IF(DD_ACT_20_Meet1_Curr=2,TRAIN_BA!$D$1211,TRAIN_BA!$D$1212)&amp;")"</f>
        <v>FINANCIAL COST (USD)</v>
      </c>
    </row>
    <row r="55" spans="2:18" x14ac:dyDescent="0.3">
      <c r="D55" s="52" t="str">
        <f>TRAIN_BA!C1058</f>
        <v>Personnel</v>
      </c>
      <c r="J55" s="53">
        <f>TRAIN_BA!Q1085</f>
        <v>0</v>
      </c>
      <c r="L55" s="53">
        <f>TRAIN_BA!S1085</f>
        <v>0</v>
      </c>
      <c r="O55" s="54">
        <f>IFERROR(IF(DD_ACT_20_Meet1_Curr=2,J55/TRAIN_BA!$I$1212,J55*TRAIN_BA!$I$1212), 0)</f>
        <v>0</v>
      </c>
      <c r="Q55" s="54">
        <f>IFERROR(IF(DD_ACT_20_Meet1_Curr=2,L55/TRAIN_BA!$I$1212,L55*TRAIN_BA!$I$1212), 0)</f>
        <v>0</v>
      </c>
    </row>
    <row r="56" spans="2:18" x14ac:dyDescent="0.3">
      <c r="D56" s="52" t="str">
        <f>TRAIN_BA!C1087</f>
        <v>Allowances</v>
      </c>
      <c r="J56" s="53">
        <f>TRAIN_BA!Q1114</f>
        <v>0</v>
      </c>
      <c r="L56" s="53">
        <f>TRAIN_BA!S1114</f>
        <v>0</v>
      </c>
      <c r="O56" s="54">
        <f>IFERROR(IF(DD_ACT_20_Meet1_Curr=2,J56/TRAIN_BA!$I$1212,J56*TRAIN_BA!$I$1212), 0)</f>
        <v>0</v>
      </c>
      <c r="Q56" s="54">
        <f>IFERROR(IF(DD_ACT_20_Meet1_Curr=2,L56/TRAIN_BA!$I$1212,L56*TRAIN_BA!$I$1212), 0)</f>
        <v>0</v>
      </c>
    </row>
    <row r="57" spans="2:18" x14ac:dyDescent="0.3">
      <c r="D57" s="52" t="str">
        <f>TRAIN_BA!C1118</f>
        <v>Materials &amp; Supplies</v>
      </c>
      <c r="J57" s="53">
        <f>TRAIN_BA!Q1145</f>
        <v>0</v>
      </c>
      <c r="L57" s="53">
        <f>TRAIN_BA!S1145</f>
        <v>0</v>
      </c>
      <c r="O57" s="54">
        <f>IFERROR(IF(DD_ACT_20_Meet1_Curr=2,J57/TRAIN_BA!$I$1212,J57*TRAIN_BA!$I$1212), 0)</f>
        <v>0</v>
      </c>
      <c r="Q57" s="54">
        <f>IFERROR(IF(DD_ACT_20_Meet1_Curr=2,L57/TRAIN_BA!$I$1212,L57*TRAIN_BA!$I$1212), 0)</f>
        <v>0</v>
      </c>
    </row>
    <row r="58" spans="2:18" x14ac:dyDescent="0.3">
      <c r="D58" s="52" t="str">
        <f>TRAIN_BA!C1147</f>
        <v>Equipment</v>
      </c>
      <c r="J58" s="53">
        <f>TRAIN_BA!Q1174</f>
        <v>0</v>
      </c>
      <c r="L58" s="53">
        <f>TRAIN_BA!S1174</f>
        <v>0</v>
      </c>
      <c r="O58" s="54">
        <f>IFERROR(IF(DD_ACT_20_Meet1_Curr=2,J58/TRAIN_BA!$I$1212,J58*TRAIN_BA!$I$1212), 0)</f>
        <v>0</v>
      </c>
      <c r="Q58" s="54">
        <f>IFERROR(IF(DD_ACT_20_Meet1_Curr=2,L58/TRAIN_BA!$I$1212,L58*TRAIN_BA!$I$1212), 0)</f>
        <v>0</v>
      </c>
    </row>
    <row r="59" spans="2:18" x14ac:dyDescent="0.3">
      <c r="D59" s="52" t="str">
        <f>TRAIN_BA!C1176</f>
        <v>Other Direct Costs</v>
      </c>
      <c r="J59" s="53">
        <f>TRAIN_BA!Q1204</f>
        <v>0</v>
      </c>
      <c r="L59" s="53">
        <f>TRAIN_BA!S1204</f>
        <v>0</v>
      </c>
      <c r="O59" s="54">
        <f>IFERROR(IF(DD_ACT_20_Meet1_Curr=2,J59/TRAIN_BA!$I$1212,J59*TRAIN_BA!$I$1212), 0)</f>
        <v>0</v>
      </c>
      <c r="Q59" s="54">
        <f>IFERROR(IF(DD_ACT_20_Meet1_Curr=2,L59/TRAIN_BA!$I$1212,L59*TRAIN_BA!$I$1212), 0)</f>
        <v>0</v>
      </c>
    </row>
    <row r="60" spans="2:18" x14ac:dyDescent="0.3">
      <c r="D60" s="153" t="str">
        <f>"Single "&amp;C53&amp;" Activity"</f>
        <v>Single Training Activity #4 [not in use] Activity</v>
      </c>
      <c r="J60" s="164">
        <f>SUM(J55:J59)</f>
        <v>0</v>
      </c>
      <c r="L60" s="164">
        <f>SUM(L55:L59)</f>
        <v>0</v>
      </c>
      <c r="O60" s="164">
        <f>SUM(O55:O59)</f>
        <v>0</v>
      </c>
      <c r="Q60" s="164">
        <f>SUM(Q55:Q59)</f>
        <v>0</v>
      </c>
    </row>
    <row r="62" spans="2:18" ht="14.4" x14ac:dyDescent="0.3">
      <c r="C62" s="101" t="s">
        <v>474</v>
      </c>
      <c r="H62" s="133">
        <v>0</v>
      </c>
    </row>
    <row r="63" spans="2:18" ht="15" thickBot="1" x14ac:dyDescent="0.35">
      <c r="C63" s="151" t="str">
        <f>"Subtotal Cost: "&amp;C53&amp;" Activities"</f>
        <v>Subtotal Cost: Training Activity #4 [not in use] Activities</v>
      </c>
      <c r="J63" s="56">
        <f>$H$62*J60</f>
        <v>0</v>
      </c>
      <c r="L63" s="56">
        <f>$H$62*L60</f>
        <v>0</v>
      </c>
      <c r="O63" s="56">
        <f>$H$62*O60</f>
        <v>0</v>
      </c>
      <c r="Q63" s="56">
        <f>$H$62*Q60</f>
        <v>0</v>
      </c>
    </row>
    <row r="64" spans="2:18" ht="14.4" thickTop="1" x14ac:dyDescent="0.3"/>
    <row r="65" spans="2:17" ht="14.4" x14ac:dyDescent="0.3">
      <c r="C65" s="101" t="s">
        <v>592</v>
      </c>
      <c r="J65" s="48">
        <v>0</v>
      </c>
      <c r="L65" s="48">
        <v>0</v>
      </c>
      <c r="O65" s="48">
        <v>0</v>
      </c>
      <c r="Q65" s="48">
        <v>0</v>
      </c>
    </row>
    <row r="66" spans="2:17" ht="14.4" x14ac:dyDescent="0.3">
      <c r="C66" s="101" t="s">
        <v>593</v>
      </c>
      <c r="J66" s="53">
        <f>IFERROR(J60/J65,0)</f>
        <v>0</v>
      </c>
      <c r="L66" s="53">
        <f>IFERROR(L60/L65,0)</f>
        <v>0</v>
      </c>
      <c r="O66" s="53">
        <f>IFERROR(O60/O65,0)</f>
        <v>0</v>
      </c>
      <c r="Q66" s="53">
        <f>IFERROR(Q60/Q65,0)</f>
        <v>0</v>
      </c>
    </row>
    <row r="67" spans="2:17" x14ac:dyDescent="0.3">
      <c r="B67" s="14"/>
      <c r="C67" s="14"/>
      <c r="D67" s="14"/>
      <c r="E67" s="14"/>
      <c r="F67" s="14"/>
      <c r="G67" s="14"/>
      <c r="H67" s="14"/>
      <c r="I67" s="14"/>
      <c r="J67" s="14"/>
      <c r="K67" s="14"/>
      <c r="L67" s="14"/>
      <c r="M67" s="14"/>
      <c r="N67" s="14"/>
      <c r="O67" s="14"/>
      <c r="P67" s="14"/>
      <c r="Q67" s="14"/>
    </row>
    <row r="71" spans="2:17" ht="14.4" x14ac:dyDescent="0.3">
      <c r="B71" s="101" t="s">
        <v>92</v>
      </c>
    </row>
    <row r="72" spans="2:17" hidden="1" outlineLevel="1" x14ac:dyDescent="0.3"/>
    <row r="73" spans="2:17" hidden="1" outlineLevel="1" x14ac:dyDescent="0.3">
      <c r="D73" s="52" t="str">
        <f>CURR_TA!D13</f>
        <v>USD</v>
      </c>
      <c r="I73" s="102">
        <f>CURR_TA!J13</f>
        <v>1</v>
      </c>
    </row>
    <row r="74" spans="2:17" hidden="1" outlineLevel="1" x14ac:dyDescent="0.3">
      <c r="D74" s="52" t="str">
        <f>CURR_TA!D14</f>
        <v>GOZ</v>
      </c>
      <c r="I74" s="102">
        <f>CURR_TA!J14</f>
        <v>0</v>
      </c>
    </row>
    <row r="75" spans="2:17" ht="14.4" collapsed="1" x14ac:dyDescent="0.3">
      <c r="C75" s="214" t="str">
        <f>TRAIN_BA!B1404</f>
        <v>Training Activity #5 [not in use]</v>
      </c>
    </row>
    <row r="76" spans="2:17" ht="27.6" x14ac:dyDescent="0.3">
      <c r="J76" s="215" t="str">
        <f>"FINANCIAL COST ("&amp;INDEX(LU_ACT_25_Meet_Curr,DD_ACT_25_Meet1_Curr)&amp;")"</f>
        <v>FINANCIAL COST (USD)</v>
      </c>
      <c r="L76" s="215" t="str">
        <f>"ECONOMIC COST ("&amp;INDEX(LU_ACT_25_Meet_Curr,DD_ACT_25_Meet1_Curr)&amp;")"</f>
        <v>ECONOMIC COST (USD)</v>
      </c>
      <c r="O76" s="215" t="str">
        <f>"FINANCIAL COST ("&amp;IF(DD_ACT_25_Meet1_Curr=2,TRAIN_BA!$D$1560,TRAIN_BA!$D$1561)&amp;")"</f>
        <v>FINANCIAL COST (GOZ)</v>
      </c>
      <c r="Q76" s="215" t="str">
        <f>"FINANCIAL COST ("&amp;IF(DD_ACT_25_Meet1_Curr=2,TRAIN_BA!$D$1560,TRAIN_BA!$D$1561)&amp;")"</f>
        <v>FINANCIAL COST (GOZ)</v>
      </c>
    </row>
    <row r="77" spans="2:17" x14ac:dyDescent="0.3">
      <c r="D77" s="117" t="str">
        <f>TRAIN_BA!C1407</f>
        <v>Personnel</v>
      </c>
      <c r="J77" s="213">
        <f>TRAIN_BA!Q1434</f>
        <v>0</v>
      </c>
      <c r="L77" s="213">
        <f>TRAIN_BA!S1434</f>
        <v>0</v>
      </c>
      <c r="O77" s="216">
        <f>IF(DD_ACT_25_Meet1_Curr=2,J77/TRAIN_BA!$I$1561,J77*TRAIN_BA!$I$1561)</f>
        <v>0</v>
      </c>
      <c r="Q77" s="216">
        <f>IF(DD_ACT_25_Meet1_Curr=2,L77/TRAIN_BA!$I$1561,L77*TRAIN_BA!$I$1561)</f>
        <v>0</v>
      </c>
    </row>
    <row r="78" spans="2:17" x14ac:dyDescent="0.3">
      <c r="D78" s="117" t="str">
        <f>TRAIN_BA!C1436</f>
        <v>Allowances</v>
      </c>
      <c r="J78" s="213">
        <f>TRAIN_BA!Q1463</f>
        <v>0</v>
      </c>
      <c r="L78" s="213">
        <f>TRAIN_BA!S1463</f>
        <v>0</v>
      </c>
      <c r="O78" s="216">
        <f>IF(DD_ACT_25_Meet1_Curr=2,J78/TRAIN_BA!$I$1561,J78*TRAIN_BA!$I$1561)</f>
        <v>0</v>
      </c>
      <c r="Q78" s="216">
        <f>IF(DD_ACT_25_Meet1_Curr=2,L78/TRAIN_BA!$I$1561,L78*TRAIN_BA!$I$1561)</f>
        <v>0</v>
      </c>
    </row>
    <row r="79" spans="2:17" x14ac:dyDescent="0.3">
      <c r="D79" s="117" t="str">
        <f>TRAIN_BA!C1467</f>
        <v>Materials &amp; Supplies</v>
      </c>
      <c r="J79" s="213">
        <f>TRAIN_BA!Q1494</f>
        <v>0</v>
      </c>
      <c r="L79" s="213">
        <f>TRAIN_BA!S1494</f>
        <v>0</v>
      </c>
      <c r="O79" s="216">
        <f>IF(DD_ACT_25_Meet1_Curr=2,J79/TRAIN_BA!$I$1561,J79*TRAIN_BA!$I$1561)</f>
        <v>0</v>
      </c>
      <c r="Q79" s="216">
        <f>IF(DD_ACT_25_Meet1_Curr=2,L79/TRAIN_BA!$I$1561,L79*TRAIN_BA!$I$1561)</f>
        <v>0</v>
      </c>
    </row>
    <row r="80" spans="2:17" x14ac:dyDescent="0.3">
      <c r="D80" s="117" t="str">
        <f>TRAIN_BA!C1496</f>
        <v>Equipment</v>
      </c>
      <c r="J80" s="213">
        <f>TRAIN_BA!Q1523</f>
        <v>0</v>
      </c>
      <c r="L80" s="213">
        <f>TRAIN_BA!S1523</f>
        <v>0</v>
      </c>
      <c r="O80" s="216">
        <f>IF(DD_ACT_25_Meet1_Curr=2,J80/TRAIN_BA!$I$1561,J80*TRAIN_BA!$I$1561)</f>
        <v>0</v>
      </c>
      <c r="Q80" s="216">
        <f>IF(DD_ACT_25_Meet1_Curr=2,L80/TRAIN_BA!$I$1561,L80*TRAIN_BA!$I$1561)</f>
        <v>0</v>
      </c>
    </row>
    <row r="81" spans="2:17" x14ac:dyDescent="0.3">
      <c r="D81" s="117" t="str">
        <f>TRAIN_BA!C1525</f>
        <v>Other Direct Costs</v>
      </c>
      <c r="J81" s="213">
        <f>TRAIN_BA!Q1553</f>
        <v>0</v>
      </c>
      <c r="L81" s="213">
        <f>TRAIN_BA!S1553</f>
        <v>0</v>
      </c>
      <c r="O81" s="216">
        <f>IF(DD_ACT_25_Meet1_Curr=2,J81/TRAIN_BA!$I$1561,J81*TRAIN_BA!$I$1561)</f>
        <v>0</v>
      </c>
      <c r="Q81" s="216">
        <f>IF(DD_ACT_25_Meet1_Curr=2,L81/TRAIN_BA!$I$1561,L81*TRAIN_BA!$I$1561)</f>
        <v>0</v>
      </c>
    </row>
    <row r="82" spans="2:17" x14ac:dyDescent="0.3">
      <c r="D82" s="122" t="str">
        <f>"Single "&amp;C75&amp;" Activity"</f>
        <v>Single Training Activity #5 [not in use] Activity</v>
      </c>
      <c r="J82" s="218">
        <f>SUM(J77:J81)</f>
        <v>0</v>
      </c>
      <c r="L82" s="218">
        <f>SUM(L77:L81)</f>
        <v>0</v>
      </c>
      <c r="O82" s="164">
        <f>SUM(O77:O81)</f>
        <v>0</v>
      </c>
      <c r="Q82" s="164">
        <f>SUM(Q77:Q81)</f>
        <v>0</v>
      </c>
    </row>
    <row r="84" spans="2:17" ht="14.4" x14ac:dyDescent="0.3">
      <c r="C84" s="125" t="s">
        <v>474</v>
      </c>
      <c r="H84" s="48">
        <v>0</v>
      </c>
    </row>
    <row r="85" spans="2:17" ht="15" thickBot="1" x14ac:dyDescent="0.35">
      <c r="C85" s="217" t="str">
        <f>"Subtotal Cost: "&amp;C75&amp;" Activities"</f>
        <v>Subtotal Cost: Training Activity #5 [not in use] Activities</v>
      </c>
      <c r="J85" s="219">
        <f>$H$84*J82</f>
        <v>0</v>
      </c>
      <c r="L85" s="219">
        <f>$H$84*L82</f>
        <v>0</v>
      </c>
      <c r="O85" s="219">
        <f>$H$84*O82</f>
        <v>0</v>
      </c>
      <c r="Q85" s="219">
        <f>$H$84*Q82</f>
        <v>0</v>
      </c>
    </row>
    <row r="86" spans="2:17" ht="14.4" thickTop="1" x14ac:dyDescent="0.3"/>
    <row r="87" spans="2:17" ht="14.4" x14ac:dyDescent="0.3">
      <c r="C87" s="101" t="s">
        <v>592</v>
      </c>
      <c r="J87" s="48">
        <v>0</v>
      </c>
      <c r="L87" s="48">
        <v>0</v>
      </c>
      <c r="O87" s="48">
        <v>0</v>
      </c>
      <c r="Q87" s="48">
        <v>0</v>
      </c>
    </row>
    <row r="88" spans="2:17" ht="14.4" x14ac:dyDescent="0.3">
      <c r="C88" s="101" t="s">
        <v>593</v>
      </c>
      <c r="J88" s="213">
        <f>IFERROR(J82/J87,0)</f>
        <v>0</v>
      </c>
      <c r="L88" s="53">
        <f>IFERROR(L82/L87,0)</f>
        <v>0</v>
      </c>
      <c r="O88" s="53">
        <f>IFERROR(O82/O87,0)</f>
        <v>0</v>
      </c>
      <c r="Q88" s="53">
        <f>IFERROR(Q82/Q87,0)</f>
        <v>0</v>
      </c>
    </row>
    <row r="89" spans="2:17" x14ac:dyDescent="0.3">
      <c r="B89" s="14"/>
      <c r="C89" s="14"/>
      <c r="D89" s="14"/>
      <c r="E89" s="14"/>
      <c r="F89" s="14"/>
      <c r="G89" s="14"/>
      <c r="H89" s="14"/>
      <c r="I89" s="14"/>
      <c r="J89" s="14"/>
      <c r="K89" s="14"/>
      <c r="L89" s="14"/>
      <c r="M89" s="14"/>
      <c r="N89" s="14"/>
      <c r="O89" s="14"/>
      <c r="P89" s="14"/>
      <c r="Q89" s="14"/>
    </row>
    <row r="93" spans="2:17" x14ac:dyDescent="0.3">
      <c r="B93" s="59" t="s">
        <v>587</v>
      </c>
    </row>
    <row r="94" spans="2:17" hidden="1" outlineLevel="1" x14ac:dyDescent="0.3"/>
    <row r="95" spans="2:17" hidden="1" outlineLevel="1" x14ac:dyDescent="0.3">
      <c r="D95" s="117" t="str">
        <f>CURR_TA!D13</f>
        <v>USD</v>
      </c>
      <c r="I95" s="212">
        <f>CURR_TA!J13</f>
        <v>1</v>
      </c>
    </row>
    <row r="96" spans="2:17" hidden="1" outlineLevel="1" x14ac:dyDescent="0.3">
      <c r="D96" s="117" t="str">
        <f>CURR_TA!D14</f>
        <v>GOZ</v>
      </c>
      <c r="I96" s="212">
        <f>CURR_TA!J14</f>
        <v>0</v>
      </c>
    </row>
    <row r="97" collapsed="1" x14ac:dyDescent="0.3"/>
  </sheetData>
  <sheetProtection algorithmName="SHA-512" hashValue="EARtLPpkQJEpKNSFiYLxWmn9DXH0g6hT3zbCUyD/21fMBsblmJWJFwMTLcrVpiMO8tlk3xxLMVLBCCrtn4zwCQ==" saltValue="jpWWtlOGsUCEDPLAgcKANg==" spinCount="100000" sheet="1" objects="1" scenarios="1" formatColumns="0" formatRows="0"/>
  <mergeCells count="1">
    <mergeCell ref="B3:F3"/>
  </mergeCells>
  <hyperlinks>
    <hyperlink ref="A4" location="$B$5" tooltip="Go to Top of Sheet" display="$B$5" xr:uid="{00000000-0004-0000-1B00-000000000000}"/>
    <hyperlink ref="B4" location="HL_Sheet_Main_59" tooltip="Go to Previous Sheet" display="HL_Sheet_Main_59" xr:uid="{00000000-0004-0000-1B00-000001000000}"/>
    <hyperlink ref="C4" location="HL_Sheet_Main_61" tooltip="Go to Next Sheet" display="HL_Sheet_Main_61" xr:uid="{00000000-0004-0000-1B00-000002000000}"/>
    <hyperlink ref="B3" location="HL_Home" tooltip="Go to Table of Contents" display="HL_Home" xr:uid="{00000000-0004-0000-1B00-000003000000}"/>
    <hyperlink ref="D4" location="HL_Err_Chk" tooltip="Go to Error Checks" display="HL_Err_Chk" xr:uid="{00000000-0004-0000-1B00-000004000000}"/>
    <hyperlink ref="F4" location="HL_Alt_Chk" tooltip="Go to Alert Checks" display="HL_Alt_Chk" xr:uid="{00000000-0004-0000-1B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outlinePr showOutlineSymbols="0"/>
    <pageSetUpPr autoPageBreaks="0"/>
  </sheetPr>
  <dimension ref="A1:R56"/>
  <sheetViews>
    <sheetView showGridLines="0" showRowColHeaders="0" showOutlineSymbols="0" zoomScaleNormal="100" workbookViewId="0">
      <pane xSplit="1" ySplit="4" topLeftCell="B5" activePane="bottomRight" state="frozen"/>
      <selection pane="topRight" activeCell="B1" sqref="B1"/>
      <selection pane="bottomLeft" activeCell="A5" sqref="A5"/>
      <selection pane="bottomRight" activeCell="C6" sqref="C6"/>
    </sheetView>
  </sheetViews>
  <sheetFormatPr defaultColWidth="11.6640625" defaultRowHeight="13.8" x14ac:dyDescent="0.3"/>
  <cols>
    <col min="1" max="5" width="3.6640625" customWidth="1"/>
    <col min="11" max="11" width="3.44140625" customWidth="1"/>
    <col min="13" max="13" width="2.33203125" customWidth="1"/>
    <col min="14" max="14" width="2.44140625" customWidth="1"/>
    <col min="16" max="16" width="3" customWidth="1"/>
  </cols>
  <sheetData>
    <row r="1" spans="1:17" ht="23.4" x14ac:dyDescent="0.3">
      <c r="B1" s="2" t="s">
        <v>655</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490</v>
      </c>
    </row>
    <row r="7" spans="1:17" ht="18" x14ac:dyDescent="0.3">
      <c r="B7" s="49" t="s">
        <v>472</v>
      </c>
    </row>
    <row r="9" spans="1:17" ht="14.4" x14ac:dyDescent="0.3">
      <c r="C9" s="50" t="str">
        <f>MOB_BA!B7</f>
        <v>Social Mobilisation Activity #1 [not in use]</v>
      </c>
    </row>
    <row r="10" spans="1:17" ht="27.6" x14ac:dyDescent="0.3">
      <c r="J10" s="51" t="str">
        <f>"FINANCIAL COST ("&amp;INDEX(LU_ACT_7_Meet_Curr,DD_ACT_7_Meet1_Curr)&amp;")"</f>
        <v>FINANCIAL COST (GOZ)</v>
      </c>
      <c r="L10" s="51" t="str">
        <f>"ECONOMIC COST ("&amp;INDEX(LU_ACT_7_Meet_Curr,DD_ACT_7_Meet1_Curr)&amp;")"</f>
        <v>ECONOMIC COST (GOZ)</v>
      </c>
      <c r="O10" s="51" t="str">
        <f>"FINANCIAL COST ("&amp;IF(DD_ACT_7_Meet1_Curr=2,MOB_BA!$D$161,MOB_BA!$D$162)&amp;")"</f>
        <v>FINANCIAL COST (USD)</v>
      </c>
      <c r="Q10" s="51" t="str">
        <f>"FINANCIAL COST ("&amp;IF(DD_ACT_7_Meet1_Curr=2,MOB_BA!$D$161,MOB_BA!$D$162)&amp;")"</f>
        <v>FINANCIAL COST (USD)</v>
      </c>
    </row>
    <row r="11" spans="1:17" x14ac:dyDescent="0.3">
      <c r="D11" s="52" t="str">
        <f>MOB_BA!C10</f>
        <v>Personnel</v>
      </c>
      <c r="J11" s="53">
        <f>MOB_BA!Q37</f>
        <v>0</v>
      </c>
      <c r="L11" s="53">
        <f>MOB_BA!S37</f>
        <v>0</v>
      </c>
      <c r="O11" s="54">
        <f>IFERROR(IF(DD_ACT_7_Meet1_Curr=2,J11/MOB_BA!$I$162,J11*MOB_BA!$I$162), 0)</f>
        <v>0</v>
      </c>
      <c r="Q11" s="54">
        <f>IFERROR(IF(DD_ACT_7_Meet1_Curr=2,L11/MOB_BA!$I$162,L11*MOB_BA!$I$162), 0)</f>
        <v>0</v>
      </c>
    </row>
    <row r="12" spans="1:17" x14ac:dyDescent="0.3">
      <c r="D12" s="52" t="str">
        <f>MOB_BA!C39</f>
        <v>Allowances</v>
      </c>
      <c r="J12" s="53">
        <f>MOB_BA!Q66</f>
        <v>0</v>
      </c>
      <c r="L12" s="53">
        <f>MOB_BA!S66</f>
        <v>0</v>
      </c>
      <c r="O12" s="54">
        <f>IFERROR(IF(DD_ACT_7_Meet1_Curr=2,J12/MOB_BA!$I$162,J12*MOB_BA!$I$162), 0)</f>
        <v>0</v>
      </c>
      <c r="Q12" s="54">
        <f>IFERROR(IF(DD_ACT_7_Meet1_Curr=2,L12/MOB_BA!$I$162,L12*MOB_BA!$I$162), 0)</f>
        <v>0</v>
      </c>
    </row>
    <row r="13" spans="1:17" x14ac:dyDescent="0.3">
      <c r="D13" s="52" t="str">
        <f>MOB_BA!C69</f>
        <v>Materials &amp; Supplies</v>
      </c>
      <c r="J13" s="53">
        <f>MOB_BA!Q96</f>
        <v>0</v>
      </c>
      <c r="L13" s="53">
        <f>MOB_BA!S96</f>
        <v>0</v>
      </c>
      <c r="O13" s="54">
        <f>IFERROR(IF(DD_ACT_7_Meet1_Curr=2,J13/MOB_BA!$I$162,J13*MOB_BA!$I$162), 0)</f>
        <v>0</v>
      </c>
      <c r="Q13" s="54">
        <f>IFERROR(IF(DD_ACT_7_Meet1_Curr=2,L13/MOB_BA!$I$162,L13*MOB_BA!$I$162), 0)</f>
        <v>0</v>
      </c>
    </row>
    <row r="14" spans="1:17" x14ac:dyDescent="0.3">
      <c r="D14" s="52" t="str">
        <f>MOB_BA!C98</f>
        <v>Equipment</v>
      </c>
      <c r="J14" s="53">
        <f>MOB_BA!Q125</f>
        <v>0</v>
      </c>
      <c r="L14" s="53">
        <f>MOB_BA!S125</f>
        <v>0</v>
      </c>
      <c r="O14" s="54">
        <f>IFERROR(IF(DD_ACT_7_Meet1_Curr=2,J14/MOB_BA!$I$162,J14*MOB_BA!$I$162), 0)</f>
        <v>0</v>
      </c>
      <c r="Q14" s="54">
        <f>IFERROR(IF(DD_ACT_7_Meet1_Curr=2,L14/MOB_BA!$I$162,L14*MOB_BA!$I$162), 0)</f>
        <v>0</v>
      </c>
    </row>
    <row r="15" spans="1:17" x14ac:dyDescent="0.3">
      <c r="D15" s="52" t="str">
        <f>MOB_BA!C127</f>
        <v>Other Direct Costs</v>
      </c>
      <c r="J15" s="53">
        <f>MOB_BA!Q154</f>
        <v>0</v>
      </c>
      <c r="L15" s="53">
        <f>MOB_BA!S154</f>
        <v>0</v>
      </c>
      <c r="O15" s="54">
        <f>IFERROR(IF(DD_ACT_7_Meet1_Curr=2,J15/MOB_BA!$I$162,J15*MOB_BA!$I$162), 0)</f>
        <v>0</v>
      </c>
      <c r="Q15" s="54">
        <f>IFERROR(IF(DD_ACT_7_Meet1_Curr=2,L15/MOB_BA!$I$162,L15*MOB_BA!$I$162), 0)</f>
        <v>0</v>
      </c>
    </row>
    <row r="16" spans="1:17" x14ac:dyDescent="0.3">
      <c r="D16" s="153" t="str">
        <f>"Single "&amp;C9&amp;" Activity"</f>
        <v>Single Social Mobilisation Activity #1 [not in use] Activity</v>
      </c>
      <c r="J16" s="164">
        <f>SUM(J11:J15)</f>
        <v>0</v>
      </c>
      <c r="L16" s="164">
        <f>SUM(L11:L15)</f>
        <v>0</v>
      </c>
      <c r="O16" s="164">
        <f>SUM(O11:O15)</f>
        <v>0</v>
      </c>
      <c r="Q16" s="164">
        <f>SUM(Q11:Q15)</f>
        <v>0</v>
      </c>
    </row>
    <row r="18" spans="2:18" ht="14.4" x14ac:dyDescent="0.3">
      <c r="C18" s="101" t="s">
        <v>474</v>
      </c>
      <c r="H18" s="133">
        <v>0</v>
      </c>
    </row>
    <row r="19" spans="2:18" ht="15" thickBot="1" x14ac:dyDescent="0.35">
      <c r="C19" s="151" t="str">
        <f>"Subtotal Cost: "&amp;C9&amp;" Activities"</f>
        <v>Subtotal Cost: Social Mobilisation Activity #1 [not in use] Activities</v>
      </c>
      <c r="J19" s="56">
        <f>$H$18*J16</f>
        <v>0</v>
      </c>
      <c r="L19" s="56">
        <f>$H$18*L16</f>
        <v>0</v>
      </c>
      <c r="O19" s="56">
        <f>$H$18*O16</f>
        <v>0</v>
      </c>
      <c r="Q19" s="56">
        <f>$H$18*Q16</f>
        <v>0</v>
      </c>
    </row>
    <row r="20" spans="2:18" ht="14.4" thickTop="1" x14ac:dyDescent="0.3">
      <c r="B20" s="14"/>
      <c r="C20" s="14"/>
      <c r="D20" s="14"/>
      <c r="E20" s="14"/>
      <c r="F20" s="14"/>
      <c r="G20" s="14"/>
      <c r="H20" s="14"/>
      <c r="I20" s="14"/>
      <c r="J20" s="14"/>
      <c r="K20" s="14"/>
      <c r="L20" s="14"/>
      <c r="M20" s="14"/>
      <c r="N20" s="14"/>
      <c r="O20" s="14"/>
      <c r="P20" s="14"/>
      <c r="Q20" s="14"/>
      <c r="R20" s="14"/>
    </row>
    <row r="21" spans="2:18" ht="14.4" x14ac:dyDescent="0.3">
      <c r="C21" s="50" t="str">
        <f>MOB_BA!B354</f>
        <v>Social Mobilisation Activity #2 [not in use]</v>
      </c>
    </row>
    <row r="22" spans="2:18" ht="27.6" x14ac:dyDescent="0.3">
      <c r="J22" s="51" t="str">
        <f>"FINANCIAL COST ("&amp;INDEX(LU_ACT_8_Meet_Curr,DD_ACT_8_Meet1_Curr)&amp;")"</f>
        <v>FINANCIAL COST (GOZ)</v>
      </c>
      <c r="L22" s="51" t="str">
        <f>"ECONOMIC COST ("&amp;INDEX(LU_ACT_8_Meet_Curr,DD_ACT_8_Meet1_Curr)&amp;")"</f>
        <v>ECONOMIC COST (GOZ)</v>
      </c>
      <c r="O22" s="51" t="str">
        <f>"FINANCIAL COST ("&amp;IF(DD_ACT_8_Meet1_Curr=2,MOB_BA!$D$509,MOB_BA!$D$510)&amp;")"</f>
        <v>FINANCIAL COST (USD)</v>
      </c>
      <c r="Q22" s="51" t="str">
        <f>"FINANCIAL COST ("&amp;IF(DD_ACT_8_Meet1_Curr=2,MOB_BA!$D$509,MOB_BA!$D$510)&amp;")"</f>
        <v>FINANCIAL COST (USD)</v>
      </c>
    </row>
    <row r="23" spans="2:18" x14ac:dyDescent="0.3">
      <c r="D23" s="52" t="str">
        <f>MOB_BA!C357</f>
        <v>Personnel</v>
      </c>
      <c r="J23" s="53">
        <f>MOB_BA!Q384</f>
        <v>0</v>
      </c>
      <c r="L23" s="53">
        <f>MOB_BA!S384</f>
        <v>0</v>
      </c>
      <c r="O23" s="54">
        <f>IFERROR(IF(DD_ACT_8_Meet1_Curr=2,J23/MOB_BA!$I$510,J23*MOB_BA!$I$510), 0)</f>
        <v>0</v>
      </c>
      <c r="Q23" s="54">
        <f>IFERROR(IF(DD_ACT_8_Meet1_Curr=2,L23/MOB_BA!$I$510,L23*MOB_BA!$I$510), 0)</f>
        <v>0</v>
      </c>
    </row>
    <row r="24" spans="2:18" x14ac:dyDescent="0.3">
      <c r="D24" s="52" t="str">
        <f>MOB_BA!C386</f>
        <v>Allowances</v>
      </c>
      <c r="J24" s="53">
        <f>MOB_BA!Q413</f>
        <v>0</v>
      </c>
      <c r="L24" s="53">
        <f>MOB_BA!S413</f>
        <v>0</v>
      </c>
      <c r="O24" s="54">
        <f>IFERROR(IF(DD_ACT_8_Meet1_Curr=2,J24/MOB_BA!$I$510,J24*MOB_BA!$I$510), 0)</f>
        <v>0</v>
      </c>
      <c r="Q24" s="54">
        <f>IFERROR(IF(DD_ACT_8_Meet1_Curr=2,L24/MOB_BA!$I$510,L24*MOB_BA!$I$510), 0)</f>
        <v>0</v>
      </c>
    </row>
    <row r="25" spans="2:18" x14ac:dyDescent="0.3">
      <c r="D25" s="52" t="str">
        <f>MOB_BA!C417</f>
        <v>Materials &amp; Supplies</v>
      </c>
      <c r="J25" s="53">
        <f>MOB_BA!Q444</f>
        <v>0</v>
      </c>
      <c r="L25" s="53">
        <f>MOB_BA!S444</f>
        <v>0</v>
      </c>
      <c r="O25" s="54">
        <f>IFERROR(IF(DD_ACT_8_Meet1_Curr=2,J25/MOB_BA!$I$510,J25*MOB_BA!$I$510), 0)</f>
        <v>0</v>
      </c>
      <c r="Q25" s="54">
        <f>IFERROR(IF(DD_ACT_8_Meet1_Curr=2,L25/MOB_BA!$I$510,L25*MOB_BA!$I$510), 0)</f>
        <v>0</v>
      </c>
    </row>
    <row r="26" spans="2:18" x14ac:dyDescent="0.3">
      <c r="D26" s="52" t="str">
        <f>MOB_BA!C446</f>
        <v>Equipment</v>
      </c>
      <c r="J26" s="53">
        <f>MOB_BA!Q473</f>
        <v>0</v>
      </c>
      <c r="L26" s="53">
        <f>MOB_BA!S473</f>
        <v>0</v>
      </c>
      <c r="O26" s="54">
        <f>IFERROR(IF(DD_ACT_8_Meet1_Curr=2,J26/MOB_BA!$I$510,J26*MOB_BA!$I$510), 0)</f>
        <v>0</v>
      </c>
      <c r="Q26" s="54">
        <f>IFERROR(IF(DD_ACT_8_Meet1_Curr=2,L26/MOB_BA!$I$510,L26*MOB_BA!$I$510), 0)</f>
        <v>0</v>
      </c>
    </row>
    <row r="27" spans="2:18" x14ac:dyDescent="0.3">
      <c r="D27" s="52" t="str">
        <f>MOB_BA!C475</f>
        <v>Other Direct Costs</v>
      </c>
      <c r="J27" s="53">
        <f>MOB_BA!Q502</f>
        <v>0</v>
      </c>
      <c r="L27" s="53">
        <f>MOB_BA!S502</f>
        <v>0</v>
      </c>
      <c r="O27" s="54">
        <f>IFERROR(IF(DD_ACT_8_Meet1_Curr=2,J27/MOB_BA!$I$510,J27*MOB_BA!$I$510), 0)</f>
        <v>0</v>
      </c>
      <c r="Q27" s="54">
        <f>IFERROR(IF(DD_ACT_8_Meet1_Curr=2,L27/MOB_BA!$I$510,L27*MOB_BA!$I$510), 0)</f>
        <v>0</v>
      </c>
    </row>
    <row r="28" spans="2:18" x14ac:dyDescent="0.3">
      <c r="D28" s="153" t="str">
        <f>"Single "&amp;C21&amp;" Activity"</f>
        <v>Single Social Mobilisation Activity #2 [not in use] Activity</v>
      </c>
      <c r="J28" s="164">
        <f>SUM(J23:J27)</f>
        <v>0</v>
      </c>
      <c r="L28" s="164">
        <f>SUM(L23:L27)</f>
        <v>0</v>
      </c>
      <c r="O28" s="164">
        <f>SUM(O23:O27)</f>
        <v>0</v>
      </c>
      <c r="Q28" s="164">
        <f>SUM(Q23:Q27)</f>
        <v>0</v>
      </c>
    </row>
    <row r="30" spans="2:18" ht="14.4" x14ac:dyDescent="0.3">
      <c r="C30" s="101" t="s">
        <v>474</v>
      </c>
      <c r="H30" s="133">
        <v>0</v>
      </c>
      <c r="R30" s="59" t="s">
        <v>490</v>
      </c>
    </row>
    <row r="31" spans="2:18" ht="15" thickBot="1" x14ac:dyDescent="0.35">
      <c r="C31" s="151" t="str">
        <f>"Subtotal Cost: "&amp;C21&amp;" Activities"</f>
        <v>Subtotal Cost: Social Mobilisation Activity #2 [not in use] Activities</v>
      </c>
      <c r="J31" s="56">
        <f>$H$30*J28</f>
        <v>0</v>
      </c>
      <c r="L31" s="56">
        <f>$H$30*L28</f>
        <v>0</v>
      </c>
      <c r="O31" s="56">
        <f>$H$30*O28</f>
        <v>0</v>
      </c>
      <c r="Q31" s="56">
        <f>$H$30*Q28</f>
        <v>0</v>
      </c>
    </row>
    <row r="32" spans="2:18" ht="14.4" thickTop="1" x14ac:dyDescent="0.3">
      <c r="B32" s="14"/>
      <c r="C32" s="14"/>
      <c r="D32" s="14"/>
      <c r="E32" s="14"/>
      <c r="F32" s="14"/>
      <c r="G32" s="14"/>
      <c r="H32" s="14"/>
      <c r="I32" s="14"/>
      <c r="J32" s="14"/>
      <c r="K32" s="14"/>
      <c r="L32" s="14"/>
      <c r="M32" s="14"/>
      <c r="N32" s="14"/>
      <c r="O32" s="14"/>
      <c r="P32" s="14"/>
      <c r="Q32" s="14"/>
      <c r="R32" s="14"/>
    </row>
    <row r="33" spans="2:18" ht="14.4" x14ac:dyDescent="0.3">
      <c r="C33" s="50" t="str">
        <f>MOB_BA!B702</f>
        <v>Social Mobilisation Activity #3 [not in use]</v>
      </c>
    </row>
    <row r="34" spans="2:18" ht="27.6" x14ac:dyDescent="0.3">
      <c r="J34" s="51" t="str">
        <f>"FINANCIAL COST ("&amp;INDEX(LU_ACT_9_Meet_Curr,DD_ACT_9_Meet1_Curr)&amp;")"</f>
        <v>FINANCIAL COST (GOZ)</v>
      </c>
      <c r="L34" s="51" t="str">
        <f>"ECONOMIC COST ("&amp;INDEX(LU_ACT_9_Meet_Curr,DD_ACT_9_Meet1_Curr)&amp;")"</f>
        <v>ECONOMIC COST (GOZ)</v>
      </c>
      <c r="O34" s="51" t="str">
        <f>"FINANCIAL COST ("&amp;IF(DD_ACT_9_Meet1_Curr=2,MOB_BA!$D$858,MOB_BA!$D$859)&amp;")"</f>
        <v>FINANCIAL COST (USD)</v>
      </c>
      <c r="Q34" s="51" t="str">
        <f>"FINANCIAL COST ("&amp;IF(DD_ACT_9_Meet1_Curr=2,MOB_BA!$D$858,MOB_BA!$D$859)&amp;")"</f>
        <v>FINANCIAL COST (USD)</v>
      </c>
    </row>
    <row r="35" spans="2:18" x14ac:dyDescent="0.3">
      <c r="D35" s="52" t="str">
        <f>MOB_BA!C705</f>
        <v>Personnel</v>
      </c>
      <c r="J35" s="53">
        <f>MOB_BA!Q732</f>
        <v>0</v>
      </c>
      <c r="L35" s="53">
        <f>MOB_BA!S732</f>
        <v>0</v>
      </c>
      <c r="O35" s="54">
        <f>IFERROR(IF(DD_ACT_9_Meet1_Curr=2,J35/MOB_BA!$I$859,J35*MOB_BA!$I$859), 0)</f>
        <v>0</v>
      </c>
      <c r="Q35" s="54">
        <f>IFERROR(IF(DD_ACT_9_Meet1_Curr=2,L35/MOB_BA!$I$859,L35*MOB_BA!$I$859), 0)</f>
        <v>0</v>
      </c>
    </row>
    <row r="36" spans="2:18" x14ac:dyDescent="0.3">
      <c r="D36" s="52" t="str">
        <f>MOB_BA!C734</f>
        <v>Allowances</v>
      </c>
      <c r="J36" s="53">
        <f>MOB_BA!Q761</f>
        <v>0</v>
      </c>
      <c r="L36" s="53">
        <f>MOB_BA!S761</f>
        <v>0</v>
      </c>
      <c r="O36" s="54">
        <f>IFERROR(IF(DD_ACT_9_Meet1_Curr=2,J36/MOB_BA!$I$859,J36*MOB_BA!$I$859), 0)</f>
        <v>0</v>
      </c>
      <c r="Q36" s="54">
        <f>IFERROR(IF(DD_ACT_9_Meet1_Curr=2,L36/MOB_BA!$I$859,L36*MOB_BA!$I$859), 0)</f>
        <v>0</v>
      </c>
    </row>
    <row r="37" spans="2:18" x14ac:dyDescent="0.3">
      <c r="D37" s="52" t="str">
        <f>MOB_BA!C765</f>
        <v>Materials &amp; Supplies</v>
      </c>
      <c r="J37" s="53">
        <f>MOB_BA!Q792</f>
        <v>0</v>
      </c>
      <c r="L37" s="53">
        <f>MOB_BA!S792</f>
        <v>0</v>
      </c>
      <c r="O37" s="54">
        <f>IFERROR(IF(DD_ACT_9_Meet1_Curr=2,J37/MOB_BA!$I$859,J37*MOB_BA!$I$859), 0)</f>
        <v>0</v>
      </c>
      <c r="Q37" s="54">
        <f>IFERROR(IF(DD_ACT_9_Meet1_Curr=2,L37/MOB_BA!$I$859,L37*MOB_BA!$I$859), 0)</f>
        <v>0</v>
      </c>
    </row>
    <row r="38" spans="2:18" x14ac:dyDescent="0.3">
      <c r="D38" s="52" t="str">
        <f>MOB_BA!C794</f>
        <v>Equipment</v>
      </c>
      <c r="J38" s="53">
        <f>MOB_BA!Q821</f>
        <v>0</v>
      </c>
      <c r="L38" s="53">
        <f>MOB_BA!S821</f>
        <v>0</v>
      </c>
      <c r="O38" s="54">
        <f>IFERROR(IF(DD_ACT_9_Meet1_Curr=2,J38/MOB_BA!$I$859,J38*MOB_BA!$I$859), 0)</f>
        <v>0</v>
      </c>
      <c r="Q38" s="54">
        <f>IFERROR(IF(DD_ACT_9_Meet1_Curr=2,L38/MOB_BA!$I$859,L38*MOB_BA!$I$859), 0)</f>
        <v>0</v>
      </c>
    </row>
    <row r="39" spans="2:18" x14ac:dyDescent="0.3">
      <c r="D39" s="52" t="str">
        <f>MOB_BA!C823</f>
        <v>Other Direct Costs</v>
      </c>
      <c r="J39" s="53">
        <f>MOB_BA!Q851</f>
        <v>0</v>
      </c>
      <c r="L39" s="53">
        <f>MOB_BA!S851</f>
        <v>0</v>
      </c>
      <c r="O39" s="54">
        <f>IFERROR(IF(DD_ACT_9_Meet1_Curr=2,J39/MOB_BA!$I$859,J39*MOB_BA!$I$859), 0)</f>
        <v>0</v>
      </c>
      <c r="Q39" s="54">
        <f>IFERROR(IF(DD_ACT_9_Meet1_Curr=2,L39/MOB_BA!$I$859,L39*MOB_BA!$I$859), 0)</f>
        <v>0</v>
      </c>
    </row>
    <row r="40" spans="2:18" x14ac:dyDescent="0.3">
      <c r="D40" s="153" t="str">
        <f>"Single "&amp;C33&amp;" Activity"</f>
        <v>Single Social Mobilisation Activity #3 [not in use] Activity</v>
      </c>
      <c r="J40" s="164">
        <f>SUM(J35:J39)</f>
        <v>0</v>
      </c>
      <c r="L40" s="164">
        <f>SUM(L35:L39)</f>
        <v>0</v>
      </c>
      <c r="O40" s="164">
        <f>SUM(O35:O39)</f>
        <v>0</v>
      </c>
      <c r="Q40" s="164">
        <f>SUM(Q35:Q39)</f>
        <v>0</v>
      </c>
    </row>
    <row r="42" spans="2:18" ht="14.4" x14ac:dyDescent="0.3">
      <c r="C42" s="101" t="s">
        <v>474</v>
      </c>
      <c r="H42" s="133">
        <v>0</v>
      </c>
    </row>
    <row r="43" spans="2:18" ht="15" thickBot="1" x14ac:dyDescent="0.35">
      <c r="C43" s="151" t="str">
        <f>"Subtotal Cost: "&amp;C33&amp;" Activities"</f>
        <v>Subtotal Cost: Social Mobilisation Activity #3 [not in use] Activities</v>
      </c>
      <c r="J43" s="56">
        <f>$H$42*J40</f>
        <v>0</v>
      </c>
      <c r="L43" s="56">
        <f>$H$42*L40</f>
        <v>0</v>
      </c>
      <c r="O43" s="56">
        <f>$H$42*O40</f>
        <v>0</v>
      </c>
      <c r="Q43" s="56">
        <f>$H$42*Q40</f>
        <v>0</v>
      </c>
    </row>
    <row r="44" spans="2:18" ht="14.4" thickTop="1" x14ac:dyDescent="0.3">
      <c r="B44" s="14"/>
      <c r="C44" s="14"/>
      <c r="D44" s="14"/>
      <c r="E44" s="14"/>
      <c r="F44" s="14"/>
      <c r="G44" s="14"/>
      <c r="H44" s="14"/>
      <c r="I44" s="14"/>
      <c r="J44" s="14"/>
      <c r="K44" s="14"/>
      <c r="L44" s="14"/>
      <c r="M44" s="14"/>
      <c r="N44" s="14"/>
      <c r="O44" s="14"/>
      <c r="P44" s="14"/>
      <c r="Q44" s="14"/>
      <c r="R44" s="14"/>
    </row>
    <row r="45" spans="2:18" ht="14.4" x14ac:dyDescent="0.3">
      <c r="C45" s="50" t="str">
        <f>MOB_BA!B1051</f>
        <v>Social Mobilisation Activity #4 [not in use]</v>
      </c>
    </row>
    <row r="46" spans="2:18" ht="27.6" x14ac:dyDescent="0.3">
      <c r="J46" s="51" t="str">
        <f>"FINANCIAL COST ("&amp;INDEX(LU_ACT_10_Meet_Curr,DD_ACT_10_Meet1_Curr)&amp;")"</f>
        <v>FINANCIAL COST (GOZ)</v>
      </c>
      <c r="L46" s="51" t="str">
        <f>"ECONOMIC COST ("&amp;INDEX(LU_ACT_10_Meet_Curr,DD_ACT_10_Meet1_Curr)&amp;")"</f>
        <v>ECONOMIC COST (GOZ)</v>
      </c>
      <c r="O46" s="51" t="str">
        <f>"FINANCIAL COST ("&amp;IF(DD_ACT_10_Meet1_Curr=2,MOB_BA!$D$1206,MOB_BA!$D$1207)&amp;")"</f>
        <v>FINANCIAL COST (USD)</v>
      </c>
      <c r="Q46" s="51" t="str">
        <f>"FINANCIAL COST ("&amp;IF(DD_ACT_10_Meet1_Curr=2,MOB_BA!$D$1206,MOB_BA!$D$1207)&amp;")"</f>
        <v>FINANCIAL COST (USD)</v>
      </c>
    </row>
    <row r="47" spans="2:18" x14ac:dyDescent="0.3">
      <c r="D47" s="52" t="str">
        <f>MOB_BA!C1054</f>
        <v>Personnel</v>
      </c>
      <c r="J47" s="53">
        <f>MOB_BA!Q1081</f>
        <v>0</v>
      </c>
      <c r="L47" s="53">
        <f>MOB_BA!S1081</f>
        <v>0</v>
      </c>
      <c r="O47" s="54">
        <f>IFERROR(IF(DD_ACT_10_Meet1_Curr=2,J47/MOB_BA!$I$1207,J47*MOB_BA!$I$1207), 0)</f>
        <v>0</v>
      </c>
      <c r="Q47" s="54">
        <f>IFERROR(IF(DD_ACT_10_Meet1_Curr=2,L47/MOB_BA!$I$1207,L47*MOB_BA!$I$1207), 0)</f>
        <v>0</v>
      </c>
    </row>
    <row r="48" spans="2:18" x14ac:dyDescent="0.3">
      <c r="D48" s="52" t="str">
        <f>MOB_BA!C1083</f>
        <v>Allowances</v>
      </c>
      <c r="J48" s="53">
        <f>MOB_BA!Q1110</f>
        <v>0</v>
      </c>
      <c r="L48" s="53">
        <f>MOB_BA!S1110</f>
        <v>0</v>
      </c>
      <c r="O48" s="54">
        <f>IFERROR(IF(DD_ACT_10_Meet1_Curr=2,J48/MOB_BA!$I$1207,J48*MOB_BA!$I$1207), 0)</f>
        <v>0</v>
      </c>
      <c r="Q48" s="54">
        <f>IFERROR(IF(DD_ACT_10_Meet1_Curr=2,L48/MOB_BA!$I$1207,L48*MOB_BA!$I$1207), 0)</f>
        <v>0</v>
      </c>
    </row>
    <row r="49" spans="2:18" x14ac:dyDescent="0.3">
      <c r="D49" s="52" t="str">
        <f>MOB_BA!C1114</f>
        <v>Materials &amp; Supplies</v>
      </c>
      <c r="J49" s="53">
        <f>MOB_BA!Q1141</f>
        <v>0</v>
      </c>
      <c r="L49" s="53">
        <f>MOB_BA!S1141</f>
        <v>0</v>
      </c>
      <c r="O49" s="54">
        <f>IFERROR(IF(DD_ACT_10_Meet1_Curr=2,J49/MOB_BA!$I$1207,J49*MOB_BA!$I$1207), 0)</f>
        <v>0</v>
      </c>
      <c r="Q49" s="54">
        <f>IFERROR(IF(DD_ACT_10_Meet1_Curr=2,L49/MOB_BA!$I$1207,L49*MOB_BA!$I$1207), 0)</f>
        <v>0</v>
      </c>
    </row>
    <row r="50" spans="2:18" x14ac:dyDescent="0.3">
      <c r="D50" s="52" t="str">
        <f>MOB_BA!C1143</f>
        <v>Equipment</v>
      </c>
      <c r="J50" s="53">
        <f>MOB_BA!Q1170</f>
        <v>0</v>
      </c>
      <c r="L50" s="53">
        <f>MOB_BA!S1170</f>
        <v>0</v>
      </c>
      <c r="O50" s="54">
        <f>IFERROR(IF(DD_ACT_10_Meet1_Curr=2,J50/MOB_BA!$I$1207,J50*MOB_BA!$I$1207), 0)</f>
        <v>0</v>
      </c>
      <c r="Q50" s="54">
        <f>IFERROR(IF(DD_ACT_10_Meet1_Curr=2,L50/MOB_BA!$I$1207,L50*MOB_BA!$I$1207), 0)</f>
        <v>0</v>
      </c>
    </row>
    <row r="51" spans="2:18" x14ac:dyDescent="0.3">
      <c r="D51" s="52" t="str">
        <f>MOB_BA!C1172</f>
        <v>Other Direct Costs</v>
      </c>
      <c r="J51" s="53">
        <f>MOB_BA!Q1199</f>
        <v>0</v>
      </c>
      <c r="L51" s="53">
        <f>MOB_BA!S1199</f>
        <v>0</v>
      </c>
      <c r="O51" s="54">
        <f>IFERROR(IF(DD_ACT_10_Meet1_Curr=2,J51/MOB_BA!$I$1207,J51*MOB_BA!$I$1207), 0)</f>
        <v>0</v>
      </c>
      <c r="Q51" s="54">
        <f>IFERROR(IF(DD_ACT_10_Meet1_Curr=2,L51/MOB_BA!$I$1207,L51*MOB_BA!$I$1207), 0)</f>
        <v>0</v>
      </c>
    </row>
    <row r="52" spans="2:18" x14ac:dyDescent="0.3">
      <c r="D52" s="153" t="str">
        <f>"Single "&amp;C45&amp;" Activity"</f>
        <v>Single Social Mobilisation Activity #4 [not in use] Activity</v>
      </c>
      <c r="J52" s="164">
        <f>SUM(J47:J51)</f>
        <v>0</v>
      </c>
      <c r="L52" s="164">
        <f>SUM(L47:L51)</f>
        <v>0</v>
      </c>
      <c r="O52" s="164">
        <f>SUM(O47:O51)</f>
        <v>0</v>
      </c>
      <c r="Q52" s="164">
        <f>SUM(Q47:Q51)</f>
        <v>0</v>
      </c>
    </row>
    <row r="54" spans="2:18" ht="14.4" x14ac:dyDescent="0.3">
      <c r="C54" s="101" t="s">
        <v>474</v>
      </c>
      <c r="H54" s="133">
        <v>0</v>
      </c>
    </row>
    <row r="55" spans="2:18" ht="15" thickBot="1" x14ac:dyDescent="0.35">
      <c r="C55" s="151" t="str">
        <f>"Subtotal Cost: "&amp;C45&amp;" Activities"</f>
        <v>Subtotal Cost: Social Mobilisation Activity #4 [not in use] Activities</v>
      </c>
      <c r="J55" s="56">
        <f>HL_ACT_10_SOC_MOB_4*J52</f>
        <v>0</v>
      </c>
      <c r="L55" s="56">
        <f>HL_ACT_10_SOC_MOB_4*L52</f>
        <v>0</v>
      </c>
      <c r="O55" s="56">
        <f>HL_ACT_10_SOC_MOB_4*O52</f>
        <v>0</v>
      </c>
      <c r="Q55" s="56">
        <f>HL_ACT_10_SOC_MOB_4*Q52</f>
        <v>0</v>
      </c>
    </row>
    <row r="56" spans="2:18" ht="14.4" thickTop="1" x14ac:dyDescent="0.3">
      <c r="B56" s="14"/>
      <c r="C56" s="14"/>
      <c r="D56" s="14"/>
      <c r="E56" s="14"/>
      <c r="F56" s="14"/>
      <c r="G56" s="14"/>
      <c r="H56" s="14"/>
      <c r="I56" s="14"/>
      <c r="J56" s="14"/>
      <c r="K56" s="14"/>
      <c r="L56" s="14"/>
      <c r="M56" s="14"/>
      <c r="N56" s="14"/>
      <c r="O56" s="14"/>
      <c r="P56" s="14"/>
      <c r="Q56" s="14"/>
      <c r="R56" s="14"/>
    </row>
  </sheetData>
  <sheetProtection algorithmName="SHA-512" hashValue="jNOcNaBR9nWWwio5vL7ueRDmTXmHjqTC84Xs2lcInJdC9pYkbY/QYKvV0t6m19kclOzDrGzHFRCXt9/42tOZ/Q==" saltValue="k+AlFaGmoRfTgnMY1CIIEQ==" spinCount="100000" sheet="1" objects="1" scenarios="1" formatColumns="0" formatRows="0"/>
  <mergeCells count="1">
    <mergeCell ref="B3:F3"/>
  </mergeCells>
  <hyperlinks>
    <hyperlink ref="A4" location="$B$5" tooltip="Go to Top of Sheet" display="$B$5" xr:uid="{00000000-0004-0000-1C00-000000000000}"/>
    <hyperlink ref="B4" location="HL_Sheet_Main_60" tooltip="Go to Previous Sheet" display="HL_Sheet_Main_60" xr:uid="{00000000-0004-0000-1C00-000001000000}"/>
    <hyperlink ref="C4" location="HL_Sheet_Main_62" tooltip="Go to Next Sheet" display="HL_Sheet_Main_62" xr:uid="{00000000-0004-0000-1C00-000002000000}"/>
    <hyperlink ref="F4" location="HL_Alt_Chk" tooltip="Go to Alert Checks" display="HL_Alt_Chk" xr:uid="{00000000-0004-0000-1C00-000003000000}"/>
    <hyperlink ref="B3" location="HL_Home" tooltip="Go to Table of Contents" display="HL_Home" xr:uid="{00000000-0004-0000-1C00-000004000000}"/>
    <hyperlink ref="D4" location="HL_Err_Chk" tooltip="Go to Error Checks" display="HL_Err_Chk" xr:uid="{00000000-0004-0000-1C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9"/>
    <pageSetUpPr autoPageBreaks="0" fitToPage="1"/>
  </sheetPr>
  <dimension ref="C3:Q25"/>
  <sheetViews>
    <sheetView showGridLines="0" tabSelected="1" zoomScaleNormal="100" workbookViewId="0"/>
  </sheetViews>
  <sheetFormatPr defaultColWidth="11.6640625" defaultRowHeight="13.8" x14ac:dyDescent="0.3"/>
  <cols>
    <col min="3" max="6" width="3.6640625" customWidth="1"/>
  </cols>
  <sheetData>
    <row r="3" spans="3:17" ht="14.4" x14ac:dyDescent="0.3">
      <c r="N3" s="333" t="s">
        <v>645</v>
      </c>
      <c r="O3" s="333"/>
      <c r="P3" s="333"/>
      <c r="Q3" s="333"/>
    </row>
    <row r="4" spans="3:17" ht="14.4" x14ac:dyDescent="0.3">
      <c r="N4" s="333" t="s">
        <v>606</v>
      </c>
      <c r="O4" s="333"/>
      <c r="P4" s="333" t="s">
        <v>605</v>
      </c>
      <c r="Q4" s="333"/>
    </row>
    <row r="9" spans="3:17" ht="23.4" x14ac:dyDescent="0.3">
      <c r="C9" s="2" t="s">
        <v>640</v>
      </c>
    </row>
    <row r="10" spans="3:17" ht="21" x14ac:dyDescent="0.3">
      <c r="C10" s="10" t="s">
        <v>65</v>
      </c>
    </row>
    <row r="11" spans="3:17" ht="18" x14ac:dyDescent="0.3">
      <c r="C11" s="6" t="str">
        <f>Model_Name</f>
        <v>Oral Cholera Vaccine Activity-Based Costing</v>
      </c>
    </row>
    <row r="12" spans="3:17" x14ac:dyDescent="0.3">
      <c r="C12" s="331" t="s">
        <v>2</v>
      </c>
      <c r="D12" s="331"/>
      <c r="E12" s="331"/>
      <c r="F12" s="331"/>
      <c r="G12" s="331"/>
    </row>
    <row r="13" spans="3:17" x14ac:dyDescent="0.3">
      <c r="C13" s="8" t="s">
        <v>10</v>
      </c>
      <c r="D13" s="9" t="s">
        <v>11</v>
      </c>
    </row>
    <row r="16" spans="3:17" x14ac:dyDescent="0.3">
      <c r="N16" s="332" t="str">
        <f>"Go to "&amp;HL_Cost_per_Statistics</f>
        <v>Go to Cost per Statistics</v>
      </c>
      <c r="O16" s="332"/>
      <c r="P16" s="332"/>
      <c r="Q16" s="332"/>
    </row>
    <row r="17" spans="3:4" ht="14.4" x14ac:dyDescent="0.3">
      <c r="C17" s="3" t="s">
        <v>594</v>
      </c>
    </row>
    <row r="18" spans="3:4" x14ac:dyDescent="0.3">
      <c r="C18" s="4" t="s">
        <v>646</v>
      </c>
    </row>
    <row r="19" spans="3:4" ht="14.4" x14ac:dyDescent="0.3">
      <c r="C19" s="3" t="s">
        <v>647</v>
      </c>
    </row>
    <row r="20" spans="3:4" ht="14.4" x14ac:dyDescent="0.3">
      <c r="C20" s="3"/>
    </row>
    <row r="21" spans="3:4" x14ac:dyDescent="0.3">
      <c r="D21" s="117" t="str">
        <f>TS_BA!B1</f>
        <v>Time Series - Broad Assumptions (TS_BA)</v>
      </c>
    </row>
    <row r="22" spans="3:4" x14ac:dyDescent="0.3">
      <c r="D22" s="117" t="str">
        <f>Lbl_BA!B1</f>
        <v>LABELS</v>
      </c>
    </row>
    <row r="23" spans="3:4" x14ac:dyDescent="0.3">
      <c r="D23" s="117" t="str">
        <f>Count_BA!B1</f>
        <v>Counts - Broad Assumptions (Count_BA)</v>
      </c>
    </row>
    <row r="24" spans="3:4" x14ac:dyDescent="0.3">
      <c r="D24" s="117" t="str">
        <f>CURR_TA!B1</f>
        <v>RESOURCES - Currency Assumptions</v>
      </c>
    </row>
    <row r="25" spans="3:4" x14ac:dyDescent="0.3">
      <c r="D25" s="117" t="str">
        <f>RES_BA!B1</f>
        <v>RESOURCES - Assumptions</v>
      </c>
    </row>
  </sheetData>
  <mergeCells count="5">
    <mergeCell ref="N16:Q16"/>
    <mergeCell ref="C12:G12"/>
    <mergeCell ref="N3:Q3"/>
    <mergeCell ref="P4:Q4"/>
    <mergeCell ref="N4:O4"/>
  </mergeCells>
  <hyperlinks>
    <hyperlink ref="C13" location="HL_Sheet_Main_2" tooltip="Go to Previous Sheet" display="HL_Sheet_Main_2" xr:uid="{00000000-0004-0000-0200-000000000000}"/>
    <hyperlink ref="D13" location="HL_Sheet_Main_7" tooltip="Go to Next Sheet" display="HL_Sheet_Main_7" xr:uid="{00000000-0004-0000-0200-000001000000}"/>
    <hyperlink ref="N16" location="HL_Cost_per_Statistics" tooltip="Go to Cost per Statistics" display="HL_Cost_per_Statistics" xr:uid="{00000000-0004-0000-0200-000002000000}"/>
    <hyperlink ref="C12" location="HL_Home" tooltip="Go to Table of Contents" display="HL_Home" xr:uid="{00000000-0004-0000-0200-000003000000}"/>
  </hyperlinks>
  <pageMargins left="0.39370078740157499" right="0.39370078740157499" top="0.59055118110236204" bottom="0.98425196850393704" header="0" footer="0.31496062992126"/>
  <pageSetup orientation="landscape" horizontalDpi="0" verticalDpi="0" r:id="rId1"/>
  <headerFooter>
    <oddFooter>&amp;L&amp;F
&amp;A
Printed: &amp;T on &amp;D&amp;CPage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3">
    <outlinePr showOutlineSymbols="0"/>
    <pageSetUpPr autoPageBreaks="0"/>
  </sheetPr>
  <dimension ref="A1:R71"/>
  <sheetViews>
    <sheetView showGridLines="0" showRowColHeaders="0" showOutlineSymbols="0" zoomScaleNormal="100" workbookViewId="0">
      <pane xSplit="1" ySplit="4" topLeftCell="B5" activePane="bottomRight" state="frozen"/>
      <selection pane="topRight" activeCell="B1" sqref="B1"/>
      <selection pane="bottomLeft" activeCell="A5" sqref="A5"/>
      <selection pane="bottomRight" activeCell="B1" sqref="B1"/>
    </sheetView>
  </sheetViews>
  <sheetFormatPr defaultColWidth="11.6640625" defaultRowHeight="13.8" x14ac:dyDescent="0.3"/>
  <cols>
    <col min="1" max="5" width="3.6640625" customWidth="1"/>
    <col min="11" max="11" width="2.33203125" customWidth="1"/>
    <col min="13" max="13" width="2.88671875" customWidth="1"/>
    <col min="14" max="14" width="3.109375" customWidth="1"/>
    <col min="16" max="16" width="3" customWidth="1"/>
  </cols>
  <sheetData>
    <row r="1" spans="1:17" ht="23.4" x14ac:dyDescent="0.3">
      <c r="B1" s="274" t="s">
        <v>1019</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26</v>
      </c>
    </row>
    <row r="7" spans="1:17" ht="18" x14ac:dyDescent="0.3">
      <c r="B7" s="49" t="s">
        <v>476</v>
      </c>
    </row>
    <row r="9" spans="1:17" ht="14.4" x14ac:dyDescent="0.3">
      <c r="C9" s="50" t="str">
        <f>SD1_BA!B7</f>
        <v>Round 1 - Vacciination Activity #1 [not in use]</v>
      </c>
    </row>
    <row r="10" spans="1:17" ht="27.6" x14ac:dyDescent="0.3">
      <c r="J10" s="51" t="str">
        <f>"FINANCIAL COST ("&amp;INDEX(LU_ACT_11_Meet_Curr,DD_ACT_11_Meet1_Curr)&amp;")"</f>
        <v>FINANCIAL COST (GOZ)</v>
      </c>
      <c r="L10" s="51" t="str">
        <f>"ECONOMIC COST ("&amp;INDEX(LU_ACT_11_Meet_Curr,DD_ACT_11_Meet1_Curr)&amp;")"</f>
        <v>ECONOMIC COST (GOZ)</v>
      </c>
      <c r="O10" s="51" t="str">
        <f>"FINANCIAL COST ("&amp;IF(DD_ACT_11_Meet1_Curr=2,SD1_BA!$D$163,SD1_BA!$D$164)&amp;")"</f>
        <v>FINANCIAL COST (USD)</v>
      </c>
      <c r="Q10" s="51" t="str">
        <f>"FINANCIAL COST ("&amp;IF(DD_ACT_11_Meet1_Curr=2,SD1_BA!$D$163,SD1_BA!$D$164)&amp;")"</f>
        <v>FINANCIAL COST (USD)</v>
      </c>
    </row>
    <row r="11" spans="1:17" x14ac:dyDescent="0.3">
      <c r="D11" s="52" t="str">
        <f>SD1_BA!C10</f>
        <v>Personnel</v>
      </c>
      <c r="J11" s="53">
        <f>SD1_BA!Q37</f>
        <v>0</v>
      </c>
      <c r="L11" s="53">
        <f>SD1_BA!S37</f>
        <v>0</v>
      </c>
      <c r="O11" s="54">
        <f>IFERROR(IF(DD_ACT_11_Meet1_Curr=2,J11/SD1_BA!$I$164,J11*SD1_BA!$I$164), 0)</f>
        <v>0</v>
      </c>
      <c r="Q11" s="54">
        <f>IFERROR(IF(DD_ACT_11_Meet1_Curr=2,L11/SD1_BA!$I$164,L11*SD1_BA!$I$164), 0)</f>
        <v>0</v>
      </c>
    </row>
    <row r="12" spans="1:17" x14ac:dyDescent="0.3">
      <c r="D12" s="52" t="str">
        <f>SD1_BA!C39</f>
        <v>Allowances</v>
      </c>
      <c r="J12" s="53">
        <f>SD1_BA!Q66</f>
        <v>0</v>
      </c>
      <c r="L12" s="53">
        <f>SD1_BA!S66</f>
        <v>0</v>
      </c>
      <c r="O12" s="54">
        <f>IFERROR(IF(DD_ACT_11_Meet1_Curr=2,J12/SD1_BA!$I$164,J12*SD1_BA!$I$164), 0)</f>
        <v>0</v>
      </c>
      <c r="Q12" s="54">
        <f>IFERROR(IF(DD_ACT_11_Meet1_Curr=2,L12/SD1_BA!$I$164,L12*SD1_BA!$I$164), 0)</f>
        <v>0</v>
      </c>
    </row>
    <row r="13" spans="1:17" x14ac:dyDescent="0.3">
      <c r="D13" s="52" t="str">
        <f>SD1_BA!C70</f>
        <v>Materials &amp; Supplies</v>
      </c>
      <c r="J13" s="53">
        <f>SD1_BA!Q97</f>
        <v>0</v>
      </c>
      <c r="L13" s="53">
        <f>SD1_BA!S97</f>
        <v>0</v>
      </c>
      <c r="O13" s="54">
        <f>IFERROR(IF(DD_ACT_11_Meet1_Curr=2,J13/SD1_BA!$I$164,J13*SD1_BA!$I$164), 0)</f>
        <v>0</v>
      </c>
      <c r="Q13" s="54">
        <f>IFERROR(IF(DD_ACT_11_Meet1_Curr=2,L13/SD1_BA!$I$164,L13*SD1_BA!$I$164), 0)</f>
        <v>0</v>
      </c>
    </row>
    <row r="14" spans="1:17" x14ac:dyDescent="0.3">
      <c r="D14" s="52" t="str">
        <f>SD1_BA!C99</f>
        <v>Equipment</v>
      </c>
      <c r="J14" s="53">
        <f>SD1_BA!Q126</f>
        <v>0</v>
      </c>
      <c r="L14" s="53">
        <f>SD1_BA!S126</f>
        <v>0</v>
      </c>
      <c r="O14" s="54">
        <f>IFERROR(IF(DD_ACT_11_Meet1_Curr=2,J14/SD1_BA!$I$164,J14*SD1_BA!$I$164), 0)</f>
        <v>0</v>
      </c>
      <c r="Q14" s="54">
        <f>IFERROR(IF(DD_ACT_11_Meet1_Curr=2,L14/SD1_BA!$I$164,L14*SD1_BA!$I$164), 0)</f>
        <v>0</v>
      </c>
    </row>
    <row r="15" spans="1:17" x14ac:dyDescent="0.3">
      <c r="D15" s="52" t="str">
        <f>SD1_BA!C128</f>
        <v>Other Direct Costs</v>
      </c>
      <c r="J15" s="53">
        <f>SD1_BA!Q156</f>
        <v>0</v>
      </c>
      <c r="L15" s="53">
        <f>SD1_BA!S156</f>
        <v>0</v>
      </c>
      <c r="O15" s="54">
        <f>IFERROR(IF(DD_ACT_11_Meet1_Curr=2,J15/SD1_BA!$I$164,J15*SD1_BA!$I$164), 0)</f>
        <v>0</v>
      </c>
      <c r="Q15" s="54">
        <f>IFERROR(IF(DD_ACT_11_Meet1_Curr=2,L15/SD1_BA!$I$164,L15*SD1_BA!$I$164), 0)</f>
        <v>0</v>
      </c>
    </row>
    <row r="16" spans="1:17" x14ac:dyDescent="0.3">
      <c r="D16" s="153" t="str">
        <f>"Single "&amp;C9&amp;" Activity"</f>
        <v>Single Round 1 - Vacciination Activity #1 [not in use] Activity</v>
      </c>
      <c r="J16" s="164">
        <f>SUM(J11:J15)</f>
        <v>0</v>
      </c>
      <c r="L16" s="164">
        <f>SUM(L11:L15)</f>
        <v>0</v>
      </c>
      <c r="O16" s="164">
        <f>SUM(O11:O15)</f>
        <v>0</v>
      </c>
      <c r="Q16" s="164">
        <f>SUM(Q11:Q15)</f>
        <v>0</v>
      </c>
    </row>
    <row r="18" spans="2:18" x14ac:dyDescent="0.3">
      <c r="D18" s="59" t="s">
        <v>596</v>
      </c>
      <c r="J18" s="133">
        <v>0</v>
      </c>
    </row>
    <row r="21" spans="2:18" x14ac:dyDescent="0.3">
      <c r="C21" s="59" t="s">
        <v>474</v>
      </c>
      <c r="H21" s="133">
        <v>0</v>
      </c>
    </row>
    <row r="22" spans="2:18" ht="15" thickBot="1" x14ac:dyDescent="0.35">
      <c r="C22" s="151" t="str">
        <f>"Subtotal Cost: "&amp;C9&amp;" Activities"</f>
        <v>Subtotal Cost: Round 1 - Vacciination Activity #1 [not in use] Activities</v>
      </c>
      <c r="J22" s="56">
        <f>$H$21*J16</f>
        <v>0</v>
      </c>
      <c r="L22" s="56">
        <f>$H$21*L16</f>
        <v>0</v>
      </c>
      <c r="O22" s="56">
        <f>$H$21*O16</f>
        <v>0</v>
      </c>
      <c r="Q22" s="56">
        <f>$H$21*Q16</f>
        <v>0</v>
      </c>
    </row>
    <row r="23" spans="2:18" ht="14.4" thickTop="1" x14ac:dyDescent="0.3">
      <c r="B23" s="14"/>
      <c r="C23" s="14"/>
      <c r="D23" s="14"/>
      <c r="E23" s="14"/>
      <c r="F23" s="14"/>
      <c r="G23" s="14"/>
      <c r="H23" s="14"/>
      <c r="I23" s="14"/>
      <c r="J23" s="14"/>
      <c r="K23" s="14"/>
      <c r="L23" s="14"/>
      <c r="M23" s="14"/>
      <c r="N23" s="14"/>
      <c r="O23" s="14"/>
      <c r="P23" s="14"/>
      <c r="Q23" s="14"/>
      <c r="R23" s="14"/>
    </row>
    <row r="24" spans="2:18" ht="14.4" x14ac:dyDescent="0.3">
      <c r="C24" s="50" t="str">
        <f>SD1_BA!B356</f>
        <v>Round 1 - Vacciination Activity #2 [not in use]</v>
      </c>
    </row>
    <row r="25" spans="2:18" ht="27.6" x14ac:dyDescent="0.3">
      <c r="J25" s="51" t="str">
        <f>"FINANCIAL COST ("&amp;INDEX(LU_ACT_12_Meet_Curr,DD_ACT_12_Meet1_Curr)&amp;")"</f>
        <v>FINANCIAL COST (GOZ)</v>
      </c>
      <c r="L25" s="51" t="str">
        <f>"ECONOMIC COST ("&amp;INDEX(LU_ACT_12_Meet_Curr,DD_ACT_12_Meet1_Curr)&amp;")"</f>
        <v>ECONOMIC COST (GOZ)</v>
      </c>
      <c r="O25" s="51" t="str">
        <f>"FINANCIAL COST ("&amp;IF(DD_ACT_12_Meet1_Curr=2,SD1_BA!$D$512,SD1_BA!$D$513)&amp;")"</f>
        <v>FINANCIAL COST (USD)</v>
      </c>
      <c r="Q25" s="51" t="str">
        <f>"FINANCIAL COST ("&amp;IF(DD_ACT_12_Meet1_Curr=2,SD1_BA!$D$512,SD1_BA!$D$513)&amp;")"</f>
        <v>FINANCIAL COST (USD)</v>
      </c>
    </row>
    <row r="26" spans="2:18" x14ac:dyDescent="0.3">
      <c r="D26" s="52" t="str">
        <f>SD1_BA!C359</f>
        <v>Personnel</v>
      </c>
      <c r="J26" s="53">
        <f>SD1_BA!Q386</f>
        <v>0</v>
      </c>
      <c r="L26" s="53">
        <f>SD1_BA!S386</f>
        <v>0</v>
      </c>
      <c r="O26" s="54">
        <f>IFERROR(IF(DD_ACT_12_Meet1_Curr=2,J26/SD1_BA!$I$513,J26*SD1_BA!$I$513), 0)</f>
        <v>0</v>
      </c>
      <c r="Q26" s="54">
        <f>IFERROR(IF(DD_ACT_12_Meet1_Curr=2,L26/SD1_BA!$I$513,L26*SD1_BA!$I$513), 0)</f>
        <v>0</v>
      </c>
    </row>
    <row r="27" spans="2:18" x14ac:dyDescent="0.3">
      <c r="D27" s="52" t="str">
        <f>SD1_BA!C388</f>
        <v>Allowances</v>
      </c>
      <c r="J27" s="53">
        <f>SD1_BA!Q415</f>
        <v>0</v>
      </c>
      <c r="L27" s="53">
        <f>SD1_BA!S415</f>
        <v>0</v>
      </c>
      <c r="O27" s="54">
        <f>IFERROR(IF(DD_ACT_12_Meet1_Curr=2,J27/SD1_BA!$I$513,J27*SD1_BA!$I$513), 0)</f>
        <v>0</v>
      </c>
      <c r="Q27" s="54">
        <f>IFERROR(IF(DD_ACT_12_Meet1_Curr=2,L27/SD1_BA!$I$513,L27*SD1_BA!$I$513), 0)</f>
        <v>0</v>
      </c>
    </row>
    <row r="28" spans="2:18" x14ac:dyDescent="0.3">
      <c r="D28" s="52" t="str">
        <f>SD1_BA!C419</f>
        <v>Materials &amp; Supplies</v>
      </c>
      <c r="J28" s="53">
        <f>SD1_BA!Q446</f>
        <v>0</v>
      </c>
      <c r="L28" s="53">
        <f>SD1_BA!S446</f>
        <v>0</v>
      </c>
      <c r="O28" s="54">
        <f>IFERROR(IF(DD_ACT_12_Meet1_Curr=2,J28/SD1_BA!$I$513,J28*SD1_BA!$I$513), 0)</f>
        <v>0</v>
      </c>
      <c r="Q28" s="54">
        <f>IFERROR(IF(DD_ACT_12_Meet1_Curr=2,L28/SD1_BA!$I$513,L28*SD1_BA!$I$513), 0)</f>
        <v>0</v>
      </c>
    </row>
    <row r="29" spans="2:18" x14ac:dyDescent="0.3">
      <c r="D29" s="52" t="str">
        <f>SD1_BA!C448</f>
        <v>Equipment</v>
      </c>
      <c r="J29" s="53">
        <f>SD1_BA!Q475</f>
        <v>0</v>
      </c>
      <c r="L29" s="53">
        <f>SD1_BA!S475</f>
        <v>0</v>
      </c>
      <c r="O29" s="54">
        <f>IFERROR(IF(DD_ACT_12_Meet1_Curr=2,J29/SD1_BA!$I$513,J29*SD1_BA!$I$513), 0)</f>
        <v>0</v>
      </c>
      <c r="Q29" s="54">
        <f>IFERROR(IF(DD_ACT_12_Meet1_Curr=2,L29/SD1_BA!$I$513,L29*SD1_BA!$I$513), 0)</f>
        <v>0</v>
      </c>
    </row>
    <row r="30" spans="2:18" x14ac:dyDescent="0.3">
      <c r="D30" s="52" t="str">
        <f>SD1_BA!C477</f>
        <v>Other Direct Costs</v>
      </c>
      <c r="J30" s="53">
        <f>SD1_BA!Q505</f>
        <v>0</v>
      </c>
      <c r="L30" s="53">
        <f>SD1_BA!S505</f>
        <v>0</v>
      </c>
      <c r="O30" s="54">
        <f>IFERROR(IF(DD_ACT_12_Meet1_Curr=2,J30/SD1_BA!$I$513,J30*SD1_BA!$I$513), 0)</f>
        <v>0</v>
      </c>
      <c r="Q30" s="54">
        <f>IFERROR(IF(DD_ACT_12_Meet1_Curr=2,L30/SD1_BA!$I$513,L30*SD1_BA!$I$513), 0)</f>
        <v>0</v>
      </c>
    </row>
    <row r="31" spans="2:18" x14ac:dyDescent="0.3">
      <c r="D31" s="153" t="str">
        <f>"Single "&amp;C24&amp;" Activity"</f>
        <v>Single Round 1 - Vacciination Activity #2 [not in use] Activity</v>
      </c>
      <c r="J31" s="164">
        <f>SUM(J26:J30)</f>
        <v>0</v>
      </c>
      <c r="L31" s="164">
        <f>SUM(L26:L30)</f>
        <v>0</v>
      </c>
      <c r="O31" s="164">
        <f>SUM(O26:O30)</f>
        <v>0</v>
      </c>
      <c r="Q31" s="164">
        <f>SUM(Q26:Q30)</f>
        <v>0</v>
      </c>
    </row>
    <row r="33" spans="2:18" x14ac:dyDescent="0.3">
      <c r="C33" s="59" t="s">
        <v>474</v>
      </c>
      <c r="H33" s="133">
        <v>0</v>
      </c>
    </row>
    <row r="34" spans="2:18" ht="15" thickBot="1" x14ac:dyDescent="0.35">
      <c r="C34" s="151" t="str">
        <f>"Subtotal Cost: "&amp;C24&amp;" Activities"</f>
        <v>Subtotal Cost: Round 1 - Vacciination Activity #2 [not in use] Activities</v>
      </c>
      <c r="J34" s="56">
        <f>$H$33*J31</f>
        <v>0</v>
      </c>
      <c r="L34" s="56">
        <f>$H$33*L31</f>
        <v>0</v>
      </c>
      <c r="O34" s="56">
        <f>$H$33*O31</f>
        <v>0</v>
      </c>
      <c r="Q34" s="56">
        <f>$H$33*Q31</f>
        <v>0</v>
      </c>
    </row>
    <row r="35" spans="2:18" ht="14.4" thickTop="1" x14ac:dyDescent="0.3">
      <c r="B35" s="14"/>
      <c r="C35" s="14"/>
      <c r="D35" s="14"/>
      <c r="E35" s="14"/>
      <c r="F35" s="14"/>
      <c r="G35" s="14"/>
      <c r="H35" s="14"/>
      <c r="I35" s="14"/>
      <c r="J35" s="14"/>
      <c r="K35" s="14"/>
      <c r="L35" s="14"/>
      <c r="M35" s="14"/>
      <c r="N35" s="14"/>
      <c r="O35" s="14"/>
      <c r="P35" s="14"/>
      <c r="Q35" s="14"/>
      <c r="R35" s="14"/>
    </row>
    <row r="36" spans="2:18" ht="14.4" x14ac:dyDescent="0.3">
      <c r="C36" s="50" t="str">
        <f>SD1_BA!B705</f>
        <v>Round 1 - Vacciination Activity #3 [not in use]</v>
      </c>
    </row>
    <row r="37" spans="2:18" ht="27.6" x14ac:dyDescent="0.3">
      <c r="J37" s="51" t="str">
        <f>"FINANCIAL COST ("&amp;INDEX(LU_ACT_26_Meet_Curr,DD_ACT_26_Meet1_Curr)&amp;")"</f>
        <v>FINANCIAL COST (GOZ)</v>
      </c>
      <c r="L37" s="51" t="str">
        <f>"ECONOMIC COST ("&amp;INDEX(LU_ACT_26_Meet_Curr,DD_ACT_26_Meet1_Curr)&amp;")"</f>
        <v>ECONOMIC COST (GOZ)</v>
      </c>
      <c r="O37" s="51" t="str">
        <f>"FINANCIAL COST ("&amp;IF(DD_ACT_26_Meet1_Curr=2,SD1_BA!$D$861,SD1_BA!$D$862)&amp;")"</f>
        <v>FINANCIAL COST (USD)</v>
      </c>
      <c r="Q37" s="51" t="str">
        <f>"FINANCIAL COST ("&amp;IF(DD_ACT_26_Meet1_Curr=2,SD1_BA!$D$861,SD1_BA!$D$862)&amp;")"</f>
        <v>FINANCIAL COST (USD)</v>
      </c>
    </row>
    <row r="38" spans="2:18" x14ac:dyDescent="0.3">
      <c r="D38" s="52" t="str">
        <f>SD1_BA!C708</f>
        <v>Personnel</v>
      </c>
      <c r="J38" s="53">
        <f>SD1_BA!Q735</f>
        <v>0</v>
      </c>
      <c r="L38" s="53">
        <f>SD1_BA!S735</f>
        <v>0</v>
      </c>
      <c r="O38" s="54">
        <f>IFERROR(IF(DD_ACT_26_Meet1_Curr=2,J38/SD1_BA!$I$862,J38*SD1_BA!$I$862), 0)</f>
        <v>0</v>
      </c>
      <c r="Q38" s="54">
        <f>IFERROR(IF(DD_ACT_26_Meet1_Curr=2,L38/SD1_BA!$I$862,L38*SD1_BA!$I$862), 0)</f>
        <v>0</v>
      </c>
    </row>
    <row r="39" spans="2:18" x14ac:dyDescent="0.3">
      <c r="D39" s="52" t="str">
        <f>SD1_BA!C737</f>
        <v>Allowances</v>
      </c>
      <c r="J39" s="53">
        <f>SD1_BA!Q764</f>
        <v>0</v>
      </c>
      <c r="L39" s="53">
        <f>SD1_BA!S764</f>
        <v>0</v>
      </c>
      <c r="O39" s="54">
        <f>IFERROR(IF(DD_ACT_26_Meet1_Curr=2,J39/SD1_BA!$I$862,J39*SD1_BA!$I$862), 0)</f>
        <v>0</v>
      </c>
      <c r="Q39" s="54">
        <f>IFERROR(IF(DD_ACT_26_Meet1_Curr=2,L39/SD1_BA!$I$862,L39*SD1_BA!$I$862), 0)</f>
        <v>0</v>
      </c>
    </row>
    <row r="40" spans="2:18" x14ac:dyDescent="0.3">
      <c r="D40" s="52" t="str">
        <f>SD1_BA!C768</f>
        <v>Materials &amp; Supplies</v>
      </c>
      <c r="J40" s="53">
        <f>SD1_BA!Q795</f>
        <v>0</v>
      </c>
      <c r="L40" s="53">
        <f>SD1_BA!S795</f>
        <v>0</v>
      </c>
      <c r="O40" s="54">
        <f>IFERROR(IF(DD_ACT_26_Meet1_Curr=2,J40/SD1_BA!$I$862,J40*SD1_BA!$I$862), 0)</f>
        <v>0</v>
      </c>
      <c r="Q40" s="54">
        <f>IFERROR(IF(DD_ACT_26_Meet1_Curr=2,L40/SD1_BA!$I$862,L40*SD1_BA!$I$862), 0)</f>
        <v>0</v>
      </c>
    </row>
    <row r="41" spans="2:18" x14ac:dyDescent="0.3">
      <c r="D41" s="52" t="str">
        <f>SD1_BA!C797</f>
        <v>Equipment</v>
      </c>
      <c r="J41" s="53">
        <f>SD1_BA!Q824</f>
        <v>0</v>
      </c>
      <c r="L41" s="53">
        <f>SD1_BA!S824</f>
        <v>0</v>
      </c>
      <c r="O41" s="54">
        <f>IFERROR(IF(DD_ACT_26_Meet1_Curr=2,J41/SD1_BA!$I$862,J41*SD1_BA!$I$862), 0)</f>
        <v>0</v>
      </c>
      <c r="Q41" s="54">
        <f>IFERROR(IF(DD_ACT_26_Meet1_Curr=2,L41/SD1_BA!$I$862,L41*SD1_BA!$I$862), 0)</f>
        <v>0</v>
      </c>
    </row>
    <row r="42" spans="2:18" x14ac:dyDescent="0.3">
      <c r="D42" s="52" t="str">
        <f>SD1_BA!C826</f>
        <v>Other Direct Costs</v>
      </c>
      <c r="J42" s="53">
        <f>SD1_BA!Q854</f>
        <v>0</v>
      </c>
      <c r="L42" s="53">
        <f>SD1_BA!S854</f>
        <v>0</v>
      </c>
      <c r="O42" s="54">
        <f>IFERROR(IF(DD_ACT_26_Meet1_Curr=2,J42/SD1_BA!$I$862,J42*SD1_BA!$I$862), 0)</f>
        <v>0</v>
      </c>
      <c r="Q42" s="54">
        <f>IFERROR(IF(DD_ACT_26_Meet1_Curr=2,L42/SD1_BA!$I$862,L42*SD1_BA!$I$862), 0)</f>
        <v>0</v>
      </c>
    </row>
    <row r="43" spans="2:18" x14ac:dyDescent="0.3">
      <c r="D43" s="153" t="str">
        <f>"Single Round 1 "&amp;C36&amp;" Activity"</f>
        <v>Single Round 1 Round 1 - Vacciination Activity #3 [not in use] Activity</v>
      </c>
      <c r="J43" s="164">
        <f>SUM(J38:J42)</f>
        <v>0</v>
      </c>
      <c r="L43" s="164">
        <f>SUM(L38:L42)</f>
        <v>0</v>
      </c>
      <c r="O43" s="164">
        <f>SUM(O38:O42)</f>
        <v>0</v>
      </c>
      <c r="Q43" s="164">
        <f>SUM(Q38:Q42)</f>
        <v>0</v>
      </c>
    </row>
    <row r="45" spans="2:18" x14ac:dyDescent="0.3">
      <c r="C45" s="59" t="s">
        <v>474</v>
      </c>
      <c r="H45" s="133">
        <v>0</v>
      </c>
    </row>
    <row r="46" spans="2:18" ht="15" thickBot="1" x14ac:dyDescent="0.35">
      <c r="C46" s="151" t="str">
        <f>"Subtotal Cost: Round 1"&amp;C36&amp;" Activities"</f>
        <v>Subtotal Cost: Round 1Round 1 - Vacciination Activity #3 [not in use] Activities</v>
      </c>
      <c r="J46" s="56">
        <f>$H$45*J43</f>
        <v>0</v>
      </c>
      <c r="L46" s="56">
        <f>$H$45*L43</f>
        <v>0</v>
      </c>
      <c r="O46" s="56">
        <f>$H$45*O43</f>
        <v>0</v>
      </c>
      <c r="Q46" s="56">
        <f>$H$45*Q43</f>
        <v>0</v>
      </c>
    </row>
    <row r="47" spans="2:18" ht="14.4" thickTop="1" x14ac:dyDescent="0.3">
      <c r="B47" s="14"/>
      <c r="C47" s="14"/>
      <c r="D47" s="14"/>
      <c r="E47" s="14"/>
      <c r="F47" s="14"/>
      <c r="G47" s="14"/>
      <c r="H47" s="14"/>
      <c r="I47" s="14"/>
      <c r="J47" s="14"/>
      <c r="K47" s="14"/>
      <c r="L47" s="14"/>
      <c r="M47" s="14"/>
      <c r="N47" s="14"/>
      <c r="O47" s="14"/>
      <c r="P47" s="14"/>
      <c r="Q47" s="14"/>
      <c r="R47" s="14"/>
    </row>
    <row r="48" spans="2:18" ht="14.4" x14ac:dyDescent="0.3">
      <c r="C48" s="50" t="str">
        <f>SD1_BA!B1054</f>
        <v>Round 1 - Vacciination Activity #4 [not in use]</v>
      </c>
    </row>
    <row r="49" spans="2:18" ht="27.6" x14ac:dyDescent="0.3">
      <c r="J49" s="51" t="str">
        <f>"FINANCIAL COST ("&amp;INDEX(LU_ACT_13_Meet_Curr,DD_ACT_13_Meet1_Curr)&amp;")"</f>
        <v>FINANCIAL COST (GOZ)</v>
      </c>
      <c r="L49" s="51" t="str">
        <f>"ECONOMIC COST ("&amp;INDEX(LU_ACT_13_Meet_Curr,DD_ACT_13_Meet1_Curr)&amp;")"</f>
        <v>ECONOMIC COST (GOZ)</v>
      </c>
      <c r="O49" s="51" t="str">
        <f>"FINANCIAL COST ("&amp;IF(DD_ACT_13_Meet1_Curr=2,SD1_BA!$D$1210,SD1_BA!$D$1211)&amp;")"</f>
        <v>FINANCIAL COST (USD)</v>
      </c>
      <c r="Q49" s="51" t="str">
        <f>"FINANCIAL COST ("&amp;IF(DD_ACT_13_Meet1_Curr=2,SD1_BA!$D$1210,SD1_BA!$D$1211)&amp;")"</f>
        <v>FINANCIAL COST (USD)</v>
      </c>
    </row>
    <row r="50" spans="2:18" x14ac:dyDescent="0.3">
      <c r="D50" s="52" t="str">
        <f>SD1_BA!C1057</f>
        <v>Personnel</v>
      </c>
      <c r="J50" s="53">
        <f>SD1_BA!Q1084</f>
        <v>0</v>
      </c>
      <c r="L50" s="53">
        <f>SD1_BA!S1084</f>
        <v>0</v>
      </c>
      <c r="O50" s="54">
        <f>IFERROR(IF(DD_ACT_13_Meet1_Curr=2,J50/SD1_BA!$I$1211,J50*SD1_BA!$I$1211), 0)</f>
        <v>0</v>
      </c>
      <c r="Q50" s="54">
        <f>IFERROR(IF(DD_ACT_13_Meet1_Curr=2,L50/SD1_BA!$I$1211,L50*SD1_BA!$I$1211), 0)</f>
        <v>0</v>
      </c>
    </row>
    <row r="51" spans="2:18" x14ac:dyDescent="0.3">
      <c r="D51" s="52" t="str">
        <f>SD1_BA!C1086</f>
        <v>Allowances</v>
      </c>
      <c r="J51" s="53">
        <f>SD1_BA!Q1113</f>
        <v>0</v>
      </c>
      <c r="L51" s="53">
        <f>SD1_BA!S1113</f>
        <v>0</v>
      </c>
      <c r="O51" s="54">
        <f>IFERROR(IF(DD_ACT_13_Meet1_Curr=2,J51/SD1_BA!$I$1211,J51*SD1_BA!$I$1211), 0)</f>
        <v>0</v>
      </c>
      <c r="Q51" s="54">
        <f>IFERROR(IF(DD_ACT_13_Meet1_Curr=2,L51/SD1_BA!$I$1211,L51*SD1_BA!$I$1211), 0)</f>
        <v>0</v>
      </c>
    </row>
    <row r="52" spans="2:18" x14ac:dyDescent="0.3">
      <c r="D52" s="52" t="str">
        <f>SD1_BA!C1117</f>
        <v>Materials &amp; Supplies</v>
      </c>
      <c r="J52" s="53">
        <f>SD1_BA!Q1144</f>
        <v>0</v>
      </c>
      <c r="L52" s="53">
        <f>SD1_BA!S1144</f>
        <v>0</v>
      </c>
      <c r="O52" s="54">
        <f>IFERROR(IF(DD_ACT_13_Meet1_Curr=2,J52/SD1_BA!$I$1211,J52*SD1_BA!$I$1211), 0)</f>
        <v>0</v>
      </c>
      <c r="Q52" s="54">
        <f>IFERROR(IF(DD_ACT_13_Meet1_Curr=2,L52/SD1_BA!$I$1211,L52*SD1_BA!$I$1211), 0)</f>
        <v>0</v>
      </c>
    </row>
    <row r="53" spans="2:18" x14ac:dyDescent="0.3">
      <c r="D53" s="52" t="str">
        <f>SD1_BA!C1146</f>
        <v>Equipment</v>
      </c>
      <c r="J53" s="53">
        <f>SD1_BA!Q1173</f>
        <v>0</v>
      </c>
      <c r="L53" s="53">
        <f>SD1_BA!S1173</f>
        <v>0</v>
      </c>
      <c r="O53" s="54">
        <f>IFERROR(IF(DD_ACT_13_Meet1_Curr=2,J53/SD1_BA!$I$1211,J53*SD1_BA!$I$1211), 0)</f>
        <v>0</v>
      </c>
      <c r="Q53" s="54">
        <f>IFERROR(IF(DD_ACT_13_Meet1_Curr=2,L53/SD1_BA!$I$1211,L53*SD1_BA!$I$1211), 0)</f>
        <v>0</v>
      </c>
    </row>
    <row r="54" spans="2:18" x14ac:dyDescent="0.3">
      <c r="D54" s="52" t="str">
        <f>SD1_BA!C1175</f>
        <v>Other Direct Costs</v>
      </c>
      <c r="J54" s="53">
        <f>SD1_BA!Q1203</f>
        <v>0</v>
      </c>
      <c r="L54" s="53">
        <f>SD1_BA!S1203</f>
        <v>0</v>
      </c>
      <c r="O54" s="54">
        <f>IFERROR(IF(DD_ACT_13_Meet1_Curr=2,J54/SD1_BA!$I$1211,J54*SD1_BA!$I$1211), 0)</f>
        <v>0</v>
      </c>
      <c r="Q54" s="54">
        <f>IFERROR(IF(DD_ACT_13_Meet1_Curr=2,L54/SD1_BA!$I$1211,L54*SD1_BA!$I$1211), 0)</f>
        <v>0</v>
      </c>
    </row>
    <row r="55" spans="2:18" x14ac:dyDescent="0.3">
      <c r="D55" s="153" t="str">
        <f>"Single "&amp;C48&amp;" Activity"</f>
        <v>Single Round 1 - Vacciination Activity #4 [not in use] Activity</v>
      </c>
      <c r="J55" s="164">
        <f>SUM(J50:J54)</f>
        <v>0</v>
      </c>
      <c r="L55" s="164">
        <f>SUM(L50:L54)</f>
        <v>0</v>
      </c>
      <c r="O55" s="164">
        <f>SUM(O50:O54)</f>
        <v>0</v>
      </c>
      <c r="Q55" s="164">
        <f>SUM(Q50:Q54)</f>
        <v>0</v>
      </c>
    </row>
    <row r="57" spans="2:18" x14ac:dyDescent="0.3">
      <c r="C57" s="59" t="s">
        <v>474</v>
      </c>
      <c r="H57" s="133">
        <v>0</v>
      </c>
    </row>
    <row r="58" spans="2:18" ht="15" thickBot="1" x14ac:dyDescent="0.35">
      <c r="C58" s="151" t="str">
        <f>"Subtotal Cost: "&amp;C48&amp;" Activities"</f>
        <v>Subtotal Cost: Round 1 - Vacciination Activity #4 [not in use] Activities</v>
      </c>
      <c r="J58" s="56">
        <f>$H$57*J55</f>
        <v>0</v>
      </c>
      <c r="L58" s="56">
        <f>$H$57*L55</f>
        <v>0</v>
      </c>
      <c r="O58" s="56">
        <f>$H$57*O55</f>
        <v>0</v>
      </c>
      <c r="Q58" s="56">
        <f>$H$57*Q55</f>
        <v>0</v>
      </c>
    </row>
    <row r="59" spans="2:18" ht="14.4" thickTop="1" x14ac:dyDescent="0.3">
      <c r="B59" s="14"/>
      <c r="C59" s="14"/>
      <c r="D59" s="14"/>
      <c r="E59" s="14"/>
      <c r="F59" s="14"/>
      <c r="G59" s="14"/>
      <c r="H59" s="14"/>
      <c r="I59" s="14"/>
      <c r="J59" s="14"/>
      <c r="K59" s="14"/>
      <c r="L59" s="14"/>
      <c r="M59" s="14"/>
      <c r="N59" s="14"/>
      <c r="O59" s="14"/>
      <c r="P59" s="14"/>
      <c r="Q59" s="14"/>
      <c r="R59" s="14"/>
    </row>
    <row r="60" spans="2:18" ht="14.4" x14ac:dyDescent="0.3">
      <c r="C60" s="50" t="str">
        <f>SD1_BA!B1403</f>
        <v>Round 1 - Vacciination Activity #5 [not in use]</v>
      </c>
    </row>
    <row r="61" spans="2:18" ht="27.6" x14ac:dyDescent="0.3">
      <c r="J61" s="51" t="str">
        <f>"FINANCIAL COST ("&amp;INDEX(LU_ACT_23_Meet_Curr,DD_ACT_23_Meet1_Curr)&amp;")"</f>
        <v>FINANCIAL COST (GOZ)</v>
      </c>
      <c r="L61" s="51" t="str">
        <f>"ECONOMIC COST ("&amp;INDEX(LU_ACT_23_Meet_Curr,DD_ACT_23_Meet1_Curr)&amp;")"</f>
        <v>ECONOMIC COST (GOZ)</v>
      </c>
      <c r="O61" s="51" t="str">
        <f>"FINANCIAL COST ("&amp;IF(DD_ACT_23_Meet1_Curr=2,SD1_BA!$D$1559,SD1_BA!$D$1560)&amp;")"</f>
        <v>FINANCIAL COST (USD)</v>
      </c>
      <c r="Q61" s="51" t="str">
        <f>"FINANCIAL COST ("&amp;IF(DD_ACT_23_Meet1_Curr=2,SD1_BA!$D$1559,SD1_BA!$D$1560)&amp;")"</f>
        <v>FINANCIAL COST (USD)</v>
      </c>
    </row>
    <row r="62" spans="2:18" x14ac:dyDescent="0.3">
      <c r="D62" s="52" t="str">
        <f>SD1_BA!C1406</f>
        <v>Personnel</v>
      </c>
      <c r="J62" s="53">
        <f>SD1_BA!Q1433</f>
        <v>0</v>
      </c>
      <c r="L62" s="53">
        <f>SD1_BA!S1433</f>
        <v>0</v>
      </c>
      <c r="O62" s="54">
        <f>IFERROR(IF(DD_ACT_23_Meet1_Curr=2,J62/SD1_BA!$I$1560,J62*SD1_BA!$I$1560), 0)</f>
        <v>0</v>
      </c>
      <c r="Q62" s="54">
        <f>IFERROR(IF(DD_ACT_23_Meet1_Curr=2,L62/SD1_BA!$I$1560,L62*SD1_BA!$I$1560), 0)</f>
        <v>0</v>
      </c>
    </row>
    <row r="63" spans="2:18" x14ac:dyDescent="0.3">
      <c r="D63" s="52" t="str">
        <f>SD1_BA!C1435</f>
        <v>Allowances</v>
      </c>
      <c r="J63" s="53">
        <f>SD1_BA!Q1462</f>
        <v>0</v>
      </c>
      <c r="L63" s="53">
        <f>SD1_BA!S1462</f>
        <v>0</v>
      </c>
      <c r="O63" s="54">
        <f>IFERROR(IF(DD_ACT_23_Meet1_Curr=2,J63/SD1_BA!$I$1560,J63*SD1_BA!$I$1560), 0)</f>
        <v>0</v>
      </c>
      <c r="Q63" s="54">
        <f>IFERROR(IF(DD_ACT_23_Meet1_Curr=2,L63/SD1_BA!$I$1560,L63*SD1_BA!$I$1560), 0)</f>
        <v>0</v>
      </c>
    </row>
    <row r="64" spans="2:18" x14ac:dyDescent="0.3">
      <c r="D64" s="52" t="str">
        <f>SD1_BA!C1466</f>
        <v>Materials &amp; Supplies</v>
      </c>
      <c r="J64" s="53">
        <f>SD1_BA!Q1493</f>
        <v>0</v>
      </c>
      <c r="L64" s="53">
        <f>SD1_BA!S1493</f>
        <v>0</v>
      </c>
      <c r="O64" s="54">
        <f>IFERROR(IF(DD_ACT_23_Meet1_Curr=2,J64/SD1_BA!$I$1560,J64*SD1_BA!$I$1560), 0)</f>
        <v>0</v>
      </c>
      <c r="Q64" s="54">
        <f>IFERROR(IF(DD_ACT_23_Meet1_Curr=2,L64/SD1_BA!$I$1560,L64*SD1_BA!$I$1560), 0)</f>
        <v>0</v>
      </c>
    </row>
    <row r="65" spans="2:18" x14ac:dyDescent="0.3">
      <c r="D65" s="52" t="str">
        <f>SD1_BA!C1495</f>
        <v>Equipment</v>
      </c>
      <c r="J65" s="53">
        <f>SD1_BA!Q1522</f>
        <v>0</v>
      </c>
      <c r="L65" s="53">
        <f>SD1_BA!S1522</f>
        <v>0</v>
      </c>
      <c r="O65" s="54">
        <f>IFERROR(IF(DD_ACT_23_Meet1_Curr=2,J65/SD1_BA!$I$1560,J65*SD1_BA!$I$1560), 0)</f>
        <v>0</v>
      </c>
      <c r="Q65" s="54">
        <f>IFERROR(IF(DD_ACT_23_Meet1_Curr=2,L65/SD1_BA!$I$1560,L65*SD1_BA!$I$1560), 0)</f>
        <v>0</v>
      </c>
    </row>
    <row r="66" spans="2:18" x14ac:dyDescent="0.3">
      <c r="D66" s="52" t="str">
        <f>SD1_BA!C1524</f>
        <v>Other Direct Costs</v>
      </c>
      <c r="J66" s="53">
        <f>SD1_BA!Q1552</f>
        <v>0</v>
      </c>
      <c r="L66" s="53">
        <f>SD1_BA!S1552</f>
        <v>0</v>
      </c>
      <c r="O66" s="54">
        <f>IFERROR(IF(DD_ACT_23_Meet1_Curr=2,J66/SD1_BA!$I$1560,J66*SD1_BA!$I$1560), 0)</f>
        <v>0</v>
      </c>
      <c r="Q66" s="54">
        <f>IFERROR(IF(DD_ACT_23_Meet1_Curr=2,L66/SD1_BA!$I$1560,L66*SD1_BA!$I$1560), 0)</f>
        <v>0</v>
      </c>
    </row>
    <row r="67" spans="2:18" ht="14.4" thickBot="1" x14ac:dyDescent="0.35">
      <c r="D67" s="153" t="str">
        <f>"Single "&amp;C60&amp;" Activity"</f>
        <v>Single Round 1 - Vacciination Activity #5 [not in use] Activity</v>
      </c>
      <c r="J67" s="165">
        <f>SUM(J62:J66)</f>
        <v>0</v>
      </c>
      <c r="L67" s="165">
        <f>SUM(L62:L66)</f>
        <v>0</v>
      </c>
      <c r="O67" s="165">
        <f>SUM(O62:O66)</f>
        <v>0</v>
      </c>
      <c r="Q67" s="165">
        <f>SUM(Q62:Q66)</f>
        <v>0</v>
      </c>
    </row>
    <row r="68" spans="2:18" ht="14.4" thickTop="1" x14ac:dyDescent="0.3"/>
    <row r="69" spans="2:18" x14ac:dyDescent="0.3">
      <c r="C69" s="59" t="s">
        <v>474</v>
      </c>
      <c r="H69" s="133">
        <v>0</v>
      </c>
    </row>
    <row r="70" spans="2:18" ht="15" thickBot="1" x14ac:dyDescent="0.35">
      <c r="C70" s="151" t="str">
        <f>"Subtotal Cost: "&amp;C60&amp;" Activities"</f>
        <v>Subtotal Cost: Round 1 - Vacciination Activity #5 [not in use] Activities</v>
      </c>
      <c r="J70" s="56">
        <f>$H$69*J67</f>
        <v>0</v>
      </c>
      <c r="L70" s="56">
        <f>$H$69*L67</f>
        <v>0</v>
      </c>
      <c r="O70" s="56">
        <f>$H$69*O67</f>
        <v>0</v>
      </c>
      <c r="Q70" s="56">
        <f>$H$69*Q67</f>
        <v>0</v>
      </c>
    </row>
    <row r="71" spans="2:18" ht="14.4" thickTop="1" x14ac:dyDescent="0.3">
      <c r="B71" s="14"/>
      <c r="C71" s="14"/>
      <c r="D71" s="14"/>
      <c r="E71" s="14"/>
      <c r="F71" s="14"/>
      <c r="G71" s="14"/>
      <c r="H71" s="14"/>
      <c r="I71" s="14"/>
      <c r="J71" s="14"/>
      <c r="K71" s="14"/>
      <c r="L71" s="14"/>
      <c r="M71" s="14"/>
      <c r="N71" s="14"/>
      <c r="O71" s="14"/>
      <c r="P71" s="14"/>
      <c r="Q71" s="14"/>
      <c r="R71" s="14"/>
    </row>
  </sheetData>
  <sheetProtection algorithmName="SHA-512" hashValue="ko/TKF0dmAoJXGGEe7/wC/nIgwdeQ5F97Qw7e2O3kUC4FldCGaTR1+z0Qe0UrloC3fKD1S1PO/U2aqSprB89gA==" saltValue="Nd9Esa58viWE+Yy0m1o84w==" spinCount="100000" sheet="1" objects="1" scenarios="1" formatColumns="0" formatRows="0"/>
  <mergeCells count="1">
    <mergeCell ref="B3:F3"/>
  </mergeCells>
  <hyperlinks>
    <hyperlink ref="A4" location="$B$5" tooltip="Go to Top of Sheet" display="$B$5" xr:uid="{00000000-0004-0000-1D00-000000000000}"/>
    <hyperlink ref="B4" location="HL_Sheet_Main_61" tooltip="Go to Previous Sheet" display="HL_Sheet_Main_61" xr:uid="{00000000-0004-0000-1D00-000001000000}"/>
    <hyperlink ref="C4" location="HL_Sheet_Main_63" tooltip="Go to Next Sheet" display="HL_Sheet_Main_63" xr:uid="{00000000-0004-0000-1D00-000002000000}"/>
    <hyperlink ref="B3" location="HL_Home" tooltip="Go to Table of Contents" display="HL_Home" xr:uid="{00000000-0004-0000-1D00-000003000000}"/>
    <hyperlink ref="D4" location="HL_Err_Chk" tooltip="Go to Error Checks" display="HL_Err_Chk" xr:uid="{00000000-0004-0000-1D00-000004000000}"/>
    <hyperlink ref="F4" location="HL_Alt_Chk" tooltip="Go to Alert Checks" display="HL_Alt_Chk" xr:uid="{00000000-0004-0000-1D00-000005000000}"/>
  </hyperlinks>
  <pageMargins left="0.39370078740157499" right="0.39370078740157499" top="0.59055118110236204" bottom="0.98425196850393704" header="0" footer="0.31496062992126"/>
  <pageSetup paperSize="9" orientation="landscape" horizontalDpi="4294967292" verticalDpi="0" r:id="rId1"/>
  <headerFooter>
    <oddFooter>&amp;L&amp;F
&amp;A
Printed: &amp;T on &amp;D&amp;CPage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4">
    <outlinePr showOutlineSymbols="0"/>
    <pageSetUpPr autoPageBreaks="0"/>
  </sheetPr>
  <dimension ref="A1:S56"/>
  <sheetViews>
    <sheetView showGridLines="0" showRowColHeaders="0" showOutlineSymbols="0" zoomScaleNormal="100" workbookViewId="0">
      <pane xSplit="1" ySplit="4" topLeftCell="B5" activePane="bottomRight" state="frozen"/>
      <selection pane="topRight" activeCell="B1" sqref="B1"/>
      <selection pane="bottomLeft" activeCell="A5" sqref="A5"/>
      <selection pane="bottomRight" activeCell="B1" sqref="B1"/>
    </sheetView>
  </sheetViews>
  <sheetFormatPr defaultColWidth="11.6640625" defaultRowHeight="13.8" x14ac:dyDescent="0.3"/>
  <cols>
    <col min="1" max="5" width="3.6640625" customWidth="1"/>
    <col min="9" max="9" width="16.109375" customWidth="1"/>
    <col min="11" max="11" width="3.109375" customWidth="1"/>
    <col min="13" max="13" width="2.5546875" customWidth="1"/>
    <col min="14" max="14" width="2.44140625" customWidth="1"/>
    <col min="16" max="16" width="4.109375" customWidth="1"/>
  </cols>
  <sheetData>
    <row r="1" spans="1:17" ht="23.4" x14ac:dyDescent="0.3">
      <c r="B1" s="274" t="s">
        <v>1020</v>
      </c>
    </row>
    <row r="2" spans="1:17" ht="18" x14ac:dyDescent="0.3">
      <c r="B2" s="6" t="str">
        <f>Model_Name</f>
        <v>Oral Cholera Vaccine Activity-Based Costing</v>
      </c>
    </row>
    <row r="3" spans="1:17" x14ac:dyDescent="0.3">
      <c r="B3" s="331" t="s">
        <v>2</v>
      </c>
      <c r="C3" s="331"/>
      <c r="D3" s="331"/>
      <c r="E3" s="331"/>
      <c r="F3" s="331"/>
    </row>
    <row r="4" spans="1:17" x14ac:dyDescent="0.3">
      <c r="A4" s="7" t="s">
        <v>5</v>
      </c>
      <c r="B4" s="8" t="s">
        <v>10</v>
      </c>
      <c r="C4" s="9" t="s">
        <v>11</v>
      </c>
      <c r="D4" s="38" t="s">
        <v>25</v>
      </c>
      <c r="F4" s="39" t="s">
        <v>26</v>
      </c>
    </row>
    <row r="7" spans="1:17" ht="18" x14ac:dyDescent="0.3">
      <c r="B7" s="49" t="s">
        <v>477</v>
      </c>
    </row>
    <row r="9" spans="1:17" ht="14.4" x14ac:dyDescent="0.3">
      <c r="C9" s="50" t="str">
        <f>SD2_BA!B7</f>
        <v>Round 2 - Vacciination Activity #1 [not in use]</v>
      </c>
    </row>
    <row r="10" spans="1:17" ht="27.6" x14ac:dyDescent="0.3">
      <c r="J10" s="51" t="str">
        <f>"FINANCIAL COST ("&amp;INDEX(LU_ACT_14_Meet_Curr,DD_ACT_14_Meet1_Curr)&amp;")"</f>
        <v>FINANCIAL COST (GOZ)</v>
      </c>
      <c r="L10" s="51" t="str">
        <f>"ECONOMIC COST ("&amp;INDEX(LU_ACT_14_Meet_Curr,DD_ACT_14_Meet1_Curr)&amp;")"</f>
        <v>ECONOMIC COST (GOZ)</v>
      </c>
      <c r="O10" s="51" t="str">
        <f>"FINANCIAL COST ("&amp;IF(DD_ACT_14_Meet1_Curr=2,SD2_BA!$D$163,SD2_BA!$D$164)&amp;")"</f>
        <v>FINANCIAL COST (USD)</v>
      </c>
      <c r="Q10" s="51" t="str">
        <f>"FINANCIAL COST ("&amp;IF(DD_ACT_14_Meet1_Curr=2,SD2_BA!$D$163,SD2_BA!$D$164)&amp;")"</f>
        <v>FINANCIAL COST (USD)</v>
      </c>
    </row>
    <row r="11" spans="1:17" x14ac:dyDescent="0.3">
      <c r="D11" s="52" t="str">
        <f>SD2_BA!C10</f>
        <v>Personnel</v>
      </c>
      <c r="J11" s="53">
        <f>SD2_BA!Q37</f>
        <v>0</v>
      </c>
      <c r="L11" s="53">
        <f>SD2_BA!S37</f>
        <v>0</v>
      </c>
      <c r="O11" s="54">
        <f>IFERROR(IF(DD_ACT_14_Meet1_Curr=2,J11/SD2_BA!$I$164,J11*SD2_BA!$I$164), 0)</f>
        <v>0</v>
      </c>
      <c r="Q11" s="54">
        <f>IFERROR(IF(DD_ACT_14_Meet1_Curr=2,L11/SD2_BA!$I$164,L11*SD2_BA!$I$164), 0)</f>
        <v>0</v>
      </c>
    </row>
    <row r="12" spans="1:17" x14ac:dyDescent="0.3">
      <c r="D12" s="52" t="str">
        <f>SD2_BA!C39</f>
        <v>Allowances</v>
      </c>
      <c r="J12" s="53">
        <f>SD2_BA!Q66</f>
        <v>0</v>
      </c>
      <c r="L12" s="53">
        <f>SD2_BA!S66</f>
        <v>0</v>
      </c>
      <c r="O12" s="54">
        <f>IFERROR(IF(DD_ACT_14_Meet1_Curr=2,J12/SD2_BA!$I$164,J12*SD2_BA!$I$164), 0)</f>
        <v>0</v>
      </c>
      <c r="Q12" s="54">
        <f>IFERROR(IF(DD_ACT_14_Meet1_Curr=2,L12/SD2_BA!$I$164,L12*SD2_BA!$I$164), 0)</f>
        <v>0</v>
      </c>
    </row>
    <row r="13" spans="1:17" x14ac:dyDescent="0.3">
      <c r="D13" s="52" t="str">
        <f>SD2_BA!C70</f>
        <v>Materials &amp; Supplies</v>
      </c>
      <c r="J13" s="53">
        <f>SD2_BA!Q97</f>
        <v>0</v>
      </c>
      <c r="L13" s="53">
        <f>SD2_BA!S97</f>
        <v>0</v>
      </c>
      <c r="O13" s="54">
        <f>IFERROR(IF(DD_ACT_14_Meet1_Curr=2,J13/SD2_BA!$I$164,J13*SD2_BA!$I$164), 0)</f>
        <v>0</v>
      </c>
      <c r="Q13" s="54">
        <f>IFERROR(IF(DD_ACT_14_Meet1_Curr=2,L13/SD2_BA!$I$164,L13*SD2_BA!$I$164), 0)</f>
        <v>0</v>
      </c>
    </row>
    <row r="14" spans="1:17" x14ac:dyDescent="0.3">
      <c r="D14" s="52" t="str">
        <f>SD2_BA!C99</f>
        <v>Equipment</v>
      </c>
      <c r="J14" s="53">
        <f>SD2_BA!Q126</f>
        <v>0</v>
      </c>
      <c r="L14" s="53">
        <f>SD2_BA!S126</f>
        <v>0</v>
      </c>
      <c r="O14" s="54">
        <f>IFERROR(IF(DD_ACT_14_Meet1_Curr=2,J14/SD2_BA!$I$164,J14*SD2_BA!$I$164), 0)</f>
        <v>0</v>
      </c>
      <c r="Q14" s="54">
        <f>IFERROR(IF(DD_ACT_14_Meet1_Curr=2,L14/SD2_BA!$I$164,L14*SD2_BA!$I$164), 0)</f>
        <v>0</v>
      </c>
    </row>
    <row r="15" spans="1:17" x14ac:dyDescent="0.3">
      <c r="D15" s="52" t="str">
        <f>SD2_BA!C128</f>
        <v>Other Direct Costs</v>
      </c>
      <c r="J15" s="53">
        <f>SD2_BA!Q156</f>
        <v>0</v>
      </c>
      <c r="L15" s="53">
        <f>SD2_BA!S156</f>
        <v>0</v>
      </c>
      <c r="O15" s="54">
        <f>IFERROR(IF(DD_ACT_14_Meet1_Curr=2,J15/SD2_BA!$I$164,J15*SD2_BA!$I$164), 0)</f>
        <v>0</v>
      </c>
      <c r="Q15" s="54">
        <f>IFERROR(IF(DD_ACT_14_Meet1_Curr=2,L15/SD2_BA!$I$164,L15*SD2_BA!$I$164), 0)</f>
        <v>0</v>
      </c>
    </row>
    <row r="16" spans="1:17" x14ac:dyDescent="0.3">
      <c r="D16" s="153" t="str">
        <f>"Single "&amp;C9&amp;" Activity"</f>
        <v>Single Round 2 - Vacciination Activity #1 [not in use] Activity</v>
      </c>
      <c r="J16" s="164">
        <f>SUM(J11:J15)</f>
        <v>0</v>
      </c>
      <c r="L16" s="164">
        <f>SUM(L11:L15)</f>
        <v>0</v>
      </c>
      <c r="O16" s="164">
        <f>SUM(O11:O15)</f>
        <v>0</v>
      </c>
      <c r="Q16" s="164">
        <f>SUM(Q11:Q15)</f>
        <v>0</v>
      </c>
    </row>
    <row r="18" spans="2:19" ht="14.4" x14ac:dyDescent="0.3">
      <c r="C18" s="101" t="s">
        <v>474</v>
      </c>
      <c r="H18" s="133">
        <v>0</v>
      </c>
    </row>
    <row r="19" spans="2:19" ht="15" thickBot="1" x14ac:dyDescent="0.35">
      <c r="C19" s="151" t="str">
        <f>"Subtotal Cost: "&amp;C9&amp;" Activities"</f>
        <v>Subtotal Cost: Round 2 - Vacciination Activity #1 [not in use] Activities</v>
      </c>
      <c r="J19" s="56">
        <f>$H$18*J16</f>
        <v>0</v>
      </c>
      <c r="L19" s="56">
        <f>$H$18*L16</f>
        <v>0</v>
      </c>
      <c r="O19" s="56">
        <f>$H$18*O16</f>
        <v>0</v>
      </c>
      <c r="Q19" s="56">
        <f>$H$18*Q16</f>
        <v>0</v>
      </c>
    </row>
    <row r="20" spans="2:19" ht="14.4" thickTop="1" x14ac:dyDescent="0.3">
      <c r="B20" s="14"/>
      <c r="C20" s="14"/>
      <c r="D20" s="14"/>
      <c r="E20" s="14"/>
      <c r="F20" s="14"/>
      <c r="G20" s="14"/>
      <c r="H20" s="14"/>
      <c r="I20" s="14"/>
      <c r="J20" s="14"/>
      <c r="K20" s="14"/>
      <c r="L20" s="14"/>
      <c r="M20" s="14"/>
      <c r="N20" s="14"/>
      <c r="O20" s="14"/>
      <c r="P20" s="14"/>
      <c r="Q20" s="14"/>
      <c r="R20" s="14"/>
      <c r="S20" s="14"/>
    </row>
    <row r="21" spans="2:19" ht="14.4" x14ac:dyDescent="0.3">
      <c r="C21" s="50" t="str">
        <f>SD2_BA!B356</f>
        <v>Round 2 - Vacciination Activity #2 [not in use]</v>
      </c>
    </row>
    <row r="22" spans="2:19" ht="27.6" x14ac:dyDescent="0.3">
      <c r="J22" s="51" t="str">
        <f>"FINANCIAL COST ("&amp;INDEX(LU_ACT_15_Meet_Curr,DD_ACT_15_Meet1_Curr)&amp;")"</f>
        <v>FINANCIAL COST (GOZ)</v>
      </c>
      <c r="L22" s="51" t="str">
        <f>"ECONOMIC COST ("&amp;INDEX(LU_ACT_15_Meet_Curr,DD_ACT_15_Meet1_Curr)&amp;")"</f>
        <v>ECONOMIC COST (GOZ)</v>
      </c>
      <c r="O22" s="51" t="str">
        <f>"FINANCIAL COST ("&amp;IF(DD_ACT_15_Meet1_Curr=2,SD2_BA!$D$512,SD2_BA!$D$513)&amp;")"</f>
        <v>FINANCIAL COST (USD)</v>
      </c>
      <c r="Q22" s="51" t="str">
        <f>"FINANCIAL COST ("&amp;IF(DD_ACT_15_Meet1_Curr=2,SD2_BA!$D$512,SD2_BA!$D$513)&amp;")"</f>
        <v>FINANCIAL COST (USD)</v>
      </c>
    </row>
    <row r="23" spans="2:19" x14ac:dyDescent="0.3">
      <c r="D23" s="52" t="str">
        <f>SD2_BA!C359</f>
        <v>Personnel</v>
      </c>
      <c r="J23" s="53">
        <f>SD2_BA!Q386</f>
        <v>0</v>
      </c>
      <c r="L23" s="53">
        <f>SD2_BA!S386</f>
        <v>0</v>
      </c>
      <c r="O23" s="54">
        <f>IFERROR(IF(DD_ACT_15_Meet1_Curr=2,J23/SD2_BA!$I$513,J23*SD2_BA!$I$513), 0)</f>
        <v>0</v>
      </c>
      <c r="Q23" s="54">
        <f>IFERROR(IF(DD_ACT_15_Meet1_Curr=2,L23/SD2_BA!$I$513,L23*SD2_BA!$I$513), 0)</f>
        <v>0</v>
      </c>
    </row>
    <row r="24" spans="2:19" x14ac:dyDescent="0.3">
      <c r="D24" s="52" t="str">
        <f>SD2_BA!C388</f>
        <v>Allowances</v>
      </c>
      <c r="J24" s="53">
        <f>SD2_BA!Q415</f>
        <v>0</v>
      </c>
      <c r="L24" s="53">
        <f>SD2_BA!S415</f>
        <v>0</v>
      </c>
      <c r="O24" s="54">
        <f>IFERROR(IF(DD_ACT_15_Meet1_Curr=2,J24/SD2_BA!$I$513,J24*SD2_BA!$I$513), 0)</f>
        <v>0</v>
      </c>
      <c r="Q24" s="54">
        <f>IFERROR(IF(DD_ACT_15_Meet1_Curr=2,L24/SD2_BA!$I$513,L24*SD2_BA!$I$513), 0)</f>
        <v>0</v>
      </c>
    </row>
    <row r="25" spans="2:19" x14ac:dyDescent="0.3">
      <c r="D25" s="52" t="str">
        <f>SD2_BA!C419</f>
        <v>Materials &amp; Supplies</v>
      </c>
      <c r="J25" s="53">
        <f>SD2_BA!Q446</f>
        <v>0</v>
      </c>
      <c r="L25" s="53">
        <f>SD2_BA!S446</f>
        <v>0</v>
      </c>
      <c r="O25" s="54">
        <f>IFERROR(IF(DD_ACT_15_Meet1_Curr=2,J25/SD2_BA!$I$513,J25*SD2_BA!$I$513), 0)</f>
        <v>0</v>
      </c>
      <c r="Q25" s="54">
        <f>IFERROR(IF(DD_ACT_15_Meet1_Curr=2,L25/SD2_BA!$I$513,L25*SD2_BA!$I$513), 0)</f>
        <v>0</v>
      </c>
    </row>
    <row r="26" spans="2:19" x14ac:dyDescent="0.3">
      <c r="D26" s="52" t="str">
        <f>SD2_BA!C448</f>
        <v>Equipment</v>
      </c>
      <c r="J26" s="53">
        <f>SD2_BA!Q475</f>
        <v>0</v>
      </c>
      <c r="L26" s="53">
        <f>SD2_BA!S475</f>
        <v>0</v>
      </c>
      <c r="O26" s="54">
        <f>IFERROR(IF(DD_ACT_15_Meet1_Curr=2,J26/SD2_BA!$I$513,J26*SD2_BA!$I$513), 0)</f>
        <v>0</v>
      </c>
      <c r="Q26" s="54">
        <f>IFERROR(IF(DD_ACT_15_Meet1_Curr=2,L26/SD2_BA!$I$513,L26*SD2_BA!$I$513), 0)</f>
        <v>0</v>
      </c>
    </row>
    <row r="27" spans="2:19" x14ac:dyDescent="0.3">
      <c r="D27" s="52" t="str">
        <f>SD2_BA!C477</f>
        <v>Other Direct Costs</v>
      </c>
      <c r="J27" s="53">
        <f>SD2_BA!Q505</f>
        <v>0</v>
      </c>
      <c r="L27" s="53">
        <f>SD2_BA!S505</f>
        <v>0</v>
      </c>
      <c r="O27" s="54">
        <f>IFERROR(IF(DD_ACT_15_Meet1_Curr=2,J27/SD2_BA!$I$513,J27*SD2_BA!$I$513), 0)</f>
        <v>0</v>
      </c>
      <c r="Q27" s="54">
        <f>IFERROR(IF(DD_ACT_15_Meet1_Curr=2,L27/SD2_BA!$I$513,L27*SD2_BA!$I$513), 0)</f>
        <v>0</v>
      </c>
    </row>
    <row r="28" spans="2:19" x14ac:dyDescent="0.3">
      <c r="D28" s="153" t="str">
        <f>"Single "&amp;C21&amp;" Activity"</f>
        <v>Single Round 2 - Vacciination Activity #2 [not in use] Activity</v>
      </c>
      <c r="J28" s="164">
        <f>SUM(J23:J27)</f>
        <v>0</v>
      </c>
      <c r="L28" s="164">
        <f>SUM(L23:L27)</f>
        <v>0</v>
      </c>
      <c r="O28" s="164">
        <f>SUM(O23:O27)</f>
        <v>0</v>
      </c>
      <c r="Q28" s="164">
        <f>SUM(Q23:Q27)</f>
        <v>0</v>
      </c>
    </row>
    <row r="30" spans="2:19" ht="14.4" x14ac:dyDescent="0.3">
      <c r="C30" s="101" t="s">
        <v>474</v>
      </c>
      <c r="H30" s="133">
        <v>0</v>
      </c>
    </row>
    <row r="31" spans="2:19" ht="15" thickBot="1" x14ac:dyDescent="0.35">
      <c r="C31" s="151" t="str">
        <f>"Subtotal Cost: "&amp;C21&amp;" Activities"</f>
        <v>Subtotal Cost: Round 2 - Vacciination Activity #2 [not in use] Activities</v>
      </c>
      <c r="J31" s="56">
        <f>$H$30*J28</f>
        <v>0</v>
      </c>
      <c r="L31" s="56">
        <f>$H$30*L28</f>
        <v>0</v>
      </c>
      <c r="O31" s="56">
        <f>$H$30*O28</f>
        <v>0</v>
      </c>
      <c r="Q31" s="56">
        <f>$H$30*Q28</f>
        <v>0</v>
      </c>
    </row>
    <row r="32" spans="2:19" ht="14.4" thickTop="1" x14ac:dyDescent="0.3">
      <c r="B32" s="14"/>
      <c r="C32" s="14"/>
      <c r="D32" s="14"/>
      <c r="E32" s="14"/>
      <c r="F32" s="14"/>
      <c r="G32" s="14"/>
      <c r="H32" s="14"/>
      <c r="I32" s="14"/>
      <c r="J32" s="14"/>
      <c r="K32" s="14"/>
      <c r="L32" s="14"/>
      <c r="M32" s="14"/>
      <c r="N32" s="14"/>
      <c r="O32" s="14"/>
      <c r="P32" s="14"/>
      <c r="Q32" s="14"/>
      <c r="R32" s="14"/>
      <c r="S32" s="14"/>
    </row>
    <row r="33" spans="2:19" ht="14.4" x14ac:dyDescent="0.3">
      <c r="C33" s="50" t="str">
        <f>SD2_BA!B705</f>
        <v>Round 2 - Vacciination Activity #3 [not in use]</v>
      </c>
    </row>
    <row r="34" spans="2:19" ht="27.6" x14ac:dyDescent="0.3">
      <c r="J34" s="51" t="str">
        <f>"FINANCIAL COST ("&amp;INDEX(LU_ACT_16_Meet_Curr,DD_ACT_16_Meet1_Curr)&amp;")"</f>
        <v>FINANCIAL COST (GOZ)</v>
      </c>
      <c r="L34" s="51" t="str">
        <f>"ECONOMIC COST ("&amp;INDEX(LU_ACT_16_Meet_Curr,DD_ACT_16_Meet1_Curr)&amp;")"</f>
        <v>ECONOMIC COST (GOZ)</v>
      </c>
      <c r="O34" s="51" t="str">
        <f>"FINANCIAL COST ("&amp;IF(DD_ACT_16_Meet1_Curr=2,SD2_BA!$D$861,SD2_BA!$D$862)&amp;")"</f>
        <v>FINANCIAL COST (USD)</v>
      </c>
      <c r="Q34" s="51" t="str">
        <f>"FINANCIAL COST ("&amp;IF(DD_ACT_16_Meet1_Curr=2,SD2_BA!$D$861,SD2_BA!$D$862)&amp;")"</f>
        <v>FINANCIAL COST (USD)</v>
      </c>
    </row>
    <row r="35" spans="2:19" x14ac:dyDescent="0.3">
      <c r="D35" s="52" t="str">
        <f>SD2_BA!C708</f>
        <v>Personnel</v>
      </c>
      <c r="J35" s="53">
        <f>SD2_BA!Q735</f>
        <v>0</v>
      </c>
      <c r="L35" s="53">
        <f>SD2_BA!S735</f>
        <v>0</v>
      </c>
      <c r="O35" s="54">
        <f>IFERROR(IF(DD_ACT_16_Meet1_Curr=2,J35/SD2_BA!$I$862,J35*SD2_BA!$I$862), 0)</f>
        <v>0</v>
      </c>
      <c r="Q35" s="54">
        <f>IFERROR(IF(DD_ACT_16_Meet1_Curr=2,L35/SD2_BA!$I$862,L35*SD2_BA!$I$862), 0)</f>
        <v>0</v>
      </c>
    </row>
    <row r="36" spans="2:19" x14ac:dyDescent="0.3">
      <c r="D36" s="52" t="str">
        <f>SD2_BA!C737</f>
        <v>Allowances</v>
      </c>
      <c r="J36" s="53">
        <f>SD2_BA!Q764</f>
        <v>0</v>
      </c>
      <c r="L36" s="53">
        <f>SD2_BA!S764</f>
        <v>0</v>
      </c>
      <c r="O36" s="54">
        <f>IFERROR(IF(DD_ACT_16_Meet1_Curr=2,J36/SD2_BA!$I$862,J36*SD2_BA!$I$862), 0)</f>
        <v>0</v>
      </c>
      <c r="Q36" s="54">
        <f>IFERROR(IF(DD_ACT_16_Meet1_Curr=2,L36/SD2_BA!$I$862,L36*SD2_BA!$I$862), 0)</f>
        <v>0</v>
      </c>
    </row>
    <row r="37" spans="2:19" x14ac:dyDescent="0.3">
      <c r="D37" s="52" t="str">
        <f>SD2_BA!C768</f>
        <v>Materials &amp; Supplies</v>
      </c>
      <c r="J37" s="53">
        <f>SD2_BA!Q795</f>
        <v>0</v>
      </c>
      <c r="L37" s="53">
        <f>SD2_BA!S795</f>
        <v>0</v>
      </c>
      <c r="O37" s="54">
        <f>IFERROR(IF(DD_ACT_16_Meet1_Curr=2,J37/SD2_BA!$I$862,J37*SD2_BA!$I$862), 0)</f>
        <v>0</v>
      </c>
      <c r="Q37" s="54">
        <f>IFERROR(IF(DD_ACT_16_Meet1_Curr=2,L37/SD2_BA!$I$862,L37*SD2_BA!$I$862), 0)</f>
        <v>0</v>
      </c>
    </row>
    <row r="38" spans="2:19" x14ac:dyDescent="0.3">
      <c r="D38" s="52" t="str">
        <f>SD2_BA!C797</f>
        <v>Equipment</v>
      </c>
      <c r="J38" s="53">
        <f>SD2_BA!Q824</f>
        <v>0</v>
      </c>
      <c r="L38" s="53">
        <f>SD2_BA!S824</f>
        <v>0</v>
      </c>
      <c r="O38" s="54">
        <f>IFERROR(IF(DD_ACT_16_Meet1_Curr=2,J38/SD2_BA!$I$862,J38*SD2_BA!$I$862), 0)</f>
        <v>0</v>
      </c>
      <c r="Q38" s="54">
        <f>IFERROR(IF(DD_ACT_16_Meet1_Curr=2,L38/SD2_BA!$I$862,L38*SD2_BA!$I$862), 0)</f>
        <v>0</v>
      </c>
    </row>
    <row r="39" spans="2:19" x14ac:dyDescent="0.3">
      <c r="D39" s="52" t="str">
        <f>SD2_BA!C826</f>
        <v>Other Direct Costs</v>
      </c>
      <c r="J39" s="53">
        <f>SD2_BA!Q854</f>
        <v>0</v>
      </c>
      <c r="L39" s="53">
        <f>SD2_BA!S854</f>
        <v>0</v>
      </c>
      <c r="O39" s="54">
        <f>IFERROR(IF(DD_ACT_16_Meet1_Curr=2,J39/SD2_BA!$I$862,J39*SD2_BA!$I$862), 0)</f>
        <v>0</v>
      </c>
      <c r="Q39" s="54">
        <f>IFERROR(IF(DD_ACT_16_Meet1_Curr=2,L39/SD2_BA!$I$862,L39*SD2_BA!$I$862), 0)</f>
        <v>0</v>
      </c>
    </row>
    <row r="40" spans="2:19" x14ac:dyDescent="0.3">
      <c r="D40" s="153" t="str">
        <f>"Single "&amp;C33&amp;" Activity"</f>
        <v>Single Round 2 - Vacciination Activity #3 [not in use] Activity</v>
      </c>
      <c r="J40" s="164">
        <f>SUM(J35:J39)</f>
        <v>0</v>
      </c>
      <c r="L40" s="164">
        <f>SUM(L35:L39)</f>
        <v>0</v>
      </c>
      <c r="O40" s="164">
        <f>SUM(O35:O39)</f>
        <v>0</v>
      </c>
      <c r="Q40" s="164">
        <f>SUM(Q35:Q39)</f>
        <v>0</v>
      </c>
    </row>
    <row r="42" spans="2:19" ht="14.4" x14ac:dyDescent="0.3">
      <c r="C42" s="101" t="s">
        <v>474</v>
      </c>
      <c r="H42" s="133">
        <v>0</v>
      </c>
    </row>
    <row r="43" spans="2:19" ht="15" thickBot="1" x14ac:dyDescent="0.35">
      <c r="C43" s="151" t="str">
        <f>"Subtotal Cost: "&amp;C33&amp;" Activities"</f>
        <v>Subtotal Cost: Round 2 - Vacciination Activity #3 [not in use] Activities</v>
      </c>
      <c r="J43" s="56">
        <f>$H$42*J40</f>
        <v>0</v>
      </c>
      <c r="L43" s="56">
        <f>$H$42*L40</f>
        <v>0</v>
      </c>
      <c r="O43" s="56">
        <f>$H$42*O40</f>
        <v>0</v>
      </c>
      <c r="Q43" s="56">
        <f>$H$42*Q40</f>
        <v>0</v>
      </c>
    </row>
    <row r="44" spans="2:19" ht="14.4" thickTop="1" x14ac:dyDescent="0.3">
      <c r="B44" s="14"/>
      <c r="C44" s="14"/>
      <c r="D44" s="14"/>
      <c r="E44" s="14"/>
      <c r="F44" s="14"/>
      <c r="G44" s="14"/>
      <c r="H44" s="14"/>
      <c r="I44" s="14"/>
      <c r="J44" s="14"/>
      <c r="K44" s="14"/>
      <c r="L44" s="14"/>
      <c r="M44" s="14"/>
      <c r="N44" s="14"/>
      <c r="O44" s="14"/>
      <c r="P44" s="14"/>
      <c r="Q44" s="14"/>
      <c r="R44" s="14"/>
      <c r="S44" s="14"/>
    </row>
    <row r="45" spans="2:19" ht="14.4" x14ac:dyDescent="0.3">
      <c r="C45" s="50" t="str">
        <f>SD2_BA!B1054</f>
        <v>Round 2 - Vacciination Activity #4 [not in use]</v>
      </c>
    </row>
    <row r="46" spans="2:19" ht="27.6" x14ac:dyDescent="0.3">
      <c r="J46" s="51" t="str">
        <f>"FINANCIAL COST ("&amp;INDEX(LU_ACT_24_Meet_Curr,DD_ACT_24_Meet1_Curr)&amp;")"</f>
        <v>FINANCIAL COST (GOZ)</v>
      </c>
      <c r="L46" s="51" t="str">
        <f>"ECONOMIC COST ("&amp;INDEX(LU_ACT_24_Meet_Curr,DD_ACT_24_Meet1_Curr)&amp;")"</f>
        <v>ECONOMIC COST (GOZ)</v>
      </c>
      <c r="O46" s="51" t="str">
        <f>"FINANCIAL COST ("&amp;IF(DD_ACT_24_Meet1_Curr=2,SD2_BA!$D$1210,SD2_BA!$D$1211)&amp;")"</f>
        <v>FINANCIAL COST (USD)</v>
      </c>
      <c r="Q46" s="51" t="str">
        <f>"FINANCIAL COST ("&amp;IF(DD_ACT_24_Meet1_Curr=2,SD2_BA!$D$1210,SD2_BA!$D$1211)&amp;")"</f>
        <v>FINANCIAL COST (USD)</v>
      </c>
    </row>
    <row r="47" spans="2:19" x14ac:dyDescent="0.3">
      <c r="D47" s="52" t="str">
        <f>SD2_BA!C1057</f>
        <v>Personnel</v>
      </c>
      <c r="J47" s="53">
        <f>SD2_BA!Q1084</f>
        <v>0</v>
      </c>
      <c r="L47" s="53">
        <f>SD2_BA!S1084</f>
        <v>0</v>
      </c>
      <c r="O47" s="54">
        <f>IFERROR(IF(DD_ACT_24_Meet1_Curr=2,J47/SD2_BA!$I$1211,J47*SD2_BA!$I$1211), 0)</f>
        <v>0</v>
      </c>
      <c r="Q47" s="54">
        <f>IFERROR(IF(DD_ACT_24_Meet1_Curr=2,L47/SD2_BA!$I$1211,L47*SD2_BA!$I$1211), 0)</f>
        <v>0</v>
      </c>
    </row>
    <row r="48" spans="2:19" x14ac:dyDescent="0.3">
      <c r="D48" s="52" t="str">
        <f>SD2_BA!C1086</f>
        <v>Allowances</v>
      </c>
      <c r="J48" s="53">
        <f>SD2_BA!Q1113</f>
        <v>0</v>
      </c>
      <c r="L48" s="53">
        <f>SD2_BA!S1113</f>
        <v>0</v>
      </c>
      <c r="O48" s="54">
        <f>IFERROR(IF(DD_ACT_24_Meet1_Curr=2,J48/SD2_BA!$I$1211,J48*SD2_BA!$I$1211), 0)</f>
        <v>0</v>
      </c>
      <c r="Q48" s="54">
        <f>IFERROR(IF(DD_ACT_24_Meet1_Curr=2,L48/SD2_BA!$I$1211,L48*SD2_BA!$I$1211), 0)</f>
        <v>0</v>
      </c>
    </row>
    <row r="49" spans="2:19" x14ac:dyDescent="0.3">
      <c r="D49" s="52" t="str">
        <f>SD2_BA!C1117</f>
        <v>Materials &amp; Supplies</v>
      </c>
      <c r="J49" s="53">
        <f>SD2_BA!Q1144</f>
        <v>0</v>
      </c>
      <c r="L49" s="53">
        <f>SD2_BA!S1144</f>
        <v>0</v>
      </c>
      <c r="O49" s="54">
        <f>IFERROR(IF(DD_ACT_24_Meet1_Curr=2,J49/SD2_BA!$I$1211,J49*SD2_BA!$I$1211), 0)</f>
        <v>0</v>
      </c>
      <c r="Q49" s="54">
        <f>IFERROR(IF(DD_ACT_24_Meet1_Curr=2,L49/SD2_BA!$I$1211,L49*SD2_BA!$I$1211), 0)</f>
        <v>0</v>
      </c>
    </row>
    <row r="50" spans="2:19" x14ac:dyDescent="0.3">
      <c r="D50" s="52" t="str">
        <f>SD2_BA!C1146</f>
        <v>Equipment</v>
      </c>
      <c r="J50" s="53">
        <f>SD2_BA!Q1173</f>
        <v>0</v>
      </c>
      <c r="L50" s="53">
        <f>SD2_BA!S1173</f>
        <v>0</v>
      </c>
      <c r="O50" s="54">
        <f>IFERROR(IF(DD_ACT_24_Meet1_Curr=2,J50/SD2_BA!$I$1211,J50*SD2_BA!$I$1211), 0)</f>
        <v>0</v>
      </c>
      <c r="Q50" s="54">
        <f>IFERROR(IF(DD_ACT_24_Meet1_Curr=2,L50/SD2_BA!$I$1211,L50*SD2_BA!$I$1211), 0)</f>
        <v>0</v>
      </c>
    </row>
    <row r="51" spans="2:19" x14ac:dyDescent="0.3">
      <c r="D51" s="52" t="str">
        <f>SD2_BA!C1175</f>
        <v>Other Direct Costs</v>
      </c>
      <c r="J51" s="53">
        <f>SD2_BA!Q1203</f>
        <v>0</v>
      </c>
      <c r="L51" s="53">
        <f>SD2_BA!S1203</f>
        <v>0</v>
      </c>
      <c r="O51" s="54">
        <f>IFERROR(IF(DD_ACT_24_Meet1_Curr=2,J51/SD2_BA!$I$1211,J51*SD2_BA!$I$1211), 0)</f>
        <v>0</v>
      </c>
      <c r="Q51" s="54">
        <f>IFERROR(IF(DD_ACT_24_Meet1_Curr=2,L51/SD2_BA!$I$1211,L51*SD2_BA!$I$1211), 0)</f>
        <v>0</v>
      </c>
    </row>
    <row r="52" spans="2:19" x14ac:dyDescent="0.3">
      <c r="D52" s="153" t="str">
        <f>"Single "&amp;C45&amp;" Activity"</f>
        <v>Single Round 2 - Vacciination Activity #4 [not in use] Activity</v>
      </c>
      <c r="J52" s="164">
        <f>SUM(J47:J51)</f>
        <v>0</v>
      </c>
      <c r="L52" s="164">
        <f>SUM(L47:L51)</f>
        <v>0</v>
      </c>
      <c r="O52" s="164">
        <f>SUM(O47:O51)</f>
        <v>0</v>
      </c>
      <c r="Q52" s="164">
        <f>SUM(Q47:Q51)</f>
        <v>0</v>
      </c>
    </row>
    <row r="54" spans="2:19" ht="14.4" x14ac:dyDescent="0.3">
      <c r="C54" s="101" t="s">
        <v>474</v>
      </c>
      <c r="H54" s="133">
        <v>0</v>
      </c>
    </row>
    <row r="55" spans="2:19" ht="15" thickBot="1" x14ac:dyDescent="0.35">
      <c r="C55" s="151" t="str">
        <f>"Subtotal Cost: "&amp;C45&amp;" Activities"</f>
        <v>Subtotal Cost: Round 2 - Vacciination Activity #4 [not in use] Activities</v>
      </c>
      <c r="J55" s="56">
        <f>$H$54*J52</f>
        <v>0</v>
      </c>
      <c r="L55" s="56">
        <f>$H$54*L52</f>
        <v>0</v>
      </c>
      <c r="O55" s="56">
        <f>$H$54*O52</f>
        <v>0</v>
      </c>
      <c r="Q55" s="56">
        <f>$H$54*Q52</f>
        <v>0</v>
      </c>
    </row>
    <row r="56" spans="2:19" ht="14.4" thickTop="1" x14ac:dyDescent="0.3">
      <c r="B56" s="14"/>
      <c r="C56" s="14"/>
      <c r="D56" s="14"/>
      <c r="E56" s="14"/>
      <c r="F56" s="14"/>
      <c r="G56" s="14"/>
      <c r="H56" s="14"/>
      <c r="I56" s="14"/>
      <c r="J56" s="14"/>
      <c r="K56" s="14"/>
      <c r="L56" s="14"/>
      <c r="M56" s="14"/>
      <c r="N56" s="14"/>
      <c r="O56" s="14"/>
      <c r="P56" s="14"/>
      <c r="Q56" s="14"/>
      <c r="R56" s="14"/>
      <c r="S56" s="14"/>
    </row>
  </sheetData>
  <sheetProtection algorithmName="SHA-512" hashValue="qfdWUMM2pY9EjocbqIVDZmjbylXMn+1Yb7b4A//T5MT2X55iEXYVT3yeFxeq78gcV07BE+i2AUWEUsY8LdQWIg==" saltValue="YIaU/USHuQVy5VOreMtlTA==" spinCount="100000" sheet="1" objects="1" scenarios="1" formatColumns="0" formatRows="0"/>
  <mergeCells count="1">
    <mergeCell ref="B3:F3"/>
  </mergeCells>
  <hyperlinks>
    <hyperlink ref="A4" location="$B$5" tooltip="Go to Top of Sheet" display="$B$5" xr:uid="{00000000-0004-0000-1E00-000000000000}"/>
    <hyperlink ref="B4" location="HL_Sheet_Main_62" tooltip="Go to Previous Sheet" display="HL_Sheet_Main_62" xr:uid="{00000000-0004-0000-1E00-000001000000}"/>
    <hyperlink ref="C4" location="HL_Sheet_Main_66" tooltip="Go to Next Sheet" display="HL_Sheet_Main_66" xr:uid="{00000000-0004-0000-1E00-000002000000}"/>
    <hyperlink ref="B3" location="HL_Home" tooltip="Go to Table of Contents" display="HL_Home" xr:uid="{00000000-0004-0000-1E00-000003000000}"/>
    <hyperlink ref="D4" location="HL_Err_Chk" tooltip="Go to Error Checks" display="HL_Err_Chk" xr:uid="{00000000-0004-0000-1E00-000004000000}"/>
    <hyperlink ref="F4" location="HL_Alt_Chk" tooltip="Go to Alert Checks" display="HL_Alt_Chk" xr:uid="{00000000-0004-0000-1E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6">
    <pageSetUpPr autoPageBreaks="0"/>
  </sheetPr>
  <dimension ref="A1:K29"/>
  <sheetViews>
    <sheetView showGridLines="0" zoomScaleNormal="100" workbookViewId="0">
      <pane xSplit="1" ySplit="11" topLeftCell="B12" activePane="bottomRight" state="frozen"/>
      <selection activeCell="H63" sqref="H63:P63"/>
      <selection pane="topRight" activeCell="H63" sqref="H63:P63"/>
      <selection pane="bottomLeft" activeCell="H63" sqref="H63:P63"/>
      <selection pane="bottomRight" activeCell="B14" sqref="B14"/>
    </sheetView>
  </sheetViews>
  <sheetFormatPr defaultColWidth="11.6640625" defaultRowHeight="13.8" outlineLevelRow="2" x14ac:dyDescent="0.3"/>
  <cols>
    <col min="1" max="5" width="3.6640625" customWidth="1"/>
  </cols>
  <sheetData>
    <row r="1" spans="1:11" ht="23.4" x14ac:dyDescent="0.3">
      <c r="B1" s="2" t="s">
        <v>369</v>
      </c>
    </row>
    <row r="2" spans="1:11" ht="18" x14ac:dyDescent="0.3">
      <c r="B2" s="6" t="str">
        <f>Model_Name</f>
        <v>Oral Cholera Vaccine Activity-Based Costing</v>
      </c>
    </row>
    <row r="3" spans="1:11" x14ac:dyDescent="0.3">
      <c r="B3" s="331" t="s">
        <v>2</v>
      </c>
      <c r="C3" s="331"/>
      <c r="D3" s="331"/>
      <c r="E3" s="331"/>
      <c r="F3" s="331"/>
    </row>
    <row r="4" spans="1:11" x14ac:dyDescent="0.3">
      <c r="A4" s="7" t="s">
        <v>5</v>
      </c>
      <c r="B4" s="8" t="s">
        <v>10</v>
      </c>
      <c r="C4" s="9" t="s">
        <v>11</v>
      </c>
      <c r="D4" s="38" t="s">
        <v>25</v>
      </c>
      <c r="F4" s="39" t="s">
        <v>26</v>
      </c>
    </row>
    <row r="7" spans="1:11" x14ac:dyDescent="0.3">
      <c r="B7" s="129" t="str">
        <f>"Year Ending "&amp;INDEX(LU_TS_Mth_Names,DD_TS_Fin_Yr_End_Mth)</f>
        <v>Year Ending December</v>
      </c>
      <c r="C7" s="14"/>
      <c r="D7" s="14"/>
      <c r="E7" s="14"/>
      <c r="F7" s="14"/>
      <c r="G7" s="14"/>
      <c r="H7" s="14"/>
      <c r="I7" s="14"/>
      <c r="J7" s="14"/>
      <c r="K7" s="130">
        <f>K11</f>
        <v>2020</v>
      </c>
    </row>
    <row r="8" spans="1:11" hidden="1" outlineLevel="2" x14ac:dyDescent="0.3">
      <c r="B8" s="59" t="s">
        <v>98</v>
      </c>
      <c r="K8" s="128">
        <f>EDATE(TS_Start_Date,(K10-1)*TS_Mths_In_Yr)</f>
        <v>43831</v>
      </c>
    </row>
    <row r="9" spans="1:11" hidden="1" outlineLevel="2" x14ac:dyDescent="0.3">
      <c r="B9" s="59" t="s">
        <v>99</v>
      </c>
      <c r="K9" s="128">
        <f>EDATE(K8,TS_Mths_In_Yr)-1</f>
        <v>44196</v>
      </c>
    </row>
    <row r="10" spans="1:11" hidden="1" outlineLevel="2" x14ac:dyDescent="0.3">
      <c r="B10" s="59" t="s">
        <v>100</v>
      </c>
      <c r="K10" s="53">
        <f>COLUMNS($K10:K10)</f>
        <v>1</v>
      </c>
    </row>
    <row r="11" spans="1:11" hidden="1" outlineLevel="2" x14ac:dyDescent="0.3">
      <c r="B11" s="131" t="s">
        <v>101</v>
      </c>
      <c r="C11" s="14"/>
      <c r="D11" s="14"/>
      <c r="E11" s="14"/>
      <c r="F11" s="14"/>
      <c r="G11" s="14"/>
      <c r="H11" s="14"/>
      <c r="I11" s="14"/>
      <c r="J11" s="14"/>
      <c r="K11" s="132">
        <f>YEAR(K9)</f>
        <v>2020</v>
      </c>
    </row>
    <row r="12" spans="1:11" collapsed="1" x14ac:dyDescent="0.3"/>
    <row r="14" spans="1:11" ht="18" x14ac:dyDescent="0.3">
      <c r="B14" s="121" t="s">
        <v>369</v>
      </c>
    </row>
    <row r="27" spans="3:10" x14ac:dyDescent="0.3">
      <c r="C27" s="436" t="str">
        <f>"Go to "&amp;HL_Count_Ass</f>
        <v>Go to Counts - Assumptions</v>
      </c>
      <c r="D27" s="331"/>
      <c r="E27" s="331"/>
      <c r="F27" s="331"/>
      <c r="G27" s="331"/>
      <c r="H27" s="331"/>
      <c r="I27" s="331"/>
      <c r="J27" s="331"/>
    </row>
    <row r="28" spans="3:10" x14ac:dyDescent="0.3">
      <c r="C28" s="436" t="str">
        <f>"Go to "&amp;HL_Count_Ass_A</f>
        <v>Go to Counts - Assumptions</v>
      </c>
      <c r="D28" s="331"/>
      <c r="E28" s="331"/>
      <c r="F28" s="331"/>
      <c r="G28" s="331"/>
      <c r="H28" s="331"/>
      <c r="I28" s="331"/>
      <c r="J28" s="331"/>
    </row>
    <row r="29" spans="3:10" x14ac:dyDescent="0.3">
      <c r="C29" s="436" t="str">
        <f>"Go to "&amp;HL_Count_Out</f>
        <v>Go to Vaccination Counts - Prospective by Rates</v>
      </c>
      <c r="D29" s="331"/>
      <c r="E29" s="331"/>
      <c r="F29" s="331"/>
      <c r="G29" s="331"/>
      <c r="H29" s="331"/>
      <c r="I29" s="331"/>
      <c r="J29" s="331"/>
    </row>
  </sheetData>
  <sheetProtection algorithmName="SHA-512" hashValue="e9zPvGwHxOtW+/ptv3j2foBeropm2WU3KxJeM1RbWOIgqVcWtB0tMIYFij1gincT9SUbFcfLtc9MXWZMSSA3pA==" saltValue="WTT1V6+x0bWJB3gS9YBZFQ==" spinCount="100000" sheet="1" objects="1" scenarios="1" formatColumns="0" formatRows="0"/>
  <mergeCells count="4">
    <mergeCell ref="C27:J27"/>
    <mergeCell ref="C28:J28"/>
    <mergeCell ref="C29:J29"/>
    <mergeCell ref="B3:F3"/>
  </mergeCells>
  <hyperlinks>
    <hyperlink ref="C27:I27" location="HL_Count_Ass" tooltip="Click to follow hyperlink." display="HL_Count_Ass" xr:uid="{00000000-0004-0000-1F00-000000000000}"/>
    <hyperlink ref="C28:I28" location="HL_Count_Ass_A" tooltip="Click to follow hyperlink." display="HL_Count_Ass_A" xr:uid="{00000000-0004-0000-1F00-000001000000}"/>
    <hyperlink ref="C29:I29" location="HL_Count_Out" tooltip="Click to follow hyperlink." display="HL_Count_Out" xr:uid="{00000000-0004-0000-1F00-000002000000}"/>
    <hyperlink ref="A4" location="$B$12" tooltip="Go to Top of Sheet" display="$B$12" xr:uid="{00000000-0004-0000-1F00-000003000000}"/>
    <hyperlink ref="B4" location="HL_Sheet_Main_51" tooltip="Go to Previous Sheet" display="HL_Sheet_Main_51" xr:uid="{00000000-0004-0000-1F00-000004000000}"/>
    <hyperlink ref="C4" location="HL_Sheet_Main_52" tooltip="Go to Next Sheet" display="HL_Sheet_Main_52" xr:uid="{00000000-0004-0000-1F00-000005000000}"/>
    <hyperlink ref="C27:J27" location="HL_Count_Ass" tooltip="Click to follow hyperlink." display="HL_Count_Ass" xr:uid="{00000000-0004-0000-1F00-000006000000}"/>
    <hyperlink ref="C28:J28" location="HL_Count_Ass_A" tooltip="Click to follow hyperlink." display="HL_Count_Ass_A" xr:uid="{00000000-0004-0000-1F00-000007000000}"/>
    <hyperlink ref="C29:J29" location="HL_Count_Out" tooltip="Click to follow hyperlink." display="HL_Count_Out" xr:uid="{00000000-0004-0000-1F00-000008000000}"/>
    <hyperlink ref="B3" location="HL_Home" tooltip="Go to Table of Contents" display="HL_Home" xr:uid="{00000000-0004-0000-1F00-000009000000}"/>
    <hyperlink ref="D4" location="HL_Err_Chk" tooltip="Go to Error Checks" display="HL_Err_Chk" xr:uid="{00000000-0004-0000-1F00-00000A000000}"/>
    <hyperlink ref="F4" location="HL_Alt_Chk" tooltip="Go to Alert Checks" display="HL_Alt_Chk" xr:uid="{00000000-0004-0000-1F00-00000B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1">
    <pageSetUpPr autoPageBreaks="0"/>
  </sheetPr>
  <dimension ref="A1:K29"/>
  <sheetViews>
    <sheetView showGridLines="0" zoomScaleNormal="100" workbookViewId="0">
      <pane xSplit="1" ySplit="11" topLeftCell="B12" activePane="bottomRight" state="frozen"/>
      <selection pane="topRight" activeCell="B1" sqref="B1"/>
      <selection pane="bottomLeft" activeCell="A12" sqref="A12"/>
      <selection pane="bottomRight" activeCell="C27" sqref="C27:J27"/>
    </sheetView>
  </sheetViews>
  <sheetFormatPr defaultColWidth="11.6640625" defaultRowHeight="13.8" outlineLevelRow="2" x14ac:dyDescent="0.3"/>
  <cols>
    <col min="1" max="5" width="3.6640625" customWidth="1"/>
  </cols>
  <sheetData>
    <row r="1" spans="1:11" ht="23.4" x14ac:dyDescent="0.3">
      <c r="B1" s="2" t="s">
        <v>400</v>
      </c>
    </row>
    <row r="2" spans="1:11" ht="18" x14ac:dyDescent="0.3">
      <c r="B2" s="6" t="str">
        <f>Model_Name</f>
        <v>Oral Cholera Vaccine Activity-Based Costing</v>
      </c>
    </row>
    <row r="3" spans="1:11" x14ac:dyDescent="0.3">
      <c r="B3" s="331" t="s">
        <v>2</v>
      </c>
      <c r="C3" s="331"/>
      <c r="D3" s="331"/>
      <c r="E3" s="331"/>
      <c r="F3" s="331"/>
    </row>
    <row r="4" spans="1:11" x14ac:dyDescent="0.3">
      <c r="A4" s="7" t="s">
        <v>5</v>
      </c>
      <c r="B4" s="8" t="s">
        <v>10</v>
      </c>
      <c r="C4" s="9" t="s">
        <v>11</v>
      </c>
      <c r="D4" s="38" t="s">
        <v>25</v>
      </c>
      <c r="F4" s="39" t="s">
        <v>26</v>
      </c>
    </row>
    <row r="7" spans="1:11" x14ac:dyDescent="0.3">
      <c r="B7" s="129" t="str">
        <f>"Year Ending "&amp;INDEX(LU_TS_Mth_Names,DD_TS_Fin_Yr_End_Mth)</f>
        <v>Year Ending December</v>
      </c>
      <c r="C7" s="14"/>
      <c r="D7" s="14"/>
      <c r="E7" s="14"/>
      <c r="F7" s="14"/>
      <c r="G7" s="14"/>
      <c r="H7" s="14"/>
      <c r="I7" s="14"/>
      <c r="J7" s="14"/>
      <c r="K7" s="130">
        <f>K11</f>
        <v>2020</v>
      </c>
    </row>
    <row r="8" spans="1:11" hidden="1" outlineLevel="2" x14ac:dyDescent="0.3">
      <c r="B8" s="59" t="s">
        <v>98</v>
      </c>
      <c r="K8" s="128">
        <f>EDATE(TS_Start_Date,(K10-1)*TS_Mths_In_Yr)</f>
        <v>43831</v>
      </c>
    </row>
    <row r="9" spans="1:11" hidden="1" outlineLevel="2" x14ac:dyDescent="0.3">
      <c r="B9" s="59" t="s">
        <v>99</v>
      </c>
      <c r="K9" s="128">
        <f>EDATE(K8,TS_Mths_In_Yr)-1</f>
        <v>44196</v>
      </c>
    </row>
    <row r="10" spans="1:11" hidden="1" outlineLevel="2" x14ac:dyDescent="0.3">
      <c r="B10" s="59" t="s">
        <v>100</v>
      </c>
      <c r="K10" s="53">
        <f>COLUMNS($K10:K10)</f>
        <v>1</v>
      </c>
    </row>
    <row r="11" spans="1:11" hidden="1" outlineLevel="2" x14ac:dyDescent="0.3">
      <c r="B11" s="131" t="s">
        <v>101</v>
      </c>
      <c r="C11" s="14"/>
      <c r="D11" s="14"/>
      <c r="E11" s="14"/>
      <c r="F11" s="14"/>
      <c r="G11" s="14"/>
      <c r="H11" s="14"/>
      <c r="I11" s="14"/>
      <c r="J11" s="14"/>
      <c r="K11" s="132">
        <f>YEAR(K9)</f>
        <v>2020</v>
      </c>
    </row>
    <row r="12" spans="1:11" collapsed="1" x14ac:dyDescent="0.3"/>
    <row r="14" spans="1:11" ht="18" x14ac:dyDescent="0.3">
      <c r="B14" s="49" t="s">
        <v>400</v>
      </c>
    </row>
    <row r="27" spans="3:10" x14ac:dyDescent="0.3">
      <c r="C27" s="436" t="str">
        <f>"Go to "&amp;HL_Vacc_Ass</f>
        <v>Go to Vaccine - Assumptions</v>
      </c>
      <c r="D27" s="436"/>
      <c r="E27" s="436"/>
      <c r="F27" s="436"/>
      <c r="G27" s="436"/>
      <c r="H27" s="436"/>
      <c r="I27" s="436"/>
      <c r="J27" s="436"/>
    </row>
    <row r="28" spans="3:10" x14ac:dyDescent="0.3">
      <c r="C28" s="436" t="str">
        <f>"Go to "&amp;HL_Vacc_Ass_A</f>
        <v>Go to Vaccine - Assumptions</v>
      </c>
      <c r="D28" s="436"/>
      <c r="E28" s="436"/>
      <c r="F28" s="436"/>
      <c r="G28" s="436"/>
      <c r="H28" s="436"/>
      <c r="I28" s="436"/>
      <c r="J28" s="436"/>
    </row>
    <row r="29" spans="3:10" x14ac:dyDescent="0.3">
      <c r="C29" s="436" t="str">
        <f>"Go to "&amp;HL_Vacc_Out</f>
        <v>Go to Vaccine Procurement and Shipment</v>
      </c>
      <c r="D29" s="436"/>
      <c r="E29" s="436"/>
      <c r="F29" s="436"/>
      <c r="G29" s="436"/>
      <c r="H29" s="436"/>
      <c r="I29" s="436"/>
      <c r="J29" s="436"/>
    </row>
  </sheetData>
  <sheetProtection algorithmName="SHA-512" hashValue="vzQigxd66DGhnCXWKswyfLD/+JHh63VHu0SIL72nldXRxqHvozfBCYz9FXFTpEMtkOO+qWj3EWzp9SE+9eNznQ==" saltValue="GIevgUmScqT8cr88MR4xOA==" spinCount="100000" sheet="1" objects="1" scenarios="1" formatColumns="0" formatRows="0"/>
  <mergeCells count="4">
    <mergeCell ref="C27:J27"/>
    <mergeCell ref="C28:J28"/>
    <mergeCell ref="C29:J29"/>
    <mergeCell ref="B3:F3"/>
  </mergeCells>
  <hyperlinks>
    <hyperlink ref="C27:I27" location="HL_Vacc_Ass" tooltip="Click to follow hyperlink." display="HL_Vacc_Ass" xr:uid="{00000000-0004-0000-2000-000000000000}"/>
    <hyperlink ref="C28:I28" location="HL_Vacc_Ass_A" tooltip="Click to follow hyperlink." display="HL_Vacc_Ass_A" xr:uid="{00000000-0004-0000-2000-000001000000}"/>
    <hyperlink ref="C29:I29" location="HL_Vacc_Out" tooltip="Click to follow hyperlink." display="HL_Vacc_Out" xr:uid="{00000000-0004-0000-2000-000002000000}"/>
    <hyperlink ref="A4" location="$B$12" tooltip="Go to Top of Sheet" display="$B$12" xr:uid="{00000000-0004-0000-2000-000003000000}"/>
    <hyperlink ref="C27:J27" location="HL_Vacc_Ass" tooltip="Click to follow hyperlink." display="HL_Vacc_Ass" xr:uid="{00000000-0004-0000-2000-000004000000}"/>
    <hyperlink ref="C28:J28" location="HL_Vacc_Ass_A" tooltip="Click to follow hyperlink." display="HL_Vacc_Ass_A" xr:uid="{00000000-0004-0000-2000-000005000000}"/>
    <hyperlink ref="C29:J29" location="HL_Vacc_Out" tooltip="Click to follow hyperlink." display="HL_Vacc_Out" xr:uid="{00000000-0004-0000-2000-000006000000}"/>
    <hyperlink ref="C4" location="HL_Sheet_Main_6" tooltip="Go to Next Sheet" display="HL_Sheet_Main_6" xr:uid="{00000000-0004-0000-2000-000007000000}"/>
    <hyperlink ref="B4" location="HL_Sheet_Main_51" tooltip="Go to Previous Sheet" display="HL_Sheet_Main_51" xr:uid="{00000000-0004-0000-2000-000008000000}"/>
    <hyperlink ref="B3" location="HL_Home" tooltip="Go to Table of Contents" display="HL_Home" xr:uid="{00000000-0004-0000-2000-000009000000}"/>
    <hyperlink ref="D4" location="HL_Err_Chk" tooltip="Go to Error Checks" display="HL_Err_Chk" xr:uid="{00000000-0004-0000-2000-00000A000000}"/>
    <hyperlink ref="F4" location="HL_Alt_Chk" tooltip="Go to Alert Checks" display="HL_Alt_Chk" xr:uid="{00000000-0004-0000-2000-00000B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
    <pageSetUpPr autoPageBreaks="0" fitToPage="1"/>
  </sheetPr>
  <dimension ref="C9:G20"/>
  <sheetViews>
    <sheetView showGridLines="0" zoomScaleNormal="100" workbookViewId="0">
      <selection activeCell="D13" sqref="D13"/>
    </sheetView>
  </sheetViews>
  <sheetFormatPr defaultColWidth="11.6640625" defaultRowHeight="13.8" x14ac:dyDescent="0.3"/>
  <cols>
    <col min="3" max="6" width="3.6640625" customWidth="1"/>
  </cols>
  <sheetData>
    <row r="9" spans="3:7" ht="23.4" x14ac:dyDescent="0.3">
      <c r="C9" s="2" t="s">
        <v>12</v>
      </c>
    </row>
    <row r="10" spans="3:7" ht="21" x14ac:dyDescent="0.3">
      <c r="C10" s="10" t="s">
        <v>68</v>
      </c>
    </row>
    <row r="11" spans="3:7" ht="18" x14ac:dyDescent="0.3">
      <c r="C11" s="6" t="str">
        <f>Model_Name</f>
        <v>Oral Cholera Vaccine Activity-Based Costing</v>
      </c>
    </row>
    <row r="12" spans="3:7" x14ac:dyDescent="0.3">
      <c r="C12" s="331" t="s">
        <v>2</v>
      </c>
      <c r="D12" s="331"/>
      <c r="E12" s="331"/>
      <c r="F12" s="331"/>
      <c r="G12" s="331"/>
    </row>
    <row r="13" spans="3:7" x14ac:dyDescent="0.3">
      <c r="C13" s="8" t="s">
        <v>10</v>
      </c>
      <c r="D13" s="9" t="s">
        <v>11</v>
      </c>
    </row>
    <row r="17" spans="3:3" ht="14.4" x14ac:dyDescent="0.3">
      <c r="C17" s="3" t="s">
        <v>6</v>
      </c>
    </row>
    <row r="18" spans="3:3" x14ac:dyDescent="0.3">
      <c r="C18" s="4" t="s">
        <v>7</v>
      </c>
    </row>
    <row r="19" spans="3:3" x14ac:dyDescent="0.3">
      <c r="C19" s="4" t="s">
        <v>8</v>
      </c>
    </row>
    <row r="20" spans="3:3" x14ac:dyDescent="0.3">
      <c r="C20" s="4" t="s">
        <v>9</v>
      </c>
    </row>
  </sheetData>
  <mergeCells count="1">
    <mergeCell ref="C12:G12"/>
  </mergeCells>
  <hyperlinks>
    <hyperlink ref="D13" location="HL_Sheet_Main_8" tooltip="Go to Next Sheet" display="HL_Sheet_Main_8" xr:uid="{00000000-0004-0000-2100-000000000000}"/>
    <hyperlink ref="C13" location="HL_Sheet_Main_52" tooltip="Go to Previous Sheet" display="HL_Sheet_Main_52" xr:uid="{00000000-0004-0000-2100-000001000000}"/>
    <hyperlink ref="C12" location="HL_Home" tooltip="Go to Table of Contents" display="HL_Home" xr:uid="{00000000-0004-0000-2100-000002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pageSetUpPr autoPageBreaks="0"/>
  </sheetPr>
  <dimension ref="A1:F88"/>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27</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49" t="s">
        <v>37</v>
      </c>
    </row>
    <row r="9" spans="1:6" ht="15.6" x14ac:dyDescent="0.3">
      <c r="C9" s="57" t="s">
        <v>38</v>
      </c>
      <c r="F9" s="57" t="s">
        <v>28</v>
      </c>
    </row>
    <row r="11" spans="1:6" x14ac:dyDescent="0.3">
      <c r="D11" s="58" t="s">
        <v>39</v>
      </c>
      <c r="F11" s="59" t="s">
        <v>40</v>
      </c>
    </row>
    <row r="12" spans="1:6" x14ac:dyDescent="0.3">
      <c r="D12" s="60">
        <f>ROWS(D$12:D12)</f>
        <v>1</v>
      </c>
      <c r="F12" s="61" t="s">
        <v>46</v>
      </c>
    </row>
    <row r="13" spans="1:6" x14ac:dyDescent="0.3">
      <c r="D13" s="60">
        <f>ROWS(D$12:D13)</f>
        <v>2</v>
      </c>
      <c r="F13" s="61" t="s">
        <v>46</v>
      </c>
    </row>
    <row r="14" spans="1:6" x14ac:dyDescent="0.3">
      <c r="D14" s="60">
        <f>ROWS(D$12:D14)</f>
        <v>3</v>
      </c>
      <c r="F14" s="61" t="s">
        <v>46</v>
      </c>
    </row>
    <row r="15" spans="1:6" x14ac:dyDescent="0.3">
      <c r="D15" s="60">
        <f>ROWS(D$12:D15)</f>
        <v>4</v>
      </c>
      <c r="F15" s="61" t="s">
        <v>46</v>
      </c>
    </row>
    <row r="16" spans="1:6" x14ac:dyDescent="0.3">
      <c r="D16" s="60">
        <f>ROWS(D$12:D16)</f>
        <v>5</v>
      </c>
      <c r="F16" s="61" t="s">
        <v>46</v>
      </c>
    </row>
    <row r="17" spans="4:6" x14ac:dyDescent="0.3">
      <c r="D17" s="60">
        <f>ROWS(D$12:D17)</f>
        <v>6</v>
      </c>
      <c r="F17" s="61" t="s">
        <v>46</v>
      </c>
    </row>
    <row r="18" spans="4:6" x14ac:dyDescent="0.3">
      <c r="D18" s="60">
        <f>ROWS(D$12:D18)</f>
        <v>7</v>
      </c>
      <c r="F18" s="61" t="s">
        <v>46</v>
      </c>
    </row>
    <row r="19" spans="4:6" x14ac:dyDescent="0.3">
      <c r="D19" s="60">
        <f>ROWS(D$12:D19)</f>
        <v>8</v>
      </c>
      <c r="F19" s="61" t="s">
        <v>46</v>
      </c>
    </row>
    <row r="20" spans="4:6" x14ac:dyDescent="0.3">
      <c r="D20" s="60">
        <f>ROWS(D$12:D20)</f>
        <v>9</v>
      </c>
      <c r="F20" s="61" t="s">
        <v>46</v>
      </c>
    </row>
    <row r="21" spans="4:6" x14ac:dyDescent="0.3">
      <c r="D21" s="60">
        <f>ROWS(D$12:D21)</f>
        <v>10</v>
      </c>
      <c r="F21" s="61" t="s">
        <v>46</v>
      </c>
    </row>
    <row r="22" spans="4:6" x14ac:dyDescent="0.3">
      <c r="D22" s="60">
        <f>ROWS(D$12:D22)</f>
        <v>11</v>
      </c>
      <c r="F22" s="61" t="s">
        <v>46</v>
      </c>
    </row>
    <row r="23" spans="4:6" x14ac:dyDescent="0.3">
      <c r="D23" s="60">
        <f>ROWS(D$12:D23)</f>
        <v>12</v>
      </c>
      <c r="F23" s="61" t="s">
        <v>46</v>
      </c>
    </row>
    <row r="24" spans="4:6" x14ac:dyDescent="0.3">
      <c r="D24" s="60">
        <f>ROWS(D$12:D24)</f>
        <v>13</v>
      </c>
      <c r="F24" s="61" t="s">
        <v>46</v>
      </c>
    </row>
    <row r="25" spans="4:6" x14ac:dyDescent="0.3">
      <c r="D25" s="60">
        <f>ROWS(D$12:D25)</f>
        <v>14</v>
      </c>
      <c r="F25" s="61" t="s">
        <v>46</v>
      </c>
    </row>
    <row r="26" spans="4:6" x14ac:dyDescent="0.3">
      <c r="D26" s="60">
        <f>ROWS(D$12:D26)</f>
        <v>15</v>
      </c>
      <c r="F26" s="61" t="s">
        <v>46</v>
      </c>
    </row>
    <row r="27" spans="4:6" x14ac:dyDescent="0.3">
      <c r="D27" s="60">
        <f>ROWS(D$12:D27)</f>
        <v>16</v>
      </c>
      <c r="F27" s="61" t="s">
        <v>46</v>
      </c>
    </row>
    <row r="28" spans="4:6" x14ac:dyDescent="0.3">
      <c r="D28" s="60">
        <f>ROWS(D$12:D28)</f>
        <v>17</v>
      </c>
      <c r="F28" s="61" t="s">
        <v>46</v>
      </c>
    </row>
    <row r="29" spans="4:6" x14ac:dyDescent="0.3">
      <c r="D29" s="60">
        <f>ROWS(D$12:D29)</f>
        <v>18</v>
      </c>
      <c r="F29" s="61" t="s">
        <v>46</v>
      </c>
    </row>
    <row r="30" spans="4:6" x14ac:dyDescent="0.3">
      <c r="D30" s="60">
        <f>ROWS(D$12:D30)</f>
        <v>19</v>
      </c>
      <c r="F30" s="61" t="s">
        <v>46</v>
      </c>
    </row>
    <row r="31" spans="4:6" x14ac:dyDescent="0.3">
      <c r="D31" s="60">
        <f>ROWS(D$12:D31)</f>
        <v>20</v>
      </c>
      <c r="F31" s="61" t="s">
        <v>46</v>
      </c>
    </row>
    <row r="32" spans="4:6" x14ac:dyDescent="0.3">
      <c r="D32" s="60">
        <f>ROWS(D$12:D32)</f>
        <v>21</v>
      </c>
      <c r="F32" s="61" t="s">
        <v>46</v>
      </c>
    </row>
    <row r="33" spans="3:6" x14ac:dyDescent="0.3">
      <c r="D33" s="60">
        <f>ROWS(D$12:D33)</f>
        <v>22</v>
      </c>
      <c r="F33" s="61" t="s">
        <v>46</v>
      </c>
    </row>
    <row r="34" spans="3:6" x14ac:dyDescent="0.3">
      <c r="D34" s="60">
        <f>ROWS(D$12:D34)</f>
        <v>23</v>
      </c>
      <c r="F34" s="61" t="s">
        <v>46</v>
      </c>
    </row>
    <row r="35" spans="3:6" x14ac:dyDescent="0.3">
      <c r="D35" s="60">
        <f>ROWS(D$12:D35)</f>
        <v>24</v>
      </c>
      <c r="F35" s="61" t="s">
        <v>46</v>
      </c>
    </row>
    <row r="36" spans="3:6" x14ac:dyDescent="0.3">
      <c r="D36" s="60">
        <f>ROWS(D$12:D36)</f>
        <v>25</v>
      </c>
      <c r="F36" s="61" t="s">
        <v>46</v>
      </c>
    </row>
    <row r="37" spans="3:6" x14ac:dyDescent="0.3">
      <c r="D37" s="60">
        <f>ROWS(D$12:D37)</f>
        <v>26</v>
      </c>
      <c r="F37" s="61" t="s">
        <v>46</v>
      </c>
    </row>
    <row r="38" spans="3:6" x14ac:dyDescent="0.3">
      <c r="D38" s="60">
        <f>ROWS(D$12:D38)</f>
        <v>27</v>
      </c>
      <c r="F38" s="61" t="s">
        <v>46</v>
      </c>
    </row>
    <row r="39" spans="3:6" x14ac:dyDescent="0.3">
      <c r="D39" s="60">
        <f>ROWS(D$12:D39)</f>
        <v>28</v>
      </c>
      <c r="F39" s="61" t="s">
        <v>46</v>
      </c>
    </row>
    <row r="40" spans="3:6" x14ac:dyDescent="0.3">
      <c r="D40" s="60">
        <f>ROWS(D$12:D40)</f>
        <v>29</v>
      </c>
      <c r="F40" s="61" t="s">
        <v>46</v>
      </c>
    </row>
    <row r="41" spans="3:6" x14ac:dyDescent="0.3">
      <c r="D41" s="60">
        <f>ROWS(D$12:D41)</f>
        <v>30</v>
      </c>
      <c r="F41" s="61" t="s">
        <v>46</v>
      </c>
    </row>
    <row r="42" spans="3:6" x14ac:dyDescent="0.3">
      <c r="D42" s="60">
        <f>ROWS(D$12:D42)</f>
        <v>31</v>
      </c>
      <c r="F42" s="61" t="s">
        <v>46</v>
      </c>
    </row>
    <row r="44" spans="3:6" ht="15.6" x14ac:dyDescent="0.3">
      <c r="C44" s="57" t="s">
        <v>41</v>
      </c>
      <c r="F44" s="57" t="s">
        <v>28</v>
      </c>
    </row>
    <row r="46" spans="3:6" x14ac:dyDescent="0.3">
      <c r="D46" s="58" t="s">
        <v>42</v>
      </c>
      <c r="F46" s="59" t="s">
        <v>43</v>
      </c>
    </row>
    <row r="47" spans="3:6" x14ac:dyDescent="0.3">
      <c r="D47" s="103" t="str">
        <f>TEXT(DATE(1,ROWS(D$47:D47),1),"mmmm")</f>
        <v>January</v>
      </c>
      <c r="F47" s="61" t="s">
        <v>46</v>
      </c>
    </row>
    <row r="48" spans="3:6" x14ac:dyDescent="0.3">
      <c r="D48" s="103" t="str">
        <f>TEXT(DATE(1,ROWS(D$47:D48),1),"mmmm")</f>
        <v>February</v>
      </c>
      <c r="F48" s="61" t="s">
        <v>46</v>
      </c>
    </row>
    <row r="49" spans="3:6" x14ac:dyDescent="0.3">
      <c r="D49" s="103" t="str">
        <f>TEXT(DATE(1,ROWS(D$47:D49),1),"mmmm")</f>
        <v>March</v>
      </c>
      <c r="F49" s="61" t="s">
        <v>46</v>
      </c>
    </row>
    <row r="50" spans="3:6" x14ac:dyDescent="0.3">
      <c r="D50" s="103" t="str">
        <f>TEXT(DATE(1,ROWS(D$47:D50),1),"mmmm")</f>
        <v>April</v>
      </c>
      <c r="F50" s="61" t="s">
        <v>46</v>
      </c>
    </row>
    <row r="51" spans="3:6" x14ac:dyDescent="0.3">
      <c r="D51" s="103" t="str">
        <f>TEXT(DATE(1,ROWS(D$47:D51),1),"mmmm")</f>
        <v>May</v>
      </c>
      <c r="F51" s="61" t="s">
        <v>46</v>
      </c>
    </row>
    <row r="52" spans="3:6" x14ac:dyDescent="0.3">
      <c r="D52" s="103" t="str">
        <f>TEXT(DATE(1,ROWS(D$47:D52),1),"mmmm")</f>
        <v>June</v>
      </c>
      <c r="F52" s="61" t="s">
        <v>46</v>
      </c>
    </row>
    <row r="53" spans="3:6" x14ac:dyDescent="0.3">
      <c r="D53" s="103" t="str">
        <f>TEXT(DATE(1,ROWS(D$47:D53),1),"mmmm")</f>
        <v>July</v>
      </c>
      <c r="F53" s="61" t="s">
        <v>46</v>
      </c>
    </row>
    <row r="54" spans="3:6" x14ac:dyDescent="0.3">
      <c r="D54" s="103" t="str">
        <f>TEXT(DATE(1,ROWS(D$47:D54),1),"mmmm")</f>
        <v>August</v>
      </c>
      <c r="F54" s="61" t="s">
        <v>46</v>
      </c>
    </row>
    <row r="55" spans="3:6" x14ac:dyDescent="0.3">
      <c r="D55" s="103" t="str">
        <f>TEXT(DATE(1,ROWS(D$47:D55),1),"mmmm")</f>
        <v>September</v>
      </c>
      <c r="F55" s="61" t="s">
        <v>46</v>
      </c>
    </row>
    <row r="56" spans="3:6" x14ac:dyDescent="0.3">
      <c r="D56" s="103" t="str">
        <f>TEXT(DATE(1,ROWS(D$47:D56),1),"mmmm")</f>
        <v>October</v>
      </c>
      <c r="F56" s="61" t="s">
        <v>46</v>
      </c>
    </row>
    <row r="57" spans="3:6" x14ac:dyDescent="0.3">
      <c r="D57" s="103" t="str">
        <f>TEXT(DATE(1,ROWS(D$47:D57),1),"mmmm")</f>
        <v>November</v>
      </c>
      <c r="F57" s="61" t="s">
        <v>46</v>
      </c>
    </row>
    <row r="58" spans="3:6" x14ac:dyDescent="0.3">
      <c r="D58" s="103" t="str">
        <f>TEXT(DATE(1,ROWS(D$47:D58),1),"mmmm")</f>
        <v>December</v>
      </c>
      <c r="F58" s="61" t="s">
        <v>46</v>
      </c>
    </row>
    <row r="60" spans="3:6" ht="15.6" x14ac:dyDescent="0.3">
      <c r="C60" s="57" t="s">
        <v>44</v>
      </c>
    </row>
    <row r="62" spans="3:6" x14ac:dyDescent="0.3">
      <c r="D62" s="58" t="s">
        <v>45</v>
      </c>
      <c r="F62" s="61" t="s">
        <v>46</v>
      </c>
    </row>
    <row r="63" spans="3:6" x14ac:dyDescent="0.3">
      <c r="D63" s="104">
        <v>60</v>
      </c>
      <c r="F63" s="59" t="s">
        <v>52</v>
      </c>
    </row>
    <row r="64" spans="3:6" x14ac:dyDescent="0.3">
      <c r="D64" s="104">
        <v>60</v>
      </c>
      <c r="F64" s="59" t="s">
        <v>53</v>
      </c>
    </row>
    <row r="65" spans="3:6" x14ac:dyDescent="0.3">
      <c r="D65" s="104">
        <v>24</v>
      </c>
      <c r="F65" s="59" t="s">
        <v>54</v>
      </c>
    </row>
    <row r="66" spans="3:6" x14ac:dyDescent="0.3">
      <c r="D66" s="104">
        <v>7</v>
      </c>
      <c r="F66" s="59" t="s">
        <v>55</v>
      </c>
    </row>
    <row r="67" spans="3:6" x14ac:dyDescent="0.3">
      <c r="D67" s="104">
        <v>3</v>
      </c>
      <c r="F67" s="59" t="s">
        <v>56</v>
      </c>
    </row>
    <row r="68" spans="3:6" x14ac:dyDescent="0.3">
      <c r="D68" s="104">
        <v>6</v>
      </c>
      <c r="F68" s="59" t="s">
        <v>57</v>
      </c>
    </row>
    <row r="69" spans="3:6" x14ac:dyDescent="0.3">
      <c r="D69" s="104">
        <v>12</v>
      </c>
      <c r="F69" s="59" t="s">
        <v>58</v>
      </c>
    </row>
    <row r="70" spans="3:6" x14ac:dyDescent="0.3">
      <c r="D70" s="104">
        <v>2</v>
      </c>
      <c r="F70" s="59" t="s">
        <v>59</v>
      </c>
    </row>
    <row r="71" spans="3:6" x14ac:dyDescent="0.3">
      <c r="D71" s="104">
        <v>4</v>
      </c>
      <c r="F71" s="59" t="s">
        <v>60</v>
      </c>
    </row>
    <row r="72" spans="3:6" x14ac:dyDescent="0.3">
      <c r="D72" s="104">
        <v>2</v>
      </c>
      <c r="F72" s="59" t="s">
        <v>61</v>
      </c>
    </row>
    <row r="74" spans="3:6" ht="15.6" x14ac:dyDescent="0.3">
      <c r="C74" s="57" t="s">
        <v>47</v>
      </c>
      <c r="F74" s="57" t="s">
        <v>28</v>
      </c>
    </row>
    <row r="76" spans="3:6" x14ac:dyDescent="0.3">
      <c r="D76" s="58" t="s">
        <v>34</v>
      </c>
      <c r="F76" s="59" t="s">
        <v>48</v>
      </c>
    </row>
    <row r="77" spans="3:6" x14ac:dyDescent="0.3">
      <c r="D77" s="103" t="str">
        <f>TS_Currency&amp;CHOOSE(ROWS(D$77:D77),"","'000","Millions","Billions")</f>
        <v>$</v>
      </c>
      <c r="F77" s="61" t="s">
        <v>46</v>
      </c>
    </row>
    <row r="78" spans="3:6" x14ac:dyDescent="0.3">
      <c r="D78" s="103" t="str">
        <f>TS_Currency&amp;CHOOSE(ROWS(D$77:D78),"","'000","Millions","Billions")</f>
        <v>$'000</v>
      </c>
      <c r="F78" s="61" t="s">
        <v>46</v>
      </c>
    </row>
    <row r="79" spans="3:6" x14ac:dyDescent="0.3">
      <c r="D79" s="103" t="str">
        <f>TS_Currency&amp;CHOOSE(ROWS(D$77:D79),"","'000","Millions","Billions")</f>
        <v>$Millions</v>
      </c>
      <c r="F79" s="61" t="s">
        <v>46</v>
      </c>
    </row>
    <row r="80" spans="3:6" x14ac:dyDescent="0.3">
      <c r="D80" s="103" t="str">
        <f>TS_Currency&amp;CHOOSE(ROWS(D$77:D80),"","'000","Millions","Billions")</f>
        <v>$Billions</v>
      </c>
      <c r="F80" s="61" t="s">
        <v>46</v>
      </c>
    </row>
    <row r="82" spans="3:6" ht="15.6" x14ac:dyDescent="0.3">
      <c r="C82" s="57" t="s">
        <v>49</v>
      </c>
      <c r="F82" s="57" t="s">
        <v>28</v>
      </c>
    </row>
    <row r="84" spans="3:6" x14ac:dyDescent="0.3">
      <c r="D84" s="58" t="s">
        <v>50</v>
      </c>
      <c r="F84" s="59" t="s">
        <v>51</v>
      </c>
    </row>
    <row r="85" spans="3:6" x14ac:dyDescent="0.3">
      <c r="D85" s="105">
        <v>1</v>
      </c>
      <c r="F85" s="61" t="s">
        <v>46</v>
      </c>
    </row>
    <row r="86" spans="3:6" x14ac:dyDescent="0.3">
      <c r="D86" s="105">
        <v>1000</v>
      </c>
      <c r="F86" s="59" t="s">
        <v>62</v>
      </c>
    </row>
    <row r="87" spans="3:6" x14ac:dyDescent="0.3">
      <c r="D87" s="105">
        <v>1000000</v>
      </c>
      <c r="F87" s="59" t="s">
        <v>63</v>
      </c>
    </row>
    <row r="88" spans="3:6" x14ac:dyDescent="0.3">
      <c r="D88" s="105">
        <v>1000000000</v>
      </c>
      <c r="F88" s="59" t="s">
        <v>64</v>
      </c>
    </row>
  </sheetData>
  <sheetProtection algorithmName="SHA-512" hashValue="6alykgvvasZ9TaqGsZ2DQPBIif31//uV0po2jT+CqWjP14U6IVUSTMxQAtjxBe0jZ8BAcUul9xcGybVDI0hwTQ==" saltValue="u/pQ/3ZtpWaCKlTJm8BAIw==" spinCount="100000" sheet="1" objects="1" scenarios="1" formatColumns="0" formatRows="0"/>
  <mergeCells count="1">
    <mergeCell ref="B3:D3"/>
  </mergeCells>
  <hyperlinks>
    <hyperlink ref="A4" location="$B$5" tooltip="Go to Top of Sheet" display="$B$5" xr:uid="{00000000-0004-0000-2200-000000000000}"/>
    <hyperlink ref="C4" location="HL_Sheet_Main_14" tooltip="Go to Next Sheet" display="HL_Sheet_Main_14" xr:uid="{00000000-0004-0000-2200-000001000000}"/>
    <hyperlink ref="B4" location="HL_Sheet_Main_52" tooltip="Go to Previous Sheet" display="HL_Sheet_Main_52" xr:uid="{00000000-0004-0000-2200-000002000000}"/>
    <hyperlink ref="B3" location="HL_Home" tooltip="Go to Table of Contents" display="HL_Home" xr:uid="{00000000-0004-0000-22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214</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215</v>
      </c>
    </row>
    <row r="9" spans="1:6" ht="15.6" x14ac:dyDescent="0.3">
      <c r="C9" s="115" t="s">
        <v>93</v>
      </c>
    </row>
    <row r="11" spans="1:6" ht="15.6" x14ac:dyDescent="0.3">
      <c r="C11" s="115" t="s">
        <v>93</v>
      </c>
      <c r="F11" s="115" t="s">
        <v>28</v>
      </c>
    </row>
    <row r="13" spans="1:6" x14ac:dyDescent="0.3">
      <c r="D13" s="116" t="s">
        <v>95</v>
      </c>
      <c r="F13" s="119" t="s">
        <v>200</v>
      </c>
    </row>
    <row r="14" spans="1:6" x14ac:dyDescent="0.3">
      <c r="D14" s="30" t="str">
        <f>MICRO_BA!D165</f>
        <v>USD</v>
      </c>
      <c r="F14" s="33" t="s">
        <v>46</v>
      </c>
    </row>
    <row r="15" spans="1:6" x14ac:dyDescent="0.3">
      <c r="D15" s="30" t="str">
        <f>MICRO_BA!D166</f>
        <v>GOZ</v>
      </c>
      <c r="F15" s="33" t="s">
        <v>46</v>
      </c>
    </row>
    <row r="17" spans="3:6" ht="15.6" x14ac:dyDescent="0.3">
      <c r="C17" s="115" t="s">
        <v>77</v>
      </c>
      <c r="F17" s="115" t="s">
        <v>28</v>
      </c>
    </row>
    <row r="19" spans="3:6" x14ac:dyDescent="0.3">
      <c r="D19" s="116" t="s">
        <v>95</v>
      </c>
      <c r="F19" s="119" t="s">
        <v>201</v>
      </c>
    </row>
    <row r="20" spans="3:6" x14ac:dyDescent="0.3">
      <c r="D20" s="30" t="str">
        <f>MICRO_BA!C171</f>
        <v>Personnel Cadre - Other 1</v>
      </c>
      <c r="F20" s="33" t="s">
        <v>46</v>
      </c>
    </row>
    <row r="21" spans="3:6" x14ac:dyDescent="0.3">
      <c r="D21" s="30" t="str">
        <f>MICRO_BA!C172</f>
        <v>Personnel Cadre - Other 2</v>
      </c>
      <c r="F21" s="33" t="s">
        <v>46</v>
      </c>
    </row>
    <row r="22" spans="3:6" x14ac:dyDescent="0.3">
      <c r="D22" s="30" t="str">
        <f>MICRO_BA!C173</f>
        <v>Personnel Cadre - Other 3</v>
      </c>
      <c r="F22" s="33" t="s">
        <v>46</v>
      </c>
    </row>
    <row r="23" spans="3:6" x14ac:dyDescent="0.3">
      <c r="D23" s="30" t="str">
        <f>MICRO_BA!C174</f>
        <v>Personnel Cadre - Other 4</v>
      </c>
      <c r="F23" s="33" t="s">
        <v>46</v>
      </c>
    </row>
    <row r="24" spans="3:6" x14ac:dyDescent="0.3">
      <c r="D24" s="30" t="str">
        <f>MICRO_BA!C175</f>
        <v>Personnel Cadre - Other 5</v>
      </c>
      <c r="F24" s="33" t="s">
        <v>46</v>
      </c>
    </row>
    <row r="25" spans="3:6" x14ac:dyDescent="0.3">
      <c r="D25" s="30" t="str">
        <f>MICRO_BA!C176</f>
        <v>Personnel Cadre - Other 6</v>
      </c>
      <c r="F25" s="33" t="s">
        <v>46</v>
      </c>
    </row>
    <row r="26" spans="3:6" x14ac:dyDescent="0.3">
      <c r="D26" s="30" t="str">
        <f>MICRO_BA!C177</f>
        <v>Personnel Cadre - Other 7</v>
      </c>
      <c r="F26" s="33" t="s">
        <v>46</v>
      </c>
    </row>
    <row r="27" spans="3:6" x14ac:dyDescent="0.3">
      <c r="D27" s="30" t="str">
        <f>MICRO_BA!C178</f>
        <v>Personnel Cadre - Other 8</v>
      </c>
      <c r="F27" s="33" t="s">
        <v>46</v>
      </c>
    </row>
    <row r="28" spans="3:6" x14ac:dyDescent="0.3">
      <c r="D28" s="30" t="str">
        <f>MICRO_BA!C179</f>
        <v>Personnel Cadre - Other 9</v>
      </c>
      <c r="F28" s="33" t="s">
        <v>46</v>
      </c>
    </row>
    <row r="29" spans="3:6" x14ac:dyDescent="0.3">
      <c r="D29" s="30" t="str">
        <f>MICRO_BA!C180</f>
        <v>Personnel Cadre - Other 10</v>
      </c>
      <c r="F29" s="33" t="s">
        <v>46</v>
      </c>
    </row>
    <row r="30" spans="3:6" x14ac:dyDescent="0.3">
      <c r="D30" s="30" t="str">
        <f>MICRO_BA!C181</f>
        <v>Personnel Cadre - Other 11</v>
      </c>
      <c r="F30" s="33" t="s">
        <v>46</v>
      </c>
    </row>
    <row r="31" spans="3:6" x14ac:dyDescent="0.3">
      <c r="D31" s="30" t="str">
        <f>MICRO_BA!C182</f>
        <v>Personnel Cadre - Other 12</v>
      </c>
      <c r="F31" s="33" t="s">
        <v>46</v>
      </c>
    </row>
    <row r="32" spans="3:6" x14ac:dyDescent="0.3">
      <c r="D32" s="30" t="str">
        <f>MICRO_BA!C183</f>
        <v>Personnel Cadre - Other 13</v>
      </c>
      <c r="F32" s="33" t="s">
        <v>46</v>
      </c>
    </row>
    <row r="33" spans="4:6" x14ac:dyDescent="0.3">
      <c r="D33" s="30" t="str">
        <f>MICRO_BA!C184</f>
        <v>Personnel Cadre - Other 14</v>
      </c>
      <c r="F33" s="33" t="s">
        <v>46</v>
      </c>
    </row>
    <row r="34" spans="4:6" x14ac:dyDescent="0.3">
      <c r="D34" s="30" t="str">
        <f>MICRO_BA!C185</f>
        <v>Personnel Cadre - Other 15</v>
      </c>
      <c r="F34" s="33" t="s">
        <v>46</v>
      </c>
    </row>
    <row r="35" spans="4:6" x14ac:dyDescent="0.3">
      <c r="D35" s="282" t="str">
        <f>MICRO_BA!C186</f>
        <v>Personnel Cadre - Other 16</v>
      </c>
      <c r="F35" s="119"/>
    </row>
    <row r="36" spans="4:6" x14ac:dyDescent="0.3">
      <c r="D36" s="282" t="str">
        <f>MICRO_BA!C187</f>
        <v>Personnel Cadre - Other 17</v>
      </c>
      <c r="F36" s="119"/>
    </row>
    <row r="37" spans="4:6" x14ac:dyDescent="0.3">
      <c r="D37" s="282" t="str">
        <f>MICRO_BA!C188</f>
        <v>Personnel Cadre - Other 18</v>
      </c>
      <c r="F37" s="119"/>
    </row>
    <row r="38" spans="4:6" x14ac:dyDescent="0.3">
      <c r="D38" s="282" t="str">
        <f>MICRO_BA!C189</f>
        <v>Personnel Cadre - Other 19</v>
      </c>
      <c r="F38" s="119"/>
    </row>
    <row r="39" spans="4:6" x14ac:dyDescent="0.3">
      <c r="D39" s="282" t="str">
        <f>MICRO_BA!C190</f>
        <v>Personnel Cadre - Other 20</v>
      </c>
      <c r="F39" s="119"/>
    </row>
    <row r="40" spans="4:6" x14ac:dyDescent="0.3">
      <c r="D40" s="282" t="str">
        <f>MICRO_BA!C191</f>
        <v>Personnel Cadre - Other 21</v>
      </c>
      <c r="F40" s="119"/>
    </row>
    <row r="41" spans="4:6" x14ac:dyDescent="0.3">
      <c r="D41" s="282" t="str">
        <f>MICRO_BA!C192</f>
        <v>Personnel Cadre - Other 22</v>
      </c>
      <c r="F41" s="119"/>
    </row>
    <row r="42" spans="4:6" x14ac:dyDescent="0.3">
      <c r="D42" s="282" t="str">
        <f>MICRO_BA!C193</f>
        <v>Personnel Cadre - Other 23</v>
      </c>
      <c r="F42" s="119"/>
    </row>
    <row r="43" spans="4:6" x14ac:dyDescent="0.3">
      <c r="D43" s="282" t="str">
        <f>MICRO_BA!C194</f>
        <v>Personnel Cadre - Other 24</v>
      </c>
      <c r="F43" s="119"/>
    </row>
    <row r="44" spans="4:6" x14ac:dyDescent="0.3">
      <c r="D44" s="282" t="str">
        <f>MICRO_BA!C195</f>
        <v>Personnel Cadre - Other 25</v>
      </c>
      <c r="F44" s="119"/>
    </row>
    <row r="45" spans="4:6" x14ac:dyDescent="0.3">
      <c r="D45" s="282" t="str">
        <f>MICRO_BA!C196</f>
        <v>Personnel Cadre - Other 26</v>
      </c>
      <c r="F45" s="119"/>
    </row>
    <row r="46" spans="4:6" x14ac:dyDescent="0.3">
      <c r="D46" s="282" t="str">
        <f>MICRO_BA!C197</f>
        <v>Personnel Cadre - Other 27</v>
      </c>
      <c r="F46" s="119"/>
    </row>
    <row r="47" spans="4:6" x14ac:dyDescent="0.3">
      <c r="D47" s="282" t="str">
        <f>MICRO_BA!C198</f>
        <v>Personnel Cadre - Other 28</v>
      </c>
      <c r="F47" s="119"/>
    </row>
    <row r="48" spans="4:6" x14ac:dyDescent="0.3">
      <c r="D48" s="282" t="str">
        <f>MICRO_BA!C199</f>
        <v>Personnel Cadre - Other 29</v>
      </c>
      <c r="F48" s="119"/>
    </row>
    <row r="49" spans="3:6" x14ac:dyDescent="0.3">
      <c r="D49" s="282" t="str">
        <f>MICRO_BA!C200</f>
        <v>Personnel Cadre - Other 30</v>
      </c>
      <c r="F49" s="119"/>
    </row>
    <row r="50" spans="3:6" x14ac:dyDescent="0.3">
      <c r="D50" s="282" t="str">
        <f>MICRO_BA!C201</f>
        <v>Personnel Cadre - Other 31</v>
      </c>
      <c r="F50" s="119"/>
    </row>
    <row r="51" spans="3:6" x14ac:dyDescent="0.3">
      <c r="D51" s="282" t="str">
        <f>MICRO_BA!C202</f>
        <v>Personnel Cadre - Other 32</v>
      </c>
      <c r="F51" s="119"/>
    </row>
    <row r="52" spans="3:6" x14ac:dyDescent="0.3">
      <c r="D52" s="282" t="str">
        <f>MICRO_BA!C203</f>
        <v>Personnel Cadre - Other 33</v>
      </c>
      <c r="F52" s="119"/>
    </row>
    <row r="53" spans="3:6" x14ac:dyDescent="0.3">
      <c r="D53" s="282" t="str">
        <f>MICRO_BA!C204</f>
        <v>Personnel Cadre - Other 34</v>
      </c>
      <c r="F53" s="119"/>
    </row>
    <row r="54" spans="3:6" x14ac:dyDescent="0.3">
      <c r="D54" s="282" t="str">
        <f>MICRO_BA!C205</f>
        <v>Personnel Cadre - Other 35</v>
      </c>
      <c r="F54" s="119"/>
    </row>
    <row r="56" spans="3:6" ht="15.6" x14ac:dyDescent="0.3">
      <c r="C56" s="115" t="s">
        <v>94</v>
      </c>
      <c r="F56" s="115" t="s">
        <v>28</v>
      </c>
    </row>
    <row r="58" spans="3:6" x14ac:dyDescent="0.3">
      <c r="D58" s="116" t="s">
        <v>95</v>
      </c>
      <c r="F58" s="119" t="s">
        <v>202</v>
      </c>
    </row>
    <row r="59" spans="3:6" x14ac:dyDescent="0.3">
      <c r="D59" s="30" t="str">
        <f>MICRO_BA!C208</f>
        <v>Allowances Category 1</v>
      </c>
      <c r="F59" s="33" t="s">
        <v>46</v>
      </c>
    </row>
    <row r="60" spans="3:6" x14ac:dyDescent="0.3">
      <c r="D60" s="30" t="str">
        <f>MICRO_BA!C209</f>
        <v>Allowances Category 2</v>
      </c>
      <c r="F60" s="33" t="s">
        <v>46</v>
      </c>
    </row>
    <row r="61" spans="3:6" x14ac:dyDescent="0.3">
      <c r="D61" s="30" t="str">
        <f>MICRO_BA!C210</f>
        <v>Allowances Category 3</v>
      </c>
      <c r="F61" s="33" t="s">
        <v>46</v>
      </c>
    </row>
    <row r="62" spans="3:6" x14ac:dyDescent="0.3">
      <c r="D62" s="30" t="str">
        <f>MICRO_BA!C211</f>
        <v>Allowances Category 4</v>
      </c>
      <c r="F62" s="33" t="s">
        <v>46</v>
      </c>
    </row>
    <row r="63" spans="3:6" x14ac:dyDescent="0.3">
      <c r="D63" s="30" t="str">
        <f>MICRO_BA!C212</f>
        <v>Allowances Category 5</v>
      </c>
      <c r="F63" s="33" t="s">
        <v>46</v>
      </c>
    </row>
    <row r="64" spans="3:6" x14ac:dyDescent="0.3">
      <c r="D64" s="282" t="str">
        <f>MICRO_BA!C213</f>
        <v>Allowances Category 6</v>
      </c>
      <c r="F64" s="119"/>
    </row>
    <row r="65" spans="4:6" x14ac:dyDescent="0.3">
      <c r="D65" s="282" t="str">
        <f>MICRO_BA!C214</f>
        <v>Allowances Category 7</v>
      </c>
      <c r="F65" s="119"/>
    </row>
    <row r="66" spans="4:6" x14ac:dyDescent="0.3">
      <c r="D66" s="282" t="str">
        <f>MICRO_BA!C215</f>
        <v>Allowances Category 8</v>
      </c>
      <c r="F66" s="119"/>
    </row>
    <row r="67" spans="4:6" x14ac:dyDescent="0.3">
      <c r="D67" s="282" t="str">
        <f>MICRO_BA!C216</f>
        <v>Allowances Category 9</v>
      </c>
      <c r="F67" s="119"/>
    </row>
    <row r="68" spans="4:6" x14ac:dyDescent="0.3">
      <c r="D68" s="282" t="str">
        <f>MICRO_BA!C217</f>
        <v>Allowances Category 10</v>
      </c>
      <c r="F68" s="119"/>
    </row>
    <row r="69" spans="4:6" x14ac:dyDescent="0.3">
      <c r="D69" s="282" t="str">
        <f>MICRO_BA!C218</f>
        <v>Allowances Category 11</v>
      </c>
      <c r="F69" s="119"/>
    </row>
    <row r="70" spans="4:6" x14ac:dyDescent="0.3">
      <c r="D70" s="282" t="str">
        <f>MICRO_BA!C219</f>
        <v>Allowances Category 12</v>
      </c>
      <c r="F70" s="119"/>
    </row>
    <row r="71" spans="4:6" x14ac:dyDescent="0.3">
      <c r="D71" s="282" t="str">
        <f>MICRO_BA!C220</f>
        <v>Allowances Category 13</v>
      </c>
      <c r="F71" s="119"/>
    </row>
    <row r="72" spans="4:6" x14ac:dyDescent="0.3">
      <c r="D72" s="282" t="str">
        <f>MICRO_BA!C221</f>
        <v>Allowances Category 14</v>
      </c>
      <c r="F72" s="119"/>
    </row>
    <row r="73" spans="4:6" x14ac:dyDescent="0.3">
      <c r="D73" s="282" t="str">
        <f>MICRO_BA!C222</f>
        <v>Allowances Category 15</v>
      </c>
      <c r="F73" s="119"/>
    </row>
    <row r="74" spans="4:6" x14ac:dyDescent="0.3">
      <c r="D74" s="282" t="str">
        <f>MICRO_BA!C223</f>
        <v>Allowances Category 16</v>
      </c>
      <c r="F74" s="119"/>
    </row>
    <row r="75" spans="4:6" x14ac:dyDescent="0.3">
      <c r="D75" s="30" t="str">
        <f>MICRO_BA!C224</f>
        <v>Allowances Category 17</v>
      </c>
      <c r="F75" s="33" t="s">
        <v>46</v>
      </c>
    </row>
    <row r="76" spans="4:6" x14ac:dyDescent="0.3">
      <c r="D76" s="30" t="str">
        <f>MICRO_BA!C225</f>
        <v>Allowances Category 18</v>
      </c>
      <c r="F76" s="33" t="s">
        <v>46</v>
      </c>
    </row>
    <row r="77" spans="4:6" x14ac:dyDescent="0.3">
      <c r="D77" s="30" t="str">
        <f>MICRO_BA!C226</f>
        <v>Allowances Category 19</v>
      </c>
      <c r="F77" s="33" t="s">
        <v>46</v>
      </c>
    </row>
    <row r="78" spans="4:6" x14ac:dyDescent="0.3">
      <c r="D78" s="30" t="str">
        <f>MICRO_BA!C227</f>
        <v>Allowances Category 20</v>
      </c>
      <c r="F78" s="33" t="s">
        <v>46</v>
      </c>
    </row>
    <row r="79" spans="4:6" x14ac:dyDescent="0.3">
      <c r="D79" s="30" t="str">
        <f>MICRO_BA!C228</f>
        <v>Allowances Category 21</v>
      </c>
      <c r="F79" s="33" t="s">
        <v>46</v>
      </c>
    </row>
    <row r="80" spans="4:6" x14ac:dyDescent="0.3">
      <c r="D80" s="30" t="str">
        <f>MICRO_BA!C229</f>
        <v>Allowances Category 22</v>
      </c>
      <c r="F80" s="33" t="s">
        <v>46</v>
      </c>
    </row>
    <row r="81" spans="3:6" x14ac:dyDescent="0.3">
      <c r="D81" s="30" t="str">
        <f>MICRO_BA!C230</f>
        <v>Allowances Category 23</v>
      </c>
      <c r="F81" s="33" t="s">
        <v>46</v>
      </c>
    </row>
    <row r="82" spans="3:6" x14ac:dyDescent="0.3">
      <c r="D82" s="282" t="str">
        <f>MICRO_BA!C231</f>
        <v>Allowances Category 24</v>
      </c>
      <c r="F82" s="119"/>
    </row>
    <row r="83" spans="3:6" x14ac:dyDescent="0.3">
      <c r="D83" s="282" t="str">
        <f>MICRO_BA!C232</f>
        <v>Allowances Category 25</v>
      </c>
      <c r="F83" s="119"/>
    </row>
    <row r="84" spans="3:6" x14ac:dyDescent="0.3">
      <c r="D84" s="282" t="str">
        <f>MICRO_BA!C233</f>
        <v>Allowances Category 26</v>
      </c>
      <c r="F84" s="119"/>
    </row>
    <row r="85" spans="3:6" x14ac:dyDescent="0.3">
      <c r="D85" s="282" t="str">
        <f>MICRO_BA!C234</f>
        <v>Allowances Category 27</v>
      </c>
      <c r="F85" s="119"/>
    </row>
    <row r="86" spans="3:6" x14ac:dyDescent="0.3">
      <c r="D86" s="282" t="str">
        <f>MICRO_BA!C235</f>
        <v>Allowances Category 28</v>
      </c>
      <c r="F86" s="119"/>
    </row>
    <row r="87" spans="3:6" x14ac:dyDescent="0.3">
      <c r="D87" s="282" t="str">
        <f>MICRO_BA!C236</f>
        <v>Allowances Category 29</v>
      </c>
      <c r="F87" s="119"/>
    </row>
    <row r="88" spans="3:6" x14ac:dyDescent="0.3">
      <c r="D88" s="282" t="str">
        <f>MICRO_BA!C237</f>
        <v>Allowances Category 30</v>
      </c>
      <c r="F88" s="119"/>
    </row>
    <row r="89" spans="3:6" x14ac:dyDescent="0.3">
      <c r="D89" s="30" t="str">
        <f>MICRO_BA!C238</f>
        <v>Allowances Category 31</v>
      </c>
      <c r="F89" s="33" t="s">
        <v>46</v>
      </c>
    </row>
    <row r="90" spans="3:6" x14ac:dyDescent="0.3">
      <c r="D90" s="30" t="str">
        <f>MICRO_BA!C239</f>
        <v>Allowances Category 32</v>
      </c>
      <c r="F90" s="33" t="s">
        <v>46</v>
      </c>
    </row>
    <row r="91" spans="3:6" x14ac:dyDescent="0.3">
      <c r="D91" s="30" t="str">
        <f>MICRO_BA!C240</f>
        <v>Allowances Category 33</v>
      </c>
      <c r="F91" s="33" t="s">
        <v>46</v>
      </c>
    </row>
    <row r="92" spans="3:6" x14ac:dyDescent="0.3">
      <c r="D92" s="30" t="str">
        <f>MICRO_BA!C241</f>
        <v>Allowances Category 34</v>
      </c>
      <c r="F92" s="33" t="s">
        <v>46</v>
      </c>
    </row>
    <row r="93" spans="3:6" x14ac:dyDescent="0.3">
      <c r="D93" s="30" t="str">
        <f>MICRO_BA!C242</f>
        <v>Allowances Category 35</v>
      </c>
      <c r="F93" s="33" t="s">
        <v>46</v>
      </c>
    </row>
    <row r="96" spans="3:6" ht="15.6" x14ac:dyDescent="0.3">
      <c r="C96" s="115" t="s">
        <v>132</v>
      </c>
      <c r="F96" s="115" t="s">
        <v>28</v>
      </c>
    </row>
    <row r="98" spans="4:6" x14ac:dyDescent="0.3">
      <c r="D98" s="116" t="s">
        <v>95</v>
      </c>
      <c r="F98" s="119" t="s">
        <v>203</v>
      </c>
    </row>
    <row r="99" spans="4:6" x14ac:dyDescent="0.3">
      <c r="D99" s="30" t="str">
        <f>MICRO_BA!C246</f>
        <v>Supplies Category 1</v>
      </c>
      <c r="F99" s="33" t="s">
        <v>46</v>
      </c>
    </row>
    <row r="100" spans="4:6" x14ac:dyDescent="0.3">
      <c r="D100" s="30" t="str">
        <f>MICRO_BA!C247</f>
        <v>Supplies Category 2</v>
      </c>
      <c r="F100" s="33" t="s">
        <v>46</v>
      </c>
    </row>
    <row r="101" spans="4:6" x14ac:dyDescent="0.3">
      <c r="D101" s="30" t="str">
        <f>MICRO_BA!C248</f>
        <v>Supplies Category 3</v>
      </c>
      <c r="F101" s="33" t="s">
        <v>46</v>
      </c>
    </row>
    <row r="102" spans="4:6" x14ac:dyDescent="0.3">
      <c r="D102" s="30" t="str">
        <f>MICRO_BA!C249</f>
        <v>Supplies Category 4</v>
      </c>
      <c r="F102" s="33" t="s">
        <v>46</v>
      </c>
    </row>
    <row r="103" spans="4:6" x14ac:dyDescent="0.3">
      <c r="D103" s="30" t="str">
        <f>MICRO_BA!C250</f>
        <v>Supplies Category 5</v>
      </c>
      <c r="F103" s="33" t="s">
        <v>46</v>
      </c>
    </row>
    <row r="104" spans="4:6" x14ac:dyDescent="0.3">
      <c r="D104" s="30" t="str">
        <f>MICRO_BA!C251</f>
        <v>Supplies Category 6</v>
      </c>
      <c r="F104" s="33" t="s">
        <v>46</v>
      </c>
    </row>
    <row r="105" spans="4:6" x14ac:dyDescent="0.3">
      <c r="D105" s="30" t="str">
        <f>MICRO_BA!C252</f>
        <v>Supplies Category 7</v>
      </c>
      <c r="F105" s="33" t="s">
        <v>46</v>
      </c>
    </row>
    <row r="106" spans="4:6" x14ac:dyDescent="0.3">
      <c r="D106" s="30" t="str">
        <f>MICRO_BA!C253</f>
        <v>Supplies Category 8</v>
      </c>
      <c r="F106" s="33" t="s">
        <v>46</v>
      </c>
    </row>
    <row r="107" spans="4:6" x14ac:dyDescent="0.3">
      <c r="D107" s="30" t="str">
        <f>MICRO_BA!C254</f>
        <v>Supplies Category 9</v>
      </c>
      <c r="F107" s="33" t="s">
        <v>46</v>
      </c>
    </row>
    <row r="108" spans="4:6" x14ac:dyDescent="0.3">
      <c r="D108" s="30" t="str">
        <f>MICRO_BA!C255</f>
        <v>Supplies Category 10</v>
      </c>
      <c r="F108" s="33" t="s">
        <v>46</v>
      </c>
    </row>
    <row r="109" spans="4:6" x14ac:dyDescent="0.3">
      <c r="D109" s="30" t="str">
        <f>MICRO_BA!C256</f>
        <v>Supplies Category 11</v>
      </c>
      <c r="F109" s="33" t="s">
        <v>46</v>
      </c>
    </row>
    <row r="110" spans="4:6" x14ac:dyDescent="0.3">
      <c r="D110" s="30" t="str">
        <f>MICRO_BA!C257</f>
        <v>Supplies Category 12</v>
      </c>
      <c r="F110" s="33" t="s">
        <v>46</v>
      </c>
    </row>
    <row r="111" spans="4:6" x14ac:dyDescent="0.3">
      <c r="D111" s="30" t="str">
        <f>MICRO_BA!C258</f>
        <v>Supplies Category 13</v>
      </c>
      <c r="F111" s="33" t="s">
        <v>46</v>
      </c>
    </row>
    <row r="112" spans="4:6" x14ac:dyDescent="0.3">
      <c r="D112" s="30" t="str">
        <f>MICRO_BA!C259</f>
        <v>Supplies Category 14</v>
      </c>
      <c r="F112" s="33" t="s">
        <v>46</v>
      </c>
    </row>
    <row r="113" spans="4:6" x14ac:dyDescent="0.3">
      <c r="D113" s="30" t="str">
        <f>MICRO_BA!C260</f>
        <v>Supplies Category 15</v>
      </c>
      <c r="F113" s="33" t="s">
        <v>46</v>
      </c>
    </row>
    <row r="114" spans="4:6" x14ac:dyDescent="0.3">
      <c r="D114" s="30" t="str">
        <f>MICRO_BA!C261</f>
        <v>Supplies Category 16</v>
      </c>
      <c r="F114" s="33" t="s">
        <v>46</v>
      </c>
    </row>
    <row r="115" spans="4:6" x14ac:dyDescent="0.3">
      <c r="D115" s="282" t="str">
        <f>MICRO_BA!C262</f>
        <v>Supplies Category 17</v>
      </c>
      <c r="F115" s="119"/>
    </row>
    <row r="116" spans="4:6" x14ac:dyDescent="0.3">
      <c r="D116" s="282" t="str">
        <f>MICRO_BA!C263</f>
        <v>Supplies Category 18</v>
      </c>
      <c r="F116" s="119"/>
    </row>
    <row r="117" spans="4:6" x14ac:dyDescent="0.3">
      <c r="D117" s="282" t="str">
        <f>MICRO_BA!C264</f>
        <v>Supplies Category 19</v>
      </c>
      <c r="F117" s="119"/>
    </row>
    <row r="118" spans="4:6" x14ac:dyDescent="0.3">
      <c r="D118" s="282" t="str">
        <f>MICRO_BA!C265</f>
        <v>Supplies Category 20</v>
      </c>
      <c r="F118" s="119"/>
    </row>
    <row r="119" spans="4:6" x14ac:dyDescent="0.3">
      <c r="D119" s="282" t="str">
        <f>MICRO_BA!C266</f>
        <v>Supplies Category 21</v>
      </c>
      <c r="F119" s="119"/>
    </row>
    <row r="120" spans="4:6" x14ac:dyDescent="0.3">
      <c r="D120" s="282" t="str">
        <f>MICRO_BA!C267</f>
        <v>Supplies Category 22</v>
      </c>
      <c r="F120" s="119"/>
    </row>
    <row r="121" spans="4:6" x14ac:dyDescent="0.3">
      <c r="D121" s="282" t="str">
        <f>MICRO_BA!C268</f>
        <v>Supplies Category 23</v>
      </c>
      <c r="F121" s="119"/>
    </row>
    <row r="122" spans="4:6" x14ac:dyDescent="0.3">
      <c r="D122" s="282" t="str">
        <f>MICRO_BA!C269</f>
        <v>Supplies Category 24</v>
      </c>
      <c r="F122" s="119"/>
    </row>
    <row r="123" spans="4:6" x14ac:dyDescent="0.3">
      <c r="D123" s="282" t="str">
        <f>MICRO_BA!C270</f>
        <v>Supplies Category 25</v>
      </c>
      <c r="F123" s="119"/>
    </row>
    <row r="124" spans="4:6" x14ac:dyDescent="0.3">
      <c r="D124" s="282" t="str">
        <f>MICRO_BA!C271</f>
        <v>Supplies Category 26</v>
      </c>
      <c r="F124" s="119"/>
    </row>
    <row r="125" spans="4:6" x14ac:dyDescent="0.3">
      <c r="D125" s="282" t="str">
        <f>MICRO_BA!C272</f>
        <v>Supplies Category 27</v>
      </c>
      <c r="F125" s="119"/>
    </row>
    <row r="126" spans="4:6" x14ac:dyDescent="0.3">
      <c r="D126" s="282" t="str">
        <f>MICRO_BA!C273</f>
        <v>Supplies Category 28</v>
      </c>
      <c r="F126" s="119"/>
    </row>
    <row r="127" spans="4:6" x14ac:dyDescent="0.3">
      <c r="D127" s="282" t="str">
        <f>MICRO_BA!C274</f>
        <v>Supplies Category 29</v>
      </c>
      <c r="F127" s="119"/>
    </row>
    <row r="128" spans="4:6" x14ac:dyDescent="0.3">
      <c r="D128" s="282" t="str">
        <f>MICRO_BA!C275</f>
        <v>Supplies Category 30</v>
      </c>
      <c r="F128" s="119"/>
    </row>
    <row r="129" spans="3:6" x14ac:dyDescent="0.3">
      <c r="D129" s="282" t="str">
        <f>MICRO_BA!C276</f>
        <v>Supplies Category 31</v>
      </c>
      <c r="F129" s="119"/>
    </row>
    <row r="130" spans="3:6" x14ac:dyDescent="0.3">
      <c r="D130" s="282" t="str">
        <f>MICRO_BA!C277</f>
        <v>Supplies Category 32</v>
      </c>
      <c r="F130" s="119"/>
    </row>
    <row r="131" spans="3:6" x14ac:dyDescent="0.3">
      <c r="D131" s="282" t="str">
        <f>MICRO_BA!C278</f>
        <v>Supplies Category 33</v>
      </c>
      <c r="F131" s="119"/>
    </row>
    <row r="132" spans="3:6" x14ac:dyDescent="0.3">
      <c r="D132" s="282" t="str">
        <f>MICRO_BA!C279</f>
        <v>Supplies Category 34</v>
      </c>
      <c r="F132" s="119"/>
    </row>
    <row r="133" spans="3:6" x14ac:dyDescent="0.3">
      <c r="D133" s="282" t="str">
        <f>MICRO_BA!C280</f>
        <v>Supplies Category 35</v>
      </c>
      <c r="F133" s="119"/>
    </row>
    <row r="136" spans="3:6" ht="15.6" x14ac:dyDescent="0.3">
      <c r="C136" s="115" t="s">
        <v>130</v>
      </c>
      <c r="F136" s="115" t="s">
        <v>28</v>
      </c>
    </row>
    <row r="138" spans="3:6" x14ac:dyDescent="0.3">
      <c r="D138" s="116" t="s">
        <v>95</v>
      </c>
      <c r="F138" s="119" t="s">
        <v>204</v>
      </c>
    </row>
    <row r="139" spans="3:6" x14ac:dyDescent="0.3">
      <c r="D139" s="30" t="str">
        <f>MICRO_BA!C283</f>
        <v>Equipment Category 1</v>
      </c>
      <c r="F139" s="33" t="s">
        <v>46</v>
      </c>
    </row>
    <row r="140" spans="3:6" x14ac:dyDescent="0.3">
      <c r="D140" s="30" t="str">
        <f>MICRO_BA!C284</f>
        <v>Equipment Category 2</v>
      </c>
      <c r="F140" s="33" t="s">
        <v>46</v>
      </c>
    </row>
    <row r="141" spans="3:6" x14ac:dyDescent="0.3">
      <c r="D141" s="30" t="str">
        <f>MICRO_BA!C285</f>
        <v>Equipment Category 3</v>
      </c>
      <c r="F141" s="33" t="s">
        <v>46</v>
      </c>
    </row>
    <row r="142" spans="3:6" x14ac:dyDescent="0.3">
      <c r="D142" s="30" t="str">
        <f>MICRO_BA!C286</f>
        <v>Equipment Category 4</v>
      </c>
      <c r="F142" s="33" t="s">
        <v>46</v>
      </c>
    </row>
    <row r="143" spans="3:6" x14ac:dyDescent="0.3">
      <c r="D143" s="30" t="str">
        <f>MICRO_BA!C287</f>
        <v>Equipment Category 5</v>
      </c>
      <c r="F143" s="33" t="s">
        <v>46</v>
      </c>
    </row>
    <row r="144" spans="3:6" x14ac:dyDescent="0.3">
      <c r="D144" s="30" t="str">
        <f>MICRO_BA!C288</f>
        <v>Equipment Category 6</v>
      </c>
      <c r="F144" s="33" t="s">
        <v>46</v>
      </c>
    </row>
    <row r="145" spans="4:6" x14ac:dyDescent="0.3">
      <c r="D145" s="282" t="str">
        <f>MICRO_BA!C289</f>
        <v>Equipment Category 7</v>
      </c>
      <c r="F145" s="119"/>
    </row>
    <row r="146" spans="4:6" x14ac:dyDescent="0.3">
      <c r="D146" s="282" t="str">
        <f>MICRO_BA!C290</f>
        <v>Equipment Category 8</v>
      </c>
      <c r="F146" s="119"/>
    </row>
    <row r="147" spans="4:6" x14ac:dyDescent="0.3">
      <c r="D147" s="282" t="str">
        <f>MICRO_BA!C291</f>
        <v>Equipment Category 9</v>
      </c>
      <c r="F147" s="119"/>
    </row>
    <row r="148" spans="4:6" x14ac:dyDescent="0.3">
      <c r="D148" s="282" t="str">
        <f>MICRO_BA!C292</f>
        <v>Equipment Category 10</v>
      </c>
      <c r="F148" s="119"/>
    </row>
    <row r="149" spans="4:6" x14ac:dyDescent="0.3">
      <c r="D149" s="282" t="str">
        <f>MICRO_BA!C293</f>
        <v>Equipment Category 11</v>
      </c>
      <c r="F149" s="119"/>
    </row>
    <row r="150" spans="4:6" x14ac:dyDescent="0.3">
      <c r="D150" s="282" t="str">
        <f>MICRO_BA!C294</f>
        <v>Equipment Category 12</v>
      </c>
      <c r="F150" s="119"/>
    </row>
    <row r="151" spans="4:6" x14ac:dyDescent="0.3">
      <c r="D151" s="282" t="str">
        <f>MICRO_BA!C295</f>
        <v>Equipment Category 13</v>
      </c>
      <c r="F151" s="119"/>
    </row>
    <row r="152" spans="4:6" x14ac:dyDescent="0.3">
      <c r="D152" s="282" t="str">
        <f>MICRO_BA!C296</f>
        <v>Equipment Category 14</v>
      </c>
      <c r="F152" s="119"/>
    </row>
    <row r="153" spans="4:6" x14ac:dyDescent="0.3">
      <c r="D153" s="282" t="str">
        <f>MICRO_BA!C297</f>
        <v>Equipment Category 15</v>
      </c>
      <c r="F153" s="119"/>
    </row>
    <row r="154" spans="4:6" x14ac:dyDescent="0.3">
      <c r="D154" s="282" t="str">
        <f>MICRO_BA!C298</f>
        <v>Equipment Category 16</v>
      </c>
      <c r="F154" s="119"/>
    </row>
    <row r="155" spans="4:6" x14ac:dyDescent="0.3">
      <c r="D155" s="282" t="str">
        <f>MICRO_BA!C299</f>
        <v>Equipment Category 17</v>
      </c>
      <c r="F155" s="119"/>
    </row>
    <row r="156" spans="4:6" x14ac:dyDescent="0.3">
      <c r="D156" s="282" t="str">
        <f>MICRO_BA!C300</f>
        <v>Equipment Category 18</v>
      </c>
      <c r="F156" s="119"/>
    </row>
    <row r="157" spans="4:6" x14ac:dyDescent="0.3">
      <c r="D157" s="282" t="str">
        <f>MICRO_BA!C301</f>
        <v>Equipment Category 19</v>
      </c>
      <c r="F157" s="119"/>
    </row>
    <row r="158" spans="4:6" x14ac:dyDescent="0.3">
      <c r="D158" s="282" t="str">
        <f>MICRO_BA!C302</f>
        <v>Equipment Category 20</v>
      </c>
      <c r="F158" s="119"/>
    </row>
    <row r="159" spans="4:6" x14ac:dyDescent="0.3">
      <c r="D159" s="282" t="str">
        <f>MICRO_BA!C303</f>
        <v>Equipment Category 21</v>
      </c>
      <c r="F159" s="119"/>
    </row>
    <row r="160" spans="4:6" x14ac:dyDescent="0.3">
      <c r="D160" s="282" t="str">
        <f>MICRO_BA!C304</f>
        <v>Equipment Category 22</v>
      </c>
      <c r="F160" s="119"/>
    </row>
    <row r="161" spans="3:6" x14ac:dyDescent="0.3">
      <c r="D161" s="282" t="str">
        <f>MICRO_BA!C305</f>
        <v>Equipment Category 23</v>
      </c>
      <c r="F161" s="119"/>
    </row>
    <row r="162" spans="3:6" x14ac:dyDescent="0.3">
      <c r="D162" s="282" t="str">
        <f>MICRO_BA!C306</f>
        <v>Equipment Category 24</v>
      </c>
      <c r="F162" s="119"/>
    </row>
    <row r="163" spans="3:6" x14ac:dyDescent="0.3">
      <c r="D163" s="282" t="str">
        <f>MICRO_BA!C307</f>
        <v>Equipment Category 25</v>
      </c>
      <c r="F163" s="119"/>
    </row>
    <row r="164" spans="3:6" x14ac:dyDescent="0.3">
      <c r="D164" s="282" t="str">
        <f>MICRO_BA!C308</f>
        <v>Equipment Category 26</v>
      </c>
      <c r="F164" s="119"/>
    </row>
    <row r="165" spans="3:6" x14ac:dyDescent="0.3">
      <c r="D165" s="282" t="str">
        <f>MICRO_BA!C309</f>
        <v>Equipment Category 27</v>
      </c>
      <c r="F165" s="119"/>
    </row>
    <row r="166" spans="3:6" x14ac:dyDescent="0.3">
      <c r="D166" s="282" t="str">
        <f>MICRO_BA!C310</f>
        <v>Equipment Category 28</v>
      </c>
      <c r="F166" s="119"/>
    </row>
    <row r="167" spans="3:6" x14ac:dyDescent="0.3">
      <c r="D167" s="282" t="str">
        <f>MICRO_BA!C311</f>
        <v>Equipment Category 29</v>
      </c>
      <c r="F167" s="119"/>
    </row>
    <row r="168" spans="3:6" x14ac:dyDescent="0.3">
      <c r="D168" s="282" t="str">
        <f>MICRO_BA!C312</f>
        <v>Equipment Category 30</v>
      </c>
      <c r="F168" s="119"/>
    </row>
    <row r="169" spans="3:6" x14ac:dyDescent="0.3">
      <c r="D169" s="282" t="str">
        <f>MICRO_BA!C313</f>
        <v>Equipment Category 31</v>
      </c>
      <c r="F169" s="119"/>
    </row>
    <row r="170" spans="3:6" x14ac:dyDescent="0.3">
      <c r="D170" s="282" t="str">
        <f>MICRO_BA!C314</f>
        <v>Equipment Category 32</v>
      </c>
      <c r="F170" s="119"/>
    </row>
    <row r="171" spans="3:6" x14ac:dyDescent="0.3">
      <c r="D171" s="282" t="str">
        <f>MICRO_BA!C315</f>
        <v>Equipment Category 33</v>
      </c>
      <c r="F171" s="119"/>
    </row>
    <row r="172" spans="3:6" x14ac:dyDescent="0.3">
      <c r="D172" s="282" t="str">
        <f>MICRO_BA!C316</f>
        <v>Equipment Category 34</v>
      </c>
      <c r="F172" s="119"/>
    </row>
    <row r="173" spans="3:6" x14ac:dyDescent="0.3">
      <c r="D173" s="282" t="str">
        <f>MICRO_BA!C317</f>
        <v>Equipment Category 35</v>
      </c>
      <c r="F173" s="119"/>
    </row>
    <row r="175" spans="3:6" ht="15.6" x14ac:dyDescent="0.3">
      <c r="C175" s="115" t="s">
        <v>89</v>
      </c>
      <c r="F175" s="115" t="s">
        <v>28</v>
      </c>
    </row>
    <row r="177" spans="4:6" x14ac:dyDescent="0.3">
      <c r="D177" s="116" t="s">
        <v>95</v>
      </c>
      <c r="F177" s="119" t="s">
        <v>205</v>
      </c>
    </row>
    <row r="178" spans="4:6" x14ac:dyDescent="0.3">
      <c r="D178" s="30" t="str">
        <f>MICRO_BA!C321</f>
        <v>Other Direct Costs Category 1</v>
      </c>
      <c r="F178" s="33" t="s">
        <v>46</v>
      </c>
    </row>
    <row r="179" spans="4:6" x14ac:dyDescent="0.3">
      <c r="D179" s="30" t="str">
        <f>MICRO_BA!C322</f>
        <v>Other Direct Costs Category 2</v>
      </c>
      <c r="F179" s="33" t="s">
        <v>46</v>
      </c>
    </row>
    <row r="180" spans="4:6" x14ac:dyDescent="0.3">
      <c r="D180" s="30" t="str">
        <f>MICRO_BA!C323</f>
        <v>Other Direct Costs Category 3</v>
      </c>
      <c r="F180" s="33" t="s">
        <v>46</v>
      </c>
    </row>
    <row r="181" spans="4:6" x14ac:dyDescent="0.3">
      <c r="D181" s="282" t="str">
        <f>MICRO_BA!C324</f>
        <v>Other Direct Costs Category 4</v>
      </c>
      <c r="F181" s="119"/>
    </row>
    <row r="182" spans="4:6" x14ac:dyDescent="0.3">
      <c r="D182" s="282" t="str">
        <f>MICRO_BA!C325</f>
        <v>Other Direct Costs Category 5</v>
      </c>
      <c r="F182" s="119"/>
    </row>
    <row r="183" spans="4:6" x14ac:dyDescent="0.3">
      <c r="D183" s="282" t="str">
        <f>MICRO_BA!C326</f>
        <v>Other Direct Costs Category 6</v>
      </c>
      <c r="F183" s="119"/>
    </row>
    <row r="184" spans="4:6" x14ac:dyDescent="0.3">
      <c r="D184" s="282" t="str">
        <f>MICRO_BA!C327</f>
        <v>Other Direct Costs Category 7</v>
      </c>
      <c r="F184" s="119"/>
    </row>
    <row r="185" spans="4:6" x14ac:dyDescent="0.3">
      <c r="D185" s="282" t="str">
        <f>MICRO_BA!C328</f>
        <v>Other Direct Costs Category 8</v>
      </c>
      <c r="F185" s="119"/>
    </row>
    <row r="186" spans="4:6" x14ac:dyDescent="0.3">
      <c r="D186" s="282" t="str">
        <f>MICRO_BA!C329</f>
        <v>Other Direct Costs Category 9</v>
      </c>
      <c r="F186" s="119"/>
    </row>
    <row r="187" spans="4:6" x14ac:dyDescent="0.3">
      <c r="D187" s="282" t="str">
        <f>MICRO_BA!C330</f>
        <v>Other Direct Costs Category 10</v>
      </c>
      <c r="F187" s="119"/>
    </row>
    <row r="188" spans="4:6" x14ac:dyDescent="0.3">
      <c r="D188" s="282" t="str">
        <f>MICRO_BA!C331</f>
        <v>Other Direct Costs Category 11</v>
      </c>
      <c r="F188" s="119"/>
    </row>
    <row r="189" spans="4:6" x14ac:dyDescent="0.3">
      <c r="D189" s="282" t="str">
        <f>MICRO_BA!C332</f>
        <v>Other Direct Costs Category 12</v>
      </c>
      <c r="F189" s="119"/>
    </row>
    <row r="190" spans="4:6" x14ac:dyDescent="0.3">
      <c r="D190" s="282" t="str">
        <f>MICRO_BA!C333</f>
        <v>Other Direct Costs Category 13</v>
      </c>
      <c r="F190" s="119"/>
    </row>
    <row r="191" spans="4:6" x14ac:dyDescent="0.3">
      <c r="D191" s="282" t="str">
        <f>MICRO_BA!C334</f>
        <v>Other Direct Costs Category 14</v>
      </c>
      <c r="F191" s="119"/>
    </row>
    <row r="192" spans="4:6" x14ac:dyDescent="0.3">
      <c r="D192" s="282" t="str">
        <f>MICRO_BA!C335</f>
        <v>Other Direct Costs Category 15</v>
      </c>
      <c r="F192" s="119"/>
    </row>
    <row r="193" spans="4:6" x14ac:dyDescent="0.3">
      <c r="D193" s="282" t="str">
        <f>MICRO_BA!C336</f>
        <v>Other Direct Costs Category 16</v>
      </c>
      <c r="F193" s="119"/>
    </row>
    <row r="194" spans="4:6" x14ac:dyDescent="0.3">
      <c r="D194" s="282" t="str">
        <f>MICRO_BA!C337</f>
        <v>Other Direct Costs Category 17</v>
      </c>
      <c r="F194" s="119"/>
    </row>
    <row r="195" spans="4:6" x14ac:dyDescent="0.3">
      <c r="D195" s="282" t="str">
        <f>MICRO_BA!C338</f>
        <v>Other Direct Costs Category 18</v>
      </c>
      <c r="F195" s="119"/>
    </row>
    <row r="196" spans="4:6" x14ac:dyDescent="0.3">
      <c r="D196" s="282" t="str">
        <f>MICRO_BA!C339</f>
        <v>Other Direct Costs Category 19</v>
      </c>
      <c r="F196" s="119"/>
    </row>
    <row r="197" spans="4:6" x14ac:dyDescent="0.3">
      <c r="D197" s="282" t="str">
        <f>MICRO_BA!C340</f>
        <v>Other Direct Costs Category 20</v>
      </c>
      <c r="F197" s="119"/>
    </row>
    <row r="198" spans="4:6" x14ac:dyDescent="0.3">
      <c r="D198" s="282" t="str">
        <f>MICRO_BA!C341</f>
        <v>Other Direct Costs Category 21</v>
      </c>
      <c r="F198" s="119"/>
    </row>
    <row r="199" spans="4:6" x14ac:dyDescent="0.3">
      <c r="D199" s="282" t="str">
        <f>MICRO_BA!C342</f>
        <v>Other Direct Costs Category 22</v>
      </c>
      <c r="F199" s="119"/>
    </row>
    <row r="200" spans="4:6" x14ac:dyDescent="0.3">
      <c r="D200" s="282" t="str">
        <f>MICRO_BA!C343</f>
        <v>Other Direct Costs Category 23</v>
      </c>
      <c r="F200" s="119"/>
    </row>
    <row r="201" spans="4:6" x14ac:dyDescent="0.3">
      <c r="D201" s="282" t="str">
        <f>MICRO_BA!C344</f>
        <v>Other Direct Costs Category 24</v>
      </c>
      <c r="F201" s="119"/>
    </row>
    <row r="202" spans="4:6" x14ac:dyDescent="0.3">
      <c r="D202" s="282" t="str">
        <f>MICRO_BA!C345</f>
        <v>Other Direct Costs Category 25</v>
      </c>
      <c r="F202" s="119"/>
    </row>
    <row r="203" spans="4:6" x14ac:dyDescent="0.3">
      <c r="D203" s="282" t="str">
        <f>MICRO_BA!C346</f>
        <v>Other Direct Costs Category 26</v>
      </c>
      <c r="F203" s="119"/>
    </row>
    <row r="204" spans="4:6" x14ac:dyDescent="0.3">
      <c r="D204" s="282" t="str">
        <f>MICRO_BA!C347</f>
        <v>Other Direct Costs Category 27</v>
      </c>
      <c r="F204" s="119"/>
    </row>
    <row r="205" spans="4:6" x14ac:dyDescent="0.3">
      <c r="D205" s="282" t="str">
        <f>MICRO_BA!C348</f>
        <v>Other Direct Costs Category 28</v>
      </c>
      <c r="F205" s="119"/>
    </row>
    <row r="206" spans="4:6" x14ac:dyDescent="0.3">
      <c r="D206" s="282" t="str">
        <f>MICRO_BA!C349</f>
        <v>Other Direct Costs Category 29</v>
      </c>
      <c r="F206" s="119"/>
    </row>
    <row r="207" spans="4:6" x14ac:dyDescent="0.3">
      <c r="D207" s="282" t="str">
        <f>MICRO_BA!C350</f>
        <v>Other Direct Costs Category 30</v>
      </c>
      <c r="F207" s="119"/>
    </row>
    <row r="208" spans="4:6" x14ac:dyDescent="0.3">
      <c r="D208" s="282" t="str">
        <f>MICRO_BA!C351</f>
        <v>Other Direct Costs Category 31</v>
      </c>
      <c r="F208" s="119"/>
    </row>
    <row r="209" spans="4:6" x14ac:dyDescent="0.3">
      <c r="D209" s="282" t="str">
        <f>MICRO_BA!C352</f>
        <v>Other Direct Costs Category 32</v>
      </c>
      <c r="F209" s="119"/>
    </row>
    <row r="210" spans="4:6" x14ac:dyDescent="0.3">
      <c r="D210" s="282" t="str">
        <f>MICRO_BA!C353</f>
        <v>Other Direct Costs Category 33</v>
      </c>
      <c r="F210" s="119"/>
    </row>
    <row r="211" spans="4:6" x14ac:dyDescent="0.3">
      <c r="D211" s="282" t="str">
        <f>MICRO_BA!C354</f>
        <v>Other Direct Costs Category 34</v>
      </c>
      <c r="F211" s="119"/>
    </row>
    <row r="212" spans="4:6" x14ac:dyDescent="0.3">
      <c r="D212" s="282" t="str">
        <f>MICRO_BA!C355</f>
        <v>Other Direct Costs Category 35</v>
      </c>
      <c r="F212" s="119"/>
    </row>
  </sheetData>
  <sheetProtection algorithmName="SHA-512" hashValue="uADT74PDzeotsmKiJj/rgTPbHhLidhwVw1VPtMQVahEH3yOCJ3lgC5ZyOgub4IzSzp5CS7nnWxFWTVlrmDG2FQ==" saltValue="kvHe1Lsr1VMWvaoEzAcUuw==" spinCount="100000" sheet="1" objects="1" scenarios="1" formatColumns="0" formatRows="0"/>
  <mergeCells count="1">
    <mergeCell ref="B3:D3"/>
  </mergeCells>
  <hyperlinks>
    <hyperlink ref="B3" location="HL_Home" tooltip="Go to Table of Contents" display="HL_Home" xr:uid="{00000000-0004-0000-2300-000000000000}"/>
    <hyperlink ref="A4" location="$B$5" tooltip="Go to Top of Sheet" display="$B$5" xr:uid="{00000000-0004-0000-2300-000001000000}"/>
    <hyperlink ref="B4" location="HL_Sheet_Main_8" tooltip="Go to Previous Sheet" display="HL_Sheet_Main_8" xr:uid="{00000000-0004-0000-2300-000002000000}"/>
    <hyperlink ref="C4" location="HL_Sheet_Main_19" tooltip="Go to Next Sheet" display="HL_Sheet_Main_19" xr:uid="{00000000-0004-0000-23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pageSetUpPr autoPageBreaks="0"/>
  </sheetPr>
  <dimension ref="A1:F212"/>
  <sheetViews>
    <sheetView showGridLines="0" zoomScaleNormal="100" workbookViewId="0">
      <pane xSplit="1" ySplit="4" topLeftCell="B83"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212</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213</v>
      </c>
    </row>
    <row r="9" spans="1:6" ht="15.6" x14ac:dyDescent="0.3">
      <c r="C9" s="115" t="s">
        <v>93</v>
      </c>
    </row>
    <row r="11" spans="1:6" ht="15.6" x14ac:dyDescent="0.3">
      <c r="C11" s="115" t="s">
        <v>93</v>
      </c>
      <c r="F11" s="115" t="s">
        <v>28</v>
      </c>
    </row>
    <row r="13" spans="1:6" x14ac:dyDescent="0.3">
      <c r="D13" s="116" t="s">
        <v>95</v>
      </c>
      <c r="F13" s="119" t="s">
        <v>206</v>
      </c>
    </row>
    <row r="14" spans="1:6" x14ac:dyDescent="0.3">
      <c r="D14" s="30" t="str">
        <f>MICRO_BA!D513</f>
        <v>USD</v>
      </c>
      <c r="F14" s="33" t="s">
        <v>46</v>
      </c>
    </row>
    <row r="15" spans="1:6" x14ac:dyDescent="0.3">
      <c r="D15" s="30" t="str">
        <f>MICRO_BA!D514</f>
        <v>GOZ</v>
      </c>
      <c r="F15" s="33" t="s">
        <v>46</v>
      </c>
    </row>
    <row r="17" spans="3:6" ht="15.6" x14ac:dyDescent="0.3">
      <c r="C17" s="115" t="s">
        <v>77</v>
      </c>
      <c r="F17" s="115" t="s">
        <v>28</v>
      </c>
    </row>
    <row r="19" spans="3:6" x14ac:dyDescent="0.3">
      <c r="D19" s="116" t="s">
        <v>95</v>
      </c>
      <c r="F19" s="119" t="s">
        <v>207</v>
      </c>
    </row>
    <row r="20" spans="3:6" x14ac:dyDescent="0.3">
      <c r="D20" s="30" t="str">
        <f>MICRO_BA!C519</f>
        <v>Personnel Cadre - Other 1</v>
      </c>
      <c r="F20" s="33" t="s">
        <v>46</v>
      </c>
    </row>
    <row r="21" spans="3:6" x14ac:dyDescent="0.3">
      <c r="D21" s="30" t="str">
        <f>MICRO_BA!C520</f>
        <v>Personnel Cadre - Other 2</v>
      </c>
      <c r="F21" s="33" t="s">
        <v>46</v>
      </c>
    </row>
    <row r="22" spans="3:6" x14ac:dyDescent="0.3">
      <c r="D22" s="30" t="str">
        <f>MICRO_BA!C521</f>
        <v>Personnel Cadre - Other 3</v>
      </c>
      <c r="F22" s="33" t="s">
        <v>46</v>
      </c>
    </row>
    <row r="23" spans="3:6" x14ac:dyDescent="0.3">
      <c r="D23" s="30" t="str">
        <f>MICRO_BA!C522</f>
        <v>Personnel Cadre - Other 4</v>
      </c>
      <c r="F23" s="33" t="s">
        <v>46</v>
      </c>
    </row>
    <row r="24" spans="3:6" x14ac:dyDescent="0.3">
      <c r="D24" s="30" t="str">
        <f>MICRO_BA!C523</f>
        <v>Personnel Cadre - Other 5</v>
      </c>
      <c r="F24" s="33" t="s">
        <v>46</v>
      </c>
    </row>
    <row r="25" spans="3:6" x14ac:dyDescent="0.3">
      <c r="D25" s="30" t="str">
        <f>MICRO_BA!C524</f>
        <v>Personnel Cadre - Other 6</v>
      </c>
      <c r="F25" s="33" t="s">
        <v>46</v>
      </c>
    </row>
    <row r="26" spans="3:6" x14ac:dyDescent="0.3">
      <c r="D26" s="30" t="str">
        <f>MICRO_BA!C525</f>
        <v>Personnel Cadre - Other 7</v>
      </c>
      <c r="F26" s="33" t="s">
        <v>46</v>
      </c>
    </row>
    <row r="27" spans="3:6" x14ac:dyDescent="0.3">
      <c r="D27" s="30" t="str">
        <f>MICRO_BA!C526</f>
        <v>Personnel Cadre - Other 8</v>
      </c>
      <c r="F27" s="33" t="s">
        <v>46</v>
      </c>
    </row>
    <row r="28" spans="3:6" x14ac:dyDescent="0.3">
      <c r="D28" s="30" t="str">
        <f>MICRO_BA!C527</f>
        <v>Personnel Cadre - Other 9</v>
      </c>
      <c r="F28" s="33" t="s">
        <v>46</v>
      </c>
    </row>
    <row r="29" spans="3:6" x14ac:dyDescent="0.3">
      <c r="D29" s="30" t="str">
        <f>MICRO_BA!C528</f>
        <v>Personnel Cadre - Other 10</v>
      </c>
      <c r="F29" s="33" t="s">
        <v>46</v>
      </c>
    </row>
    <row r="30" spans="3:6" x14ac:dyDescent="0.3">
      <c r="D30" s="30" t="str">
        <f>MICRO_BA!C529</f>
        <v>Personnel Cadre - Other 11</v>
      </c>
      <c r="F30" s="33" t="s">
        <v>46</v>
      </c>
    </row>
    <row r="31" spans="3:6" x14ac:dyDescent="0.3">
      <c r="D31" s="30" t="str">
        <f>MICRO_BA!C530</f>
        <v>Personnel Cadre - Other 12</v>
      </c>
      <c r="F31" s="33" t="s">
        <v>46</v>
      </c>
    </row>
    <row r="32" spans="3:6" x14ac:dyDescent="0.3">
      <c r="D32" s="30" t="str">
        <f>MICRO_BA!C531</f>
        <v>Personnel Cadre - Other 13</v>
      </c>
      <c r="F32" s="33" t="s">
        <v>46</v>
      </c>
    </row>
    <row r="33" spans="4:6" x14ac:dyDescent="0.3">
      <c r="D33" s="30" t="str">
        <f>MICRO_BA!C532</f>
        <v>Personnel Cadre - Other 14</v>
      </c>
      <c r="F33" s="33" t="s">
        <v>46</v>
      </c>
    </row>
    <row r="34" spans="4:6" x14ac:dyDescent="0.3">
      <c r="D34" s="30" t="str">
        <f>MICRO_BA!C533</f>
        <v>Personnel Cadre - Other 15</v>
      </c>
      <c r="F34" s="33" t="s">
        <v>46</v>
      </c>
    </row>
    <row r="35" spans="4:6" x14ac:dyDescent="0.3">
      <c r="D35" s="282" t="str">
        <f>MICRO_BA!C534</f>
        <v>Personnel Cadre - Other 16</v>
      </c>
      <c r="F35" s="119"/>
    </row>
    <row r="36" spans="4:6" x14ac:dyDescent="0.3">
      <c r="D36" s="282" t="str">
        <f>MICRO_BA!C535</f>
        <v>Personnel Cadre - Other 17</v>
      </c>
      <c r="F36" s="119"/>
    </row>
    <row r="37" spans="4:6" x14ac:dyDescent="0.3">
      <c r="D37" s="282" t="str">
        <f>MICRO_BA!C536</f>
        <v>Personnel Cadre - Other 18</v>
      </c>
      <c r="F37" s="119"/>
    </row>
    <row r="38" spans="4:6" x14ac:dyDescent="0.3">
      <c r="D38" s="282" t="str">
        <f>MICRO_BA!C537</f>
        <v>Personnel Cadre - Other 19</v>
      </c>
      <c r="F38" s="119"/>
    </row>
    <row r="39" spans="4:6" x14ac:dyDescent="0.3">
      <c r="D39" s="282" t="str">
        <f>MICRO_BA!C538</f>
        <v>Personnel Cadre - Other 20</v>
      </c>
      <c r="F39" s="119"/>
    </row>
    <row r="40" spans="4:6" x14ac:dyDescent="0.3">
      <c r="D40" s="282" t="str">
        <f>MICRO_BA!C539</f>
        <v>Personnel Cadre - Other 21</v>
      </c>
      <c r="F40" s="119"/>
    </row>
    <row r="41" spans="4:6" x14ac:dyDescent="0.3">
      <c r="D41" s="282" t="str">
        <f>MICRO_BA!C540</f>
        <v>Personnel Cadre - Other 22</v>
      </c>
      <c r="F41" s="119"/>
    </row>
    <row r="42" spans="4:6" x14ac:dyDescent="0.3">
      <c r="D42" s="282" t="str">
        <f>MICRO_BA!C541</f>
        <v>Personnel Cadre - Other 23</v>
      </c>
      <c r="F42" s="119"/>
    </row>
    <row r="43" spans="4:6" x14ac:dyDescent="0.3">
      <c r="D43" s="282" t="str">
        <f>MICRO_BA!C542</f>
        <v>Personnel Cadre - Other 24</v>
      </c>
      <c r="F43" s="119"/>
    </row>
    <row r="44" spans="4:6" x14ac:dyDescent="0.3">
      <c r="D44" s="282" t="str">
        <f>MICRO_BA!C543</f>
        <v>Personnel Cadre - Other 25</v>
      </c>
      <c r="F44" s="119"/>
    </row>
    <row r="45" spans="4:6" x14ac:dyDescent="0.3">
      <c r="D45" s="282" t="str">
        <f>MICRO_BA!C544</f>
        <v>Personnel Cadre - Other 26</v>
      </c>
      <c r="F45" s="119"/>
    </row>
    <row r="46" spans="4:6" x14ac:dyDescent="0.3">
      <c r="D46" s="282" t="str">
        <f>MICRO_BA!C545</f>
        <v>Personnel Cadre - Other 27</v>
      </c>
      <c r="F46" s="119"/>
    </row>
    <row r="47" spans="4:6" x14ac:dyDescent="0.3">
      <c r="D47" s="282" t="str">
        <f>MICRO_BA!C546</f>
        <v>Personnel Cadre - Other 28</v>
      </c>
      <c r="F47" s="119"/>
    </row>
    <row r="48" spans="4:6" x14ac:dyDescent="0.3">
      <c r="D48" s="282" t="str">
        <f>MICRO_BA!C547</f>
        <v>Personnel Cadre - Other 29</v>
      </c>
      <c r="F48" s="119"/>
    </row>
    <row r="49" spans="3:6" x14ac:dyDescent="0.3">
      <c r="D49" s="282" t="str">
        <f>MICRO_BA!C548</f>
        <v>Personnel Cadre - Other 30</v>
      </c>
      <c r="F49" s="119"/>
    </row>
    <row r="50" spans="3:6" x14ac:dyDescent="0.3">
      <c r="D50" s="282" t="str">
        <f>MICRO_BA!C549</f>
        <v>Personnel Cadre - Other 31</v>
      </c>
      <c r="F50" s="119"/>
    </row>
    <row r="51" spans="3:6" x14ac:dyDescent="0.3">
      <c r="D51" s="282" t="str">
        <f>MICRO_BA!C550</f>
        <v>Personnel Cadre - Other 32</v>
      </c>
      <c r="F51" s="119"/>
    </row>
    <row r="52" spans="3:6" x14ac:dyDescent="0.3">
      <c r="D52" s="282" t="str">
        <f>MICRO_BA!C551</f>
        <v>Personnel Cadre - Other 33</v>
      </c>
      <c r="F52" s="119"/>
    </row>
    <row r="53" spans="3:6" x14ac:dyDescent="0.3">
      <c r="D53" s="282" t="str">
        <f>MICRO_BA!C552</f>
        <v>Personnel Cadre - Other 34</v>
      </c>
      <c r="F53" s="119"/>
    </row>
    <row r="54" spans="3:6" x14ac:dyDescent="0.3">
      <c r="D54" s="282" t="str">
        <f>MICRO_BA!C553</f>
        <v>Personnel Cadre - Other 35</v>
      </c>
      <c r="F54" s="119"/>
    </row>
    <row r="56" spans="3:6" ht="15.6" x14ac:dyDescent="0.3">
      <c r="C56" s="115" t="s">
        <v>94</v>
      </c>
      <c r="F56" s="115" t="s">
        <v>28</v>
      </c>
    </row>
    <row r="58" spans="3:6" x14ac:dyDescent="0.3">
      <c r="D58" s="116" t="s">
        <v>95</v>
      </c>
      <c r="F58" s="119" t="s">
        <v>208</v>
      </c>
    </row>
    <row r="59" spans="3:6" x14ac:dyDescent="0.3">
      <c r="D59" s="30" t="str">
        <f>MICRO_BA!C556</f>
        <v>Allowances Category 1</v>
      </c>
      <c r="F59" s="33" t="s">
        <v>46</v>
      </c>
    </row>
    <row r="60" spans="3:6" x14ac:dyDescent="0.3">
      <c r="D60" s="30" t="str">
        <f>MICRO_BA!C557</f>
        <v>Allowances Category 2</v>
      </c>
      <c r="F60" s="33" t="s">
        <v>46</v>
      </c>
    </row>
    <row r="61" spans="3:6" x14ac:dyDescent="0.3">
      <c r="D61" s="30" t="str">
        <f>MICRO_BA!C558</f>
        <v>Allowances Category 3</v>
      </c>
      <c r="F61" s="33" t="s">
        <v>46</v>
      </c>
    </row>
    <row r="62" spans="3:6" x14ac:dyDescent="0.3">
      <c r="D62" s="30" t="str">
        <f>MICRO_BA!C559</f>
        <v>Allowances Category 4</v>
      </c>
      <c r="F62" s="33" t="s">
        <v>46</v>
      </c>
    </row>
    <row r="63" spans="3:6" x14ac:dyDescent="0.3">
      <c r="D63" s="30" t="str">
        <f>MICRO_BA!C560</f>
        <v>Allowances Category 5</v>
      </c>
      <c r="F63" s="33" t="s">
        <v>46</v>
      </c>
    </row>
    <row r="64" spans="3:6" x14ac:dyDescent="0.3">
      <c r="D64" s="282" t="str">
        <f>MICRO_BA!C561</f>
        <v>Allowances Category 6</v>
      </c>
      <c r="F64" s="119"/>
    </row>
    <row r="65" spans="4:6" x14ac:dyDescent="0.3">
      <c r="D65" s="282" t="str">
        <f>MICRO_BA!C562</f>
        <v>Allowances Category 7</v>
      </c>
      <c r="F65" s="119"/>
    </row>
    <row r="66" spans="4:6" x14ac:dyDescent="0.3">
      <c r="D66" s="282" t="str">
        <f>MICRO_BA!C563</f>
        <v>Allowances Category 8</v>
      </c>
      <c r="F66" s="119"/>
    </row>
    <row r="67" spans="4:6" x14ac:dyDescent="0.3">
      <c r="D67" s="282" t="str">
        <f>MICRO_BA!C564</f>
        <v>Allowances Category 9</v>
      </c>
      <c r="F67" s="119"/>
    </row>
    <row r="68" spans="4:6" x14ac:dyDescent="0.3">
      <c r="D68" s="282" t="str">
        <f>MICRO_BA!C565</f>
        <v>Allowances Category 10</v>
      </c>
      <c r="F68" s="119"/>
    </row>
    <row r="69" spans="4:6" x14ac:dyDescent="0.3">
      <c r="D69" s="282" t="str">
        <f>MICRO_BA!C566</f>
        <v>Allowances Category 11</v>
      </c>
      <c r="F69" s="119"/>
    </row>
    <row r="70" spans="4:6" x14ac:dyDescent="0.3">
      <c r="D70" s="282" t="str">
        <f>MICRO_BA!C567</f>
        <v>Allowances Category 12</v>
      </c>
      <c r="F70" s="119"/>
    </row>
    <row r="71" spans="4:6" x14ac:dyDescent="0.3">
      <c r="D71" s="282" t="str">
        <f>MICRO_BA!C568</f>
        <v>Allowances Category 13</v>
      </c>
      <c r="F71" s="119"/>
    </row>
    <row r="72" spans="4:6" x14ac:dyDescent="0.3">
      <c r="D72" s="282" t="str">
        <f>MICRO_BA!C569</f>
        <v>Allowances Category 14</v>
      </c>
      <c r="F72" s="119"/>
    </row>
    <row r="73" spans="4:6" x14ac:dyDescent="0.3">
      <c r="D73" s="282" t="str">
        <f>MICRO_BA!C570</f>
        <v>Allowances Category 15</v>
      </c>
      <c r="F73" s="119"/>
    </row>
    <row r="74" spans="4:6" x14ac:dyDescent="0.3">
      <c r="D74" s="282" t="str">
        <f>MICRO_BA!C571</f>
        <v>Allowances Category 16</v>
      </c>
      <c r="F74" s="119"/>
    </row>
    <row r="75" spans="4:6" x14ac:dyDescent="0.3">
      <c r="D75" s="30" t="str">
        <f>MICRO_BA!C572</f>
        <v>Allowances Category 17</v>
      </c>
      <c r="F75" s="33" t="s">
        <v>46</v>
      </c>
    </row>
    <row r="76" spans="4:6" x14ac:dyDescent="0.3">
      <c r="D76" s="30" t="str">
        <f>MICRO_BA!C573</f>
        <v>Allowances Category 18</v>
      </c>
      <c r="F76" s="33" t="s">
        <v>46</v>
      </c>
    </row>
    <row r="77" spans="4:6" x14ac:dyDescent="0.3">
      <c r="D77" s="30" t="str">
        <f>MICRO_BA!C574</f>
        <v>Allowances Category 19</v>
      </c>
      <c r="F77" s="33" t="s">
        <v>46</v>
      </c>
    </row>
    <row r="78" spans="4:6" x14ac:dyDescent="0.3">
      <c r="D78" s="30" t="str">
        <f>MICRO_BA!C575</f>
        <v>Allowances Category 20</v>
      </c>
      <c r="F78" s="33" t="s">
        <v>46</v>
      </c>
    </row>
    <row r="79" spans="4:6" x14ac:dyDescent="0.3">
      <c r="D79" s="30" t="str">
        <f>MICRO_BA!C576</f>
        <v>Allowances Category 21</v>
      </c>
      <c r="F79" s="33" t="s">
        <v>46</v>
      </c>
    </row>
    <row r="80" spans="4:6" x14ac:dyDescent="0.3">
      <c r="D80" s="30" t="str">
        <f>MICRO_BA!C577</f>
        <v>Allowances Category 22</v>
      </c>
      <c r="F80" s="33" t="s">
        <v>46</v>
      </c>
    </row>
    <row r="81" spans="3:6" x14ac:dyDescent="0.3">
      <c r="D81" s="30" t="str">
        <f>MICRO_BA!C578</f>
        <v>Allowances Category 23</v>
      </c>
      <c r="F81" s="33" t="s">
        <v>46</v>
      </c>
    </row>
    <row r="82" spans="3:6" x14ac:dyDescent="0.3">
      <c r="D82" s="282" t="str">
        <f>MICRO_BA!C579</f>
        <v>Allowances Category 24</v>
      </c>
      <c r="F82" s="119"/>
    </row>
    <row r="83" spans="3:6" x14ac:dyDescent="0.3">
      <c r="D83" s="282" t="str">
        <f>MICRO_BA!C580</f>
        <v>Allowances Category 25</v>
      </c>
      <c r="F83" s="119"/>
    </row>
    <row r="84" spans="3:6" x14ac:dyDescent="0.3">
      <c r="D84" s="282" t="str">
        <f>MICRO_BA!C581</f>
        <v>Allowances Category 26</v>
      </c>
      <c r="F84" s="119"/>
    </row>
    <row r="85" spans="3:6" x14ac:dyDescent="0.3">
      <c r="D85" s="282" t="str">
        <f>MICRO_BA!C582</f>
        <v>Allowances Category 27</v>
      </c>
      <c r="F85" s="119"/>
    </row>
    <row r="86" spans="3:6" x14ac:dyDescent="0.3">
      <c r="D86" s="282" t="str">
        <f>MICRO_BA!C583</f>
        <v>Allowances Category 28</v>
      </c>
      <c r="F86" s="119"/>
    </row>
    <row r="87" spans="3:6" x14ac:dyDescent="0.3">
      <c r="D87" s="282" t="str">
        <f>MICRO_BA!C584</f>
        <v>Allowances Category 29</v>
      </c>
      <c r="F87" s="119"/>
    </row>
    <row r="88" spans="3:6" x14ac:dyDescent="0.3">
      <c r="D88" s="282" t="str">
        <f>MICRO_BA!C585</f>
        <v>Allowances Category 30</v>
      </c>
      <c r="F88" s="119"/>
    </row>
    <row r="89" spans="3:6" x14ac:dyDescent="0.3">
      <c r="D89" s="30" t="str">
        <f>MICRO_BA!C586</f>
        <v>Allowances Category 31</v>
      </c>
      <c r="F89" s="33" t="s">
        <v>46</v>
      </c>
    </row>
    <row r="90" spans="3:6" x14ac:dyDescent="0.3">
      <c r="D90" s="30" t="str">
        <f>MICRO_BA!C587</f>
        <v>Allowances Category 32</v>
      </c>
      <c r="F90" s="33" t="s">
        <v>46</v>
      </c>
    </row>
    <row r="91" spans="3:6" x14ac:dyDescent="0.3">
      <c r="D91" s="30" t="str">
        <f>MICRO_BA!C588</f>
        <v>Allowances Category 33</v>
      </c>
      <c r="F91" s="33" t="s">
        <v>46</v>
      </c>
    </row>
    <row r="92" spans="3:6" x14ac:dyDescent="0.3">
      <c r="D92" s="30" t="str">
        <f>MICRO_BA!C589</f>
        <v>Allowances Category 34</v>
      </c>
      <c r="F92" s="33" t="s">
        <v>46</v>
      </c>
    </row>
    <row r="93" spans="3:6" x14ac:dyDescent="0.3">
      <c r="D93" s="30" t="str">
        <f>MICRO_BA!C590</f>
        <v>Allowances Category 35</v>
      </c>
      <c r="F93" s="33" t="s">
        <v>46</v>
      </c>
    </row>
    <row r="96" spans="3:6" ht="15.6" x14ac:dyDescent="0.3">
      <c r="C96" s="115" t="s">
        <v>132</v>
      </c>
      <c r="F96" s="115" t="s">
        <v>28</v>
      </c>
    </row>
    <row r="98" spans="4:6" x14ac:dyDescent="0.3">
      <c r="D98" s="116" t="s">
        <v>95</v>
      </c>
      <c r="F98" s="119" t="s">
        <v>209</v>
      </c>
    </row>
    <row r="99" spans="4:6" x14ac:dyDescent="0.3">
      <c r="D99" s="30" t="str">
        <f>MICRO_BA!C594</f>
        <v>Supplies Category 1</v>
      </c>
      <c r="F99" s="33" t="s">
        <v>46</v>
      </c>
    </row>
    <row r="100" spans="4:6" x14ac:dyDescent="0.3">
      <c r="D100" s="30" t="str">
        <f>MICRO_BA!C595</f>
        <v>Supplies Category 2</v>
      </c>
      <c r="F100" s="33" t="s">
        <v>46</v>
      </c>
    </row>
    <row r="101" spans="4:6" x14ac:dyDescent="0.3">
      <c r="D101" s="30" t="str">
        <f>MICRO_BA!C596</f>
        <v>Supplies Category 3</v>
      </c>
      <c r="F101" s="33" t="s">
        <v>46</v>
      </c>
    </row>
    <row r="102" spans="4:6" x14ac:dyDescent="0.3">
      <c r="D102" s="30" t="str">
        <f>MICRO_BA!C597</f>
        <v>Supplies Category 4</v>
      </c>
      <c r="F102" s="33" t="s">
        <v>46</v>
      </c>
    </row>
    <row r="103" spans="4:6" x14ac:dyDescent="0.3">
      <c r="D103" s="30" t="str">
        <f>MICRO_BA!C598</f>
        <v>Supplies Category 5</v>
      </c>
      <c r="F103" s="33" t="s">
        <v>46</v>
      </c>
    </row>
    <row r="104" spans="4:6" x14ac:dyDescent="0.3">
      <c r="D104" s="30" t="str">
        <f>MICRO_BA!C599</f>
        <v>Supplies Category 6</v>
      </c>
      <c r="F104" s="33" t="s">
        <v>46</v>
      </c>
    </row>
    <row r="105" spans="4:6" x14ac:dyDescent="0.3">
      <c r="D105" s="30" t="str">
        <f>MICRO_BA!C600</f>
        <v>Supplies Category 7</v>
      </c>
      <c r="F105" s="33" t="s">
        <v>46</v>
      </c>
    </row>
    <row r="106" spans="4:6" x14ac:dyDescent="0.3">
      <c r="D106" s="30" t="str">
        <f>MICRO_BA!C601</f>
        <v>Supplies Category 8</v>
      </c>
      <c r="F106" s="33" t="s">
        <v>46</v>
      </c>
    </row>
    <row r="107" spans="4:6" x14ac:dyDescent="0.3">
      <c r="D107" s="30" t="str">
        <f>MICRO_BA!C602</f>
        <v>Supplies Category 9</v>
      </c>
      <c r="F107" s="33" t="s">
        <v>46</v>
      </c>
    </row>
    <row r="108" spans="4:6" x14ac:dyDescent="0.3">
      <c r="D108" s="30" t="str">
        <f>MICRO_BA!C603</f>
        <v>Supplies Category 10</v>
      </c>
      <c r="F108" s="33" t="s">
        <v>46</v>
      </c>
    </row>
    <row r="109" spans="4:6" x14ac:dyDescent="0.3">
      <c r="D109" s="30" t="str">
        <f>MICRO_BA!C604</f>
        <v>Supplies Category 11</v>
      </c>
      <c r="F109" s="33" t="s">
        <v>46</v>
      </c>
    </row>
    <row r="110" spans="4:6" x14ac:dyDescent="0.3">
      <c r="D110" s="30" t="str">
        <f>MICRO_BA!C605</f>
        <v>Supplies Category 12</v>
      </c>
      <c r="F110" s="33" t="s">
        <v>46</v>
      </c>
    </row>
    <row r="111" spans="4:6" x14ac:dyDescent="0.3">
      <c r="D111" s="30" t="str">
        <f>MICRO_BA!C606</f>
        <v>Supplies Category 13</v>
      </c>
      <c r="F111" s="33" t="s">
        <v>46</v>
      </c>
    </row>
    <row r="112" spans="4:6" x14ac:dyDescent="0.3">
      <c r="D112" s="30" t="str">
        <f>MICRO_BA!C607</f>
        <v>Supplies Category 14</v>
      </c>
      <c r="F112" s="33" t="s">
        <v>46</v>
      </c>
    </row>
    <row r="113" spans="4:6" x14ac:dyDescent="0.3">
      <c r="D113" s="30" t="str">
        <f>MICRO_BA!C608</f>
        <v>Supplies Category 15</v>
      </c>
      <c r="F113" s="33" t="s">
        <v>46</v>
      </c>
    </row>
    <row r="114" spans="4:6" x14ac:dyDescent="0.3">
      <c r="D114" s="30" t="str">
        <f>MICRO_BA!C609</f>
        <v>Supplies Category 16</v>
      </c>
      <c r="F114" s="33" t="s">
        <v>46</v>
      </c>
    </row>
    <row r="115" spans="4:6" x14ac:dyDescent="0.3">
      <c r="D115" s="282" t="str">
        <f>MICRO_BA!C610</f>
        <v>Supplies Category 17</v>
      </c>
      <c r="F115" s="119"/>
    </row>
    <row r="116" spans="4:6" x14ac:dyDescent="0.3">
      <c r="D116" s="282" t="str">
        <f>MICRO_BA!C611</f>
        <v>Supplies Category 18</v>
      </c>
      <c r="F116" s="119"/>
    </row>
    <row r="117" spans="4:6" x14ac:dyDescent="0.3">
      <c r="D117" s="282" t="str">
        <f>MICRO_BA!C612</f>
        <v>Supplies Category 19</v>
      </c>
      <c r="F117" s="119"/>
    </row>
    <row r="118" spans="4:6" x14ac:dyDescent="0.3">
      <c r="D118" s="282" t="str">
        <f>MICRO_BA!C613</f>
        <v>Supplies Category 20</v>
      </c>
      <c r="F118" s="119"/>
    </row>
    <row r="119" spans="4:6" x14ac:dyDescent="0.3">
      <c r="D119" s="282" t="str">
        <f>MICRO_BA!C614</f>
        <v>Supplies Category 21</v>
      </c>
      <c r="F119" s="119"/>
    </row>
    <row r="120" spans="4:6" x14ac:dyDescent="0.3">
      <c r="D120" s="282" t="str">
        <f>MICRO_BA!C615</f>
        <v>Supplies Category 22</v>
      </c>
      <c r="F120" s="119"/>
    </row>
    <row r="121" spans="4:6" x14ac:dyDescent="0.3">
      <c r="D121" s="282" t="str">
        <f>MICRO_BA!C616</f>
        <v>Supplies Category 23</v>
      </c>
      <c r="F121" s="119"/>
    </row>
    <row r="122" spans="4:6" x14ac:dyDescent="0.3">
      <c r="D122" s="282" t="str">
        <f>MICRO_BA!C617</f>
        <v>Supplies Category 24</v>
      </c>
      <c r="F122" s="119"/>
    </row>
    <row r="123" spans="4:6" x14ac:dyDescent="0.3">
      <c r="D123" s="282" t="str">
        <f>MICRO_BA!C618</f>
        <v>Supplies Category 25</v>
      </c>
      <c r="F123" s="119"/>
    </row>
    <row r="124" spans="4:6" x14ac:dyDescent="0.3">
      <c r="D124" s="282" t="str">
        <f>MICRO_BA!C619</f>
        <v>Supplies Category 26</v>
      </c>
      <c r="F124" s="119"/>
    </row>
    <row r="125" spans="4:6" x14ac:dyDescent="0.3">
      <c r="D125" s="282" t="str">
        <f>MICRO_BA!C620</f>
        <v>Supplies Category 27</v>
      </c>
      <c r="F125" s="119"/>
    </row>
    <row r="126" spans="4:6" x14ac:dyDescent="0.3">
      <c r="D126" s="282" t="str">
        <f>MICRO_BA!C621</f>
        <v>Supplies Category 28</v>
      </c>
      <c r="F126" s="119"/>
    </row>
    <row r="127" spans="4:6" x14ac:dyDescent="0.3">
      <c r="D127" s="282" t="str">
        <f>MICRO_BA!C622</f>
        <v>Supplies Category 29</v>
      </c>
      <c r="F127" s="119"/>
    </row>
    <row r="128" spans="4:6" x14ac:dyDescent="0.3">
      <c r="D128" s="282" t="str">
        <f>MICRO_BA!C623</f>
        <v>Supplies Category 30</v>
      </c>
      <c r="F128" s="119"/>
    </row>
    <row r="129" spans="3:6" x14ac:dyDescent="0.3">
      <c r="D129" s="282" t="str">
        <f>MICRO_BA!C624</f>
        <v>Supplies Category 31</v>
      </c>
      <c r="F129" s="119"/>
    </row>
    <row r="130" spans="3:6" x14ac:dyDescent="0.3">
      <c r="D130" s="282" t="str">
        <f>MICRO_BA!C625</f>
        <v>Supplies Category 32</v>
      </c>
      <c r="F130" s="119"/>
    </row>
    <row r="131" spans="3:6" x14ac:dyDescent="0.3">
      <c r="D131" s="282" t="str">
        <f>MICRO_BA!C626</f>
        <v>Supplies Category 33</v>
      </c>
      <c r="F131" s="119"/>
    </row>
    <row r="132" spans="3:6" x14ac:dyDescent="0.3">
      <c r="D132" s="282" t="str">
        <f>MICRO_BA!C627</f>
        <v>Supplies Category 34</v>
      </c>
      <c r="F132" s="119"/>
    </row>
    <row r="133" spans="3:6" x14ac:dyDescent="0.3">
      <c r="D133" s="282" t="str">
        <f>MICRO_BA!C628</f>
        <v>Supplies Category 35</v>
      </c>
      <c r="F133" s="119"/>
    </row>
    <row r="136" spans="3:6" ht="15.6" x14ac:dyDescent="0.3">
      <c r="C136" s="115" t="s">
        <v>130</v>
      </c>
      <c r="F136" s="115" t="s">
        <v>28</v>
      </c>
    </row>
    <row r="138" spans="3:6" x14ac:dyDescent="0.3">
      <c r="D138" s="116" t="s">
        <v>95</v>
      </c>
      <c r="F138" s="119" t="s">
        <v>210</v>
      </c>
    </row>
    <row r="139" spans="3:6" x14ac:dyDescent="0.3">
      <c r="D139" s="30" t="str">
        <f>MICRO_BA!C631</f>
        <v>Equipment Category 1</v>
      </c>
      <c r="F139" s="33" t="s">
        <v>46</v>
      </c>
    </row>
    <row r="140" spans="3:6" x14ac:dyDescent="0.3">
      <c r="D140" s="30" t="str">
        <f>MICRO_BA!C632</f>
        <v>Equipment Category 2</v>
      </c>
      <c r="F140" s="33" t="s">
        <v>46</v>
      </c>
    </row>
    <row r="141" spans="3:6" x14ac:dyDescent="0.3">
      <c r="D141" s="30" t="str">
        <f>MICRO_BA!C633</f>
        <v>Equipment Category 3</v>
      </c>
      <c r="F141" s="33" t="s">
        <v>46</v>
      </c>
    </row>
    <row r="142" spans="3:6" x14ac:dyDescent="0.3">
      <c r="D142" s="30" t="str">
        <f>MICRO_BA!C634</f>
        <v>Equipment Category 4</v>
      </c>
      <c r="F142" s="33" t="s">
        <v>46</v>
      </c>
    </row>
    <row r="143" spans="3:6" x14ac:dyDescent="0.3">
      <c r="D143" s="30" t="str">
        <f>MICRO_BA!C635</f>
        <v>Equipment Category 5</v>
      </c>
      <c r="F143" s="33" t="s">
        <v>46</v>
      </c>
    </row>
    <row r="144" spans="3:6" x14ac:dyDescent="0.3">
      <c r="D144" s="30" t="str">
        <f>MICRO_BA!C636</f>
        <v>Equipment Category 6</v>
      </c>
      <c r="F144" s="33" t="s">
        <v>46</v>
      </c>
    </row>
    <row r="145" spans="4:6" x14ac:dyDescent="0.3">
      <c r="D145" s="282" t="str">
        <f>MICRO_BA!C637</f>
        <v>Equipment Category 7</v>
      </c>
      <c r="F145" s="119"/>
    </row>
    <row r="146" spans="4:6" x14ac:dyDescent="0.3">
      <c r="D146" s="282" t="str">
        <f>MICRO_BA!C638</f>
        <v>Equipment Category 8</v>
      </c>
      <c r="F146" s="119"/>
    </row>
    <row r="147" spans="4:6" x14ac:dyDescent="0.3">
      <c r="D147" s="282" t="str">
        <f>MICRO_BA!C639</f>
        <v>Equipment Category 9</v>
      </c>
      <c r="F147" s="119"/>
    </row>
    <row r="148" spans="4:6" x14ac:dyDescent="0.3">
      <c r="D148" s="282" t="str">
        <f>MICRO_BA!C640</f>
        <v>Equipment Category 10</v>
      </c>
      <c r="F148" s="119"/>
    </row>
    <row r="149" spans="4:6" x14ac:dyDescent="0.3">
      <c r="D149" s="282" t="str">
        <f>MICRO_BA!C641</f>
        <v>Equipment Category 11</v>
      </c>
      <c r="F149" s="119"/>
    </row>
    <row r="150" spans="4:6" x14ac:dyDescent="0.3">
      <c r="D150" s="282" t="str">
        <f>MICRO_BA!C642</f>
        <v>Equipment Category 12</v>
      </c>
      <c r="F150" s="119"/>
    </row>
    <row r="151" spans="4:6" x14ac:dyDescent="0.3">
      <c r="D151" s="282" t="str">
        <f>MICRO_BA!C643</f>
        <v>Equipment Category 13</v>
      </c>
      <c r="F151" s="119"/>
    </row>
    <row r="152" spans="4:6" x14ac:dyDescent="0.3">
      <c r="D152" s="282" t="str">
        <f>MICRO_BA!C644</f>
        <v>Equipment Category 14</v>
      </c>
      <c r="F152" s="119"/>
    </row>
    <row r="153" spans="4:6" x14ac:dyDescent="0.3">
      <c r="D153" s="282" t="str">
        <f>MICRO_BA!C645</f>
        <v>Equipment Category 15</v>
      </c>
      <c r="F153" s="119"/>
    </row>
    <row r="154" spans="4:6" x14ac:dyDescent="0.3">
      <c r="D154" s="282" t="str">
        <f>MICRO_BA!C646</f>
        <v>Equipment Category 16</v>
      </c>
      <c r="F154" s="119"/>
    </row>
    <row r="155" spans="4:6" x14ac:dyDescent="0.3">
      <c r="D155" s="282" t="str">
        <f>MICRO_BA!C647</f>
        <v>Equipment Category 17</v>
      </c>
      <c r="F155" s="119"/>
    </row>
    <row r="156" spans="4:6" x14ac:dyDescent="0.3">
      <c r="D156" s="282" t="str">
        <f>MICRO_BA!C648</f>
        <v>Equipment Category 18</v>
      </c>
      <c r="F156" s="119"/>
    </row>
    <row r="157" spans="4:6" x14ac:dyDescent="0.3">
      <c r="D157" s="282" t="str">
        <f>MICRO_BA!C649</f>
        <v>Equipment Category 19</v>
      </c>
      <c r="F157" s="119"/>
    </row>
    <row r="158" spans="4:6" x14ac:dyDescent="0.3">
      <c r="D158" s="282" t="str">
        <f>MICRO_BA!C650</f>
        <v>Equipment Category 20</v>
      </c>
      <c r="F158" s="119"/>
    </row>
    <row r="159" spans="4:6" x14ac:dyDescent="0.3">
      <c r="D159" s="282" t="str">
        <f>MICRO_BA!C651</f>
        <v>Equipment Category 21</v>
      </c>
      <c r="F159" s="119"/>
    </row>
    <row r="160" spans="4:6" x14ac:dyDescent="0.3">
      <c r="D160" s="282" t="str">
        <f>MICRO_BA!C652</f>
        <v>Equipment Category 22</v>
      </c>
      <c r="F160" s="119"/>
    </row>
    <row r="161" spans="3:6" x14ac:dyDescent="0.3">
      <c r="D161" s="282" t="str">
        <f>MICRO_BA!C653</f>
        <v>Equipment Category 23</v>
      </c>
      <c r="F161" s="119"/>
    </row>
    <row r="162" spans="3:6" x14ac:dyDescent="0.3">
      <c r="D162" s="282" t="str">
        <f>MICRO_BA!C654</f>
        <v>Equipment Category 24</v>
      </c>
      <c r="F162" s="119"/>
    </row>
    <row r="163" spans="3:6" x14ac:dyDescent="0.3">
      <c r="D163" s="282" t="str">
        <f>MICRO_BA!C655</f>
        <v>Equipment Category 25</v>
      </c>
      <c r="F163" s="119"/>
    </row>
    <row r="164" spans="3:6" x14ac:dyDescent="0.3">
      <c r="D164" s="282" t="str">
        <f>MICRO_BA!C656</f>
        <v>Equipment Category 26</v>
      </c>
      <c r="F164" s="119"/>
    </row>
    <row r="165" spans="3:6" x14ac:dyDescent="0.3">
      <c r="D165" s="282" t="str">
        <f>MICRO_BA!C657</f>
        <v>Equipment Category 27</v>
      </c>
      <c r="F165" s="119"/>
    </row>
    <row r="166" spans="3:6" x14ac:dyDescent="0.3">
      <c r="D166" s="282" t="str">
        <f>MICRO_BA!C658</f>
        <v>Equipment Category 28</v>
      </c>
      <c r="F166" s="119"/>
    </row>
    <row r="167" spans="3:6" x14ac:dyDescent="0.3">
      <c r="D167" s="282" t="str">
        <f>MICRO_BA!C659</f>
        <v>Equipment Category 29</v>
      </c>
      <c r="F167" s="119"/>
    </row>
    <row r="168" spans="3:6" x14ac:dyDescent="0.3">
      <c r="D168" s="282" t="str">
        <f>MICRO_BA!C660</f>
        <v>Equipment Category 30</v>
      </c>
      <c r="F168" s="119"/>
    </row>
    <row r="169" spans="3:6" x14ac:dyDescent="0.3">
      <c r="D169" s="282" t="str">
        <f>MICRO_BA!C661</f>
        <v>Equipment Category 31</v>
      </c>
      <c r="F169" s="119"/>
    </row>
    <row r="170" spans="3:6" x14ac:dyDescent="0.3">
      <c r="D170" s="282" t="str">
        <f>MICRO_BA!C662</f>
        <v>Equipment Category 32</v>
      </c>
      <c r="F170" s="119"/>
    </row>
    <row r="171" spans="3:6" x14ac:dyDescent="0.3">
      <c r="D171" s="282" t="str">
        <f>MICRO_BA!C663</f>
        <v>Equipment Category 33</v>
      </c>
      <c r="F171" s="119"/>
    </row>
    <row r="172" spans="3:6" x14ac:dyDescent="0.3">
      <c r="D172" s="282" t="str">
        <f>MICRO_BA!C664</f>
        <v>Equipment Category 34</v>
      </c>
      <c r="F172" s="119"/>
    </row>
    <row r="173" spans="3:6" x14ac:dyDescent="0.3">
      <c r="D173" s="282" t="str">
        <f>MICRO_BA!C665</f>
        <v>Equipment Category 35</v>
      </c>
      <c r="F173" s="119"/>
    </row>
    <row r="175" spans="3:6" ht="15.6" x14ac:dyDescent="0.3">
      <c r="C175" s="115" t="s">
        <v>89</v>
      </c>
      <c r="F175" s="115" t="s">
        <v>28</v>
      </c>
    </row>
    <row r="177" spans="4:6" x14ac:dyDescent="0.3">
      <c r="D177" s="116" t="s">
        <v>95</v>
      </c>
      <c r="F177" s="119" t="s">
        <v>211</v>
      </c>
    </row>
    <row r="178" spans="4:6" x14ac:dyDescent="0.3">
      <c r="D178" s="30" t="str">
        <f>MICRO_BA!C669</f>
        <v>Other Direct Costs Category 1</v>
      </c>
      <c r="F178" s="33" t="s">
        <v>46</v>
      </c>
    </row>
    <row r="179" spans="4:6" x14ac:dyDescent="0.3">
      <c r="D179" s="30" t="str">
        <f>MICRO_BA!C670</f>
        <v>Other Direct Costs Category 2</v>
      </c>
      <c r="F179" s="33" t="s">
        <v>46</v>
      </c>
    </row>
    <row r="180" spans="4:6" x14ac:dyDescent="0.3">
      <c r="D180" s="30" t="str">
        <f>MICRO_BA!C671</f>
        <v>Other Direct Costs Category 3</v>
      </c>
      <c r="F180" s="33" t="s">
        <v>46</v>
      </c>
    </row>
    <row r="181" spans="4:6" x14ac:dyDescent="0.3">
      <c r="D181" s="282" t="str">
        <f>MICRO_BA!C672</f>
        <v>Other Direct Costs Category 4</v>
      </c>
      <c r="F181" s="119"/>
    </row>
    <row r="182" spans="4:6" x14ac:dyDescent="0.3">
      <c r="D182" s="282" t="str">
        <f>MICRO_BA!C673</f>
        <v>Other Direct Costs Category 5</v>
      </c>
      <c r="F182" s="119"/>
    </row>
    <row r="183" spans="4:6" x14ac:dyDescent="0.3">
      <c r="D183" s="282" t="str">
        <f>MICRO_BA!C674</f>
        <v>Other Direct Costs Category 6</v>
      </c>
      <c r="F183" s="119"/>
    </row>
    <row r="184" spans="4:6" x14ac:dyDescent="0.3">
      <c r="D184" s="282" t="str">
        <f>MICRO_BA!C675</f>
        <v>Other Direct Costs Category 7</v>
      </c>
      <c r="F184" s="119"/>
    </row>
    <row r="185" spans="4:6" x14ac:dyDescent="0.3">
      <c r="D185" s="282" t="str">
        <f>MICRO_BA!C676</f>
        <v>Other Direct Costs Category 8</v>
      </c>
      <c r="F185" s="119"/>
    </row>
    <row r="186" spans="4:6" x14ac:dyDescent="0.3">
      <c r="D186" s="282" t="str">
        <f>MICRO_BA!C677</f>
        <v>Other Direct Costs Category 9</v>
      </c>
      <c r="F186" s="119"/>
    </row>
    <row r="187" spans="4:6" x14ac:dyDescent="0.3">
      <c r="D187" s="282" t="str">
        <f>MICRO_BA!C678</f>
        <v>Other Direct Costs Category 10</v>
      </c>
      <c r="F187" s="119"/>
    </row>
    <row r="188" spans="4:6" x14ac:dyDescent="0.3">
      <c r="D188" s="282" t="str">
        <f>MICRO_BA!C679</f>
        <v>Other Direct Costs Category 11</v>
      </c>
      <c r="F188" s="119"/>
    </row>
    <row r="189" spans="4:6" x14ac:dyDescent="0.3">
      <c r="D189" s="282" t="str">
        <f>MICRO_BA!C680</f>
        <v>Other Direct Costs Category 12</v>
      </c>
      <c r="F189" s="119"/>
    </row>
    <row r="190" spans="4:6" x14ac:dyDescent="0.3">
      <c r="D190" s="282" t="str">
        <f>MICRO_BA!C681</f>
        <v>Other Direct Costs Category 13</v>
      </c>
      <c r="F190" s="119"/>
    </row>
    <row r="191" spans="4:6" x14ac:dyDescent="0.3">
      <c r="D191" s="282" t="str">
        <f>MICRO_BA!C682</f>
        <v>Other Direct Costs Category 14</v>
      </c>
      <c r="F191" s="119"/>
    </row>
    <row r="192" spans="4:6" x14ac:dyDescent="0.3">
      <c r="D192" s="282" t="str">
        <f>MICRO_BA!C683</f>
        <v>Other Direct Costs Category 15</v>
      </c>
      <c r="F192" s="119"/>
    </row>
    <row r="193" spans="4:6" x14ac:dyDescent="0.3">
      <c r="D193" s="282" t="str">
        <f>MICRO_BA!C684</f>
        <v>Other Direct Costs Category 16</v>
      </c>
      <c r="F193" s="119"/>
    </row>
    <row r="194" spans="4:6" x14ac:dyDescent="0.3">
      <c r="D194" s="282" t="str">
        <f>MICRO_BA!C685</f>
        <v>Other Direct Costs Category 17</v>
      </c>
      <c r="F194" s="119"/>
    </row>
    <row r="195" spans="4:6" x14ac:dyDescent="0.3">
      <c r="D195" s="282" t="str">
        <f>MICRO_BA!C686</f>
        <v>Other Direct Costs Category 18</v>
      </c>
      <c r="F195" s="119"/>
    </row>
    <row r="196" spans="4:6" x14ac:dyDescent="0.3">
      <c r="D196" s="282" t="str">
        <f>MICRO_BA!C687</f>
        <v>Other Direct Costs Category 19</v>
      </c>
      <c r="F196" s="119"/>
    </row>
    <row r="197" spans="4:6" x14ac:dyDescent="0.3">
      <c r="D197" s="282" t="str">
        <f>MICRO_BA!C688</f>
        <v>Other Direct Costs Category 20</v>
      </c>
      <c r="F197" s="119"/>
    </row>
    <row r="198" spans="4:6" x14ac:dyDescent="0.3">
      <c r="D198" s="282" t="str">
        <f>MICRO_BA!C689</f>
        <v>Other Direct Costs Category 21</v>
      </c>
      <c r="F198" s="119"/>
    </row>
    <row r="199" spans="4:6" x14ac:dyDescent="0.3">
      <c r="D199" s="282" t="str">
        <f>MICRO_BA!C690</f>
        <v>Other Direct Costs Category 22</v>
      </c>
      <c r="F199" s="119"/>
    </row>
    <row r="200" spans="4:6" x14ac:dyDescent="0.3">
      <c r="D200" s="282" t="str">
        <f>MICRO_BA!C691</f>
        <v>Other Direct Costs Category 23</v>
      </c>
      <c r="F200" s="119"/>
    </row>
    <row r="201" spans="4:6" x14ac:dyDescent="0.3">
      <c r="D201" s="282" t="str">
        <f>MICRO_BA!C692</f>
        <v>Other Direct Costs Category 24</v>
      </c>
      <c r="F201" s="119"/>
    </row>
    <row r="202" spans="4:6" x14ac:dyDescent="0.3">
      <c r="D202" s="282" t="str">
        <f>MICRO_BA!C693</f>
        <v>Other Direct Costs Category 25</v>
      </c>
      <c r="F202" s="119"/>
    </row>
    <row r="203" spans="4:6" x14ac:dyDescent="0.3">
      <c r="D203" s="282" t="str">
        <f>MICRO_BA!C694</f>
        <v>Other Direct Costs Category 26</v>
      </c>
      <c r="F203" s="119"/>
    </row>
    <row r="204" spans="4:6" x14ac:dyDescent="0.3">
      <c r="D204" s="282" t="str">
        <f>MICRO_BA!C695</f>
        <v>Other Direct Costs Category 27</v>
      </c>
      <c r="F204" s="119"/>
    </row>
    <row r="205" spans="4:6" x14ac:dyDescent="0.3">
      <c r="D205" s="282" t="str">
        <f>MICRO_BA!C696</f>
        <v>Other Direct Costs Category 28</v>
      </c>
      <c r="F205" s="119"/>
    </row>
    <row r="206" spans="4:6" x14ac:dyDescent="0.3">
      <c r="D206" s="282" t="str">
        <f>MICRO_BA!C697</f>
        <v>Other Direct Costs Category 29</v>
      </c>
      <c r="F206" s="119"/>
    </row>
    <row r="207" spans="4:6" x14ac:dyDescent="0.3">
      <c r="D207" s="282" t="str">
        <f>MICRO_BA!C698</f>
        <v>Other Direct Costs Category 30</v>
      </c>
      <c r="F207" s="119"/>
    </row>
    <row r="208" spans="4:6" x14ac:dyDescent="0.3">
      <c r="D208" s="282" t="str">
        <f>MICRO_BA!C699</f>
        <v>Other Direct Costs Category 31</v>
      </c>
      <c r="F208" s="119"/>
    </row>
    <row r="209" spans="4:6" x14ac:dyDescent="0.3">
      <c r="D209" s="282" t="str">
        <f>MICRO_BA!C700</f>
        <v>Other Direct Costs Category 32</v>
      </c>
      <c r="F209" s="119"/>
    </row>
    <row r="210" spans="4:6" x14ac:dyDescent="0.3">
      <c r="D210" s="282" t="str">
        <f>MICRO_BA!C701</f>
        <v>Other Direct Costs Category 33</v>
      </c>
      <c r="F210" s="119"/>
    </row>
    <row r="211" spans="4:6" x14ac:dyDescent="0.3">
      <c r="D211" s="282" t="str">
        <f>MICRO_BA!C702</f>
        <v>Other Direct Costs Category 34</v>
      </c>
      <c r="F211" s="119"/>
    </row>
    <row r="212" spans="4:6" x14ac:dyDescent="0.3">
      <c r="D212" s="282" t="str">
        <f>MICRO_BA!C703</f>
        <v>Other Direct Costs Category 35</v>
      </c>
      <c r="F212" s="119"/>
    </row>
  </sheetData>
  <sheetProtection algorithmName="SHA-512" hashValue="crAEicZZlPKxipHeqNYR01PSc6oO7mNqm908kg14XWSA0BYjxGIGn0a1vbX8HOGGvK94YCtQHTxzQGZkipMJuw==" saltValue="/YOhf9Aiexo8yu6CFS+RHw==" spinCount="100000" sheet="1" objects="1" scenarios="1" formatColumns="0" formatRows="0"/>
  <mergeCells count="1">
    <mergeCell ref="B3:D3"/>
  </mergeCells>
  <hyperlinks>
    <hyperlink ref="A4" location="$B$5" tooltip="Go to Top of Sheet" display="$B$5" xr:uid="{00000000-0004-0000-2400-000000000000}"/>
    <hyperlink ref="B4" location="HL_Sheet_Main_8" tooltip="Go to Previous Sheet" display="HL_Sheet_Main_8" xr:uid="{00000000-0004-0000-2400-000001000000}"/>
    <hyperlink ref="C4" location="HL_Sheet_Main_17" tooltip="Go to Next Sheet" display="HL_Sheet_Main_17" xr:uid="{00000000-0004-0000-2400-000002000000}"/>
    <hyperlink ref="B3" location="HL_Home" tooltip="Go to Table of Contents" display="HL_Home" xr:uid="{00000000-0004-0000-24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228</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229</v>
      </c>
    </row>
    <row r="9" spans="1:6" ht="15.6" x14ac:dyDescent="0.3">
      <c r="C9" s="115" t="s">
        <v>93</v>
      </c>
    </row>
    <row r="11" spans="1:6" ht="15.6" x14ac:dyDescent="0.3">
      <c r="C11" s="115" t="s">
        <v>93</v>
      </c>
      <c r="F11" s="115" t="s">
        <v>28</v>
      </c>
    </row>
    <row r="13" spans="1:6" x14ac:dyDescent="0.3">
      <c r="D13" s="116" t="s">
        <v>95</v>
      </c>
      <c r="F13" s="119" t="s">
        <v>220</v>
      </c>
    </row>
    <row r="14" spans="1:6" x14ac:dyDescent="0.3">
      <c r="D14" s="30" t="str">
        <f>SENS_BA!D163</f>
        <v>USD</v>
      </c>
      <c r="F14" s="33" t="s">
        <v>46</v>
      </c>
    </row>
    <row r="15" spans="1:6" x14ac:dyDescent="0.3">
      <c r="D15" s="30" t="str">
        <f>SENS_BA!D164</f>
        <v>GOZ</v>
      </c>
      <c r="F15" s="33" t="s">
        <v>46</v>
      </c>
    </row>
    <row r="17" spans="3:6" ht="15.6" x14ac:dyDescent="0.3">
      <c r="C17" s="115" t="s">
        <v>77</v>
      </c>
      <c r="F17" s="115" t="s">
        <v>28</v>
      </c>
    </row>
    <row r="19" spans="3:6" x14ac:dyDescent="0.3">
      <c r="D19" s="116" t="s">
        <v>95</v>
      </c>
      <c r="F19" s="119" t="s">
        <v>221</v>
      </c>
    </row>
    <row r="20" spans="3:6" x14ac:dyDescent="0.3">
      <c r="D20" s="30" t="str">
        <f>SENS_BA!C169</f>
        <v>Personnel Cadre - Other 1</v>
      </c>
      <c r="F20" s="33" t="s">
        <v>46</v>
      </c>
    </row>
    <row r="21" spans="3:6" x14ac:dyDescent="0.3">
      <c r="D21" s="30" t="str">
        <f>SENS_BA!C170</f>
        <v>Personnel Cadre - Other 2</v>
      </c>
      <c r="F21" s="33" t="s">
        <v>46</v>
      </c>
    </row>
    <row r="22" spans="3:6" x14ac:dyDescent="0.3">
      <c r="D22" s="30" t="str">
        <f>SENS_BA!C171</f>
        <v>Personnel Cadre - Other 3</v>
      </c>
      <c r="F22" s="33" t="s">
        <v>46</v>
      </c>
    </row>
    <row r="23" spans="3:6" x14ac:dyDescent="0.3">
      <c r="D23" s="30" t="str">
        <f>SENS_BA!C172</f>
        <v>Personnel Cadre - Other 4</v>
      </c>
      <c r="F23" s="33" t="s">
        <v>46</v>
      </c>
    </row>
    <row r="24" spans="3:6" x14ac:dyDescent="0.3">
      <c r="D24" s="30" t="str">
        <f>SENS_BA!C173</f>
        <v>Personnel Cadre - Other 5</v>
      </c>
      <c r="F24" s="33" t="s">
        <v>46</v>
      </c>
    </row>
    <row r="25" spans="3:6" x14ac:dyDescent="0.3">
      <c r="D25" s="30" t="str">
        <f>SENS_BA!C174</f>
        <v>Personnel Cadre - Other 6</v>
      </c>
      <c r="F25" s="33" t="s">
        <v>46</v>
      </c>
    </row>
    <row r="26" spans="3:6" x14ac:dyDescent="0.3">
      <c r="D26" s="30" t="str">
        <f>SENS_BA!C175</f>
        <v>Personnel Cadre - Other 7</v>
      </c>
      <c r="F26" s="33" t="s">
        <v>46</v>
      </c>
    </row>
    <row r="27" spans="3:6" x14ac:dyDescent="0.3">
      <c r="D27" s="30" t="str">
        <f>SENS_BA!C176</f>
        <v>Personnel Cadre - Other 8</v>
      </c>
      <c r="F27" s="33" t="s">
        <v>46</v>
      </c>
    </row>
    <row r="28" spans="3:6" x14ac:dyDescent="0.3">
      <c r="D28" s="30" t="str">
        <f>SENS_BA!C177</f>
        <v>Personnel Cadre - Other 9</v>
      </c>
      <c r="F28" s="33" t="s">
        <v>46</v>
      </c>
    </row>
    <row r="29" spans="3:6" x14ac:dyDescent="0.3">
      <c r="D29" s="30" t="str">
        <f>SENS_BA!C178</f>
        <v>Personnel Cadre - Other 10</v>
      </c>
      <c r="F29" s="33" t="s">
        <v>46</v>
      </c>
    </row>
    <row r="30" spans="3:6" x14ac:dyDescent="0.3">
      <c r="D30" s="30" t="str">
        <f>SENS_BA!C179</f>
        <v>Personnel Cadre - Other 11</v>
      </c>
      <c r="F30" s="33" t="s">
        <v>46</v>
      </c>
    </row>
    <row r="31" spans="3:6" x14ac:dyDescent="0.3">
      <c r="D31" s="30" t="str">
        <f>SENS_BA!C180</f>
        <v>Personnel Cadre - Other 12</v>
      </c>
      <c r="F31" s="33" t="s">
        <v>46</v>
      </c>
    </row>
    <row r="32" spans="3:6" x14ac:dyDescent="0.3">
      <c r="D32" s="30" t="str">
        <f>SENS_BA!C181</f>
        <v>Personnel Cadre - Other 13</v>
      </c>
      <c r="F32" s="33" t="s">
        <v>46</v>
      </c>
    </row>
    <row r="33" spans="4:6" x14ac:dyDescent="0.3">
      <c r="D33" s="30" t="str">
        <f>SENS_BA!C182</f>
        <v>Personnel Cadre - Other 14</v>
      </c>
      <c r="F33" s="33" t="s">
        <v>46</v>
      </c>
    </row>
    <row r="34" spans="4:6" x14ac:dyDescent="0.3">
      <c r="D34" s="30" t="str">
        <f>SENS_BA!C183</f>
        <v>Personnel Cadre - Other 15</v>
      </c>
      <c r="F34" s="33" t="s">
        <v>46</v>
      </c>
    </row>
    <row r="35" spans="4:6" x14ac:dyDescent="0.3">
      <c r="D35" s="282" t="str">
        <f>SENS_BA!C184</f>
        <v>Personnel Cadre - Other 16</v>
      </c>
      <c r="F35" s="119"/>
    </row>
    <row r="36" spans="4:6" x14ac:dyDescent="0.3">
      <c r="D36" s="282" t="str">
        <f>SENS_BA!C185</f>
        <v>Personnel Cadre - Other 17</v>
      </c>
      <c r="F36" s="119"/>
    </row>
    <row r="37" spans="4:6" x14ac:dyDescent="0.3">
      <c r="D37" s="282" t="str">
        <f>SENS_BA!C186</f>
        <v>Personnel Cadre - Other 18</v>
      </c>
      <c r="F37" s="119"/>
    </row>
    <row r="38" spans="4:6" x14ac:dyDescent="0.3">
      <c r="D38" s="282" t="str">
        <f>SENS_BA!C187</f>
        <v>Personnel Cadre - Other 19</v>
      </c>
      <c r="F38" s="119"/>
    </row>
    <row r="39" spans="4:6" x14ac:dyDescent="0.3">
      <c r="D39" s="282" t="str">
        <f>SENS_BA!C188</f>
        <v>Personnel Cadre - Other 20</v>
      </c>
      <c r="F39" s="119"/>
    </row>
    <row r="40" spans="4:6" x14ac:dyDescent="0.3">
      <c r="D40" s="282" t="str">
        <f>SENS_BA!C189</f>
        <v>Personnel Cadre - Other 21</v>
      </c>
      <c r="F40" s="119"/>
    </row>
    <row r="41" spans="4:6" x14ac:dyDescent="0.3">
      <c r="D41" s="282" t="str">
        <f>SENS_BA!C190</f>
        <v>Personnel Cadre - Other 22</v>
      </c>
      <c r="F41" s="119"/>
    </row>
    <row r="42" spans="4:6" x14ac:dyDescent="0.3">
      <c r="D42" s="282" t="str">
        <f>SENS_BA!C191</f>
        <v>Personnel Cadre - Other 23</v>
      </c>
      <c r="F42" s="119"/>
    </row>
    <row r="43" spans="4:6" x14ac:dyDescent="0.3">
      <c r="D43" s="282" t="str">
        <f>SENS_BA!C192</f>
        <v>Personnel Cadre - Other 24</v>
      </c>
      <c r="F43" s="119"/>
    </row>
    <row r="44" spans="4:6" x14ac:dyDescent="0.3">
      <c r="D44" s="282" t="str">
        <f>SENS_BA!C193</f>
        <v>Personnel Cadre - Other 25</v>
      </c>
      <c r="F44" s="119"/>
    </row>
    <row r="45" spans="4:6" x14ac:dyDescent="0.3">
      <c r="D45" s="282" t="str">
        <f>SENS_BA!C194</f>
        <v>Personnel Cadre - Other 26</v>
      </c>
      <c r="F45" s="119"/>
    </row>
    <row r="46" spans="4:6" x14ac:dyDescent="0.3">
      <c r="D46" s="282" t="str">
        <f>SENS_BA!C195</f>
        <v>Personnel Cadre - Other 27</v>
      </c>
      <c r="F46" s="119"/>
    </row>
    <row r="47" spans="4:6" x14ac:dyDescent="0.3">
      <c r="D47" s="282" t="str">
        <f>SENS_BA!C196</f>
        <v>Personnel Cadre - Other 28</v>
      </c>
      <c r="F47" s="119"/>
    </row>
    <row r="48" spans="4:6" x14ac:dyDescent="0.3">
      <c r="D48" s="282" t="str">
        <f>SENS_BA!C197</f>
        <v>Personnel Cadre - Other 29</v>
      </c>
      <c r="F48" s="119"/>
    </row>
    <row r="49" spans="3:6" x14ac:dyDescent="0.3">
      <c r="D49" s="282" t="str">
        <f>SENS_BA!C198</f>
        <v>Personnel Cadre - Other 30</v>
      </c>
      <c r="F49" s="119"/>
    </row>
    <row r="50" spans="3:6" x14ac:dyDescent="0.3">
      <c r="D50" s="282" t="str">
        <f>SENS_BA!C199</f>
        <v>Personnel Cadre - Other 31</v>
      </c>
      <c r="F50" s="119"/>
    </row>
    <row r="51" spans="3:6" x14ac:dyDescent="0.3">
      <c r="D51" s="282" t="str">
        <f>SENS_BA!C200</f>
        <v>Personnel Cadre - Other 32</v>
      </c>
      <c r="F51" s="119"/>
    </row>
    <row r="52" spans="3:6" x14ac:dyDescent="0.3">
      <c r="D52" s="282" t="str">
        <f>SENS_BA!C201</f>
        <v>Personnel Cadre - Other 33</v>
      </c>
      <c r="F52" s="119"/>
    </row>
    <row r="53" spans="3:6" x14ac:dyDescent="0.3">
      <c r="D53" s="282" t="str">
        <f>SENS_BA!C202</f>
        <v>Personnel Cadre - Other 34</v>
      </c>
      <c r="F53" s="119"/>
    </row>
    <row r="54" spans="3:6" x14ac:dyDescent="0.3">
      <c r="D54" s="282" t="str">
        <f>SENS_BA!C203</f>
        <v>Personnel Cadre - Other 35</v>
      </c>
      <c r="F54" s="119"/>
    </row>
    <row r="56" spans="3:6" ht="15.6" x14ac:dyDescent="0.3">
      <c r="C56" s="115" t="s">
        <v>94</v>
      </c>
      <c r="F56" s="115" t="s">
        <v>28</v>
      </c>
    </row>
    <row r="58" spans="3:6" x14ac:dyDescent="0.3">
      <c r="D58" s="116" t="s">
        <v>95</v>
      </c>
      <c r="F58" s="119" t="s">
        <v>222</v>
      </c>
    </row>
    <row r="59" spans="3:6" x14ac:dyDescent="0.3">
      <c r="D59" s="30" t="str">
        <f>SENS_BA!C206</f>
        <v>Allowances Category 1</v>
      </c>
      <c r="F59" s="33" t="s">
        <v>46</v>
      </c>
    </row>
    <row r="60" spans="3:6" x14ac:dyDescent="0.3">
      <c r="D60" s="30" t="str">
        <f>SENS_BA!C207</f>
        <v>Allowances Category 2</v>
      </c>
      <c r="F60" s="33" t="s">
        <v>46</v>
      </c>
    </row>
    <row r="61" spans="3:6" x14ac:dyDescent="0.3">
      <c r="D61" s="30" t="str">
        <f>SENS_BA!C208</f>
        <v>Allowances Category 3</v>
      </c>
      <c r="F61" s="33" t="s">
        <v>46</v>
      </c>
    </row>
    <row r="62" spans="3:6" x14ac:dyDescent="0.3">
      <c r="D62" s="30" t="str">
        <f>SENS_BA!C209</f>
        <v>Allowances Category 4</v>
      </c>
      <c r="F62" s="33" t="s">
        <v>46</v>
      </c>
    </row>
    <row r="63" spans="3:6" x14ac:dyDescent="0.3">
      <c r="D63" s="30" t="str">
        <f>SENS_BA!C210</f>
        <v>Allowances Category 5</v>
      </c>
      <c r="F63" s="33" t="s">
        <v>46</v>
      </c>
    </row>
    <row r="64" spans="3:6" x14ac:dyDescent="0.3">
      <c r="D64" s="282" t="str">
        <f>SENS_BA!C211</f>
        <v>Allowances Category 6</v>
      </c>
      <c r="F64" s="119"/>
    </row>
    <row r="65" spans="4:6" x14ac:dyDescent="0.3">
      <c r="D65" s="282" t="str">
        <f>SENS_BA!C212</f>
        <v>Allowances Category 7</v>
      </c>
      <c r="F65" s="119"/>
    </row>
    <row r="66" spans="4:6" x14ac:dyDescent="0.3">
      <c r="D66" s="282" t="str">
        <f>SENS_BA!C213</f>
        <v>Allowances Category 8</v>
      </c>
      <c r="F66" s="119"/>
    </row>
    <row r="67" spans="4:6" x14ac:dyDescent="0.3">
      <c r="D67" s="282" t="str">
        <f>SENS_BA!C214</f>
        <v>Allowances Category 9</v>
      </c>
      <c r="F67" s="119"/>
    </row>
    <row r="68" spans="4:6" x14ac:dyDescent="0.3">
      <c r="D68" s="282" t="str">
        <f>SENS_BA!C215</f>
        <v>Allowances Category 10</v>
      </c>
      <c r="F68" s="119"/>
    </row>
    <row r="69" spans="4:6" x14ac:dyDescent="0.3">
      <c r="D69" s="282" t="str">
        <f>SENS_BA!C216</f>
        <v>Allowances Category 11</v>
      </c>
      <c r="F69" s="119"/>
    </row>
    <row r="70" spans="4:6" x14ac:dyDescent="0.3">
      <c r="D70" s="282" t="str">
        <f>SENS_BA!C217</f>
        <v>Allowances Category 12</v>
      </c>
      <c r="F70" s="119"/>
    </row>
    <row r="71" spans="4:6" x14ac:dyDescent="0.3">
      <c r="D71" s="282" t="str">
        <f>SENS_BA!C218</f>
        <v>Allowances Category 13</v>
      </c>
      <c r="F71" s="119"/>
    </row>
    <row r="72" spans="4:6" x14ac:dyDescent="0.3">
      <c r="D72" s="282" t="str">
        <f>SENS_BA!C219</f>
        <v>Allowances Category 14</v>
      </c>
      <c r="F72" s="119"/>
    </row>
    <row r="73" spans="4:6" x14ac:dyDescent="0.3">
      <c r="D73" s="282" t="str">
        <f>SENS_BA!C220</f>
        <v>Allowances Category 15</v>
      </c>
      <c r="F73" s="119"/>
    </row>
    <row r="74" spans="4:6" x14ac:dyDescent="0.3">
      <c r="D74" s="282" t="str">
        <f>SENS_BA!C221</f>
        <v>Allowances Category 16</v>
      </c>
      <c r="F74" s="119"/>
    </row>
    <row r="75" spans="4:6" x14ac:dyDescent="0.3">
      <c r="D75" s="30" t="str">
        <f>SENS_BA!C222</f>
        <v>Allowances Category 17</v>
      </c>
      <c r="F75" s="33" t="s">
        <v>46</v>
      </c>
    </row>
    <row r="76" spans="4:6" x14ac:dyDescent="0.3">
      <c r="D76" s="30" t="str">
        <f>SENS_BA!C223</f>
        <v>Allowances Category 18</v>
      </c>
      <c r="F76" s="33" t="s">
        <v>46</v>
      </c>
    </row>
    <row r="77" spans="4:6" x14ac:dyDescent="0.3">
      <c r="D77" s="30" t="str">
        <f>SENS_BA!C224</f>
        <v>Allowances Category 19</v>
      </c>
      <c r="F77" s="33" t="s">
        <v>46</v>
      </c>
    </row>
    <row r="78" spans="4:6" x14ac:dyDescent="0.3">
      <c r="D78" s="30" t="str">
        <f>SENS_BA!C225</f>
        <v>Allowances Category 20</v>
      </c>
      <c r="F78" s="33" t="s">
        <v>46</v>
      </c>
    </row>
    <row r="79" spans="4:6" x14ac:dyDescent="0.3">
      <c r="D79" s="30" t="str">
        <f>SENS_BA!C226</f>
        <v>Allowances Category 21</v>
      </c>
      <c r="F79" s="33" t="s">
        <v>46</v>
      </c>
    </row>
    <row r="80" spans="4:6" x14ac:dyDescent="0.3">
      <c r="D80" s="30" t="str">
        <f>SENS_BA!C227</f>
        <v>Allowances Category 22</v>
      </c>
      <c r="F80" s="33" t="s">
        <v>46</v>
      </c>
    </row>
    <row r="81" spans="3:6" x14ac:dyDescent="0.3">
      <c r="D81" s="30" t="str">
        <f>SENS_BA!C228</f>
        <v>Allowances Category 23</v>
      </c>
      <c r="F81" s="33" t="s">
        <v>46</v>
      </c>
    </row>
    <row r="82" spans="3:6" x14ac:dyDescent="0.3">
      <c r="D82" s="282" t="str">
        <f>SENS_BA!C229</f>
        <v>Allowances Category 24</v>
      </c>
      <c r="F82" s="119"/>
    </row>
    <row r="83" spans="3:6" x14ac:dyDescent="0.3">
      <c r="D83" s="282" t="str">
        <f>SENS_BA!C230</f>
        <v>Allowances Category 25</v>
      </c>
      <c r="F83" s="119"/>
    </row>
    <row r="84" spans="3:6" x14ac:dyDescent="0.3">
      <c r="D84" s="282" t="str">
        <f>SENS_BA!C231</f>
        <v>Allowances Category 26</v>
      </c>
      <c r="F84" s="119"/>
    </row>
    <row r="85" spans="3:6" x14ac:dyDescent="0.3">
      <c r="D85" s="282" t="str">
        <f>SENS_BA!C232</f>
        <v>Allowances Category 27</v>
      </c>
      <c r="F85" s="119"/>
    </row>
    <row r="86" spans="3:6" x14ac:dyDescent="0.3">
      <c r="D86" s="282" t="str">
        <f>SENS_BA!C233</f>
        <v>Allowances Category 28</v>
      </c>
      <c r="F86" s="119"/>
    </row>
    <row r="87" spans="3:6" x14ac:dyDescent="0.3">
      <c r="D87" s="282" t="str">
        <f>SENS_BA!C234</f>
        <v>Allowances Category 29</v>
      </c>
      <c r="F87" s="119"/>
    </row>
    <row r="88" spans="3:6" x14ac:dyDescent="0.3">
      <c r="D88" s="282" t="str">
        <f>SENS_BA!C235</f>
        <v>Allowances Category 30</v>
      </c>
      <c r="F88" s="119"/>
    </row>
    <row r="89" spans="3:6" x14ac:dyDescent="0.3">
      <c r="D89" s="30" t="str">
        <f>SENS_BA!C236</f>
        <v>Allowances Category 31</v>
      </c>
      <c r="F89" s="33" t="s">
        <v>46</v>
      </c>
    </row>
    <row r="90" spans="3:6" x14ac:dyDescent="0.3">
      <c r="D90" s="30" t="str">
        <f>SENS_BA!C237</f>
        <v>Allowances Category 32</v>
      </c>
      <c r="F90" s="33" t="s">
        <v>46</v>
      </c>
    </row>
    <row r="91" spans="3:6" x14ac:dyDescent="0.3">
      <c r="D91" s="30" t="str">
        <f>SENS_BA!C238</f>
        <v>Allowances Category 33</v>
      </c>
      <c r="F91" s="33" t="s">
        <v>46</v>
      </c>
    </row>
    <row r="92" spans="3:6" x14ac:dyDescent="0.3">
      <c r="D92" s="30" t="str">
        <f>SENS_BA!C239</f>
        <v>Allowances Category 34</v>
      </c>
      <c r="F92" s="33" t="s">
        <v>46</v>
      </c>
    </row>
    <row r="93" spans="3:6" x14ac:dyDescent="0.3">
      <c r="D93" s="30" t="str">
        <f>SENS_BA!C240</f>
        <v>Allowances Category 35</v>
      </c>
      <c r="F93" s="33" t="s">
        <v>46</v>
      </c>
    </row>
    <row r="96" spans="3:6" ht="15.6" x14ac:dyDescent="0.3">
      <c r="C96" s="115" t="s">
        <v>132</v>
      </c>
      <c r="F96" s="115" t="s">
        <v>28</v>
      </c>
    </row>
    <row r="98" spans="4:6" x14ac:dyDescent="0.3">
      <c r="D98" s="116" t="s">
        <v>95</v>
      </c>
      <c r="F98" s="119" t="s">
        <v>223</v>
      </c>
    </row>
    <row r="99" spans="4:6" x14ac:dyDescent="0.3">
      <c r="D99" s="30" t="str">
        <f>SENS_BA!C244</f>
        <v>Supplies Category 1</v>
      </c>
      <c r="F99" s="33" t="s">
        <v>46</v>
      </c>
    </row>
    <row r="100" spans="4:6" x14ac:dyDescent="0.3">
      <c r="D100" s="30" t="str">
        <f>SENS_BA!C245</f>
        <v>Supplies Category 2</v>
      </c>
      <c r="F100" s="33" t="s">
        <v>46</v>
      </c>
    </row>
    <row r="101" spans="4:6" x14ac:dyDescent="0.3">
      <c r="D101" s="30" t="str">
        <f>SENS_BA!C246</f>
        <v>Supplies Category 3</v>
      </c>
      <c r="F101" s="33" t="s">
        <v>46</v>
      </c>
    </row>
    <row r="102" spans="4:6" x14ac:dyDescent="0.3">
      <c r="D102" s="30" t="str">
        <f>SENS_BA!C247</f>
        <v>Supplies Category 4</v>
      </c>
      <c r="F102" s="33" t="s">
        <v>46</v>
      </c>
    </row>
    <row r="103" spans="4:6" x14ac:dyDescent="0.3">
      <c r="D103" s="30" t="str">
        <f>SENS_BA!C248</f>
        <v>Supplies Category 5</v>
      </c>
      <c r="F103" s="33" t="s">
        <v>46</v>
      </c>
    </row>
    <row r="104" spans="4:6" x14ac:dyDescent="0.3">
      <c r="D104" s="30" t="str">
        <f>SENS_BA!C249</f>
        <v>Supplies Category 6</v>
      </c>
      <c r="F104" s="33" t="s">
        <v>46</v>
      </c>
    </row>
    <row r="105" spans="4:6" x14ac:dyDescent="0.3">
      <c r="D105" s="30" t="str">
        <f>SENS_BA!C250</f>
        <v>Supplies Category 7</v>
      </c>
      <c r="F105" s="33" t="s">
        <v>46</v>
      </c>
    </row>
    <row r="106" spans="4:6" x14ac:dyDescent="0.3">
      <c r="D106" s="30" t="str">
        <f>SENS_BA!C251</f>
        <v>Supplies Category 8</v>
      </c>
      <c r="F106" s="33" t="s">
        <v>46</v>
      </c>
    </row>
    <row r="107" spans="4:6" x14ac:dyDescent="0.3">
      <c r="D107" s="30" t="str">
        <f>SENS_BA!C252</f>
        <v>Supplies Category 9</v>
      </c>
      <c r="F107" s="33" t="s">
        <v>46</v>
      </c>
    </row>
    <row r="108" spans="4:6" x14ac:dyDescent="0.3">
      <c r="D108" s="30" t="str">
        <f>SENS_BA!C253</f>
        <v>Supplies Category 10</v>
      </c>
      <c r="F108" s="33" t="s">
        <v>46</v>
      </c>
    </row>
    <row r="109" spans="4:6" x14ac:dyDescent="0.3">
      <c r="D109" s="30" t="str">
        <f>SENS_BA!C254</f>
        <v>Supplies Category 11</v>
      </c>
      <c r="F109" s="33" t="s">
        <v>46</v>
      </c>
    </row>
    <row r="110" spans="4:6" x14ac:dyDescent="0.3">
      <c r="D110" s="30" t="str">
        <f>SENS_BA!C255</f>
        <v>Supplies Category 12</v>
      </c>
      <c r="F110" s="33" t="s">
        <v>46</v>
      </c>
    </row>
    <row r="111" spans="4:6" x14ac:dyDescent="0.3">
      <c r="D111" s="30" t="str">
        <f>SENS_BA!C256</f>
        <v>Supplies Category 13</v>
      </c>
      <c r="F111" s="33" t="s">
        <v>46</v>
      </c>
    </row>
    <row r="112" spans="4:6" x14ac:dyDescent="0.3">
      <c r="D112" s="30" t="str">
        <f>SENS_BA!C257</f>
        <v>Supplies Category 14</v>
      </c>
      <c r="F112" s="33" t="s">
        <v>46</v>
      </c>
    </row>
    <row r="113" spans="4:6" x14ac:dyDescent="0.3">
      <c r="D113" s="30" t="str">
        <f>SENS_BA!C258</f>
        <v>Supplies Category 15</v>
      </c>
      <c r="F113" s="33" t="s">
        <v>46</v>
      </c>
    </row>
    <row r="114" spans="4:6" x14ac:dyDescent="0.3">
      <c r="D114" s="30" t="str">
        <f>SENS_BA!C259</f>
        <v>Supplies Category 16</v>
      </c>
      <c r="F114" s="33" t="s">
        <v>46</v>
      </c>
    </row>
    <row r="115" spans="4:6" x14ac:dyDescent="0.3">
      <c r="D115" s="282" t="str">
        <f>SENS_BA!C260</f>
        <v>Supplies Category 17</v>
      </c>
      <c r="F115" s="119"/>
    </row>
    <row r="116" spans="4:6" x14ac:dyDescent="0.3">
      <c r="D116" s="282" t="str">
        <f>SENS_BA!C261</f>
        <v>Supplies Category 18</v>
      </c>
      <c r="F116" s="119"/>
    </row>
    <row r="117" spans="4:6" x14ac:dyDescent="0.3">
      <c r="D117" s="282" t="str">
        <f>SENS_BA!C262</f>
        <v>Supplies Category 19</v>
      </c>
      <c r="F117" s="119"/>
    </row>
    <row r="118" spans="4:6" x14ac:dyDescent="0.3">
      <c r="D118" s="282" t="str">
        <f>SENS_BA!C263</f>
        <v>Supplies Category 20</v>
      </c>
      <c r="F118" s="119"/>
    </row>
    <row r="119" spans="4:6" x14ac:dyDescent="0.3">
      <c r="D119" s="282" t="str">
        <f>SENS_BA!C264</f>
        <v>Supplies Category 21</v>
      </c>
      <c r="F119" s="119"/>
    </row>
    <row r="120" spans="4:6" x14ac:dyDescent="0.3">
      <c r="D120" s="282" t="str">
        <f>SENS_BA!C265</f>
        <v>Supplies Category 22</v>
      </c>
      <c r="F120" s="119"/>
    </row>
    <row r="121" spans="4:6" x14ac:dyDescent="0.3">
      <c r="D121" s="282" t="str">
        <f>SENS_BA!C266</f>
        <v>Supplies Category 23</v>
      </c>
      <c r="F121" s="119"/>
    </row>
    <row r="122" spans="4:6" x14ac:dyDescent="0.3">
      <c r="D122" s="282" t="str">
        <f>SENS_BA!C267</f>
        <v>Supplies Category 24</v>
      </c>
      <c r="F122" s="119"/>
    </row>
    <row r="123" spans="4:6" x14ac:dyDescent="0.3">
      <c r="D123" s="282" t="str">
        <f>SENS_BA!C268</f>
        <v>Supplies Category 25</v>
      </c>
      <c r="F123" s="119"/>
    </row>
    <row r="124" spans="4:6" x14ac:dyDescent="0.3">
      <c r="D124" s="282" t="str">
        <f>SENS_BA!C269</f>
        <v>Supplies Category 26</v>
      </c>
      <c r="F124" s="119"/>
    </row>
    <row r="125" spans="4:6" x14ac:dyDescent="0.3">
      <c r="D125" s="282" t="str">
        <f>SENS_BA!C270</f>
        <v>Supplies Category 27</v>
      </c>
      <c r="F125" s="119"/>
    </row>
    <row r="126" spans="4:6" x14ac:dyDescent="0.3">
      <c r="D126" s="282" t="str">
        <f>SENS_BA!C271</f>
        <v>Supplies Category 28</v>
      </c>
      <c r="F126" s="119"/>
    </row>
    <row r="127" spans="4:6" x14ac:dyDescent="0.3">
      <c r="D127" s="282" t="str">
        <f>SENS_BA!C272</f>
        <v>Supplies Category 29</v>
      </c>
      <c r="F127" s="119"/>
    </row>
    <row r="128" spans="4:6" x14ac:dyDescent="0.3">
      <c r="D128" s="282" t="str">
        <f>SENS_BA!C273</f>
        <v>Supplies Category 30</v>
      </c>
      <c r="F128" s="119"/>
    </row>
    <row r="129" spans="3:6" x14ac:dyDescent="0.3">
      <c r="D129" s="282" t="str">
        <f>SENS_BA!C274</f>
        <v>Supplies Category 31</v>
      </c>
      <c r="F129" s="119"/>
    </row>
    <row r="130" spans="3:6" x14ac:dyDescent="0.3">
      <c r="D130" s="282" t="str">
        <f>SENS_BA!C275</f>
        <v>Supplies Category 32</v>
      </c>
      <c r="F130" s="119"/>
    </row>
    <row r="131" spans="3:6" x14ac:dyDescent="0.3">
      <c r="D131" s="282" t="str">
        <f>SENS_BA!C276</f>
        <v>Supplies Category 33</v>
      </c>
      <c r="F131" s="119"/>
    </row>
    <row r="132" spans="3:6" x14ac:dyDescent="0.3">
      <c r="D132" s="282" t="str">
        <f>SENS_BA!C277</f>
        <v>Supplies Category 34</v>
      </c>
      <c r="F132" s="119"/>
    </row>
    <row r="133" spans="3:6" x14ac:dyDescent="0.3">
      <c r="D133" s="282" t="str">
        <f>SENS_BA!C278</f>
        <v>Supplies Category 35</v>
      </c>
      <c r="F133" s="119"/>
    </row>
    <row r="136" spans="3:6" ht="15.6" x14ac:dyDescent="0.3">
      <c r="C136" s="115" t="s">
        <v>130</v>
      </c>
      <c r="F136" s="115" t="s">
        <v>28</v>
      </c>
    </row>
    <row r="138" spans="3:6" x14ac:dyDescent="0.3">
      <c r="D138" s="116" t="s">
        <v>95</v>
      </c>
      <c r="F138" s="119" t="s">
        <v>224</v>
      </c>
    </row>
    <row r="139" spans="3:6" x14ac:dyDescent="0.3">
      <c r="D139" s="30" t="str">
        <f>SENS_BA!C281</f>
        <v>Equipment Category 1</v>
      </c>
      <c r="F139" s="33" t="s">
        <v>46</v>
      </c>
    </row>
    <row r="140" spans="3:6" x14ac:dyDescent="0.3">
      <c r="D140" s="30" t="str">
        <f>SENS_BA!C282</f>
        <v>Equipment Category 2</v>
      </c>
      <c r="F140" s="33" t="s">
        <v>46</v>
      </c>
    </row>
    <row r="141" spans="3:6" x14ac:dyDescent="0.3">
      <c r="D141" s="30" t="str">
        <f>SENS_BA!C283</f>
        <v>Equipment Category 3</v>
      </c>
      <c r="F141" s="33" t="s">
        <v>46</v>
      </c>
    </row>
    <row r="142" spans="3:6" x14ac:dyDescent="0.3">
      <c r="D142" s="30" t="str">
        <f>SENS_BA!C284</f>
        <v>Equipment Category 4</v>
      </c>
      <c r="F142" s="33" t="s">
        <v>46</v>
      </c>
    </row>
    <row r="143" spans="3:6" x14ac:dyDescent="0.3">
      <c r="D143" s="30" t="str">
        <f>SENS_BA!C285</f>
        <v>Equipment Category 5</v>
      </c>
      <c r="F143" s="33" t="s">
        <v>46</v>
      </c>
    </row>
    <row r="144" spans="3:6" x14ac:dyDescent="0.3">
      <c r="D144" s="30" t="str">
        <f>SENS_BA!C286</f>
        <v>Equipment Category 6</v>
      </c>
      <c r="F144" s="33" t="s">
        <v>46</v>
      </c>
    </row>
    <row r="145" spans="4:6" x14ac:dyDescent="0.3">
      <c r="D145" s="282" t="str">
        <f>SENS_BA!C287</f>
        <v>Equipment Category 7</v>
      </c>
      <c r="F145" s="119"/>
    </row>
    <row r="146" spans="4:6" x14ac:dyDescent="0.3">
      <c r="D146" s="282" t="str">
        <f>SENS_BA!C288</f>
        <v>Equipment Category 8</v>
      </c>
      <c r="F146" s="119"/>
    </row>
    <row r="147" spans="4:6" x14ac:dyDescent="0.3">
      <c r="D147" s="282" t="str">
        <f>SENS_BA!C289</f>
        <v>Equipment Category 9</v>
      </c>
      <c r="F147" s="119"/>
    </row>
    <row r="148" spans="4:6" x14ac:dyDescent="0.3">
      <c r="D148" s="282" t="str">
        <f>SENS_BA!C290</f>
        <v>Equipment Category 10</v>
      </c>
      <c r="F148" s="119"/>
    </row>
    <row r="149" spans="4:6" x14ac:dyDescent="0.3">
      <c r="D149" s="282" t="str">
        <f>SENS_BA!C291</f>
        <v>Equipment Category 11</v>
      </c>
      <c r="F149" s="119"/>
    </row>
    <row r="150" spans="4:6" x14ac:dyDescent="0.3">
      <c r="D150" s="282" t="str">
        <f>SENS_BA!C292</f>
        <v>Equipment Category 12</v>
      </c>
      <c r="F150" s="119"/>
    </row>
    <row r="151" spans="4:6" x14ac:dyDescent="0.3">
      <c r="D151" s="282" t="str">
        <f>SENS_BA!C293</f>
        <v>Equipment Category 13</v>
      </c>
      <c r="F151" s="119"/>
    </row>
    <row r="152" spans="4:6" x14ac:dyDescent="0.3">
      <c r="D152" s="282" t="str">
        <f>SENS_BA!C294</f>
        <v>Equipment Category 14</v>
      </c>
      <c r="F152" s="119"/>
    </row>
    <row r="153" spans="4:6" x14ac:dyDescent="0.3">
      <c r="D153" s="282" t="str">
        <f>SENS_BA!C295</f>
        <v>Equipment Category 15</v>
      </c>
      <c r="F153" s="119"/>
    </row>
    <row r="154" spans="4:6" x14ac:dyDescent="0.3">
      <c r="D154" s="282" t="str">
        <f>SENS_BA!C296</f>
        <v>Equipment Category 16</v>
      </c>
      <c r="F154" s="119"/>
    </row>
    <row r="155" spans="4:6" x14ac:dyDescent="0.3">
      <c r="D155" s="282" t="str">
        <f>SENS_BA!C297</f>
        <v>Equipment Category 17</v>
      </c>
      <c r="F155" s="119"/>
    </row>
    <row r="156" spans="4:6" x14ac:dyDescent="0.3">
      <c r="D156" s="282" t="str">
        <f>SENS_BA!C298</f>
        <v>Equipment Category 18</v>
      </c>
      <c r="F156" s="119"/>
    </row>
    <row r="157" spans="4:6" x14ac:dyDescent="0.3">
      <c r="D157" s="282" t="str">
        <f>SENS_BA!C299</f>
        <v>Equipment Category 19</v>
      </c>
      <c r="F157" s="119"/>
    </row>
    <row r="158" spans="4:6" x14ac:dyDescent="0.3">
      <c r="D158" s="282" t="str">
        <f>SENS_BA!C300</f>
        <v>Equipment Category 20</v>
      </c>
      <c r="F158" s="119"/>
    </row>
    <row r="159" spans="4:6" x14ac:dyDescent="0.3">
      <c r="D159" s="282" t="str">
        <f>SENS_BA!C301</f>
        <v>Equipment Category 21</v>
      </c>
      <c r="F159" s="119"/>
    </row>
    <row r="160" spans="4:6" x14ac:dyDescent="0.3">
      <c r="D160" s="282" t="str">
        <f>SENS_BA!C302</f>
        <v>Equipment Category 22</v>
      </c>
      <c r="F160" s="119"/>
    </row>
    <row r="161" spans="3:6" x14ac:dyDescent="0.3">
      <c r="D161" s="282" t="str">
        <f>SENS_BA!C303</f>
        <v>Equipment Category 23</v>
      </c>
      <c r="F161" s="119"/>
    </row>
    <row r="162" spans="3:6" x14ac:dyDescent="0.3">
      <c r="D162" s="282" t="str">
        <f>SENS_BA!C304</f>
        <v>Equipment Category 24</v>
      </c>
      <c r="F162" s="119"/>
    </row>
    <row r="163" spans="3:6" x14ac:dyDescent="0.3">
      <c r="D163" s="282" t="str">
        <f>SENS_BA!C305</f>
        <v>Equipment Category 25</v>
      </c>
      <c r="F163" s="119"/>
    </row>
    <row r="164" spans="3:6" x14ac:dyDescent="0.3">
      <c r="D164" s="282" t="str">
        <f>SENS_BA!C306</f>
        <v>Equipment Category 26</v>
      </c>
      <c r="F164" s="119"/>
    </row>
    <row r="165" spans="3:6" x14ac:dyDescent="0.3">
      <c r="D165" s="282" t="str">
        <f>SENS_BA!C307</f>
        <v>Equipment Category 27</v>
      </c>
      <c r="F165" s="119"/>
    </row>
    <row r="166" spans="3:6" x14ac:dyDescent="0.3">
      <c r="D166" s="282" t="str">
        <f>SENS_BA!C308</f>
        <v>Equipment Category 28</v>
      </c>
      <c r="F166" s="119"/>
    </row>
    <row r="167" spans="3:6" x14ac:dyDescent="0.3">
      <c r="D167" s="282" t="str">
        <f>SENS_BA!C309</f>
        <v>Equipment Category 29</v>
      </c>
      <c r="F167" s="119"/>
    </row>
    <row r="168" spans="3:6" x14ac:dyDescent="0.3">
      <c r="D168" s="282" t="str">
        <f>SENS_BA!C310</f>
        <v>Equipment Category 30</v>
      </c>
      <c r="F168" s="119"/>
    </row>
    <row r="169" spans="3:6" x14ac:dyDescent="0.3">
      <c r="D169" s="282" t="str">
        <f>SENS_BA!C311</f>
        <v>Equipment Category 31</v>
      </c>
      <c r="F169" s="119"/>
    </row>
    <row r="170" spans="3:6" x14ac:dyDescent="0.3">
      <c r="D170" s="282" t="str">
        <f>SENS_BA!C312</f>
        <v>Equipment Category 32</v>
      </c>
      <c r="F170" s="119"/>
    </row>
    <row r="171" spans="3:6" x14ac:dyDescent="0.3">
      <c r="D171" s="282" t="str">
        <f>SENS_BA!C313</f>
        <v>Equipment Category 33</v>
      </c>
      <c r="F171" s="119"/>
    </row>
    <row r="172" spans="3:6" x14ac:dyDescent="0.3">
      <c r="D172" s="282" t="str">
        <f>SENS_BA!C314</f>
        <v>Equipment Category 34</v>
      </c>
      <c r="F172" s="119"/>
    </row>
    <row r="173" spans="3:6" x14ac:dyDescent="0.3">
      <c r="D173" s="282" t="str">
        <f>SENS_BA!C315</f>
        <v>Equipment Category 35</v>
      </c>
      <c r="F173" s="119"/>
    </row>
    <row r="175" spans="3:6" ht="15.6" x14ac:dyDescent="0.3">
      <c r="C175" s="115" t="s">
        <v>89</v>
      </c>
      <c r="F175" s="115" t="s">
        <v>28</v>
      </c>
    </row>
    <row r="177" spans="4:6" x14ac:dyDescent="0.3">
      <c r="D177" s="116" t="s">
        <v>95</v>
      </c>
      <c r="F177" s="119" t="s">
        <v>225</v>
      </c>
    </row>
    <row r="178" spans="4:6" x14ac:dyDescent="0.3">
      <c r="D178" s="30" t="str">
        <f>SENS_BA!C319</f>
        <v>Other Direct Costs Category 1</v>
      </c>
      <c r="F178" s="33" t="s">
        <v>46</v>
      </c>
    </row>
    <row r="179" spans="4:6" x14ac:dyDescent="0.3">
      <c r="D179" s="30" t="str">
        <f>SENS_BA!C320</f>
        <v>Other Direct Costs Category 2</v>
      </c>
      <c r="F179" s="33" t="s">
        <v>46</v>
      </c>
    </row>
    <row r="180" spans="4:6" x14ac:dyDescent="0.3">
      <c r="D180" s="30" t="str">
        <f>SENS_BA!C321</f>
        <v>Other Direct Costs Category 3</v>
      </c>
      <c r="F180" s="33" t="s">
        <v>46</v>
      </c>
    </row>
    <row r="181" spans="4:6" x14ac:dyDescent="0.3">
      <c r="D181" s="282" t="str">
        <f>SENS_BA!C322</f>
        <v>Other Direct Costs Category 4</v>
      </c>
      <c r="F181" s="119"/>
    </row>
    <row r="182" spans="4:6" x14ac:dyDescent="0.3">
      <c r="D182" s="282" t="str">
        <f>SENS_BA!C323</f>
        <v>Other Direct Costs Category 5</v>
      </c>
      <c r="F182" s="119"/>
    </row>
    <row r="183" spans="4:6" x14ac:dyDescent="0.3">
      <c r="D183" s="282" t="str">
        <f>SENS_BA!C324</f>
        <v>Other Direct Costs Category 6</v>
      </c>
      <c r="F183" s="119"/>
    </row>
    <row r="184" spans="4:6" x14ac:dyDescent="0.3">
      <c r="D184" s="282" t="str">
        <f>SENS_BA!C325</f>
        <v>Other Direct Costs Category 7</v>
      </c>
      <c r="F184" s="119"/>
    </row>
    <row r="185" spans="4:6" x14ac:dyDescent="0.3">
      <c r="D185" s="282" t="str">
        <f>SENS_BA!C326</f>
        <v>Other Direct Costs Category 8</v>
      </c>
      <c r="F185" s="119"/>
    </row>
    <row r="186" spans="4:6" x14ac:dyDescent="0.3">
      <c r="D186" s="282" t="str">
        <f>SENS_BA!C327</f>
        <v>Other Direct Costs Category 9</v>
      </c>
      <c r="F186" s="119"/>
    </row>
    <row r="187" spans="4:6" x14ac:dyDescent="0.3">
      <c r="D187" s="282" t="str">
        <f>SENS_BA!C328</f>
        <v>Other Direct Costs Category 10</v>
      </c>
      <c r="F187" s="119"/>
    </row>
    <row r="188" spans="4:6" x14ac:dyDescent="0.3">
      <c r="D188" s="282" t="str">
        <f>SENS_BA!C329</f>
        <v>Other Direct Costs Category 11</v>
      </c>
      <c r="F188" s="119"/>
    </row>
    <row r="189" spans="4:6" x14ac:dyDescent="0.3">
      <c r="D189" s="282" t="str">
        <f>SENS_BA!C330</f>
        <v>Other Direct Costs Category 12</v>
      </c>
      <c r="F189" s="119"/>
    </row>
    <row r="190" spans="4:6" x14ac:dyDescent="0.3">
      <c r="D190" s="282" t="str">
        <f>SENS_BA!C331</f>
        <v>Other Direct Costs Category 13</v>
      </c>
      <c r="F190" s="119"/>
    </row>
    <row r="191" spans="4:6" x14ac:dyDescent="0.3">
      <c r="D191" s="282" t="str">
        <f>SENS_BA!C332</f>
        <v>Other Direct Costs Category 14</v>
      </c>
      <c r="F191" s="119"/>
    </row>
    <row r="192" spans="4:6" x14ac:dyDescent="0.3">
      <c r="D192" s="282" t="str">
        <f>SENS_BA!C333</f>
        <v>Other Direct Costs Category 15</v>
      </c>
      <c r="F192" s="119"/>
    </row>
    <row r="193" spans="4:6" x14ac:dyDescent="0.3">
      <c r="D193" s="282" t="str">
        <f>SENS_BA!C334</f>
        <v>Other Direct Costs Category 16</v>
      </c>
      <c r="F193" s="119"/>
    </row>
    <row r="194" spans="4:6" x14ac:dyDescent="0.3">
      <c r="D194" s="282" t="str">
        <f>SENS_BA!C335</f>
        <v>Other Direct Costs Category 17</v>
      </c>
      <c r="F194" s="119"/>
    </row>
    <row r="195" spans="4:6" x14ac:dyDescent="0.3">
      <c r="D195" s="282" t="str">
        <f>SENS_BA!C336</f>
        <v>Other Direct Costs Category 18</v>
      </c>
      <c r="F195" s="119"/>
    </row>
    <row r="196" spans="4:6" x14ac:dyDescent="0.3">
      <c r="D196" s="282" t="str">
        <f>SENS_BA!C337</f>
        <v>Other Direct Costs Category 19</v>
      </c>
      <c r="F196" s="119"/>
    </row>
    <row r="197" spans="4:6" x14ac:dyDescent="0.3">
      <c r="D197" s="282" t="str">
        <f>SENS_BA!C338</f>
        <v>Other Direct Costs Category 20</v>
      </c>
      <c r="F197" s="119"/>
    </row>
    <row r="198" spans="4:6" x14ac:dyDescent="0.3">
      <c r="D198" s="282" t="str">
        <f>SENS_BA!C339</f>
        <v>Other Direct Costs Category 21</v>
      </c>
      <c r="F198" s="119"/>
    </row>
    <row r="199" spans="4:6" x14ac:dyDescent="0.3">
      <c r="D199" s="282" t="str">
        <f>SENS_BA!C340</f>
        <v>Other Direct Costs Category 22</v>
      </c>
      <c r="F199" s="119"/>
    </row>
    <row r="200" spans="4:6" x14ac:dyDescent="0.3">
      <c r="D200" s="282" t="str">
        <f>SENS_BA!C341</f>
        <v>Other Direct Costs Category 23</v>
      </c>
      <c r="F200" s="119"/>
    </row>
    <row r="201" spans="4:6" x14ac:dyDescent="0.3">
      <c r="D201" s="282" t="str">
        <f>SENS_BA!C342</f>
        <v>Other Direct Costs Category 24</v>
      </c>
      <c r="F201" s="119"/>
    </row>
    <row r="202" spans="4:6" x14ac:dyDescent="0.3">
      <c r="D202" s="282" t="str">
        <f>SENS_BA!C343</f>
        <v>Other Direct Costs Category 25</v>
      </c>
      <c r="F202" s="119"/>
    </row>
    <row r="203" spans="4:6" x14ac:dyDescent="0.3">
      <c r="D203" s="282" t="str">
        <f>SENS_BA!C344</f>
        <v>Other Direct Costs Category 26</v>
      </c>
      <c r="F203" s="119"/>
    </row>
    <row r="204" spans="4:6" x14ac:dyDescent="0.3">
      <c r="D204" s="282" t="str">
        <f>SENS_BA!C345</f>
        <v>Other Direct Costs Category 27</v>
      </c>
      <c r="F204" s="119"/>
    </row>
    <row r="205" spans="4:6" x14ac:dyDescent="0.3">
      <c r="D205" s="282" t="str">
        <f>SENS_BA!C346</f>
        <v>Other Direct Costs Category 28</v>
      </c>
      <c r="F205" s="119"/>
    </row>
    <row r="206" spans="4:6" x14ac:dyDescent="0.3">
      <c r="D206" s="282" t="str">
        <f>SENS_BA!C347</f>
        <v>Other Direct Costs Category 29</v>
      </c>
      <c r="F206" s="119"/>
    </row>
    <row r="207" spans="4:6" x14ac:dyDescent="0.3">
      <c r="D207" s="282" t="str">
        <f>SENS_BA!C348</f>
        <v>Other Direct Costs Category 30</v>
      </c>
      <c r="F207" s="119"/>
    </row>
    <row r="208" spans="4:6" x14ac:dyDescent="0.3">
      <c r="D208" s="282" t="str">
        <f>SENS_BA!C349</f>
        <v>Other Direct Costs Category 31</v>
      </c>
      <c r="F208" s="119"/>
    </row>
    <row r="209" spans="4:6" x14ac:dyDescent="0.3">
      <c r="D209" s="282" t="str">
        <f>SENS_BA!C350</f>
        <v>Other Direct Costs Category 32</v>
      </c>
      <c r="F209" s="119"/>
    </row>
    <row r="210" spans="4:6" x14ac:dyDescent="0.3">
      <c r="D210" s="282" t="str">
        <f>SENS_BA!C351</f>
        <v>Other Direct Costs Category 33</v>
      </c>
      <c r="F210" s="119"/>
    </row>
    <row r="211" spans="4:6" x14ac:dyDescent="0.3">
      <c r="D211" s="282" t="str">
        <f>SENS_BA!C352</f>
        <v>Other Direct Costs Category 34</v>
      </c>
      <c r="F211" s="119"/>
    </row>
    <row r="212" spans="4:6" x14ac:dyDescent="0.3">
      <c r="D212" s="282" t="str">
        <f>SENS_BA!C353</f>
        <v>Other Direct Costs Category 35</v>
      </c>
      <c r="F212" s="119"/>
    </row>
  </sheetData>
  <sheetProtection algorithmName="SHA-512" hashValue="XxsdhEXni5BEsUyvh+fYE68kvrHB+F8Osmnax29JOBFsQWFuPo2vYR1YvRkwx9ghvpNNrd3Pc+bWeuR5/K93MQ==" saltValue="FW8z5FVAU879Xkn1zapRMA==" spinCount="100000" sheet="1" objects="1" scenarios="1" formatColumns="0" formatRows="0"/>
  <mergeCells count="1">
    <mergeCell ref="B3:D3"/>
  </mergeCells>
  <hyperlinks>
    <hyperlink ref="B3" location="HL_Home" tooltip="Go to Table of Contents" display="HL_Home" xr:uid="{00000000-0004-0000-2500-000000000000}"/>
    <hyperlink ref="A4" location="$B$5" tooltip="Go to Top of Sheet" display="$B$5" xr:uid="{00000000-0004-0000-2500-000001000000}"/>
    <hyperlink ref="B4" location="HL_Sheet_Main_14" tooltip="Go to Previous Sheet" display="HL_Sheet_Main_14" xr:uid="{00000000-0004-0000-2500-000002000000}"/>
    <hyperlink ref="C4" location="HL_Sheet_Main_19" tooltip="Go to Next Sheet" display="HL_Sheet_Main_19" xr:uid="{00000000-0004-0000-25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236</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237</v>
      </c>
    </row>
    <row r="9" spans="1:6" ht="15.6" x14ac:dyDescent="0.3">
      <c r="C9" s="115" t="s">
        <v>93</v>
      </c>
    </row>
    <row r="11" spans="1:6" ht="15.6" x14ac:dyDescent="0.3">
      <c r="C11" s="115" t="s">
        <v>93</v>
      </c>
      <c r="F11" s="115" t="s">
        <v>28</v>
      </c>
    </row>
    <row r="13" spans="1:6" x14ac:dyDescent="0.3">
      <c r="D13" s="116" t="s">
        <v>95</v>
      </c>
      <c r="F13" s="119" t="s">
        <v>230</v>
      </c>
    </row>
    <row r="14" spans="1:6" x14ac:dyDescent="0.3">
      <c r="D14" s="30" t="str">
        <f>SENS_BA!D512</f>
        <v>USD</v>
      </c>
      <c r="F14" s="33" t="s">
        <v>46</v>
      </c>
    </row>
    <row r="15" spans="1:6" x14ac:dyDescent="0.3">
      <c r="D15" s="30" t="str">
        <f>SENS_BA!D513</f>
        <v>GOZ</v>
      </c>
      <c r="F15" s="33" t="s">
        <v>46</v>
      </c>
    </row>
    <row r="17" spans="3:6" ht="15.6" x14ac:dyDescent="0.3">
      <c r="C17" s="115" t="s">
        <v>77</v>
      </c>
      <c r="F17" s="115" t="s">
        <v>28</v>
      </c>
    </row>
    <row r="19" spans="3:6" x14ac:dyDescent="0.3">
      <c r="D19" s="116" t="s">
        <v>95</v>
      </c>
      <c r="F19" s="119" t="s">
        <v>231</v>
      </c>
    </row>
    <row r="20" spans="3:6" x14ac:dyDescent="0.3">
      <c r="D20" s="30" t="str">
        <f>SENS_BA!C518</f>
        <v>Personnel Cadre - Other 1</v>
      </c>
      <c r="F20" s="33" t="s">
        <v>46</v>
      </c>
    </row>
    <row r="21" spans="3:6" x14ac:dyDescent="0.3">
      <c r="D21" s="30" t="str">
        <f>SENS_BA!C519</f>
        <v>Personnel Cadre - Other 2</v>
      </c>
      <c r="F21" s="33" t="s">
        <v>46</v>
      </c>
    </row>
    <row r="22" spans="3:6" x14ac:dyDescent="0.3">
      <c r="D22" s="30" t="str">
        <f>SENS_BA!C520</f>
        <v>Personnel Cadre - Other 3</v>
      </c>
      <c r="F22" s="33" t="s">
        <v>46</v>
      </c>
    </row>
    <row r="23" spans="3:6" x14ac:dyDescent="0.3">
      <c r="D23" s="30" t="str">
        <f>SENS_BA!C521</f>
        <v>Personnel Cadre - Other 4</v>
      </c>
      <c r="F23" s="33" t="s">
        <v>46</v>
      </c>
    </row>
    <row r="24" spans="3:6" x14ac:dyDescent="0.3">
      <c r="D24" s="30" t="str">
        <f>SENS_BA!C522</f>
        <v>Personnel Cadre - Other 5</v>
      </c>
      <c r="F24" s="33" t="s">
        <v>46</v>
      </c>
    </row>
    <row r="25" spans="3:6" x14ac:dyDescent="0.3">
      <c r="D25" s="30" t="str">
        <f>SENS_BA!C523</f>
        <v>Personnel Cadre - Other 6</v>
      </c>
      <c r="F25" s="33" t="s">
        <v>46</v>
      </c>
    </row>
    <row r="26" spans="3:6" x14ac:dyDescent="0.3">
      <c r="D26" s="30" t="str">
        <f>SENS_BA!C524</f>
        <v>Personnel Cadre - Other 7</v>
      </c>
      <c r="F26" s="33" t="s">
        <v>46</v>
      </c>
    </row>
    <row r="27" spans="3:6" x14ac:dyDescent="0.3">
      <c r="D27" s="30" t="str">
        <f>SENS_BA!C525</f>
        <v>Personnel Cadre - Other 8</v>
      </c>
      <c r="F27" s="33" t="s">
        <v>46</v>
      </c>
    </row>
    <row r="28" spans="3:6" x14ac:dyDescent="0.3">
      <c r="D28" s="30" t="str">
        <f>SENS_BA!C526</f>
        <v>Personnel Cadre - Other 9</v>
      </c>
      <c r="F28" s="33" t="s">
        <v>46</v>
      </c>
    </row>
    <row r="29" spans="3:6" x14ac:dyDescent="0.3">
      <c r="D29" s="30" t="str">
        <f>SENS_BA!C527</f>
        <v>Personnel Cadre - Other 10</v>
      </c>
      <c r="F29" s="33" t="s">
        <v>46</v>
      </c>
    </row>
    <row r="30" spans="3:6" x14ac:dyDescent="0.3">
      <c r="D30" s="30" t="str">
        <f>SENS_BA!C528</f>
        <v>Personnel Cadre - Other 11</v>
      </c>
      <c r="F30" s="33" t="s">
        <v>46</v>
      </c>
    </row>
    <row r="31" spans="3:6" x14ac:dyDescent="0.3">
      <c r="D31" s="30" t="str">
        <f>SENS_BA!C529</f>
        <v>Personnel Cadre - Other 12</v>
      </c>
      <c r="F31" s="33" t="s">
        <v>46</v>
      </c>
    </row>
    <row r="32" spans="3:6" x14ac:dyDescent="0.3">
      <c r="D32" s="30" t="str">
        <f>SENS_BA!C530</f>
        <v>Personnel Cadre - Other 13</v>
      </c>
      <c r="F32" s="33" t="s">
        <v>46</v>
      </c>
    </row>
    <row r="33" spans="4:6" x14ac:dyDescent="0.3">
      <c r="D33" s="30" t="str">
        <f>SENS_BA!C531</f>
        <v>Personnel Cadre - Other 14</v>
      </c>
      <c r="F33" s="33" t="s">
        <v>46</v>
      </c>
    </row>
    <row r="34" spans="4:6" x14ac:dyDescent="0.3">
      <c r="D34" s="30" t="str">
        <f>SENS_BA!C532</f>
        <v>Personnel Cadre - Other 15</v>
      </c>
      <c r="F34" s="33" t="s">
        <v>46</v>
      </c>
    </row>
    <row r="35" spans="4:6" x14ac:dyDescent="0.3">
      <c r="D35" s="282" t="str">
        <f>SENS_BA!C533</f>
        <v>Personnel Cadre - Other 16</v>
      </c>
      <c r="F35" s="119"/>
    </row>
    <row r="36" spans="4:6" x14ac:dyDescent="0.3">
      <c r="D36" s="282" t="str">
        <f>SENS_BA!C534</f>
        <v>Personnel Cadre - Other 17</v>
      </c>
      <c r="F36" s="119"/>
    </row>
    <row r="37" spans="4:6" x14ac:dyDescent="0.3">
      <c r="D37" s="282" t="str">
        <f>SENS_BA!C535</f>
        <v>Personnel Cadre - Other 18</v>
      </c>
      <c r="F37" s="119"/>
    </row>
    <row r="38" spans="4:6" x14ac:dyDescent="0.3">
      <c r="D38" s="282" t="str">
        <f>SENS_BA!C536</f>
        <v>Personnel Cadre - Other 19</v>
      </c>
      <c r="F38" s="119"/>
    </row>
    <row r="39" spans="4:6" x14ac:dyDescent="0.3">
      <c r="D39" s="282" t="str">
        <f>SENS_BA!C537</f>
        <v>Personnel Cadre - Other 20</v>
      </c>
      <c r="F39" s="119"/>
    </row>
    <row r="40" spans="4:6" x14ac:dyDescent="0.3">
      <c r="D40" s="282" t="str">
        <f>SENS_BA!C538</f>
        <v>Personnel Cadre - Other 21</v>
      </c>
      <c r="F40" s="119"/>
    </row>
    <row r="41" spans="4:6" x14ac:dyDescent="0.3">
      <c r="D41" s="282" t="str">
        <f>SENS_BA!C539</f>
        <v>Personnel Cadre - Other 22</v>
      </c>
      <c r="F41" s="119"/>
    </row>
    <row r="42" spans="4:6" x14ac:dyDescent="0.3">
      <c r="D42" s="282" t="str">
        <f>SENS_BA!C540</f>
        <v>Personnel Cadre - Other 23</v>
      </c>
      <c r="F42" s="119"/>
    </row>
    <row r="43" spans="4:6" x14ac:dyDescent="0.3">
      <c r="D43" s="282" t="str">
        <f>SENS_BA!C541</f>
        <v>Personnel Cadre - Other 24</v>
      </c>
      <c r="F43" s="119"/>
    </row>
    <row r="44" spans="4:6" x14ac:dyDescent="0.3">
      <c r="D44" s="282" t="str">
        <f>SENS_BA!C542</f>
        <v>Personnel Cadre - Other 25</v>
      </c>
      <c r="F44" s="119"/>
    </row>
    <row r="45" spans="4:6" x14ac:dyDescent="0.3">
      <c r="D45" s="282" t="str">
        <f>SENS_BA!C543</f>
        <v>Personnel Cadre - Other 26</v>
      </c>
      <c r="F45" s="119"/>
    </row>
    <row r="46" spans="4:6" x14ac:dyDescent="0.3">
      <c r="D46" s="282" t="str">
        <f>SENS_BA!C544</f>
        <v>Personnel Cadre - Other 27</v>
      </c>
      <c r="F46" s="119"/>
    </row>
    <row r="47" spans="4:6" x14ac:dyDescent="0.3">
      <c r="D47" s="282" t="str">
        <f>SENS_BA!C545</f>
        <v>Personnel Cadre - Other 28</v>
      </c>
      <c r="F47" s="119"/>
    </row>
    <row r="48" spans="4:6" x14ac:dyDescent="0.3">
      <c r="D48" s="282" t="str">
        <f>SENS_BA!C546</f>
        <v>Personnel Cadre - Other 29</v>
      </c>
      <c r="F48" s="119"/>
    </row>
    <row r="49" spans="3:6" x14ac:dyDescent="0.3">
      <c r="D49" s="282" t="str">
        <f>SENS_BA!C547</f>
        <v>Personnel Cadre - Other 30</v>
      </c>
      <c r="F49" s="119"/>
    </row>
    <row r="50" spans="3:6" x14ac:dyDescent="0.3">
      <c r="D50" s="282" t="str">
        <f>SENS_BA!C548</f>
        <v>Personnel Cadre - Other 31</v>
      </c>
      <c r="F50" s="119"/>
    </row>
    <row r="51" spans="3:6" x14ac:dyDescent="0.3">
      <c r="D51" s="282" t="str">
        <f>SENS_BA!C549</f>
        <v>Personnel Cadre - Other 32</v>
      </c>
      <c r="F51" s="119"/>
    </row>
    <row r="52" spans="3:6" x14ac:dyDescent="0.3">
      <c r="D52" s="282" t="str">
        <f>SENS_BA!C550</f>
        <v>Personnel Cadre - Other 33</v>
      </c>
      <c r="F52" s="119"/>
    </row>
    <row r="53" spans="3:6" x14ac:dyDescent="0.3">
      <c r="D53" s="282" t="str">
        <f>SENS_BA!C551</f>
        <v>Personnel Cadre - Other 34</v>
      </c>
      <c r="F53" s="119"/>
    </row>
    <row r="54" spans="3:6" x14ac:dyDescent="0.3">
      <c r="D54" s="282" t="str">
        <f>SENS_BA!C552</f>
        <v>Personnel Cadre - Other 35</v>
      </c>
      <c r="F54" s="119"/>
    </row>
    <row r="56" spans="3:6" ht="15.6" x14ac:dyDescent="0.3">
      <c r="C56" s="115" t="s">
        <v>94</v>
      </c>
      <c r="F56" s="115" t="s">
        <v>28</v>
      </c>
    </row>
    <row r="58" spans="3:6" x14ac:dyDescent="0.3">
      <c r="D58" s="116" t="s">
        <v>95</v>
      </c>
      <c r="F58" s="119" t="s">
        <v>232</v>
      </c>
    </row>
    <row r="59" spans="3:6" x14ac:dyDescent="0.3">
      <c r="D59" s="30" t="str">
        <f>SENS_BA!C555</f>
        <v>Allowances Category 1</v>
      </c>
      <c r="F59" s="33" t="s">
        <v>46</v>
      </c>
    </row>
    <row r="60" spans="3:6" x14ac:dyDescent="0.3">
      <c r="D60" s="30" t="str">
        <f>SENS_BA!C556</f>
        <v>Allowances Category 2</v>
      </c>
      <c r="F60" s="33" t="s">
        <v>46</v>
      </c>
    </row>
    <row r="61" spans="3:6" x14ac:dyDescent="0.3">
      <c r="D61" s="30" t="str">
        <f>SENS_BA!C557</f>
        <v>Allowances Category 3</v>
      </c>
      <c r="F61" s="33" t="s">
        <v>46</v>
      </c>
    </row>
    <row r="62" spans="3:6" x14ac:dyDescent="0.3">
      <c r="D62" s="30" t="str">
        <f>SENS_BA!C558</f>
        <v>Allowances Category 4</v>
      </c>
      <c r="F62" s="33" t="s">
        <v>46</v>
      </c>
    </row>
    <row r="63" spans="3:6" x14ac:dyDescent="0.3">
      <c r="D63" s="30" t="str">
        <f>SENS_BA!C559</f>
        <v>Allowances Category 5</v>
      </c>
      <c r="F63" s="33" t="s">
        <v>46</v>
      </c>
    </row>
    <row r="64" spans="3:6" x14ac:dyDescent="0.3">
      <c r="D64" s="282" t="str">
        <f>SENS_BA!C560</f>
        <v>Allowances Category 6</v>
      </c>
      <c r="F64" s="119"/>
    </row>
    <row r="65" spans="4:6" x14ac:dyDescent="0.3">
      <c r="D65" s="282" t="str">
        <f>SENS_BA!C561</f>
        <v>Allowances Category 7</v>
      </c>
      <c r="F65" s="119"/>
    </row>
    <row r="66" spans="4:6" x14ac:dyDescent="0.3">
      <c r="D66" s="282" t="str">
        <f>SENS_BA!C562</f>
        <v>Allowances Category 8</v>
      </c>
      <c r="F66" s="119"/>
    </row>
    <row r="67" spans="4:6" x14ac:dyDescent="0.3">
      <c r="D67" s="282" t="str">
        <f>SENS_BA!C563</f>
        <v>Allowances Category 9</v>
      </c>
      <c r="F67" s="119"/>
    </row>
    <row r="68" spans="4:6" x14ac:dyDescent="0.3">
      <c r="D68" s="282" t="str">
        <f>SENS_BA!C564</f>
        <v>Allowances Category 10</v>
      </c>
      <c r="F68" s="119"/>
    </row>
    <row r="69" spans="4:6" x14ac:dyDescent="0.3">
      <c r="D69" s="282" t="str">
        <f>SENS_BA!C565</f>
        <v>Allowances Category 11</v>
      </c>
      <c r="F69" s="119"/>
    </row>
    <row r="70" spans="4:6" x14ac:dyDescent="0.3">
      <c r="D70" s="282" t="str">
        <f>SENS_BA!C566</f>
        <v>Allowances Category 12</v>
      </c>
      <c r="F70" s="119"/>
    </row>
    <row r="71" spans="4:6" x14ac:dyDescent="0.3">
      <c r="D71" s="282" t="str">
        <f>SENS_BA!C567</f>
        <v>Allowances Category 13</v>
      </c>
      <c r="F71" s="119"/>
    </row>
    <row r="72" spans="4:6" x14ac:dyDescent="0.3">
      <c r="D72" s="282" t="str">
        <f>SENS_BA!C568</f>
        <v>Allowances Category 14</v>
      </c>
      <c r="F72" s="119"/>
    </row>
    <row r="73" spans="4:6" x14ac:dyDescent="0.3">
      <c r="D73" s="282" t="str">
        <f>SENS_BA!C569</f>
        <v>Allowances Category 15</v>
      </c>
      <c r="F73" s="119"/>
    </row>
    <row r="74" spans="4:6" x14ac:dyDescent="0.3">
      <c r="D74" s="282" t="str">
        <f>SENS_BA!C570</f>
        <v>Allowances Category 16</v>
      </c>
      <c r="F74" s="119"/>
    </row>
    <row r="75" spans="4:6" x14ac:dyDescent="0.3">
      <c r="D75" s="30" t="str">
        <f>SENS_BA!C571</f>
        <v>Allowances Category 17</v>
      </c>
      <c r="F75" s="33" t="s">
        <v>46</v>
      </c>
    </row>
    <row r="76" spans="4:6" x14ac:dyDescent="0.3">
      <c r="D76" s="30" t="str">
        <f>SENS_BA!C572</f>
        <v>Allowances Category 18</v>
      </c>
      <c r="F76" s="33" t="s">
        <v>46</v>
      </c>
    </row>
    <row r="77" spans="4:6" x14ac:dyDescent="0.3">
      <c r="D77" s="30" t="str">
        <f>SENS_BA!C573</f>
        <v>Allowances Category 19</v>
      </c>
      <c r="F77" s="33" t="s">
        <v>46</v>
      </c>
    </row>
    <row r="78" spans="4:6" x14ac:dyDescent="0.3">
      <c r="D78" s="30" t="str">
        <f>SENS_BA!C574</f>
        <v>Allowances Category 20</v>
      </c>
      <c r="F78" s="33" t="s">
        <v>46</v>
      </c>
    </row>
    <row r="79" spans="4:6" x14ac:dyDescent="0.3">
      <c r="D79" s="30" t="str">
        <f>SENS_BA!C575</f>
        <v>Allowances Category 21</v>
      </c>
      <c r="F79" s="33" t="s">
        <v>46</v>
      </c>
    </row>
    <row r="80" spans="4:6" x14ac:dyDescent="0.3">
      <c r="D80" s="30" t="str">
        <f>SENS_BA!C576</f>
        <v>Allowances Category 22</v>
      </c>
      <c r="F80" s="33" t="s">
        <v>46</v>
      </c>
    </row>
    <row r="81" spans="3:6" x14ac:dyDescent="0.3">
      <c r="D81" s="30" t="str">
        <f>SENS_BA!C577</f>
        <v>Allowances Category 23</v>
      </c>
      <c r="F81" s="33" t="s">
        <v>46</v>
      </c>
    </row>
    <row r="82" spans="3:6" x14ac:dyDescent="0.3">
      <c r="D82" s="282" t="str">
        <f>SENS_BA!C578</f>
        <v>Allowances Category 24</v>
      </c>
      <c r="F82" s="119"/>
    </row>
    <row r="83" spans="3:6" x14ac:dyDescent="0.3">
      <c r="D83" s="282" t="str">
        <f>SENS_BA!C579</f>
        <v>Allowances Category 25</v>
      </c>
      <c r="F83" s="119"/>
    </row>
    <row r="84" spans="3:6" x14ac:dyDescent="0.3">
      <c r="D84" s="282" t="str">
        <f>SENS_BA!C580</f>
        <v>Allowances Category 26</v>
      </c>
      <c r="F84" s="119"/>
    </row>
    <row r="85" spans="3:6" x14ac:dyDescent="0.3">
      <c r="D85" s="282" t="str">
        <f>SENS_BA!C581</f>
        <v>Allowances Category 27</v>
      </c>
      <c r="F85" s="119"/>
    </row>
    <row r="86" spans="3:6" x14ac:dyDescent="0.3">
      <c r="D86" s="282" t="str">
        <f>SENS_BA!C582</f>
        <v>Allowances Category 28</v>
      </c>
      <c r="F86" s="119"/>
    </row>
    <row r="87" spans="3:6" x14ac:dyDescent="0.3">
      <c r="D87" s="282" t="str">
        <f>SENS_BA!C583</f>
        <v>Allowances Category 29</v>
      </c>
      <c r="F87" s="119"/>
    </row>
    <row r="88" spans="3:6" x14ac:dyDescent="0.3">
      <c r="D88" s="282" t="str">
        <f>SENS_BA!C584</f>
        <v>Allowances Category 30</v>
      </c>
      <c r="F88" s="119"/>
    </row>
    <row r="89" spans="3:6" x14ac:dyDescent="0.3">
      <c r="D89" s="30" t="str">
        <f>SENS_BA!C585</f>
        <v>Allowances Category 31</v>
      </c>
      <c r="F89" s="33" t="s">
        <v>46</v>
      </c>
    </row>
    <row r="90" spans="3:6" x14ac:dyDescent="0.3">
      <c r="D90" s="30" t="str">
        <f>SENS_BA!C586</f>
        <v>Allowances Category 32</v>
      </c>
      <c r="F90" s="33" t="s">
        <v>46</v>
      </c>
    </row>
    <row r="91" spans="3:6" x14ac:dyDescent="0.3">
      <c r="D91" s="30" t="str">
        <f>SENS_BA!C587</f>
        <v>Allowances Category 33</v>
      </c>
      <c r="F91" s="33" t="s">
        <v>46</v>
      </c>
    </row>
    <row r="92" spans="3:6" x14ac:dyDescent="0.3">
      <c r="D92" s="30" t="str">
        <f>SENS_BA!C588</f>
        <v>Allowances Category 34</v>
      </c>
      <c r="F92" s="33" t="s">
        <v>46</v>
      </c>
    </row>
    <row r="93" spans="3:6" x14ac:dyDescent="0.3">
      <c r="D93" s="30" t="str">
        <f>SENS_BA!C589</f>
        <v>Allowances Category 35</v>
      </c>
      <c r="F93" s="33" t="s">
        <v>46</v>
      </c>
    </row>
    <row r="96" spans="3:6" ht="15.6" x14ac:dyDescent="0.3">
      <c r="C96" s="115" t="s">
        <v>132</v>
      </c>
      <c r="F96" s="115" t="s">
        <v>28</v>
      </c>
    </row>
    <row r="98" spans="4:6" x14ac:dyDescent="0.3">
      <c r="D98" s="116" t="s">
        <v>95</v>
      </c>
      <c r="F98" s="119" t="s">
        <v>233</v>
      </c>
    </row>
    <row r="99" spans="4:6" x14ac:dyDescent="0.3">
      <c r="D99" s="30" t="str">
        <f>SENS_BA!C593</f>
        <v>Supplies Category 1</v>
      </c>
      <c r="F99" s="33" t="s">
        <v>46</v>
      </c>
    </row>
    <row r="100" spans="4:6" x14ac:dyDescent="0.3">
      <c r="D100" s="30" t="str">
        <f>SENS_BA!C594</f>
        <v>Supplies Category 2</v>
      </c>
      <c r="F100" s="33" t="s">
        <v>46</v>
      </c>
    </row>
    <row r="101" spans="4:6" x14ac:dyDescent="0.3">
      <c r="D101" s="30" t="str">
        <f>SENS_BA!C595</f>
        <v>Supplies Category 3</v>
      </c>
      <c r="F101" s="33" t="s">
        <v>46</v>
      </c>
    </row>
    <row r="102" spans="4:6" x14ac:dyDescent="0.3">
      <c r="D102" s="30" t="str">
        <f>SENS_BA!C596</f>
        <v>Supplies Category 4</v>
      </c>
      <c r="F102" s="33" t="s">
        <v>46</v>
      </c>
    </row>
    <row r="103" spans="4:6" x14ac:dyDescent="0.3">
      <c r="D103" s="30" t="str">
        <f>SENS_BA!C597</f>
        <v>Supplies Category 5</v>
      </c>
      <c r="F103" s="33" t="s">
        <v>46</v>
      </c>
    </row>
    <row r="104" spans="4:6" x14ac:dyDescent="0.3">
      <c r="D104" s="30" t="str">
        <f>SENS_BA!C598</f>
        <v>Supplies Category 6</v>
      </c>
      <c r="F104" s="33" t="s">
        <v>46</v>
      </c>
    </row>
    <row r="105" spans="4:6" x14ac:dyDescent="0.3">
      <c r="D105" s="30" t="str">
        <f>SENS_BA!C599</f>
        <v>Supplies Category 7</v>
      </c>
      <c r="F105" s="33" t="s">
        <v>46</v>
      </c>
    </row>
    <row r="106" spans="4:6" x14ac:dyDescent="0.3">
      <c r="D106" s="30" t="str">
        <f>SENS_BA!C600</f>
        <v>Supplies Category 8</v>
      </c>
      <c r="F106" s="33" t="s">
        <v>46</v>
      </c>
    </row>
    <row r="107" spans="4:6" x14ac:dyDescent="0.3">
      <c r="D107" s="30" t="str">
        <f>SENS_BA!C601</f>
        <v>Supplies Category 9</v>
      </c>
      <c r="F107" s="33" t="s">
        <v>46</v>
      </c>
    </row>
    <row r="108" spans="4:6" x14ac:dyDescent="0.3">
      <c r="D108" s="30" t="str">
        <f>SENS_BA!C602</f>
        <v>Supplies Category 10</v>
      </c>
      <c r="F108" s="33" t="s">
        <v>46</v>
      </c>
    </row>
    <row r="109" spans="4:6" x14ac:dyDescent="0.3">
      <c r="D109" s="30" t="str">
        <f>SENS_BA!C603</f>
        <v>Supplies Category 11</v>
      </c>
      <c r="F109" s="33" t="s">
        <v>46</v>
      </c>
    </row>
    <row r="110" spans="4:6" x14ac:dyDescent="0.3">
      <c r="D110" s="30" t="str">
        <f>SENS_BA!C604</f>
        <v>Supplies Category 12</v>
      </c>
      <c r="F110" s="33" t="s">
        <v>46</v>
      </c>
    </row>
    <row r="111" spans="4:6" x14ac:dyDescent="0.3">
      <c r="D111" s="30" t="str">
        <f>SENS_BA!C605</f>
        <v>Supplies Category 13</v>
      </c>
      <c r="F111" s="33" t="s">
        <v>46</v>
      </c>
    </row>
    <row r="112" spans="4:6" x14ac:dyDescent="0.3">
      <c r="D112" s="30" t="str">
        <f>SENS_BA!C606</f>
        <v>Supplies Category 14</v>
      </c>
      <c r="F112" s="33" t="s">
        <v>46</v>
      </c>
    </row>
    <row r="113" spans="4:6" x14ac:dyDescent="0.3">
      <c r="D113" s="30" t="str">
        <f>SENS_BA!C607</f>
        <v>Supplies Category 15</v>
      </c>
      <c r="F113" s="33" t="s">
        <v>46</v>
      </c>
    </row>
    <row r="114" spans="4:6" x14ac:dyDescent="0.3">
      <c r="D114" s="30" t="str">
        <f>SENS_BA!C608</f>
        <v>Supplies Category 16</v>
      </c>
      <c r="F114" s="33" t="s">
        <v>46</v>
      </c>
    </row>
    <row r="115" spans="4:6" x14ac:dyDescent="0.3">
      <c r="D115" s="282" t="str">
        <f>SENS_BA!C609</f>
        <v>Supplies Category 17</v>
      </c>
      <c r="F115" s="119"/>
    </row>
    <row r="116" spans="4:6" x14ac:dyDescent="0.3">
      <c r="D116" s="282" t="str">
        <f>SENS_BA!C610</f>
        <v>Supplies Category 18</v>
      </c>
      <c r="F116" s="119"/>
    </row>
    <row r="117" spans="4:6" x14ac:dyDescent="0.3">
      <c r="D117" s="282" t="str">
        <f>SENS_BA!C611</f>
        <v>Supplies Category 19</v>
      </c>
      <c r="F117" s="119"/>
    </row>
    <row r="118" spans="4:6" x14ac:dyDescent="0.3">
      <c r="D118" s="282" t="str">
        <f>SENS_BA!C612</f>
        <v>Supplies Category 20</v>
      </c>
      <c r="F118" s="119"/>
    </row>
    <row r="119" spans="4:6" x14ac:dyDescent="0.3">
      <c r="D119" s="282" t="str">
        <f>SENS_BA!C613</f>
        <v>Supplies Category 21</v>
      </c>
      <c r="F119" s="119"/>
    </row>
    <row r="120" spans="4:6" x14ac:dyDescent="0.3">
      <c r="D120" s="282" t="str">
        <f>SENS_BA!C614</f>
        <v>Supplies Category 22</v>
      </c>
      <c r="F120" s="119"/>
    </row>
    <row r="121" spans="4:6" x14ac:dyDescent="0.3">
      <c r="D121" s="282" t="str">
        <f>SENS_BA!C615</f>
        <v>Supplies Category 23</v>
      </c>
      <c r="F121" s="119"/>
    </row>
    <row r="122" spans="4:6" x14ac:dyDescent="0.3">
      <c r="D122" s="282" t="str">
        <f>SENS_BA!C616</f>
        <v>Supplies Category 24</v>
      </c>
      <c r="F122" s="119"/>
    </row>
    <row r="123" spans="4:6" x14ac:dyDescent="0.3">
      <c r="D123" s="282" t="str">
        <f>SENS_BA!C617</f>
        <v>Supplies Category 25</v>
      </c>
      <c r="F123" s="119"/>
    </row>
    <row r="124" spans="4:6" x14ac:dyDescent="0.3">
      <c r="D124" s="282" t="str">
        <f>SENS_BA!C618</f>
        <v>Supplies Category 26</v>
      </c>
      <c r="F124" s="119"/>
    </row>
    <row r="125" spans="4:6" x14ac:dyDescent="0.3">
      <c r="D125" s="282" t="str">
        <f>SENS_BA!C619</f>
        <v>Supplies Category 27</v>
      </c>
      <c r="F125" s="119"/>
    </row>
    <row r="126" spans="4:6" x14ac:dyDescent="0.3">
      <c r="D126" s="282" t="str">
        <f>SENS_BA!C620</f>
        <v>Supplies Category 28</v>
      </c>
      <c r="F126" s="119"/>
    </row>
    <row r="127" spans="4:6" x14ac:dyDescent="0.3">
      <c r="D127" s="282" t="str">
        <f>SENS_BA!C621</f>
        <v>Supplies Category 29</v>
      </c>
      <c r="F127" s="119"/>
    </row>
    <row r="128" spans="4:6" x14ac:dyDescent="0.3">
      <c r="D128" s="282" t="str">
        <f>SENS_BA!C622</f>
        <v>Supplies Category 30</v>
      </c>
      <c r="F128" s="119"/>
    </row>
    <row r="129" spans="3:6" x14ac:dyDescent="0.3">
      <c r="D129" s="282" t="str">
        <f>SENS_BA!C623</f>
        <v>Supplies Category 31</v>
      </c>
      <c r="F129" s="119"/>
    </row>
    <row r="130" spans="3:6" x14ac:dyDescent="0.3">
      <c r="D130" s="282" t="str">
        <f>SENS_BA!C624</f>
        <v>Supplies Category 32</v>
      </c>
      <c r="F130" s="119"/>
    </row>
    <row r="131" spans="3:6" x14ac:dyDescent="0.3">
      <c r="D131" s="282" t="str">
        <f>SENS_BA!C625</f>
        <v>Supplies Category 33</v>
      </c>
      <c r="F131" s="119"/>
    </row>
    <row r="132" spans="3:6" x14ac:dyDescent="0.3">
      <c r="D132" s="282" t="str">
        <f>SENS_BA!C626</f>
        <v>Supplies Category 34</v>
      </c>
      <c r="F132" s="119"/>
    </row>
    <row r="133" spans="3:6" x14ac:dyDescent="0.3">
      <c r="D133" s="282" t="str">
        <f>SENS_BA!C627</f>
        <v>Supplies Category 35</v>
      </c>
      <c r="F133" s="119"/>
    </row>
    <row r="136" spans="3:6" ht="15.6" x14ac:dyDescent="0.3">
      <c r="C136" s="115" t="s">
        <v>130</v>
      </c>
      <c r="F136" s="115" t="s">
        <v>28</v>
      </c>
    </row>
    <row r="138" spans="3:6" x14ac:dyDescent="0.3">
      <c r="D138" s="116" t="s">
        <v>95</v>
      </c>
      <c r="F138" s="119" t="s">
        <v>234</v>
      </c>
    </row>
    <row r="139" spans="3:6" x14ac:dyDescent="0.3">
      <c r="D139" s="30" t="str">
        <f>SENS_BA!C630</f>
        <v>Equipment Category 1</v>
      </c>
      <c r="F139" s="33" t="s">
        <v>46</v>
      </c>
    </row>
    <row r="140" spans="3:6" x14ac:dyDescent="0.3">
      <c r="D140" s="30" t="str">
        <f>SENS_BA!C631</f>
        <v>Equipment Category 2</v>
      </c>
      <c r="F140" s="33" t="s">
        <v>46</v>
      </c>
    </row>
    <row r="141" spans="3:6" x14ac:dyDescent="0.3">
      <c r="D141" s="30" t="str">
        <f>SENS_BA!C632</f>
        <v>Equipment Category 3</v>
      </c>
      <c r="F141" s="33" t="s">
        <v>46</v>
      </c>
    </row>
    <row r="142" spans="3:6" x14ac:dyDescent="0.3">
      <c r="D142" s="30" t="str">
        <f>SENS_BA!C633</f>
        <v>Equipment Category 4</v>
      </c>
      <c r="F142" s="33" t="s">
        <v>46</v>
      </c>
    </row>
    <row r="143" spans="3:6" x14ac:dyDescent="0.3">
      <c r="D143" s="30" t="str">
        <f>SENS_BA!C634</f>
        <v>Equipment Category 5</v>
      </c>
      <c r="F143" s="33" t="s">
        <v>46</v>
      </c>
    </row>
    <row r="144" spans="3:6" x14ac:dyDescent="0.3">
      <c r="D144" s="30" t="str">
        <f>SENS_BA!C635</f>
        <v>Equipment Category 6</v>
      </c>
      <c r="F144" s="33" t="s">
        <v>46</v>
      </c>
    </row>
    <row r="145" spans="4:6" x14ac:dyDescent="0.3">
      <c r="D145" s="282" t="str">
        <f>SENS_BA!C636</f>
        <v>Equipment Category 7</v>
      </c>
      <c r="F145" s="119"/>
    </row>
    <row r="146" spans="4:6" x14ac:dyDescent="0.3">
      <c r="D146" s="282" t="str">
        <f>SENS_BA!C637</f>
        <v>Equipment Category 8</v>
      </c>
      <c r="F146" s="119"/>
    </row>
    <row r="147" spans="4:6" x14ac:dyDescent="0.3">
      <c r="D147" s="282" t="str">
        <f>SENS_BA!C638</f>
        <v>Equipment Category 9</v>
      </c>
      <c r="F147" s="119"/>
    </row>
    <row r="148" spans="4:6" x14ac:dyDescent="0.3">
      <c r="D148" s="282" t="str">
        <f>SENS_BA!C639</f>
        <v>Equipment Category 10</v>
      </c>
      <c r="F148" s="119"/>
    </row>
    <row r="149" spans="4:6" x14ac:dyDescent="0.3">
      <c r="D149" s="282" t="str">
        <f>SENS_BA!C640</f>
        <v>Equipment Category 11</v>
      </c>
      <c r="F149" s="119"/>
    </row>
    <row r="150" spans="4:6" x14ac:dyDescent="0.3">
      <c r="D150" s="282" t="str">
        <f>SENS_BA!C641</f>
        <v>Equipment Category 12</v>
      </c>
      <c r="F150" s="119"/>
    </row>
    <row r="151" spans="4:6" x14ac:dyDescent="0.3">
      <c r="D151" s="282" t="str">
        <f>SENS_BA!C642</f>
        <v>Equipment Category 13</v>
      </c>
      <c r="F151" s="119"/>
    </row>
    <row r="152" spans="4:6" x14ac:dyDescent="0.3">
      <c r="D152" s="282" t="str">
        <f>SENS_BA!C643</f>
        <v>Equipment Category 14</v>
      </c>
      <c r="F152" s="119"/>
    </row>
    <row r="153" spans="4:6" x14ac:dyDescent="0.3">
      <c r="D153" s="282" t="str">
        <f>SENS_BA!C644</f>
        <v>Equipment Category 15</v>
      </c>
      <c r="F153" s="119"/>
    </row>
    <row r="154" spans="4:6" x14ac:dyDescent="0.3">
      <c r="D154" s="282" t="str">
        <f>SENS_BA!C645</f>
        <v>Equipment Category 16</v>
      </c>
      <c r="F154" s="119"/>
    </row>
    <row r="155" spans="4:6" x14ac:dyDescent="0.3">
      <c r="D155" s="282" t="str">
        <f>SENS_BA!C646</f>
        <v>Equipment Category 17</v>
      </c>
      <c r="F155" s="119"/>
    </row>
    <row r="156" spans="4:6" x14ac:dyDescent="0.3">
      <c r="D156" s="282" t="str">
        <f>SENS_BA!C647</f>
        <v>Equipment Category 18</v>
      </c>
      <c r="F156" s="119"/>
    </row>
    <row r="157" spans="4:6" x14ac:dyDescent="0.3">
      <c r="D157" s="282" t="str">
        <f>SENS_BA!C648</f>
        <v>Equipment Category 19</v>
      </c>
      <c r="F157" s="119"/>
    </row>
    <row r="158" spans="4:6" x14ac:dyDescent="0.3">
      <c r="D158" s="282" t="str">
        <f>SENS_BA!C649</f>
        <v>Equipment Category 20</v>
      </c>
      <c r="F158" s="119"/>
    </row>
    <row r="159" spans="4:6" x14ac:dyDescent="0.3">
      <c r="D159" s="282" t="str">
        <f>SENS_BA!C650</f>
        <v>Equipment Category 21</v>
      </c>
      <c r="F159" s="119"/>
    </row>
    <row r="160" spans="4:6" x14ac:dyDescent="0.3">
      <c r="D160" s="282" t="str">
        <f>SENS_BA!C651</f>
        <v>Equipment Category 22</v>
      </c>
      <c r="F160" s="119"/>
    </row>
    <row r="161" spans="3:6" x14ac:dyDescent="0.3">
      <c r="D161" s="282" t="str">
        <f>SENS_BA!C652</f>
        <v>Equipment Category 23</v>
      </c>
      <c r="F161" s="119"/>
    </row>
    <row r="162" spans="3:6" x14ac:dyDescent="0.3">
      <c r="D162" s="282" t="str">
        <f>SENS_BA!C653</f>
        <v>Equipment Category 24</v>
      </c>
      <c r="F162" s="119"/>
    </row>
    <row r="163" spans="3:6" x14ac:dyDescent="0.3">
      <c r="D163" s="282" t="str">
        <f>SENS_BA!C654</f>
        <v>Equipment Category 25</v>
      </c>
      <c r="F163" s="119"/>
    </row>
    <row r="164" spans="3:6" x14ac:dyDescent="0.3">
      <c r="D164" s="282" t="str">
        <f>SENS_BA!C655</f>
        <v>Equipment Category 26</v>
      </c>
      <c r="F164" s="119"/>
    </row>
    <row r="165" spans="3:6" x14ac:dyDescent="0.3">
      <c r="D165" s="282" t="str">
        <f>SENS_BA!C656</f>
        <v>Equipment Category 27</v>
      </c>
      <c r="F165" s="119"/>
    </row>
    <row r="166" spans="3:6" x14ac:dyDescent="0.3">
      <c r="D166" s="282" t="str">
        <f>SENS_BA!C657</f>
        <v>Equipment Category 28</v>
      </c>
      <c r="F166" s="119"/>
    </row>
    <row r="167" spans="3:6" x14ac:dyDescent="0.3">
      <c r="D167" s="282" t="str">
        <f>SENS_BA!C658</f>
        <v>Equipment Category 29</v>
      </c>
      <c r="F167" s="119"/>
    </row>
    <row r="168" spans="3:6" x14ac:dyDescent="0.3">
      <c r="D168" s="282" t="str">
        <f>SENS_BA!C659</f>
        <v>Equipment Category 30</v>
      </c>
      <c r="F168" s="119"/>
    </row>
    <row r="169" spans="3:6" x14ac:dyDescent="0.3">
      <c r="D169" s="282" t="str">
        <f>SENS_BA!C660</f>
        <v>Equipment Category 31</v>
      </c>
      <c r="F169" s="119"/>
    </row>
    <row r="170" spans="3:6" x14ac:dyDescent="0.3">
      <c r="D170" s="282" t="str">
        <f>SENS_BA!C661</f>
        <v>Equipment Category 32</v>
      </c>
      <c r="F170" s="119"/>
    </row>
    <row r="171" spans="3:6" x14ac:dyDescent="0.3">
      <c r="D171" s="282" t="str">
        <f>SENS_BA!C662</f>
        <v>Equipment Category 33</v>
      </c>
      <c r="F171" s="119"/>
    </row>
    <row r="172" spans="3:6" x14ac:dyDescent="0.3">
      <c r="D172" s="282" t="str">
        <f>SENS_BA!C663</f>
        <v>Equipment Category 34</v>
      </c>
      <c r="F172" s="119"/>
    </row>
    <row r="173" spans="3:6" x14ac:dyDescent="0.3">
      <c r="D173" s="282" t="str">
        <f>SENS_BA!C664</f>
        <v>Equipment Category 35</v>
      </c>
      <c r="F173" s="119"/>
    </row>
    <row r="175" spans="3:6" ht="15.6" x14ac:dyDescent="0.3">
      <c r="C175" s="115" t="s">
        <v>89</v>
      </c>
      <c r="F175" s="115" t="s">
        <v>28</v>
      </c>
    </row>
    <row r="177" spans="4:6" x14ac:dyDescent="0.3">
      <c r="D177" s="116" t="s">
        <v>95</v>
      </c>
      <c r="F177" s="119" t="s">
        <v>235</v>
      </c>
    </row>
    <row r="178" spans="4:6" x14ac:dyDescent="0.3">
      <c r="D178" s="30" t="str">
        <f>SENS_BA!C668</f>
        <v>Other Direct Costs Category 1</v>
      </c>
      <c r="F178" s="33" t="s">
        <v>46</v>
      </c>
    </row>
    <row r="179" spans="4:6" x14ac:dyDescent="0.3">
      <c r="D179" s="30" t="str">
        <f>SENS_BA!C669</f>
        <v>Other Direct Costs Category 2</v>
      </c>
      <c r="F179" s="33" t="s">
        <v>46</v>
      </c>
    </row>
    <row r="180" spans="4:6" x14ac:dyDescent="0.3">
      <c r="D180" s="30" t="str">
        <f>SENS_BA!C670</f>
        <v>Other Direct Costs Category 3</v>
      </c>
      <c r="F180" s="33" t="s">
        <v>46</v>
      </c>
    </row>
    <row r="181" spans="4:6" x14ac:dyDescent="0.3">
      <c r="D181" s="282" t="str">
        <f>SENS_BA!C671</f>
        <v>Other Direct Costs Category 4</v>
      </c>
      <c r="F181" s="119"/>
    </row>
    <row r="182" spans="4:6" x14ac:dyDescent="0.3">
      <c r="D182" s="282" t="str">
        <f>SENS_BA!C672</f>
        <v>Other Direct Costs Category 5</v>
      </c>
      <c r="F182" s="119"/>
    </row>
    <row r="183" spans="4:6" x14ac:dyDescent="0.3">
      <c r="D183" s="282" t="str">
        <f>SENS_BA!C673</f>
        <v>Other Direct Costs Category 6</v>
      </c>
      <c r="F183" s="119"/>
    </row>
    <row r="184" spans="4:6" x14ac:dyDescent="0.3">
      <c r="D184" s="282" t="str">
        <f>SENS_BA!C674</f>
        <v>Other Direct Costs Category 7</v>
      </c>
      <c r="F184" s="119"/>
    </row>
    <row r="185" spans="4:6" x14ac:dyDescent="0.3">
      <c r="D185" s="282" t="str">
        <f>SENS_BA!C675</f>
        <v>Other Direct Costs Category 8</v>
      </c>
      <c r="F185" s="119"/>
    </row>
    <row r="186" spans="4:6" x14ac:dyDescent="0.3">
      <c r="D186" s="282" t="str">
        <f>SENS_BA!C676</f>
        <v>Other Direct Costs Category 9</v>
      </c>
      <c r="F186" s="119"/>
    </row>
    <row r="187" spans="4:6" x14ac:dyDescent="0.3">
      <c r="D187" s="282" t="str">
        <f>SENS_BA!C677</f>
        <v>Other Direct Costs Category 10</v>
      </c>
      <c r="F187" s="119"/>
    </row>
    <row r="188" spans="4:6" x14ac:dyDescent="0.3">
      <c r="D188" s="282" t="str">
        <f>SENS_BA!C678</f>
        <v>Other Direct Costs Category 11</v>
      </c>
      <c r="F188" s="119"/>
    </row>
    <row r="189" spans="4:6" x14ac:dyDescent="0.3">
      <c r="D189" s="282" t="str">
        <f>SENS_BA!C679</f>
        <v>Other Direct Costs Category 12</v>
      </c>
      <c r="F189" s="119"/>
    </row>
    <row r="190" spans="4:6" x14ac:dyDescent="0.3">
      <c r="D190" s="282" t="str">
        <f>SENS_BA!C680</f>
        <v>Other Direct Costs Category 13</v>
      </c>
      <c r="F190" s="119"/>
    </row>
    <row r="191" spans="4:6" x14ac:dyDescent="0.3">
      <c r="D191" s="282" t="str">
        <f>SENS_BA!C681</f>
        <v>Other Direct Costs Category 14</v>
      </c>
      <c r="F191" s="119"/>
    </row>
    <row r="192" spans="4:6" x14ac:dyDescent="0.3">
      <c r="D192" s="282" t="str">
        <f>SENS_BA!C682</f>
        <v>Other Direct Costs Category 15</v>
      </c>
      <c r="F192" s="119"/>
    </row>
    <row r="193" spans="4:6" x14ac:dyDescent="0.3">
      <c r="D193" s="282" t="str">
        <f>SENS_BA!C683</f>
        <v>Other Direct Costs Category 16</v>
      </c>
      <c r="F193" s="119"/>
    </row>
    <row r="194" spans="4:6" x14ac:dyDescent="0.3">
      <c r="D194" s="282" t="str">
        <f>SENS_BA!C684</f>
        <v>Other Direct Costs Category 17</v>
      </c>
      <c r="F194" s="119"/>
    </row>
    <row r="195" spans="4:6" x14ac:dyDescent="0.3">
      <c r="D195" s="282" t="str">
        <f>SENS_BA!C685</f>
        <v>Other Direct Costs Category 18</v>
      </c>
      <c r="F195" s="119"/>
    </row>
    <row r="196" spans="4:6" x14ac:dyDescent="0.3">
      <c r="D196" s="282" t="str">
        <f>SENS_BA!C686</f>
        <v>Other Direct Costs Category 19</v>
      </c>
      <c r="F196" s="119"/>
    </row>
    <row r="197" spans="4:6" x14ac:dyDescent="0.3">
      <c r="D197" s="282" t="str">
        <f>SENS_BA!C687</f>
        <v>Other Direct Costs Category 20</v>
      </c>
      <c r="F197" s="119"/>
    </row>
    <row r="198" spans="4:6" x14ac:dyDescent="0.3">
      <c r="D198" s="282" t="str">
        <f>SENS_BA!C688</f>
        <v>Other Direct Costs Category 21</v>
      </c>
      <c r="F198" s="119"/>
    </row>
    <row r="199" spans="4:6" x14ac:dyDescent="0.3">
      <c r="D199" s="282" t="str">
        <f>SENS_BA!C689</f>
        <v>Other Direct Costs Category 22</v>
      </c>
      <c r="F199" s="119"/>
    </row>
    <row r="200" spans="4:6" x14ac:dyDescent="0.3">
      <c r="D200" s="282" t="str">
        <f>SENS_BA!C690</f>
        <v>Other Direct Costs Category 23</v>
      </c>
      <c r="F200" s="119"/>
    </row>
    <row r="201" spans="4:6" x14ac:dyDescent="0.3">
      <c r="D201" s="282" t="str">
        <f>SENS_BA!C691</f>
        <v>Other Direct Costs Category 24</v>
      </c>
      <c r="F201" s="119"/>
    </row>
    <row r="202" spans="4:6" x14ac:dyDescent="0.3">
      <c r="D202" s="282" t="str">
        <f>SENS_BA!C692</f>
        <v>Other Direct Costs Category 25</v>
      </c>
      <c r="F202" s="119"/>
    </row>
    <row r="203" spans="4:6" x14ac:dyDescent="0.3">
      <c r="D203" s="282" t="str">
        <f>SENS_BA!C693</f>
        <v>Other Direct Costs Category 26</v>
      </c>
      <c r="F203" s="119"/>
    </row>
    <row r="204" spans="4:6" x14ac:dyDescent="0.3">
      <c r="D204" s="282" t="str">
        <f>SENS_BA!C694</f>
        <v>Other Direct Costs Category 27</v>
      </c>
      <c r="F204" s="119"/>
    </row>
    <row r="205" spans="4:6" x14ac:dyDescent="0.3">
      <c r="D205" s="282" t="str">
        <f>SENS_BA!C695</f>
        <v>Other Direct Costs Category 28</v>
      </c>
      <c r="F205" s="119"/>
    </row>
    <row r="206" spans="4:6" x14ac:dyDescent="0.3">
      <c r="D206" s="282" t="str">
        <f>SENS_BA!C696</f>
        <v>Other Direct Costs Category 29</v>
      </c>
      <c r="F206" s="119"/>
    </row>
    <row r="207" spans="4:6" x14ac:dyDescent="0.3">
      <c r="D207" s="282" t="str">
        <f>SENS_BA!C697</f>
        <v>Other Direct Costs Category 30</v>
      </c>
      <c r="F207" s="119"/>
    </row>
    <row r="208" spans="4:6" x14ac:dyDescent="0.3">
      <c r="D208" s="282" t="str">
        <f>SENS_BA!C698</f>
        <v>Other Direct Costs Category 31</v>
      </c>
      <c r="F208" s="119"/>
    </row>
    <row r="209" spans="4:6" x14ac:dyDescent="0.3">
      <c r="D209" s="282" t="str">
        <f>SENS_BA!C699</f>
        <v>Other Direct Costs Category 32</v>
      </c>
      <c r="F209" s="119"/>
    </row>
    <row r="210" spans="4:6" x14ac:dyDescent="0.3">
      <c r="D210" s="282" t="str">
        <f>SENS_BA!C700</f>
        <v>Other Direct Costs Category 33</v>
      </c>
      <c r="F210" s="119"/>
    </row>
    <row r="211" spans="4:6" x14ac:dyDescent="0.3">
      <c r="D211" s="282" t="str">
        <f>SENS_BA!C701</f>
        <v>Other Direct Costs Category 34</v>
      </c>
      <c r="F211" s="119"/>
    </row>
    <row r="212" spans="4:6" x14ac:dyDescent="0.3">
      <c r="D212" s="282" t="str">
        <f>SENS_BA!C702</f>
        <v>Other Direct Costs Category 35</v>
      </c>
      <c r="F212" s="119"/>
    </row>
  </sheetData>
  <sheetProtection algorithmName="SHA-512" hashValue="GqjUGkfV6waIJrQkBRy0tea/eobHSN54L2jW9gyR6ysndaXHlVE5Akq0nn5mB6SIW8uAONWsKQ0o6wE1kjOnbw==" saltValue="kslXrrM01RxReB7xjFvfEA==" spinCount="100000" sheet="1" objects="1" scenarios="1" formatColumns="0" formatRows="0"/>
  <mergeCells count="1">
    <mergeCell ref="B3:D3"/>
  </mergeCells>
  <hyperlinks>
    <hyperlink ref="A4" location="$B$5" tooltip="Go to Top of Sheet" display="$B$5" xr:uid="{00000000-0004-0000-2600-000000000000}"/>
    <hyperlink ref="B4" location="HL_Sheet_Main_14" tooltip="Go to Previous Sheet" display="HL_Sheet_Main_14" xr:uid="{00000000-0004-0000-2600-000001000000}"/>
    <hyperlink ref="C4" location="HL_Sheet_Main_21" tooltip="Go to Next Sheet" display="HL_Sheet_Main_21" xr:uid="{00000000-0004-0000-2600-000002000000}"/>
    <hyperlink ref="B3" location="HL_Home" tooltip="Go to Table of Contents" display="HL_Home" xr:uid="{00000000-0004-0000-26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J16"/>
  <sheetViews>
    <sheetView showGridLines="0" zoomScaleNormal="100" workbookViewId="0">
      <pane xSplit="1" ySplit="4" topLeftCell="B5" activePane="bottomRight" state="frozen"/>
      <selection pane="topRight" activeCell="B1" sqref="B1"/>
      <selection pane="bottomLeft" activeCell="A5" sqref="A5"/>
      <selection pane="bottomRight" activeCell="T15" sqref="T15"/>
    </sheetView>
  </sheetViews>
  <sheetFormatPr defaultColWidth="11.6640625" defaultRowHeight="13.8" outlineLevelRow="1" x14ac:dyDescent="0.3"/>
  <cols>
    <col min="1" max="5" width="3.6640625" style="22" customWidth="1"/>
    <col min="6" max="16384" width="11.6640625" style="22"/>
  </cols>
  <sheetData>
    <row r="1" spans="1:10" ht="23.4" x14ac:dyDescent="0.3">
      <c r="B1" s="24" t="s">
        <v>641</v>
      </c>
    </row>
    <row r="2" spans="1:10" ht="18" x14ac:dyDescent="0.3">
      <c r="B2" s="23" t="str">
        <f>Model_Name</f>
        <v>Oral Cholera Vaccine Activity-Based Costing</v>
      </c>
    </row>
    <row r="3" spans="1:10" x14ac:dyDescent="0.3">
      <c r="B3" s="349" t="s">
        <v>2</v>
      </c>
      <c r="C3" s="349"/>
      <c r="D3" s="349"/>
      <c r="E3" s="349"/>
      <c r="F3" s="349"/>
    </row>
    <row r="4" spans="1:10" x14ac:dyDescent="0.3">
      <c r="A4" s="25" t="s">
        <v>5</v>
      </c>
      <c r="B4" s="26" t="s">
        <v>10</v>
      </c>
      <c r="C4" s="27" t="s">
        <v>11</v>
      </c>
      <c r="D4" s="28" t="s">
        <v>25</v>
      </c>
      <c r="F4" s="29" t="s">
        <v>26</v>
      </c>
    </row>
    <row r="7" spans="1:10" ht="18" x14ac:dyDescent="0.3">
      <c r="B7" s="99" t="s">
        <v>29</v>
      </c>
    </row>
    <row r="9" spans="1:10" ht="19.5" customHeight="1" x14ac:dyDescent="0.3">
      <c r="C9" s="91" t="s">
        <v>30</v>
      </c>
      <c r="H9" s="350" t="s">
        <v>31</v>
      </c>
      <c r="I9" s="351"/>
    </row>
    <row r="10" spans="1:10" ht="15.75" customHeight="1" x14ac:dyDescent="0.3">
      <c r="C10" s="91" t="s">
        <v>365</v>
      </c>
      <c r="H10" s="32">
        <v>12</v>
      </c>
    </row>
    <row r="11" spans="1:10" ht="19.5" customHeight="1" x14ac:dyDescent="0.3">
      <c r="C11" s="91" t="s">
        <v>366</v>
      </c>
      <c r="H11" s="352">
        <v>2020</v>
      </c>
      <c r="I11" s="353"/>
    </row>
    <row r="12" spans="1:10" ht="19.5" hidden="1" customHeight="1" x14ac:dyDescent="0.3">
      <c r="C12" s="91" t="s">
        <v>367</v>
      </c>
      <c r="H12" s="341">
        <v>1</v>
      </c>
      <c r="I12" s="342"/>
    </row>
    <row r="13" spans="1:10" ht="19.5" hidden="1" customHeight="1" outlineLevel="1" x14ac:dyDescent="0.3">
      <c r="C13" s="91" t="s">
        <v>32</v>
      </c>
      <c r="H13" s="343">
        <f>EDATE(DATE(TS_First_Fin_Yr,DD_TS_Fin_Yr_End_Mth,1),-TS_Mths_In_Yr+1)</f>
        <v>43831</v>
      </c>
      <c r="I13" s="344"/>
    </row>
    <row r="14" spans="1:10" ht="19.5" hidden="1" customHeight="1" outlineLevel="1" x14ac:dyDescent="0.3">
      <c r="C14" s="91" t="s">
        <v>33</v>
      </c>
      <c r="H14" s="345">
        <f>EDATE(TS_Start_Date,TS_Term*TS_Mths_In_Yr)-1</f>
        <v>44196</v>
      </c>
      <c r="I14" s="346"/>
    </row>
    <row r="15" spans="1:10" ht="15.75" customHeight="1" collapsed="1" x14ac:dyDescent="0.3">
      <c r="C15" s="91" t="s">
        <v>34</v>
      </c>
      <c r="H15" s="68" t="s">
        <v>35</v>
      </c>
      <c r="I15" s="32">
        <v>1</v>
      </c>
      <c r="J15" s="91" t="s">
        <v>125</v>
      </c>
    </row>
    <row r="16" spans="1:10" ht="19.5" hidden="1" customHeight="1" x14ac:dyDescent="0.3">
      <c r="C16" s="91" t="s">
        <v>36</v>
      </c>
      <c r="H16" s="347">
        <f>INDEX(LU_TS_Denom_Conv,DD_TS_Denom)</f>
        <v>1</v>
      </c>
      <c r="I16" s="348"/>
    </row>
  </sheetData>
  <sheetProtection algorithmName="SHA-512" hashValue="bQ9XI5F5Umh6ezqp7PnWMGn4rqdulKlq+b7CNYh3X1/EG5q2LcsjBlfav6KsgIuXVJwpVOdYt65O/TqWepHPCA==" saltValue="iyBoWYVycZhwGKX+SlUPOA==" spinCount="100000" sheet="1" scenarios="1" formatColumns="0" formatRows="0"/>
  <mergeCells count="7">
    <mergeCell ref="H12:I12"/>
    <mergeCell ref="H13:I13"/>
    <mergeCell ref="H14:I14"/>
    <mergeCell ref="H16:I16"/>
    <mergeCell ref="B3:F3"/>
    <mergeCell ref="H9:I9"/>
    <mergeCell ref="H11:I11"/>
  </mergeCells>
  <dataValidations count="4">
    <dataValidation type="whole" showDropDown="1" showErrorMessage="1" errorTitle="Drop Down Box Cell Link" error="The value in a drop down box cell link must be a whole number within the control's lookup range rows." sqref="H10" xr:uid="{00000000-0002-0000-0300-000000000000}">
      <formula1>1</formula1>
      <formula2>ROWS(LU_TS_Mth_Names)</formula2>
    </dataValidation>
    <dataValidation type="whole" operator="greaterThanOrEqual" showDropDown="1" showErrorMessage="1" errorTitle="First Financial Year" error="The first financial year must be a whole number greater than or equal to 1904." sqref="H11" xr:uid="{00000000-0002-0000-0300-000001000000}">
      <formula1>1904</formula1>
    </dataValidation>
    <dataValidation type="whole" operator="greaterThan" showDropDown="1" showErrorMessage="1" errorTitle="Term (Years)" error="The term must be a whole number of years greater than zero." sqref="H12" xr:uid="{00000000-0002-0000-0300-000002000000}">
      <formula1>0</formula1>
    </dataValidation>
    <dataValidation type="whole" showDropDown="1" showErrorMessage="1" errorTitle="Drop Down Box Cell Link" error="The value in a drop down box cell link must be a whole number within the control's lookup range rows." sqref="I15" xr:uid="{00000000-0002-0000-0300-000003000000}">
      <formula1>1</formula1>
      <formula2>ROWS(LU_TS_Denom)</formula2>
    </dataValidation>
  </dataValidations>
  <hyperlinks>
    <hyperlink ref="A4" location="$B$5" tooltip="Go to Top of Sheet" display="$B$5" xr:uid="{00000000-0004-0000-0300-000000000000}"/>
    <hyperlink ref="C4" location="HL_Sheet_Main_20" tooltip="Go to Next Sheet" display="HL_Sheet_Main_20" xr:uid="{00000000-0004-0000-0300-000001000000}"/>
    <hyperlink ref="B4" location="HL_Sheet_Main_64" tooltip="Go to Previous Sheet" display="HL_Sheet_Main_64" xr:uid="{00000000-0004-0000-0300-000002000000}"/>
    <hyperlink ref="B3" location="HL_Home" tooltip="Go to Table of Contents" display="HL_Home" xr:uid="{00000000-0004-0000-0300-000003000000}"/>
    <hyperlink ref="D4" location="HL_Err_Chk" tooltip="Go to Error Checks" display="HL_Err_Chk" xr:uid="{00000000-0004-0000-0300-000004000000}"/>
    <hyperlink ref="F4" location="HL_Alt_Chk" tooltip="Go to Alert Checks" display="HL_Alt_Chk" xr:uid="{00000000-0004-0000-0300-000005000000}"/>
  </hyperlinks>
  <pageMargins left="0.39370078740157499" right="0.39370078740157499" top="0.59055118110236204" bottom="0.98425196850393704" header="0" footer="0.31496062992126"/>
  <pageSetup paperSize="9" orientation="landscape" horizontalDpi="4294967292" verticalDpi="0"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pmDropDownTS1">
              <controlPr defaultSize="0" autoFill="0" autoPict="0">
                <anchor moveWithCells="1">
                  <from>
                    <xdr:col>7</xdr:col>
                    <xdr:colOff>0</xdr:colOff>
                    <xdr:row>9</xdr:row>
                    <xdr:rowOff>0</xdr:rowOff>
                  </from>
                  <to>
                    <xdr:col>9</xdr:col>
                    <xdr:colOff>0</xdr:colOff>
                    <xdr:row>10</xdr:row>
                    <xdr:rowOff>0</xdr:rowOff>
                  </to>
                </anchor>
              </controlPr>
            </control>
          </mc:Choice>
        </mc:AlternateContent>
        <mc:AlternateContent xmlns:mc="http://schemas.openxmlformats.org/markup-compatibility/2006">
          <mc:Choice Requires="x14">
            <control shapeId="10242" r:id="rId5" name="bpmDropDownTS2">
              <controlPr defaultSize="0" autoFill="0" autoPict="0">
                <anchor moveWithCells="1">
                  <from>
                    <xdr:col>8</xdr:col>
                    <xdr:colOff>0</xdr:colOff>
                    <xdr:row>14</xdr:row>
                    <xdr:rowOff>7620</xdr:rowOff>
                  </from>
                  <to>
                    <xdr:col>9</xdr:col>
                    <xdr:colOff>0</xdr:colOff>
                    <xdr:row>16</xdr:row>
                    <xdr:rowOff>7620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244</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245</v>
      </c>
    </row>
    <row r="9" spans="1:6" ht="15.6" x14ac:dyDescent="0.3">
      <c r="C9" s="115" t="s">
        <v>93</v>
      </c>
    </row>
    <row r="11" spans="1:6" ht="15.6" x14ac:dyDescent="0.3">
      <c r="C11" s="115" t="s">
        <v>93</v>
      </c>
      <c r="F11" s="115" t="s">
        <v>28</v>
      </c>
    </row>
    <row r="13" spans="1:6" x14ac:dyDescent="0.3">
      <c r="D13" s="116" t="s">
        <v>95</v>
      </c>
      <c r="F13" s="119" t="s">
        <v>238</v>
      </c>
    </row>
    <row r="14" spans="1:6" x14ac:dyDescent="0.3">
      <c r="D14" s="30" t="str">
        <f>SENS_BA!D861</f>
        <v>USD</v>
      </c>
      <c r="F14" s="33" t="s">
        <v>46</v>
      </c>
    </row>
    <row r="15" spans="1:6" x14ac:dyDescent="0.3">
      <c r="D15" s="30" t="str">
        <f>SENS_BA!D862</f>
        <v>GOZ</v>
      </c>
      <c r="F15" s="33" t="s">
        <v>46</v>
      </c>
    </row>
    <row r="17" spans="3:6" ht="15.6" x14ac:dyDescent="0.3">
      <c r="C17" s="115" t="s">
        <v>77</v>
      </c>
      <c r="F17" s="115" t="s">
        <v>28</v>
      </c>
    </row>
    <row r="19" spans="3:6" x14ac:dyDescent="0.3">
      <c r="D19" s="116" t="s">
        <v>95</v>
      </c>
      <c r="F19" s="119" t="s">
        <v>239</v>
      </c>
    </row>
    <row r="20" spans="3:6" x14ac:dyDescent="0.3">
      <c r="D20" s="30" t="str">
        <f>SENS_BA!C867</f>
        <v>Personnel Cadre - Other 1</v>
      </c>
      <c r="F20" s="33" t="s">
        <v>46</v>
      </c>
    </row>
    <row r="21" spans="3:6" x14ac:dyDescent="0.3">
      <c r="D21" s="30" t="str">
        <f>SENS_BA!C868</f>
        <v>Personnel Cadre - Other 2</v>
      </c>
      <c r="F21" s="33" t="s">
        <v>46</v>
      </c>
    </row>
    <row r="22" spans="3:6" x14ac:dyDescent="0.3">
      <c r="D22" s="30" t="str">
        <f>SENS_BA!C869</f>
        <v>Personnel Cadre - Other 3</v>
      </c>
      <c r="F22" s="33" t="s">
        <v>46</v>
      </c>
    </row>
    <row r="23" spans="3:6" x14ac:dyDescent="0.3">
      <c r="D23" s="30" t="str">
        <f>SENS_BA!C870</f>
        <v>Personnel Cadre - Other 4</v>
      </c>
      <c r="F23" s="33" t="s">
        <v>46</v>
      </c>
    </row>
    <row r="24" spans="3:6" x14ac:dyDescent="0.3">
      <c r="D24" s="30" t="str">
        <f>SENS_BA!C871</f>
        <v>Personnel Cadre - Other 5</v>
      </c>
      <c r="F24" s="33" t="s">
        <v>46</v>
      </c>
    </row>
    <row r="25" spans="3:6" x14ac:dyDescent="0.3">
      <c r="D25" s="30" t="str">
        <f>SENS_BA!C872</f>
        <v>Personnel Cadre - Other 6</v>
      </c>
      <c r="F25" s="33" t="s">
        <v>46</v>
      </c>
    </row>
    <row r="26" spans="3:6" x14ac:dyDescent="0.3">
      <c r="D26" s="30" t="str">
        <f>SENS_BA!C873</f>
        <v>Personnel Cadre - Other 7</v>
      </c>
      <c r="F26" s="33" t="s">
        <v>46</v>
      </c>
    </row>
    <row r="27" spans="3:6" x14ac:dyDescent="0.3">
      <c r="D27" s="30" t="str">
        <f>SENS_BA!C874</f>
        <v>Personnel Cadre - Other 8</v>
      </c>
      <c r="F27" s="33" t="s">
        <v>46</v>
      </c>
    </row>
    <row r="28" spans="3:6" x14ac:dyDescent="0.3">
      <c r="D28" s="30" t="str">
        <f>SENS_BA!C875</f>
        <v>Personnel Cadre - Other 9</v>
      </c>
      <c r="F28" s="33" t="s">
        <v>46</v>
      </c>
    </row>
    <row r="29" spans="3:6" x14ac:dyDescent="0.3">
      <c r="D29" s="30" t="str">
        <f>SENS_BA!C876</f>
        <v>Personnel Cadre - Other 10</v>
      </c>
      <c r="F29" s="33" t="s">
        <v>46</v>
      </c>
    </row>
    <row r="30" spans="3:6" x14ac:dyDescent="0.3">
      <c r="D30" s="30" t="str">
        <f>SENS_BA!C877</f>
        <v>Personnel Cadre - Other 11</v>
      </c>
      <c r="F30" s="33" t="s">
        <v>46</v>
      </c>
    </row>
    <row r="31" spans="3:6" x14ac:dyDescent="0.3">
      <c r="D31" s="30" t="str">
        <f>SENS_BA!C878</f>
        <v>Personnel Cadre - Other 12</v>
      </c>
      <c r="F31" s="33" t="s">
        <v>46</v>
      </c>
    </row>
    <row r="32" spans="3:6" x14ac:dyDescent="0.3">
      <c r="D32" s="30" t="str">
        <f>SENS_BA!C879</f>
        <v>Personnel Cadre - Other 13</v>
      </c>
      <c r="F32" s="33" t="s">
        <v>46</v>
      </c>
    </row>
    <row r="33" spans="4:6" x14ac:dyDescent="0.3">
      <c r="D33" s="30" t="str">
        <f>SENS_BA!C880</f>
        <v>Personnel Cadre - Other 14</v>
      </c>
      <c r="F33" s="33" t="s">
        <v>46</v>
      </c>
    </row>
    <row r="34" spans="4:6" x14ac:dyDescent="0.3">
      <c r="D34" s="30" t="str">
        <f>SENS_BA!C881</f>
        <v>Personnel Cadre - Other 15</v>
      </c>
      <c r="F34" s="33" t="s">
        <v>46</v>
      </c>
    </row>
    <row r="35" spans="4:6" x14ac:dyDescent="0.3">
      <c r="D35" s="282" t="str">
        <f>SENS_BA!C882</f>
        <v>Personnel Cadre - Other 16</v>
      </c>
      <c r="F35" s="119"/>
    </row>
    <row r="36" spans="4:6" x14ac:dyDescent="0.3">
      <c r="D36" s="282" t="str">
        <f>SENS_BA!C883</f>
        <v>Personnel Cadre - Other 17</v>
      </c>
      <c r="F36" s="119"/>
    </row>
    <row r="37" spans="4:6" x14ac:dyDescent="0.3">
      <c r="D37" s="282" t="str">
        <f>SENS_BA!C884</f>
        <v>Personnel Cadre - Other 18</v>
      </c>
      <c r="F37" s="119"/>
    </row>
    <row r="38" spans="4:6" x14ac:dyDescent="0.3">
      <c r="D38" s="282" t="str">
        <f>SENS_BA!C885</f>
        <v>Personnel Cadre - Other 19</v>
      </c>
      <c r="F38" s="119"/>
    </row>
    <row r="39" spans="4:6" x14ac:dyDescent="0.3">
      <c r="D39" s="282" t="str">
        <f>SENS_BA!C886</f>
        <v>Personnel Cadre - Other 20</v>
      </c>
      <c r="F39" s="119"/>
    </row>
    <row r="40" spans="4:6" x14ac:dyDescent="0.3">
      <c r="D40" s="282" t="str">
        <f>SENS_BA!C887</f>
        <v>Personnel Cadre - Other 21</v>
      </c>
      <c r="F40" s="119"/>
    </row>
    <row r="41" spans="4:6" x14ac:dyDescent="0.3">
      <c r="D41" s="282" t="str">
        <f>SENS_BA!C888</f>
        <v>Personnel Cadre - Other 22</v>
      </c>
      <c r="F41" s="119"/>
    </row>
    <row r="42" spans="4:6" x14ac:dyDescent="0.3">
      <c r="D42" s="282" t="str">
        <f>SENS_BA!C889</f>
        <v>Personnel Cadre - Other 23</v>
      </c>
      <c r="F42" s="119"/>
    </row>
    <row r="43" spans="4:6" x14ac:dyDescent="0.3">
      <c r="D43" s="282" t="str">
        <f>SENS_BA!C890</f>
        <v>Personnel Cadre - Other 24</v>
      </c>
      <c r="F43" s="119"/>
    </row>
    <row r="44" spans="4:6" x14ac:dyDescent="0.3">
      <c r="D44" s="282" t="str">
        <f>SENS_BA!C891</f>
        <v>Personnel Cadre - Other 25</v>
      </c>
      <c r="F44" s="119"/>
    </row>
    <row r="45" spans="4:6" x14ac:dyDescent="0.3">
      <c r="D45" s="282" t="str">
        <f>SENS_BA!C892</f>
        <v>Personnel Cadre - Other 26</v>
      </c>
      <c r="F45" s="119"/>
    </row>
    <row r="46" spans="4:6" x14ac:dyDescent="0.3">
      <c r="D46" s="282" t="str">
        <f>SENS_BA!C893</f>
        <v>Personnel Cadre - Other 27</v>
      </c>
      <c r="F46" s="119"/>
    </row>
    <row r="47" spans="4:6" x14ac:dyDescent="0.3">
      <c r="D47" s="282" t="str">
        <f>SENS_BA!C894</f>
        <v>Personnel Cadre - Other 28</v>
      </c>
      <c r="F47" s="119"/>
    </row>
    <row r="48" spans="4:6" x14ac:dyDescent="0.3">
      <c r="D48" s="282" t="str">
        <f>SENS_BA!C895</f>
        <v>Personnel Cadre - Other 29</v>
      </c>
      <c r="F48" s="119"/>
    </row>
    <row r="49" spans="3:6" x14ac:dyDescent="0.3">
      <c r="D49" s="282" t="str">
        <f>SENS_BA!C896</f>
        <v>Personnel Cadre - Other 30</v>
      </c>
      <c r="F49" s="119"/>
    </row>
    <row r="50" spans="3:6" x14ac:dyDescent="0.3">
      <c r="D50" s="282" t="str">
        <f>SENS_BA!C897</f>
        <v>Personnel Cadre - Other 31</v>
      </c>
      <c r="F50" s="119"/>
    </row>
    <row r="51" spans="3:6" x14ac:dyDescent="0.3">
      <c r="D51" s="282" t="str">
        <f>SENS_BA!C898</f>
        <v>Personnel Cadre - Other 32</v>
      </c>
      <c r="F51" s="119"/>
    </row>
    <row r="52" spans="3:6" x14ac:dyDescent="0.3">
      <c r="D52" s="282" t="str">
        <f>SENS_BA!C899</f>
        <v>Personnel Cadre - Other 33</v>
      </c>
      <c r="F52" s="119"/>
    </row>
    <row r="53" spans="3:6" x14ac:dyDescent="0.3">
      <c r="D53" s="282" t="str">
        <f>SENS_BA!C900</f>
        <v>Personnel Cadre - Other 34</v>
      </c>
      <c r="F53" s="119"/>
    </row>
    <row r="54" spans="3:6" x14ac:dyDescent="0.3">
      <c r="D54" s="282" t="str">
        <f>SENS_BA!C901</f>
        <v>Personnel Cadre - Other 35</v>
      </c>
      <c r="F54" s="119"/>
    </row>
    <row r="56" spans="3:6" ht="15.6" x14ac:dyDescent="0.3">
      <c r="C56" s="115" t="s">
        <v>94</v>
      </c>
      <c r="F56" s="115" t="s">
        <v>28</v>
      </c>
    </row>
    <row r="58" spans="3:6" x14ac:dyDescent="0.3">
      <c r="D58" s="116" t="s">
        <v>95</v>
      </c>
      <c r="F58" s="119" t="s">
        <v>240</v>
      </c>
    </row>
    <row r="59" spans="3:6" x14ac:dyDescent="0.3">
      <c r="D59" s="30" t="str">
        <f>SENS_BA!C904</f>
        <v>Allowances Category 1</v>
      </c>
      <c r="F59" s="33" t="s">
        <v>46</v>
      </c>
    </row>
    <row r="60" spans="3:6" x14ac:dyDescent="0.3">
      <c r="D60" s="30" t="str">
        <f>SENS_BA!C905</f>
        <v>Allowances Category 2</v>
      </c>
      <c r="F60" s="33" t="s">
        <v>46</v>
      </c>
    </row>
    <row r="61" spans="3:6" x14ac:dyDescent="0.3">
      <c r="D61" s="30" t="str">
        <f>SENS_BA!C906</f>
        <v>Allowances Category 3</v>
      </c>
      <c r="F61" s="33" t="s">
        <v>46</v>
      </c>
    </row>
    <row r="62" spans="3:6" x14ac:dyDescent="0.3">
      <c r="D62" s="30" t="str">
        <f>SENS_BA!C907</f>
        <v>Allowances Category 4</v>
      </c>
      <c r="F62" s="33" t="s">
        <v>46</v>
      </c>
    </row>
    <row r="63" spans="3:6" x14ac:dyDescent="0.3">
      <c r="D63" s="30" t="str">
        <f>SENS_BA!C908</f>
        <v>Allowances Category 5</v>
      </c>
      <c r="F63" s="33" t="s">
        <v>46</v>
      </c>
    </row>
    <row r="64" spans="3:6" x14ac:dyDescent="0.3">
      <c r="D64" s="282" t="str">
        <f>SENS_BA!C909</f>
        <v>Allowances Category 6</v>
      </c>
      <c r="F64" s="119"/>
    </row>
    <row r="65" spans="4:6" x14ac:dyDescent="0.3">
      <c r="D65" s="282" t="str">
        <f>SENS_BA!C910</f>
        <v>Allowances Category 7</v>
      </c>
      <c r="F65" s="119"/>
    </row>
    <row r="66" spans="4:6" x14ac:dyDescent="0.3">
      <c r="D66" s="282" t="str">
        <f>SENS_BA!C911</f>
        <v>Allowances Category 8</v>
      </c>
      <c r="F66" s="119"/>
    </row>
    <row r="67" spans="4:6" x14ac:dyDescent="0.3">
      <c r="D67" s="282" t="str">
        <f>SENS_BA!C912</f>
        <v>Allowances Category 9</v>
      </c>
      <c r="F67" s="119"/>
    </row>
    <row r="68" spans="4:6" x14ac:dyDescent="0.3">
      <c r="D68" s="282" t="str">
        <f>SENS_BA!C913</f>
        <v>Allowances Category 10</v>
      </c>
      <c r="F68" s="119"/>
    </row>
    <row r="69" spans="4:6" x14ac:dyDescent="0.3">
      <c r="D69" s="282" t="str">
        <f>SENS_BA!C914</f>
        <v>Allowances Category 11</v>
      </c>
      <c r="F69" s="119"/>
    </row>
    <row r="70" spans="4:6" x14ac:dyDescent="0.3">
      <c r="D70" s="282" t="str">
        <f>SENS_BA!C915</f>
        <v>Allowances Category 12</v>
      </c>
      <c r="F70" s="119"/>
    </row>
    <row r="71" spans="4:6" x14ac:dyDescent="0.3">
      <c r="D71" s="282" t="str">
        <f>SENS_BA!C916</f>
        <v>Allowances Category 13</v>
      </c>
      <c r="F71" s="119"/>
    </row>
    <row r="72" spans="4:6" x14ac:dyDescent="0.3">
      <c r="D72" s="282" t="str">
        <f>SENS_BA!C917</f>
        <v>Allowances Category 14</v>
      </c>
      <c r="F72" s="119"/>
    </row>
    <row r="73" spans="4:6" x14ac:dyDescent="0.3">
      <c r="D73" s="282" t="str">
        <f>SENS_BA!C918</f>
        <v>Allowances Category 15</v>
      </c>
      <c r="F73" s="119"/>
    </row>
    <row r="74" spans="4:6" x14ac:dyDescent="0.3">
      <c r="D74" s="282" t="str">
        <f>SENS_BA!C919</f>
        <v>Allowances Category 16</v>
      </c>
      <c r="F74" s="119"/>
    </row>
    <row r="75" spans="4:6" x14ac:dyDescent="0.3">
      <c r="D75" s="30" t="str">
        <f>SENS_BA!C920</f>
        <v>Allowances Category 17</v>
      </c>
      <c r="F75" s="33" t="s">
        <v>46</v>
      </c>
    </row>
    <row r="76" spans="4:6" x14ac:dyDescent="0.3">
      <c r="D76" s="30" t="str">
        <f>SENS_BA!C921</f>
        <v>Allowances Category 18</v>
      </c>
      <c r="F76" s="33" t="s">
        <v>46</v>
      </c>
    </row>
    <row r="77" spans="4:6" x14ac:dyDescent="0.3">
      <c r="D77" s="30" t="str">
        <f>SENS_BA!C922</f>
        <v>Allowances Category 19</v>
      </c>
      <c r="F77" s="33" t="s">
        <v>46</v>
      </c>
    </row>
    <row r="78" spans="4:6" x14ac:dyDescent="0.3">
      <c r="D78" s="30" t="str">
        <f>SENS_BA!C923</f>
        <v>Allowances Category 20</v>
      </c>
      <c r="F78" s="33" t="s">
        <v>46</v>
      </c>
    </row>
    <row r="79" spans="4:6" x14ac:dyDescent="0.3">
      <c r="D79" s="30" t="str">
        <f>SENS_BA!C924</f>
        <v>Allowances Category 21</v>
      </c>
      <c r="F79" s="33" t="s">
        <v>46</v>
      </c>
    </row>
    <row r="80" spans="4:6" x14ac:dyDescent="0.3">
      <c r="D80" s="30" t="str">
        <f>SENS_BA!C925</f>
        <v>Allowances Category 22</v>
      </c>
      <c r="F80" s="33" t="s">
        <v>46</v>
      </c>
    </row>
    <row r="81" spans="3:6" x14ac:dyDescent="0.3">
      <c r="D81" s="30" t="str">
        <f>SENS_BA!C926</f>
        <v>Allowances Category 23</v>
      </c>
      <c r="F81" s="33" t="s">
        <v>46</v>
      </c>
    </row>
    <row r="82" spans="3:6" x14ac:dyDescent="0.3">
      <c r="D82" s="282" t="str">
        <f>SENS_BA!C927</f>
        <v>Allowances Category 24</v>
      </c>
      <c r="F82" s="119"/>
    </row>
    <row r="83" spans="3:6" x14ac:dyDescent="0.3">
      <c r="D83" s="282" t="str">
        <f>SENS_BA!C928</f>
        <v>Allowances Category 25</v>
      </c>
      <c r="F83" s="119"/>
    </row>
    <row r="84" spans="3:6" x14ac:dyDescent="0.3">
      <c r="D84" s="282" t="str">
        <f>SENS_BA!C929</f>
        <v>Allowances Category 26</v>
      </c>
      <c r="F84" s="119"/>
    </row>
    <row r="85" spans="3:6" x14ac:dyDescent="0.3">
      <c r="D85" s="282" t="str">
        <f>SENS_BA!C930</f>
        <v>Allowances Category 27</v>
      </c>
      <c r="F85" s="119"/>
    </row>
    <row r="86" spans="3:6" x14ac:dyDescent="0.3">
      <c r="D86" s="282" t="str">
        <f>SENS_BA!C931</f>
        <v>Allowances Category 28</v>
      </c>
      <c r="F86" s="119"/>
    </row>
    <row r="87" spans="3:6" x14ac:dyDescent="0.3">
      <c r="D87" s="282" t="str">
        <f>SENS_BA!C932</f>
        <v>Allowances Category 29</v>
      </c>
      <c r="F87" s="119"/>
    </row>
    <row r="88" spans="3:6" x14ac:dyDescent="0.3">
      <c r="D88" s="282" t="str">
        <f>SENS_BA!C933</f>
        <v>Allowances Category 30</v>
      </c>
      <c r="F88" s="119"/>
    </row>
    <row r="89" spans="3:6" x14ac:dyDescent="0.3">
      <c r="D89" s="30" t="str">
        <f>SENS_BA!C934</f>
        <v>Allowances Category 31</v>
      </c>
      <c r="F89" s="33" t="s">
        <v>46</v>
      </c>
    </row>
    <row r="90" spans="3:6" x14ac:dyDescent="0.3">
      <c r="D90" s="30" t="str">
        <f>SENS_BA!C935</f>
        <v>Allowances Category 32</v>
      </c>
      <c r="F90" s="33" t="s">
        <v>46</v>
      </c>
    </row>
    <row r="91" spans="3:6" x14ac:dyDescent="0.3">
      <c r="D91" s="30" t="str">
        <f>SENS_BA!C936</f>
        <v>Allowances Category 33</v>
      </c>
      <c r="F91" s="33" t="s">
        <v>46</v>
      </c>
    </row>
    <row r="92" spans="3:6" x14ac:dyDescent="0.3">
      <c r="D92" s="30" t="str">
        <f>SENS_BA!C937</f>
        <v>Allowances Category 34</v>
      </c>
      <c r="F92" s="33" t="s">
        <v>46</v>
      </c>
    </row>
    <row r="93" spans="3:6" x14ac:dyDescent="0.3">
      <c r="D93" s="30" t="str">
        <f>SENS_BA!C938</f>
        <v>Allowances Category 35</v>
      </c>
      <c r="F93" s="33" t="s">
        <v>46</v>
      </c>
    </row>
    <row r="96" spans="3:6" ht="15.6" x14ac:dyDescent="0.3">
      <c r="C96" s="115" t="s">
        <v>132</v>
      </c>
      <c r="F96" s="115" t="s">
        <v>28</v>
      </c>
    </row>
    <row r="98" spans="4:6" x14ac:dyDescent="0.3">
      <c r="D98" s="116" t="s">
        <v>95</v>
      </c>
      <c r="F98" s="119" t="s">
        <v>241</v>
      </c>
    </row>
    <row r="99" spans="4:6" x14ac:dyDescent="0.3">
      <c r="D99" s="30" t="str">
        <f>SENS_BA!C942</f>
        <v>Supplies Category 1</v>
      </c>
      <c r="F99" s="33" t="s">
        <v>46</v>
      </c>
    </row>
    <row r="100" spans="4:6" x14ac:dyDescent="0.3">
      <c r="D100" s="30" t="str">
        <f>SENS_BA!C943</f>
        <v>Supplies Category 2</v>
      </c>
      <c r="F100" s="33" t="s">
        <v>46</v>
      </c>
    </row>
    <row r="101" spans="4:6" x14ac:dyDescent="0.3">
      <c r="D101" s="30" t="str">
        <f>SENS_BA!C944</f>
        <v>Supplies Category 3</v>
      </c>
      <c r="F101" s="33" t="s">
        <v>46</v>
      </c>
    </row>
    <row r="102" spans="4:6" x14ac:dyDescent="0.3">
      <c r="D102" s="30" t="str">
        <f>SENS_BA!C945</f>
        <v>Supplies Category 4</v>
      </c>
      <c r="F102" s="33" t="s">
        <v>46</v>
      </c>
    </row>
    <row r="103" spans="4:6" x14ac:dyDescent="0.3">
      <c r="D103" s="30" t="str">
        <f>SENS_BA!C946</f>
        <v>Supplies Category 5</v>
      </c>
      <c r="F103" s="33" t="s">
        <v>46</v>
      </c>
    </row>
    <row r="104" spans="4:6" x14ac:dyDescent="0.3">
      <c r="D104" s="30" t="str">
        <f>SENS_BA!C947</f>
        <v>Supplies Category 6</v>
      </c>
      <c r="F104" s="33" t="s">
        <v>46</v>
      </c>
    </row>
    <row r="105" spans="4:6" x14ac:dyDescent="0.3">
      <c r="D105" s="30" t="str">
        <f>SENS_BA!C948</f>
        <v>Supplies Category 7</v>
      </c>
      <c r="F105" s="33" t="s">
        <v>46</v>
      </c>
    </row>
    <row r="106" spans="4:6" x14ac:dyDescent="0.3">
      <c r="D106" s="30" t="str">
        <f>SENS_BA!C949</f>
        <v>Supplies Category 8</v>
      </c>
      <c r="F106" s="33" t="s">
        <v>46</v>
      </c>
    </row>
    <row r="107" spans="4:6" x14ac:dyDescent="0.3">
      <c r="D107" s="30" t="str">
        <f>SENS_BA!C950</f>
        <v>Supplies Category 9</v>
      </c>
      <c r="F107" s="33" t="s">
        <v>46</v>
      </c>
    </row>
    <row r="108" spans="4:6" x14ac:dyDescent="0.3">
      <c r="D108" s="30" t="str">
        <f>SENS_BA!C951</f>
        <v>Supplies Category 10</v>
      </c>
      <c r="F108" s="33" t="s">
        <v>46</v>
      </c>
    </row>
    <row r="109" spans="4:6" x14ac:dyDescent="0.3">
      <c r="D109" s="30" t="str">
        <f>SENS_BA!C952</f>
        <v>Supplies Category 11</v>
      </c>
      <c r="F109" s="33" t="s">
        <v>46</v>
      </c>
    </row>
    <row r="110" spans="4:6" x14ac:dyDescent="0.3">
      <c r="D110" s="30" t="str">
        <f>SENS_BA!C953</f>
        <v>Supplies Category 12</v>
      </c>
      <c r="F110" s="33" t="s">
        <v>46</v>
      </c>
    </row>
    <row r="111" spans="4:6" x14ac:dyDescent="0.3">
      <c r="D111" s="30" t="str">
        <f>SENS_BA!C954</f>
        <v>Supplies Category 13</v>
      </c>
      <c r="F111" s="33" t="s">
        <v>46</v>
      </c>
    </row>
    <row r="112" spans="4:6" x14ac:dyDescent="0.3">
      <c r="D112" s="30" t="str">
        <f>SENS_BA!C955</f>
        <v>Supplies Category 14</v>
      </c>
      <c r="F112" s="33" t="s">
        <v>46</v>
      </c>
    </row>
    <row r="113" spans="4:6" x14ac:dyDescent="0.3">
      <c r="D113" s="30" t="str">
        <f>SENS_BA!C956</f>
        <v>Supplies Category 15</v>
      </c>
      <c r="F113" s="33" t="s">
        <v>46</v>
      </c>
    </row>
    <row r="114" spans="4:6" x14ac:dyDescent="0.3">
      <c r="D114" s="30" t="str">
        <f>SENS_BA!C957</f>
        <v>Supplies Category 16</v>
      </c>
      <c r="F114" s="33" t="s">
        <v>46</v>
      </c>
    </row>
    <row r="115" spans="4:6" x14ac:dyDescent="0.3">
      <c r="D115" s="282" t="str">
        <f>SENS_BA!C958</f>
        <v>Supplies Category 17</v>
      </c>
      <c r="F115" s="119"/>
    </row>
    <row r="116" spans="4:6" x14ac:dyDescent="0.3">
      <c r="D116" s="282" t="str">
        <f>SENS_BA!C959</f>
        <v>Supplies Category 18</v>
      </c>
      <c r="F116" s="119"/>
    </row>
    <row r="117" spans="4:6" x14ac:dyDescent="0.3">
      <c r="D117" s="282" t="str">
        <f>SENS_BA!C960</f>
        <v>Supplies Category 19</v>
      </c>
      <c r="F117" s="119"/>
    </row>
    <row r="118" spans="4:6" x14ac:dyDescent="0.3">
      <c r="D118" s="282" t="str">
        <f>SENS_BA!C961</f>
        <v>Supplies Category 20</v>
      </c>
      <c r="F118" s="119"/>
    </row>
    <row r="119" spans="4:6" x14ac:dyDescent="0.3">
      <c r="D119" s="282" t="str">
        <f>SENS_BA!C962</f>
        <v>Supplies Category 21</v>
      </c>
      <c r="F119" s="119"/>
    </row>
    <row r="120" spans="4:6" x14ac:dyDescent="0.3">
      <c r="D120" s="282" t="str">
        <f>SENS_BA!C963</f>
        <v>Supplies Category 22</v>
      </c>
      <c r="F120" s="119"/>
    </row>
    <row r="121" spans="4:6" x14ac:dyDescent="0.3">
      <c r="D121" s="282" t="str">
        <f>SENS_BA!C964</f>
        <v>Supplies Category 23</v>
      </c>
      <c r="F121" s="119"/>
    </row>
    <row r="122" spans="4:6" x14ac:dyDescent="0.3">
      <c r="D122" s="282" t="str">
        <f>SENS_BA!C965</f>
        <v>Supplies Category 24</v>
      </c>
      <c r="F122" s="119"/>
    </row>
    <row r="123" spans="4:6" x14ac:dyDescent="0.3">
      <c r="D123" s="282" t="str">
        <f>SENS_BA!C966</f>
        <v>Supplies Category 25</v>
      </c>
      <c r="F123" s="119"/>
    </row>
    <row r="124" spans="4:6" x14ac:dyDescent="0.3">
      <c r="D124" s="282" t="str">
        <f>SENS_BA!C967</f>
        <v>Supplies Category 26</v>
      </c>
      <c r="F124" s="119"/>
    </row>
    <row r="125" spans="4:6" x14ac:dyDescent="0.3">
      <c r="D125" s="282" t="str">
        <f>SENS_BA!C968</f>
        <v>Supplies Category 27</v>
      </c>
      <c r="F125" s="119"/>
    </row>
    <row r="126" spans="4:6" x14ac:dyDescent="0.3">
      <c r="D126" s="282" t="str">
        <f>SENS_BA!C969</f>
        <v>Supplies Category 28</v>
      </c>
      <c r="F126" s="119"/>
    </row>
    <row r="127" spans="4:6" x14ac:dyDescent="0.3">
      <c r="D127" s="282" t="str">
        <f>SENS_BA!C970</f>
        <v>Supplies Category 29</v>
      </c>
      <c r="F127" s="119"/>
    </row>
    <row r="128" spans="4:6" x14ac:dyDescent="0.3">
      <c r="D128" s="282" t="str">
        <f>SENS_BA!C971</f>
        <v>Supplies Category 30</v>
      </c>
      <c r="F128" s="119"/>
    </row>
    <row r="129" spans="3:6" x14ac:dyDescent="0.3">
      <c r="D129" s="282" t="str">
        <f>SENS_BA!C972</f>
        <v>Supplies Category 31</v>
      </c>
      <c r="F129" s="119"/>
    </row>
    <row r="130" spans="3:6" x14ac:dyDescent="0.3">
      <c r="D130" s="282" t="str">
        <f>SENS_BA!C973</f>
        <v>Supplies Category 32</v>
      </c>
      <c r="F130" s="119"/>
    </row>
    <row r="131" spans="3:6" x14ac:dyDescent="0.3">
      <c r="D131" s="282" t="str">
        <f>SENS_BA!C974</f>
        <v>Supplies Category 33</v>
      </c>
      <c r="F131" s="119"/>
    </row>
    <row r="132" spans="3:6" x14ac:dyDescent="0.3">
      <c r="D132" s="282" t="str">
        <f>SENS_BA!C975</f>
        <v>Supplies Category 34</v>
      </c>
      <c r="F132" s="119"/>
    </row>
    <row r="133" spans="3:6" x14ac:dyDescent="0.3">
      <c r="D133" s="282" t="str">
        <f>SENS_BA!C976</f>
        <v>Supplies Category 35</v>
      </c>
      <c r="F133" s="119"/>
    </row>
    <row r="136" spans="3:6" ht="15.6" x14ac:dyDescent="0.3">
      <c r="C136" s="115" t="s">
        <v>130</v>
      </c>
      <c r="F136" s="115" t="s">
        <v>28</v>
      </c>
    </row>
    <row r="138" spans="3:6" x14ac:dyDescent="0.3">
      <c r="D138" s="116" t="s">
        <v>95</v>
      </c>
      <c r="F138" s="119" t="s">
        <v>242</v>
      </c>
    </row>
    <row r="139" spans="3:6" x14ac:dyDescent="0.3">
      <c r="D139" s="30" t="str">
        <f>SENS_BA!C979</f>
        <v>Equipment Category 1</v>
      </c>
      <c r="F139" s="33" t="s">
        <v>46</v>
      </c>
    </row>
    <row r="140" spans="3:6" x14ac:dyDescent="0.3">
      <c r="D140" s="30" t="str">
        <f>SENS_BA!C980</f>
        <v>Equipment Category 2</v>
      </c>
      <c r="F140" s="33" t="s">
        <v>46</v>
      </c>
    </row>
    <row r="141" spans="3:6" x14ac:dyDescent="0.3">
      <c r="D141" s="30" t="str">
        <f>SENS_BA!C981</f>
        <v>Equipment Category 3</v>
      </c>
      <c r="F141" s="33" t="s">
        <v>46</v>
      </c>
    </row>
    <row r="142" spans="3:6" x14ac:dyDescent="0.3">
      <c r="D142" s="30" t="str">
        <f>SENS_BA!C982</f>
        <v>Equipment Category 4</v>
      </c>
      <c r="F142" s="33" t="s">
        <v>46</v>
      </c>
    </row>
    <row r="143" spans="3:6" x14ac:dyDescent="0.3">
      <c r="D143" s="30" t="str">
        <f>SENS_BA!C983</f>
        <v>Equipment Category 5</v>
      </c>
      <c r="F143" s="33" t="s">
        <v>46</v>
      </c>
    </row>
    <row r="144" spans="3:6" x14ac:dyDescent="0.3">
      <c r="D144" s="30" t="str">
        <f>SENS_BA!C984</f>
        <v>Equipment Category 6</v>
      </c>
      <c r="F144" s="33" t="s">
        <v>46</v>
      </c>
    </row>
    <row r="145" spans="4:6" x14ac:dyDescent="0.3">
      <c r="D145" s="282" t="str">
        <f>SENS_BA!C985</f>
        <v>Equipment Category 7</v>
      </c>
      <c r="F145" s="119"/>
    </row>
    <row r="146" spans="4:6" x14ac:dyDescent="0.3">
      <c r="D146" s="282" t="str">
        <f>SENS_BA!C986</f>
        <v>Equipment Category 8</v>
      </c>
      <c r="F146" s="119"/>
    </row>
    <row r="147" spans="4:6" x14ac:dyDescent="0.3">
      <c r="D147" s="282" t="str">
        <f>SENS_BA!C987</f>
        <v>Equipment Category 9</v>
      </c>
      <c r="F147" s="119"/>
    </row>
    <row r="148" spans="4:6" x14ac:dyDescent="0.3">
      <c r="D148" s="282" t="str">
        <f>SENS_BA!C988</f>
        <v>Equipment Category 10</v>
      </c>
      <c r="F148" s="119"/>
    </row>
    <row r="149" spans="4:6" x14ac:dyDescent="0.3">
      <c r="D149" s="282" t="str">
        <f>SENS_BA!C989</f>
        <v>Equipment Category 11</v>
      </c>
      <c r="F149" s="119"/>
    </row>
    <row r="150" spans="4:6" x14ac:dyDescent="0.3">
      <c r="D150" s="282" t="str">
        <f>SENS_BA!C990</f>
        <v>Equipment Category 12</v>
      </c>
      <c r="F150" s="119"/>
    </row>
    <row r="151" spans="4:6" x14ac:dyDescent="0.3">
      <c r="D151" s="282" t="str">
        <f>SENS_BA!C991</f>
        <v>Equipment Category 13</v>
      </c>
      <c r="F151" s="119"/>
    </row>
    <row r="152" spans="4:6" x14ac:dyDescent="0.3">
      <c r="D152" s="282" t="str">
        <f>SENS_BA!C992</f>
        <v>Equipment Category 14</v>
      </c>
      <c r="F152" s="119"/>
    </row>
    <row r="153" spans="4:6" x14ac:dyDescent="0.3">
      <c r="D153" s="282" t="str">
        <f>SENS_BA!C993</f>
        <v>Equipment Category 15</v>
      </c>
      <c r="F153" s="119"/>
    </row>
    <row r="154" spans="4:6" x14ac:dyDescent="0.3">
      <c r="D154" s="282" t="str">
        <f>SENS_BA!C994</f>
        <v>Equipment Category 16</v>
      </c>
      <c r="F154" s="119"/>
    </row>
    <row r="155" spans="4:6" x14ac:dyDescent="0.3">
      <c r="D155" s="282" t="str">
        <f>SENS_BA!C995</f>
        <v>Equipment Category 17</v>
      </c>
      <c r="F155" s="119"/>
    </row>
    <row r="156" spans="4:6" x14ac:dyDescent="0.3">
      <c r="D156" s="282" t="str">
        <f>SENS_BA!C996</f>
        <v>Equipment Category 18</v>
      </c>
      <c r="F156" s="119"/>
    </row>
    <row r="157" spans="4:6" x14ac:dyDescent="0.3">
      <c r="D157" s="282" t="str">
        <f>SENS_BA!C997</f>
        <v>Equipment Category 19</v>
      </c>
      <c r="F157" s="119"/>
    </row>
    <row r="158" spans="4:6" x14ac:dyDescent="0.3">
      <c r="D158" s="282" t="str">
        <f>SENS_BA!C998</f>
        <v>Equipment Category 20</v>
      </c>
      <c r="F158" s="119"/>
    </row>
    <row r="159" spans="4:6" x14ac:dyDescent="0.3">
      <c r="D159" s="282" t="str">
        <f>SENS_BA!C999</f>
        <v>Equipment Category 21</v>
      </c>
      <c r="F159" s="119"/>
    </row>
    <row r="160" spans="4:6" x14ac:dyDescent="0.3">
      <c r="D160" s="282" t="str">
        <f>SENS_BA!C1000</f>
        <v>Equipment Category 22</v>
      </c>
      <c r="F160" s="119"/>
    </row>
    <row r="161" spans="3:6" x14ac:dyDescent="0.3">
      <c r="D161" s="282" t="str">
        <f>SENS_BA!C1001</f>
        <v>Equipment Category 23</v>
      </c>
      <c r="F161" s="119"/>
    </row>
    <row r="162" spans="3:6" x14ac:dyDescent="0.3">
      <c r="D162" s="282" t="str">
        <f>SENS_BA!C1002</f>
        <v>Equipment Category 24</v>
      </c>
      <c r="F162" s="119"/>
    </row>
    <row r="163" spans="3:6" x14ac:dyDescent="0.3">
      <c r="D163" s="282" t="str">
        <f>SENS_BA!C1003</f>
        <v>Equipment Category 25</v>
      </c>
      <c r="F163" s="119"/>
    </row>
    <row r="164" spans="3:6" x14ac:dyDescent="0.3">
      <c r="D164" s="282" t="str">
        <f>SENS_BA!C1004</f>
        <v>Equipment Category 26</v>
      </c>
      <c r="F164" s="119"/>
    </row>
    <row r="165" spans="3:6" x14ac:dyDescent="0.3">
      <c r="D165" s="282" t="str">
        <f>SENS_BA!C1005</f>
        <v>Equipment Category 27</v>
      </c>
      <c r="F165" s="119"/>
    </row>
    <row r="166" spans="3:6" x14ac:dyDescent="0.3">
      <c r="D166" s="282" t="str">
        <f>SENS_BA!C1006</f>
        <v>Equipment Category 28</v>
      </c>
      <c r="F166" s="119"/>
    </row>
    <row r="167" spans="3:6" x14ac:dyDescent="0.3">
      <c r="D167" s="282" t="str">
        <f>SENS_BA!C1007</f>
        <v>Equipment Category 29</v>
      </c>
      <c r="F167" s="119"/>
    </row>
    <row r="168" spans="3:6" x14ac:dyDescent="0.3">
      <c r="D168" s="282" t="str">
        <f>SENS_BA!C1008</f>
        <v>Equipment Category 30</v>
      </c>
      <c r="F168" s="119"/>
    </row>
    <row r="169" spans="3:6" x14ac:dyDescent="0.3">
      <c r="D169" s="282" t="str">
        <f>SENS_BA!C1009</f>
        <v>Equipment Category 31</v>
      </c>
      <c r="F169" s="119"/>
    </row>
    <row r="170" spans="3:6" x14ac:dyDescent="0.3">
      <c r="D170" s="282" t="str">
        <f>SENS_BA!C1010</f>
        <v>Equipment Category 32</v>
      </c>
      <c r="F170" s="119"/>
    </row>
    <row r="171" spans="3:6" x14ac:dyDescent="0.3">
      <c r="D171" s="282" t="str">
        <f>SENS_BA!C1011</f>
        <v>Equipment Category 33</v>
      </c>
      <c r="F171" s="119"/>
    </row>
    <row r="172" spans="3:6" x14ac:dyDescent="0.3">
      <c r="D172" s="282" t="str">
        <f>SENS_BA!C1012</f>
        <v>Equipment Category 34</v>
      </c>
      <c r="F172" s="119"/>
    </row>
    <row r="173" spans="3:6" x14ac:dyDescent="0.3">
      <c r="D173" s="282" t="str">
        <f>SENS_BA!C1013</f>
        <v>Equipment Category 35</v>
      </c>
      <c r="F173" s="119"/>
    </row>
    <row r="175" spans="3:6" ht="15.6" x14ac:dyDescent="0.3">
      <c r="C175" s="115" t="s">
        <v>89</v>
      </c>
      <c r="F175" s="115" t="s">
        <v>28</v>
      </c>
    </row>
    <row r="177" spans="4:6" x14ac:dyDescent="0.3">
      <c r="D177" s="116" t="s">
        <v>95</v>
      </c>
      <c r="F177" s="119" t="s">
        <v>243</v>
      </c>
    </row>
    <row r="178" spans="4:6" x14ac:dyDescent="0.3">
      <c r="D178" s="30" t="str">
        <f>SENS_BA!C1017</f>
        <v>Other Direct Costs Category 1</v>
      </c>
      <c r="F178" s="33" t="s">
        <v>46</v>
      </c>
    </row>
    <row r="179" spans="4:6" x14ac:dyDescent="0.3">
      <c r="D179" s="30" t="str">
        <f>SENS_BA!C1018</f>
        <v>Other Direct Costs Category 2</v>
      </c>
      <c r="F179" s="33" t="s">
        <v>46</v>
      </c>
    </row>
    <row r="180" spans="4:6" x14ac:dyDescent="0.3">
      <c r="D180" s="30" t="str">
        <f>SENS_BA!C1019</f>
        <v>Other Direct Costs Category 3</v>
      </c>
      <c r="F180" s="33" t="s">
        <v>46</v>
      </c>
    </row>
    <row r="181" spans="4:6" x14ac:dyDescent="0.3">
      <c r="D181" s="282" t="str">
        <f>SENS_BA!C1020</f>
        <v>Other Direct Costs Category 4</v>
      </c>
      <c r="F181" s="119"/>
    </row>
    <row r="182" spans="4:6" x14ac:dyDescent="0.3">
      <c r="D182" s="282" t="str">
        <f>SENS_BA!C1021</f>
        <v>Other Direct Costs Category 5</v>
      </c>
      <c r="F182" s="119"/>
    </row>
    <row r="183" spans="4:6" x14ac:dyDescent="0.3">
      <c r="D183" s="282" t="str">
        <f>SENS_BA!C1022</f>
        <v>Other Direct Costs Category 6</v>
      </c>
      <c r="F183" s="119"/>
    </row>
    <row r="184" spans="4:6" x14ac:dyDescent="0.3">
      <c r="D184" s="282" t="str">
        <f>SENS_BA!C1023</f>
        <v>Other Direct Costs Category 7</v>
      </c>
      <c r="F184" s="119"/>
    </row>
    <row r="185" spans="4:6" x14ac:dyDescent="0.3">
      <c r="D185" s="282" t="str">
        <f>SENS_BA!C1024</f>
        <v>Other Direct Costs Category 8</v>
      </c>
      <c r="F185" s="119"/>
    </row>
    <row r="186" spans="4:6" x14ac:dyDescent="0.3">
      <c r="D186" s="282" t="str">
        <f>SENS_BA!C1025</f>
        <v>Other Direct Costs Category 9</v>
      </c>
      <c r="F186" s="119"/>
    </row>
    <row r="187" spans="4:6" x14ac:dyDescent="0.3">
      <c r="D187" s="282" t="str">
        <f>SENS_BA!C1026</f>
        <v>Other Direct Costs Category 10</v>
      </c>
      <c r="F187" s="119"/>
    </row>
    <row r="188" spans="4:6" x14ac:dyDescent="0.3">
      <c r="D188" s="282" t="str">
        <f>SENS_BA!C1027</f>
        <v>Other Direct Costs Category 11</v>
      </c>
      <c r="F188" s="119"/>
    </row>
    <row r="189" spans="4:6" x14ac:dyDescent="0.3">
      <c r="D189" s="282" t="str">
        <f>SENS_BA!C1028</f>
        <v>Other Direct Costs Category 12</v>
      </c>
      <c r="F189" s="119"/>
    </row>
    <row r="190" spans="4:6" x14ac:dyDescent="0.3">
      <c r="D190" s="282" t="str">
        <f>SENS_BA!C1029</f>
        <v>Other Direct Costs Category 13</v>
      </c>
      <c r="F190" s="119"/>
    </row>
    <row r="191" spans="4:6" x14ac:dyDescent="0.3">
      <c r="D191" s="282" t="str">
        <f>SENS_BA!C1030</f>
        <v>Other Direct Costs Category 14</v>
      </c>
      <c r="F191" s="119"/>
    </row>
    <row r="192" spans="4:6" x14ac:dyDescent="0.3">
      <c r="D192" s="282" t="str">
        <f>SENS_BA!C1031</f>
        <v>Other Direct Costs Category 15</v>
      </c>
      <c r="F192" s="119"/>
    </row>
    <row r="193" spans="4:6" x14ac:dyDescent="0.3">
      <c r="D193" s="282" t="str">
        <f>SENS_BA!C1032</f>
        <v>Other Direct Costs Category 16</v>
      </c>
      <c r="F193" s="119"/>
    </row>
    <row r="194" spans="4:6" x14ac:dyDescent="0.3">
      <c r="D194" s="282" t="str">
        <f>SENS_BA!C1033</f>
        <v>Other Direct Costs Category 17</v>
      </c>
      <c r="F194" s="119"/>
    </row>
    <row r="195" spans="4:6" x14ac:dyDescent="0.3">
      <c r="D195" s="282" t="str">
        <f>SENS_BA!C1034</f>
        <v>Other Direct Costs Category 18</v>
      </c>
      <c r="F195" s="119"/>
    </row>
    <row r="196" spans="4:6" x14ac:dyDescent="0.3">
      <c r="D196" s="282" t="str">
        <f>SENS_BA!C1035</f>
        <v>Other Direct Costs Category 19</v>
      </c>
      <c r="F196" s="119"/>
    </row>
    <row r="197" spans="4:6" x14ac:dyDescent="0.3">
      <c r="D197" s="282" t="str">
        <f>SENS_BA!C1036</f>
        <v>Other Direct Costs Category 20</v>
      </c>
      <c r="F197" s="119"/>
    </row>
    <row r="198" spans="4:6" x14ac:dyDescent="0.3">
      <c r="D198" s="282" t="str">
        <f>SENS_BA!C1037</f>
        <v>Other Direct Costs Category 21</v>
      </c>
      <c r="F198" s="119"/>
    </row>
    <row r="199" spans="4:6" x14ac:dyDescent="0.3">
      <c r="D199" s="282" t="str">
        <f>SENS_BA!C1038</f>
        <v>Other Direct Costs Category 22</v>
      </c>
      <c r="F199" s="119"/>
    </row>
    <row r="200" spans="4:6" x14ac:dyDescent="0.3">
      <c r="D200" s="282" t="str">
        <f>SENS_BA!C1039</f>
        <v>Other Direct Costs Category 23</v>
      </c>
      <c r="F200" s="119"/>
    </row>
    <row r="201" spans="4:6" x14ac:dyDescent="0.3">
      <c r="D201" s="282" t="str">
        <f>SENS_BA!C1040</f>
        <v>Other Direct Costs Category 24</v>
      </c>
      <c r="F201" s="119"/>
    </row>
    <row r="202" spans="4:6" x14ac:dyDescent="0.3">
      <c r="D202" s="282" t="str">
        <f>SENS_BA!C1041</f>
        <v>Other Direct Costs Category 25</v>
      </c>
      <c r="F202" s="119"/>
    </row>
    <row r="203" spans="4:6" x14ac:dyDescent="0.3">
      <c r="D203" s="282" t="str">
        <f>SENS_BA!C1042</f>
        <v>Other Direct Costs Category 26</v>
      </c>
      <c r="F203" s="119"/>
    </row>
    <row r="204" spans="4:6" x14ac:dyDescent="0.3">
      <c r="D204" s="282" t="str">
        <f>SENS_BA!C1043</f>
        <v>Other Direct Costs Category 27</v>
      </c>
      <c r="F204" s="119"/>
    </row>
    <row r="205" spans="4:6" x14ac:dyDescent="0.3">
      <c r="D205" s="282" t="str">
        <f>SENS_BA!C1044</f>
        <v>Other Direct Costs Category 28</v>
      </c>
      <c r="F205" s="119"/>
    </row>
    <row r="206" spans="4:6" x14ac:dyDescent="0.3">
      <c r="D206" s="282" t="str">
        <f>SENS_BA!C1045</f>
        <v>Other Direct Costs Category 29</v>
      </c>
      <c r="F206" s="119"/>
    </row>
    <row r="207" spans="4:6" x14ac:dyDescent="0.3">
      <c r="D207" s="282" t="str">
        <f>SENS_BA!C1046</f>
        <v>Other Direct Costs Category 30</v>
      </c>
      <c r="F207" s="119"/>
    </row>
    <row r="208" spans="4:6" x14ac:dyDescent="0.3">
      <c r="D208" s="282" t="str">
        <f>SENS_BA!C1047</f>
        <v>Other Direct Costs Category 31</v>
      </c>
      <c r="F208" s="119"/>
    </row>
    <row r="209" spans="4:6" x14ac:dyDescent="0.3">
      <c r="D209" s="282" t="str">
        <f>SENS_BA!C1048</f>
        <v>Other Direct Costs Category 32</v>
      </c>
      <c r="F209" s="119"/>
    </row>
    <row r="210" spans="4:6" x14ac:dyDescent="0.3">
      <c r="D210" s="282" t="str">
        <f>SENS_BA!C1049</f>
        <v>Other Direct Costs Category 33</v>
      </c>
      <c r="F210" s="119"/>
    </row>
    <row r="211" spans="4:6" x14ac:dyDescent="0.3">
      <c r="D211" s="282" t="str">
        <f>SENS_BA!C1050</f>
        <v>Other Direct Costs Category 34</v>
      </c>
      <c r="F211" s="119"/>
    </row>
    <row r="212" spans="4:6" x14ac:dyDescent="0.3">
      <c r="D212" s="282" t="str">
        <f>SENS_BA!C1051</f>
        <v>Other Direct Costs Category 35</v>
      </c>
      <c r="F212" s="119"/>
    </row>
  </sheetData>
  <sheetProtection algorithmName="SHA-512" hashValue="oRhkmLJoZ+3qs1szOrAxi+TtyDPd92z/QGRtV3hI2HLAQ4zz66uyZBoD6bzs6oDZjnpertb3osTgW/CPpAraQg==" saltValue="BrmsqZslfzPHO8rFIxZa6w==" spinCount="100000" sheet="1" objects="1" scenarios="1" formatColumns="0" formatRows="0"/>
  <mergeCells count="1">
    <mergeCell ref="B3:D3"/>
  </mergeCells>
  <hyperlinks>
    <hyperlink ref="A4" location="$B$5" tooltip="Go to Top of Sheet" display="$B$5" xr:uid="{00000000-0004-0000-2700-000000000000}"/>
    <hyperlink ref="B4" location="HL_Sheet_Main_17" tooltip="Go to Previous Sheet" display="HL_Sheet_Main_17" xr:uid="{00000000-0004-0000-2700-000001000000}"/>
    <hyperlink ref="C4" location="HL_Sheet_Main_54" tooltip="Go to Next Sheet" display="HL_Sheet_Main_54" xr:uid="{00000000-0004-0000-2700-000002000000}"/>
    <hyperlink ref="B3" location="HL_Home" tooltip="Go to Table of Contents" display="HL_Home" xr:uid="{00000000-0004-0000-27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312</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313</v>
      </c>
    </row>
    <row r="9" spans="1:6" ht="15.6" x14ac:dyDescent="0.3">
      <c r="C9" s="115" t="s">
        <v>93</v>
      </c>
    </row>
    <row r="11" spans="1:6" ht="15.6" x14ac:dyDescent="0.3">
      <c r="C11" s="115" t="s">
        <v>93</v>
      </c>
      <c r="F11" s="115" t="s">
        <v>28</v>
      </c>
    </row>
    <row r="13" spans="1:6" x14ac:dyDescent="0.3">
      <c r="D13" s="116" t="s">
        <v>95</v>
      </c>
      <c r="F13" s="119" t="s">
        <v>246</v>
      </c>
    </row>
    <row r="14" spans="1:6" x14ac:dyDescent="0.3">
      <c r="D14" s="30" t="str">
        <f>IEC_BA!D161</f>
        <v>USD</v>
      </c>
      <c r="F14" s="33" t="s">
        <v>46</v>
      </c>
    </row>
    <row r="15" spans="1:6" x14ac:dyDescent="0.3">
      <c r="D15" s="30" t="str">
        <f>IEC_BA!D162</f>
        <v>GOZ</v>
      </c>
      <c r="F15" s="33" t="s">
        <v>46</v>
      </c>
    </row>
    <row r="17" spans="3:6" ht="15.6" x14ac:dyDescent="0.3">
      <c r="C17" s="115" t="s">
        <v>77</v>
      </c>
      <c r="F17" s="115" t="s">
        <v>28</v>
      </c>
    </row>
    <row r="19" spans="3:6" x14ac:dyDescent="0.3">
      <c r="D19" s="116" t="s">
        <v>95</v>
      </c>
      <c r="F19" s="119" t="s">
        <v>247</v>
      </c>
    </row>
    <row r="20" spans="3:6" x14ac:dyDescent="0.3">
      <c r="D20" s="30" t="str">
        <f>IEC_BA!C167</f>
        <v>Personnel Cadre - Other 1</v>
      </c>
      <c r="F20" s="33" t="s">
        <v>46</v>
      </c>
    </row>
    <row r="21" spans="3:6" x14ac:dyDescent="0.3">
      <c r="D21" s="30" t="str">
        <f>IEC_BA!C168</f>
        <v>Personnel Cadre - Other 2</v>
      </c>
      <c r="F21" s="33" t="s">
        <v>46</v>
      </c>
    </row>
    <row r="22" spans="3:6" x14ac:dyDescent="0.3">
      <c r="D22" s="30" t="str">
        <f>IEC_BA!C169</f>
        <v>Personnel Cadre - Other 3</v>
      </c>
      <c r="F22" s="33" t="s">
        <v>46</v>
      </c>
    </row>
    <row r="23" spans="3:6" x14ac:dyDescent="0.3">
      <c r="D23" s="30" t="str">
        <f>IEC_BA!C170</f>
        <v>Personnel Cadre - Other 4</v>
      </c>
      <c r="F23" s="33" t="s">
        <v>46</v>
      </c>
    </row>
    <row r="24" spans="3:6" x14ac:dyDescent="0.3">
      <c r="D24" s="30" t="str">
        <f>IEC_BA!C171</f>
        <v>Personnel Cadre - Other 5</v>
      </c>
      <c r="F24" s="33" t="s">
        <v>46</v>
      </c>
    </row>
    <row r="25" spans="3:6" x14ac:dyDescent="0.3">
      <c r="D25" s="30" t="str">
        <f>IEC_BA!C172</f>
        <v>Personnel Cadre - Other 6</v>
      </c>
      <c r="F25" s="33" t="s">
        <v>46</v>
      </c>
    </row>
    <row r="26" spans="3:6" x14ac:dyDescent="0.3">
      <c r="D26" s="30" t="str">
        <f>IEC_BA!C173</f>
        <v>Personnel Cadre - Other 7</v>
      </c>
      <c r="F26" s="33" t="s">
        <v>46</v>
      </c>
    </row>
    <row r="27" spans="3:6" x14ac:dyDescent="0.3">
      <c r="D27" s="30" t="str">
        <f>IEC_BA!C174</f>
        <v>Personnel Cadre - Other 8</v>
      </c>
      <c r="F27" s="33" t="s">
        <v>46</v>
      </c>
    </row>
    <row r="28" spans="3:6" x14ac:dyDescent="0.3">
      <c r="D28" s="30" t="str">
        <f>IEC_BA!C175</f>
        <v>Personnel Cadre - Other 9</v>
      </c>
      <c r="F28" s="33" t="s">
        <v>46</v>
      </c>
    </row>
    <row r="29" spans="3:6" x14ac:dyDescent="0.3">
      <c r="D29" s="30" t="str">
        <f>IEC_BA!C176</f>
        <v>Personnel Cadre - Other 10</v>
      </c>
      <c r="F29" s="33" t="s">
        <v>46</v>
      </c>
    </row>
    <row r="30" spans="3:6" x14ac:dyDescent="0.3">
      <c r="D30" s="30" t="str">
        <f>IEC_BA!C177</f>
        <v>Personnel Cadre - Other 11</v>
      </c>
      <c r="F30" s="33" t="s">
        <v>46</v>
      </c>
    </row>
    <row r="31" spans="3:6" x14ac:dyDescent="0.3">
      <c r="D31" s="30" t="str">
        <f>IEC_BA!C178</f>
        <v>Personnel Cadre - Other 12</v>
      </c>
      <c r="F31" s="33" t="s">
        <v>46</v>
      </c>
    </row>
    <row r="32" spans="3:6" x14ac:dyDescent="0.3">
      <c r="D32" s="30" t="str">
        <f>IEC_BA!C179</f>
        <v>Personnel Cadre - Other 13</v>
      </c>
      <c r="F32" s="33" t="s">
        <v>46</v>
      </c>
    </row>
    <row r="33" spans="4:6" x14ac:dyDescent="0.3">
      <c r="D33" s="30" t="str">
        <f>IEC_BA!C180</f>
        <v>Personnel Cadre - Other 14</v>
      </c>
      <c r="F33" s="33" t="s">
        <v>46</v>
      </c>
    </row>
    <row r="34" spans="4:6" x14ac:dyDescent="0.3">
      <c r="D34" s="30" t="str">
        <f>IEC_BA!C181</f>
        <v>Personnel Cadre - Other 15</v>
      </c>
      <c r="F34" s="33" t="s">
        <v>46</v>
      </c>
    </row>
    <row r="35" spans="4:6" x14ac:dyDescent="0.3">
      <c r="D35" s="282" t="str">
        <f>IEC_BA!C182</f>
        <v>Personnel Cadre - Other 16</v>
      </c>
      <c r="F35" s="119"/>
    </row>
    <row r="36" spans="4:6" x14ac:dyDescent="0.3">
      <c r="D36" s="282" t="str">
        <f>IEC_BA!C183</f>
        <v>Personnel Cadre - Other 17</v>
      </c>
      <c r="F36" s="119"/>
    </row>
    <row r="37" spans="4:6" x14ac:dyDescent="0.3">
      <c r="D37" s="282" t="str">
        <f>IEC_BA!C184</f>
        <v>Personnel Cadre - Other 18</v>
      </c>
      <c r="F37" s="119"/>
    </row>
    <row r="38" spans="4:6" x14ac:dyDescent="0.3">
      <c r="D38" s="282" t="str">
        <f>IEC_BA!C185</f>
        <v>Personnel Cadre - Other 19</v>
      </c>
      <c r="F38" s="119"/>
    </row>
    <row r="39" spans="4:6" x14ac:dyDescent="0.3">
      <c r="D39" s="282" t="str">
        <f>IEC_BA!C186</f>
        <v>Personnel Cadre - Other 20</v>
      </c>
      <c r="F39" s="119"/>
    </row>
    <row r="40" spans="4:6" x14ac:dyDescent="0.3">
      <c r="D40" s="282" t="str">
        <f>IEC_BA!C187</f>
        <v>Personnel Cadre - Other 21</v>
      </c>
      <c r="F40" s="119"/>
    </row>
    <row r="41" spans="4:6" x14ac:dyDescent="0.3">
      <c r="D41" s="282" t="str">
        <f>IEC_BA!C188</f>
        <v>Personnel Cadre - Other 22</v>
      </c>
      <c r="F41" s="119"/>
    </row>
    <row r="42" spans="4:6" x14ac:dyDescent="0.3">
      <c r="D42" s="282" t="str">
        <f>IEC_BA!C189</f>
        <v>Personnel Cadre - Other 23</v>
      </c>
      <c r="F42" s="119"/>
    </row>
    <row r="43" spans="4:6" x14ac:dyDescent="0.3">
      <c r="D43" s="282" t="str">
        <f>IEC_BA!C190</f>
        <v>Personnel Cadre - Other 24</v>
      </c>
      <c r="F43" s="119"/>
    </row>
    <row r="44" spans="4:6" x14ac:dyDescent="0.3">
      <c r="D44" s="282" t="str">
        <f>IEC_BA!C191</f>
        <v>Personnel Cadre - Other 25</v>
      </c>
      <c r="F44" s="119"/>
    </row>
    <row r="45" spans="4:6" x14ac:dyDescent="0.3">
      <c r="D45" s="282" t="str">
        <f>IEC_BA!C192</f>
        <v>Personnel Cadre - Other 26</v>
      </c>
      <c r="F45" s="119"/>
    </row>
    <row r="46" spans="4:6" x14ac:dyDescent="0.3">
      <c r="D46" s="282" t="str">
        <f>IEC_BA!C193</f>
        <v>Personnel Cadre - Other 27</v>
      </c>
      <c r="F46" s="119"/>
    </row>
    <row r="47" spans="4:6" x14ac:dyDescent="0.3">
      <c r="D47" s="282" t="str">
        <f>IEC_BA!C194</f>
        <v>Personnel Cadre - Other 28</v>
      </c>
      <c r="F47" s="119"/>
    </row>
    <row r="48" spans="4:6" x14ac:dyDescent="0.3">
      <c r="D48" s="282" t="str">
        <f>IEC_BA!C195</f>
        <v>Personnel Cadre - Other 29</v>
      </c>
      <c r="F48" s="119"/>
    </row>
    <row r="49" spans="3:6" x14ac:dyDescent="0.3">
      <c r="D49" s="282" t="str">
        <f>IEC_BA!C196</f>
        <v>Personnel Cadre - Other 30</v>
      </c>
      <c r="F49" s="119"/>
    </row>
    <row r="50" spans="3:6" x14ac:dyDescent="0.3">
      <c r="D50" s="282" t="str">
        <f>IEC_BA!C197</f>
        <v>Personnel Cadre - Other 31</v>
      </c>
      <c r="F50" s="119"/>
    </row>
    <row r="51" spans="3:6" x14ac:dyDescent="0.3">
      <c r="D51" s="282" t="str">
        <f>IEC_BA!C198</f>
        <v>Personnel Cadre - Other 32</v>
      </c>
      <c r="F51" s="119"/>
    </row>
    <row r="52" spans="3:6" x14ac:dyDescent="0.3">
      <c r="D52" s="282" t="str">
        <f>IEC_BA!C199</f>
        <v>Personnel Cadre - Other 33</v>
      </c>
      <c r="F52" s="119"/>
    </row>
    <row r="53" spans="3:6" x14ac:dyDescent="0.3">
      <c r="D53" s="282" t="str">
        <f>IEC_BA!C200</f>
        <v>Personnel Cadre - Other 34</v>
      </c>
      <c r="F53" s="119"/>
    </row>
    <row r="54" spans="3:6" x14ac:dyDescent="0.3">
      <c r="D54" s="282" t="str">
        <f>IEC_BA!C201</f>
        <v>Personnel Cadre - Other 35</v>
      </c>
      <c r="F54" s="119"/>
    </row>
    <row r="56" spans="3:6" ht="15.6" x14ac:dyDescent="0.3">
      <c r="C56" s="115" t="s">
        <v>94</v>
      </c>
      <c r="F56" s="115" t="s">
        <v>28</v>
      </c>
    </row>
    <row r="58" spans="3:6" x14ac:dyDescent="0.3">
      <c r="D58" s="116" t="s">
        <v>95</v>
      </c>
      <c r="F58" s="119" t="s">
        <v>248</v>
      </c>
    </row>
    <row r="59" spans="3:6" x14ac:dyDescent="0.3">
      <c r="D59" s="30" t="str">
        <f>IEC_BA!C204</f>
        <v>Allowances Category 1</v>
      </c>
      <c r="F59" s="33" t="s">
        <v>46</v>
      </c>
    </row>
    <row r="60" spans="3:6" x14ac:dyDescent="0.3">
      <c r="D60" s="30" t="str">
        <f>IEC_BA!C205</f>
        <v>Allowances Category 2</v>
      </c>
      <c r="F60" s="33" t="s">
        <v>46</v>
      </c>
    </row>
    <row r="61" spans="3:6" x14ac:dyDescent="0.3">
      <c r="D61" s="30" t="str">
        <f>IEC_BA!C206</f>
        <v>Allowances Category 3</v>
      </c>
      <c r="F61" s="33" t="s">
        <v>46</v>
      </c>
    </row>
    <row r="62" spans="3:6" x14ac:dyDescent="0.3">
      <c r="D62" s="30" t="str">
        <f>IEC_BA!C207</f>
        <v>Allowances Category 4</v>
      </c>
      <c r="F62" s="33" t="s">
        <v>46</v>
      </c>
    </row>
    <row r="63" spans="3:6" x14ac:dyDescent="0.3">
      <c r="D63" s="30" t="str">
        <f>IEC_BA!C208</f>
        <v>Allowances Category 5</v>
      </c>
      <c r="F63" s="33" t="s">
        <v>46</v>
      </c>
    </row>
    <row r="64" spans="3:6" x14ac:dyDescent="0.3">
      <c r="D64" s="282" t="str">
        <f>IEC_BA!C209</f>
        <v>Allowances Category 6</v>
      </c>
      <c r="F64" s="119"/>
    </row>
    <row r="65" spans="4:6" x14ac:dyDescent="0.3">
      <c r="D65" s="282" t="str">
        <f>IEC_BA!C210</f>
        <v>Allowances Category 7</v>
      </c>
      <c r="F65" s="119"/>
    </row>
    <row r="66" spans="4:6" x14ac:dyDescent="0.3">
      <c r="D66" s="282" t="str">
        <f>IEC_BA!C211</f>
        <v>Allowances Category 8</v>
      </c>
      <c r="F66" s="119"/>
    </row>
    <row r="67" spans="4:6" x14ac:dyDescent="0.3">
      <c r="D67" s="282" t="str">
        <f>IEC_BA!C212</f>
        <v>Allowances Category 9</v>
      </c>
      <c r="F67" s="119"/>
    </row>
    <row r="68" spans="4:6" x14ac:dyDescent="0.3">
      <c r="D68" s="282" t="str">
        <f>IEC_BA!C213</f>
        <v>Allowances Category 10</v>
      </c>
      <c r="F68" s="119"/>
    </row>
    <row r="69" spans="4:6" x14ac:dyDescent="0.3">
      <c r="D69" s="282" t="str">
        <f>IEC_BA!C214</f>
        <v>Allowances Category 11</v>
      </c>
      <c r="F69" s="119"/>
    </row>
    <row r="70" spans="4:6" x14ac:dyDescent="0.3">
      <c r="D70" s="282" t="str">
        <f>IEC_BA!C215</f>
        <v>Allowances Category 12</v>
      </c>
      <c r="F70" s="119"/>
    </row>
    <row r="71" spans="4:6" x14ac:dyDescent="0.3">
      <c r="D71" s="282" t="str">
        <f>IEC_BA!C216</f>
        <v>Allowances Category 13</v>
      </c>
      <c r="F71" s="119"/>
    </row>
    <row r="72" spans="4:6" x14ac:dyDescent="0.3">
      <c r="D72" s="282" t="str">
        <f>IEC_BA!C217</f>
        <v>Allowances Category 14</v>
      </c>
      <c r="F72" s="119"/>
    </row>
    <row r="73" spans="4:6" x14ac:dyDescent="0.3">
      <c r="D73" s="282" t="str">
        <f>IEC_BA!C218</f>
        <v>Allowances Category 15</v>
      </c>
      <c r="F73" s="119"/>
    </row>
    <row r="74" spans="4:6" x14ac:dyDescent="0.3">
      <c r="D74" s="282" t="str">
        <f>IEC_BA!C219</f>
        <v>Allowances Category 16</v>
      </c>
      <c r="F74" s="119"/>
    </row>
    <row r="75" spans="4:6" x14ac:dyDescent="0.3">
      <c r="D75" s="30" t="str">
        <f>IEC_BA!C220</f>
        <v>Allowances Category 17</v>
      </c>
      <c r="F75" s="33" t="s">
        <v>46</v>
      </c>
    </row>
    <row r="76" spans="4:6" x14ac:dyDescent="0.3">
      <c r="D76" s="30" t="str">
        <f>IEC_BA!C221</f>
        <v>Allowances Category 18</v>
      </c>
      <c r="F76" s="33" t="s">
        <v>46</v>
      </c>
    </row>
    <row r="77" spans="4:6" x14ac:dyDescent="0.3">
      <c r="D77" s="30" t="str">
        <f>IEC_BA!C222</f>
        <v>Allowances Category 19</v>
      </c>
      <c r="F77" s="33" t="s">
        <v>46</v>
      </c>
    </row>
    <row r="78" spans="4:6" x14ac:dyDescent="0.3">
      <c r="D78" s="30" t="str">
        <f>IEC_BA!C223</f>
        <v>Allowances Category 20</v>
      </c>
      <c r="F78" s="33" t="s">
        <v>46</v>
      </c>
    </row>
    <row r="79" spans="4:6" x14ac:dyDescent="0.3">
      <c r="D79" s="30" t="str">
        <f>IEC_BA!C224</f>
        <v>Allowances Category 21</v>
      </c>
      <c r="F79" s="33" t="s">
        <v>46</v>
      </c>
    </row>
    <row r="80" spans="4:6" x14ac:dyDescent="0.3">
      <c r="D80" s="30" t="str">
        <f>IEC_BA!C225</f>
        <v>Allowances Category 22</v>
      </c>
      <c r="F80" s="33" t="s">
        <v>46</v>
      </c>
    </row>
    <row r="81" spans="3:6" x14ac:dyDescent="0.3">
      <c r="D81" s="30" t="str">
        <f>IEC_BA!C226</f>
        <v>Allowances Category 23</v>
      </c>
      <c r="F81" s="33" t="s">
        <v>46</v>
      </c>
    </row>
    <row r="82" spans="3:6" x14ac:dyDescent="0.3">
      <c r="D82" s="282" t="str">
        <f>IEC_BA!C227</f>
        <v>Allowances Category 24</v>
      </c>
      <c r="F82" s="119"/>
    </row>
    <row r="83" spans="3:6" x14ac:dyDescent="0.3">
      <c r="D83" s="282" t="str">
        <f>IEC_BA!C228</f>
        <v>Allowances Category 25</v>
      </c>
      <c r="F83" s="119"/>
    </row>
    <row r="84" spans="3:6" x14ac:dyDescent="0.3">
      <c r="D84" s="282" t="str">
        <f>IEC_BA!C229</f>
        <v>Allowances Category 26</v>
      </c>
      <c r="F84" s="119"/>
    </row>
    <row r="85" spans="3:6" x14ac:dyDescent="0.3">
      <c r="D85" s="282" t="str">
        <f>IEC_BA!C230</f>
        <v>Allowances Category 27</v>
      </c>
      <c r="F85" s="119"/>
    </row>
    <row r="86" spans="3:6" x14ac:dyDescent="0.3">
      <c r="D86" s="282" t="str">
        <f>IEC_BA!C231</f>
        <v>Allowances Category 28</v>
      </c>
      <c r="F86" s="119"/>
    </row>
    <row r="87" spans="3:6" x14ac:dyDescent="0.3">
      <c r="D87" s="282" t="str">
        <f>IEC_BA!C232</f>
        <v>Allowances Category 29</v>
      </c>
      <c r="F87" s="119"/>
    </row>
    <row r="88" spans="3:6" x14ac:dyDescent="0.3">
      <c r="D88" s="282" t="str">
        <f>IEC_BA!C233</f>
        <v>Allowances Category 30</v>
      </c>
      <c r="F88" s="119"/>
    </row>
    <row r="89" spans="3:6" x14ac:dyDescent="0.3">
      <c r="D89" s="30" t="str">
        <f>IEC_BA!C234</f>
        <v>Allowances Category 31</v>
      </c>
      <c r="F89" s="33" t="s">
        <v>46</v>
      </c>
    </row>
    <row r="90" spans="3:6" x14ac:dyDescent="0.3">
      <c r="D90" s="30" t="str">
        <f>IEC_BA!C235</f>
        <v>Allowances Category 32</v>
      </c>
      <c r="F90" s="33" t="s">
        <v>46</v>
      </c>
    </row>
    <row r="91" spans="3:6" x14ac:dyDescent="0.3">
      <c r="D91" s="30" t="str">
        <f>IEC_BA!C236</f>
        <v>Allowances Category 33</v>
      </c>
      <c r="F91" s="33" t="s">
        <v>46</v>
      </c>
    </row>
    <row r="92" spans="3:6" x14ac:dyDescent="0.3">
      <c r="D92" s="30" t="str">
        <f>IEC_BA!C237</f>
        <v>Allowances Category 34</v>
      </c>
      <c r="F92" s="33" t="s">
        <v>46</v>
      </c>
    </row>
    <row r="93" spans="3:6" x14ac:dyDescent="0.3">
      <c r="D93" s="30" t="str">
        <f>IEC_BA!C238</f>
        <v>Allowances Category 35</v>
      </c>
      <c r="F93" s="33" t="s">
        <v>46</v>
      </c>
    </row>
    <row r="96" spans="3:6" ht="15.6" x14ac:dyDescent="0.3">
      <c r="C96" s="115" t="s">
        <v>132</v>
      </c>
      <c r="F96" s="115" t="s">
        <v>28</v>
      </c>
    </row>
    <row r="98" spans="4:6" x14ac:dyDescent="0.3">
      <c r="D98" s="116" t="s">
        <v>95</v>
      </c>
      <c r="F98" s="119" t="s">
        <v>249</v>
      </c>
    </row>
    <row r="99" spans="4:6" x14ac:dyDescent="0.3">
      <c r="D99" s="30" t="str">
        <f>IEC_BA!C242</f>
        <v>Supplies Category 1</v>
      </c>
      <c r="F99" s="33" t="s">
        <v>46</v>
      </c>
    </row>
    <row r="100" spans="4:6" x14ac:dyDescent="0.3">
      <c r="D100" s="30" t="str">
        <f>IEC_BA!C243</f>
        <v>Supplies Category 2</v>
      </c>
      <c r="F100" s="33" t="s">
        <v>46</v>
      </c>
    </row>
    <row r="101" spans="4:6" x14ac:dyDescent="0.3">
      <c r="D101" s="30" t="str">
        <f>IEC_BA!C244</f>
        <v>Supplies Category 3</v>
      </c>
      <c r="F101" s="33" t="s">
        <v>46</v>
      </c>
    </row>
    <row r="102" spans="4:6" x14ac:dyDescent="0.3">
      <c r="D102" s="30" t="str">
        <f>IEC_BA!C245</f>
        <v>Supplies Category 4</v>
      </c>
      <c r="F102" s="33" t="s">
        <v>46</v>
      </c>
    </row>
    <row r="103" spans="4:6" x14ac:dyDescent="0.3">
      <c r="D103" s="30" t="str">
        <f>IEC_BA!C246</f>
        <v>Supplies Category 5</v>
      </c>
      <c r="F103" s="33" t="s">
        <v>46</v>
      </c>
    </row>
    <row r="104" spans="4:6" x14ac:dyDescent="0.3">
      <c r="D104" s="30" t="str">
        <f>IEC_BA!C247</f>
        <v>Supplies Category 6</v>
      </c>
      <c r="F104" s="33" t="s">
        <v>46</v>
      </c>
    </row>
    <row r="105" spans="4:6" x14ac:dyDescent="0.3">
      <c r="D105" s="30" t="str">
        <f>IEC_BA!C248</f>
        <v>Supplies Category 7</v>
      </c>
      <c r="F105" s="33" t="s">
        <v>46</v>
      </c>
    </row>
    <row r="106" spans="4:6" x14ac:dyDescent="0.3">
      <c r="D106" s="30" t="str">
        <f>IEC_BA!C249</f>
        <v>Supplies Category 8</v>
      </c>
      <c r="F106" s="33" t="s">
        <v>46</v>
      </c>
    </row>
    <row r="107" spans="4:6" x14ac:dyDescent="0.3">
      <c r="D107" s="30" t="str">
        <f>IEC_BA!C250</f>
        <v>Supplies Category 9</v>
      </c>
      <c r="F107" s="33" t="s">
        <v>46</v>
      </c>
    </row>
    <row r="108" spans="4:6" x14ac:dyDescent="0.3">
      <c r="D108" s="30" t="str">
        <f>IEC_BA!C251</f>
        <v>Supplies Category 10</v>
      </c>
      <c r="F108" s="33" t="s">
        <v>46</v>
      </c>
    </row>
    <row r="109" spans="4:6" x14ac:dyDescent="0.3">
      <c r="D109" s="30" t="str">
        <f>IEC_BA!C252</f>
        <v>Supplies Category 11</v>
      </c>
      <c r="F109" s="33" t="s">
        <v>46</v>
      </c>
    </row>
    <row r="110" spans="4:6" x14ac:dyDescent="0.3">
      <c r="D110" s="30" t="str">
        <f>IEC_BA!C253</f>
        <v>Supplies Category 12</v>
      </c>
      <c r="F110" s="33" t="s">
        <v>46</v>
      </c>
    </row>
    <row r="111" spans="4:6" x14ac:dyDescent="0.3">
      <c r="D111" s="30" t="str">
        <f>IEC_BA!C254</f>
        <v>Supplies Category 13</v>
      </c>
      <c r="F111" s="33" t="s">
        <v>46</v>
      </c>
    </row>
    <row r="112" spans="4:6" x14ac:dyDescent="0.3">
      <c r="D112" s="30" t="str">
        <f>IEC_BA!C255</f>
        <v>Supplies Category 14</v>
      </c>
      <c r="F112" s="33" t="s">
        <v>46</v>
      </c>
    </row>
    <row r="113" spans="4:6" x14ac:dyDescent="0.3">
      <c r="D113" s="30" t="str">
        <f>IEC_BA!C256</f>
        <v>Supplies Category 15</v>
      </c>
      <c r="F113" s="33" t="s">
        <v>46</v>
      </c>
    </row>
    <row r="114" spans="4:6" x14ac:dyDescent="0.3">
      <c r="D114" s="30" t="str">
        <f>IEC_BA!C257</f>
        <v>Supplies Category 16</v>
      </c>
      <c r="F114" s="33" t="s">
        <v>46</v>
      </c>
    </row>
    <row r="115" spans="4:6" x14ac:dyDescent="0.3">
      <c r="D115" s="282" t="str">
        <f>IEC_BA!C258</f>
        <v>Supplies Category 17</v>
      </c>
      <c r="F115" s="119"/>
    </row>
    <row r="116" spans="4:6" x14ac:dyDescent="0.3">
      <c r="D116" s="282" t="str">
        <f>IEC_BA!C259</f>
        <v>Supplies Category 18</v>
      </c>
      <c r="F116" s="119"/>
    </row>
    <row r="117" spans="4:6" x14ac:dyDescent="0.3">
      <c r="D117" s="282" t="str">
        <f>IEC_BA!C260</f>
        <v>Supplies Category 19</v>
      </c>
      <c r="F117" s="119"/>
    </row>
    <row r="118" spans="4:6" x14ac:dyDescent="0.3">
      <c r="D118" s="282" t="str">
        <f>IEC_BA!C261</f>
        <v>Supplies Category 20</v>
      </c>
      <c r="F118" s="119"/>
    </row>
    <row r="119" spans="4:6" x14ac:dyDescent="0.3">
      <c r="D119" s="282" t="str">
        <f>IEC_BA!C262</f>
        <v>Supplies Category 21</v>
      </c>
      <c r="F119" s="119"/>
    </row>
    <row r="120" spans="4:6" x14ac:dyDescent="0.3">
      <c r="D120" s="282" t="str">
        <f>IEC_BA!C263</f>
        <v>Supplies Category 22</v>
      </c>
      <c r="F120" s="119"/>
    </row>
    <row r="121" spans="4:6" x14ac:dyDescent="0.3">
      <c r="D121" s="282" t="str">
        <f>IEC_BA!C264</f>
        <v>Supplies Category 23</v>
      </c>
      <c r="F121" s="119"/>
    </row>
    <row r="122" spans="4:6" x14ac:dyDescent="0.3">
      <c r="D122" s="282" t="str">
        <f>IEC_BA!C265</f>
        <v>Supplies Category 24</v>
      </c>
      <c r="F122" s="119"/>
    </row>
    <row r="123" spans="4:6" x14ac:dyDescent="0.3">
      <c r="D123" s="282" t="str">
        <f>IEC_BA!C266</f>
        <v>Supplies Category 25</v>
      </c>
      <c r="F123" s="119"/>
    </row>
    <row r="124" spans="4:6" x14ac:dyDescent="0.3">
      <c r="D124" s="282" t="str">
        <f>IEC_BA!C267</f>
        <v>Supplies Category 26</v>
      </c>
      <c r="F124" s="119"/>
    </row>
    <row r="125" spans="4:6" x14ac:dyDescent="0.3">
      <c r="D125" s="282" t="str">
        <f>IEC_BA!C268</f>
        <v>Supplies Category 27</v>
      </c>
      <c r="F125" s="119"/>
    </row>
    <row r="126" spans="4:6" x14ac:dyDescent="0.3">
      <c r="D126" s="282" t="str">
        <f>IEC_BA!C269</f>
        <v>Supplies Category 28</v>
      </c>
      <c r="F126" s="119"/>
    </row>
    <row r="127" spans="4:6" x14ac:dyDescent="0.3">
      <c r="D127" s="282" t="str">
        <f>IEC_BA!C270</f>
        <v>Supplies Category 29</v>
      </c>
      <c r="F127" s="119"/>
    </row>
    <row r="128" spans="4:6" x14ac:dyDescent="0.3">
      <c r="D128" s="282" t="str">
        <f>IEC_BA!C271</f>
        <v>Supplies Category 30</v>
      </c>
      <c r="F128" s="119"/>
    </row>
    <row r="129" spans="3:6" x14ac:dyDescent="0.3">
      <c r="D129" s="282" t="str">
        <f>IEC_BA!C272</f>
        <v>Supplies Category 31</v>
      </c>
      <c r="F129" s="119"/>
    </row>
    <row r="130" spans="3:6" x14ac:dyDescent="0.3">
      <c r="D130" s="282" t="str">
        <f>IEC_BA!C273</f>
        <v>Supplies Category 32</v>
      </c>
      <c r="F130" s="119"/>
    </row>
    <row r="131" spans="3:6" x14ac:dyDescent="0.3">
      <c r="D131" s="282" t="str">
        <f>IEC_BA!C274</f>
        <v>Supplies Category 33</v>
      </c>
      <c r="F131" s="119"/>
    </row>
    <row r="132" spans="3:6" x14ac:dyDescent="0.3">
      <c r="D132" s="282" t="str">
        <f>IEC_BA!C275</f>
        <v>Supplies Category 34</v>
      </c>
      <c r="F132" s="119"/>
    </row>
    <row r="133" spans="3:6" x14ac:dyDescent="0.3">
      <c r="D133" s="282" t="str">
        <f>IEC_BA!C276</f>
        <v>Supplies Category 35</v>
      </c>
      <c r="F133" s="119"/>
    </row>
    <row r="136" spans="3:6" ht="15.6" x14ac:dyDescent="0.3">
      <c r="C136" s="115" t="s">
        <v>130</v>
      </c>
      <c r="F136" s="115" t="s">
        <v>28</v>
      </c>
    </row>
    <row r="138" spans="3:6" x14ac:dyDescent="0.3">
      <c r="D138" s="116" t="s">
        <v>95</v>
      </c>
      <c r="F138" s="119" t="s">
        <v>250</v>
      </c>
    </row>
    <row r="139" spans="3:6" x14ac:dyDescent="0.3">
      <c r="D139" s="30" t="str">
        <f>IEC_BA!C279</f>
        <v>Equipment Category 1</v>
      </c>
      <c r="F139" s="33" t="s">
        <v>46</v>
      </c>
    </row>
    <row r="140" spans="3:6" x14ac:dyDescent="0.3">
      <c r="D140" s="30" t="str">
        <f>IEC_BA!C280</f>
        <v>Equipment Category 2</v>
      </c>
      <c r="F140" s="33" t="s">
        <v>46</v>
      </c>
    </row>
    <row r="141" spans="3:6" x14ac:dyDescent="0.3">
      <c r="D141" s="30" t="str">
        <f>IEC_BA!C281</f>
        <v>Equipment Category 3</v>
      </c>
      <c r="F141" s="33" t="s">
        <v>46</v>
      </c>
    </row>
    <row r="142" spans="3:6" x14ac:dyDescent="0.3">
      <c r="D142" s="30" t="str">
        <f>IEC_BA!C282</f>
        <v>Equipment Category 4</v>
      </c>
      <c r="F142" s="33" t="s">
        <v>46</v>
      </c>
    </row>
    <row r="143" spans="3:6" x14ac:dyDescent="0.3">
      <c r="D143" s="30" t="str">
        <f>IEC_BA!C283</f>
        <v>Equipment Category 5</v>
      </c>
      <c r="F143" s="33" t="s">
        <v>46</v>
      </c>
    </row>
    <row r="144" spans="3:6" x14ac:dyDescent="0.3">
      <c r="D144" s="30" t="str">
        <f>IEC_BA!C284</f>
        <v>Equipment Category 6</v>
      </c>
      <c r="F144" s="33" t="s">
        <v>46</v>
      </c>
    </row>
    <row r="145" spans="4:6" x14ac:dyDescent="0.3">
      <c r="D145" s="282" t="str">
        <f>IEC_BA!C285</f>
        <v>Equipment Category 7</v>
      </c>
      <c r="F145" s="119"/>
    </row>
    <row r="146" spans="4:6" x14ac:dyDescent="0.3">
      <c r="D146" s="282" t="str">
        <f>IEC_BA!C286</f>
        <v>Equipment Category 8</v>
      </c>
      <c r="F146" s="119"/>
    </row>
    <row r="147" spans="4:6" x14ac:dyDescent="0.3">
      <c r="D147" s="282" t="str">
        <f>IEC_BA!C287</f>
        <v>Equipment Category 9</v>
      </c>
      <c r="F147" s="119"/>
    </row>
    <row r="148" spans="4:6" x14ac:dyDescent="0.3">
      <c r="D148" s="282" t="str">
        <f>IEC_BA!C288</f>
        <v>Equipment Category 10</v>
      </c>
      <c r="F148" s="119"/>
    </row>
    <row r="149" spans="4:6" x14ac:dyDescent="0.3">
      <c r="D149" s="282" t="str">
        <f>IEC_BA!C289</f>
        <v>Equipment Category 11</v>
      </c>
      <c r="F149" s="119"/>
    </row>
    <row r="150" spans="4:6" x14ac:dyDescent="0.3">
      <c r="D150" s="282" t="str">
        <f>IEC_BA!C290</f>
        <v>Equipment Category 12</v>
      </c>
      <c r="F150" s="119"/>
    </row>
    <row r="151" spans="4:6" x14ac:dyDescent="0.3">
      <c r="D151" s="282" t="str">
        <f>IEC_BA!C291</f>
        <v>Equipment Category 13</v>
      </c>
      <c r="F151" s="119"/>
    </row>
    <row r="152" spans="4:6" x14ac:dyDescent="0.3">
      <c r="D152" s="282" t="str">
        <f>IEC_BA!C292</f>
        <v>Equipment Category 14</v>
      </c>
      <c r="F152" s="119"/>
    </row>
    <row r="153" spans="4:6" x14ac:dyDescent="0.3">
      <c r="D153" s="282" t="str">
        <f>IEC_BA!C293</f>
        <v>Equipment Category 15</v>
      </c>
      <c r="F153" s="119"/>
    </row>
    <row r="154" spans="4:6" x14ac:dyDescent="0.3">
      <c r="D154" s="282" t="str">
        <f>IEC_BA!C294</f>
        <v>Equipment Category 16</v>
      </c>
      <c r="F154" s="119"/>
    </row>
    <row r="155" spans="4:6" x14ac:dyDescent="0.3">
      <c r="D155" s="282" t="str">
        <f>IEC_BA!C295</f>
        <v>Equipment Category 17</v>
      </c>
      <c r="F155" s="119"/>
    </row>
    <row r="156" spans="4:6" x14ac:dyDescent="0.3">
      <c r="D156" s="282" t="str">
        <f>IEC_BA!C296</f>
        <v>Equipment Category 18</v>
      </c>
      <c r="F156" s="119"/>
    </row>
    <row r="157" spans="4:6" x14ac:dyDescent="0.3">
      <c r="D157" s="282" t="str">
        <f>IEC_BA!C297</f>
        <v>Equipment Category 19</v>
      </c>
      <c r="F157" s="119"/>
    </row>
    <row r="158" spans="4:6" x14ac:dyDescent="0.3">
      <c r="D158" s="282" t="str">
        <f>IEC_BA!C298</f>
        <v>Equipment Category 20</v>
      </c>
      <c r="F158" s="119"/>
    </row>
    <row r="159" spans="4:6" x14ac:dyDescent="0.3">
      <c r="D159" s="282" t="str">
        <f>IEC_BA!C299</f>
        <v>Equipment Category 21</v>
      </c>
      <c r="F159" s="119"/>
    </row>
    <row r="160" spans="4:6" x14ac:dyDescent="0.3">
      <c r="D160" s="282" t="str">
        <f>IEC_BA!C300</f>
        <v>Equipment Category 22</v>
      </c>
      <c r="F160" s="119"/>
    </row>
    <row r="161" spans="3:6" x14ac:dyDescent="0.3">
      <c r="D161" s="282" t="str">
        <f>IEC_BA!C301</f>
        <v>Equipment Category 23</v>
      </c>
      <c r="F161" s="119"/>
    </row>
    <row r="162" spans="3:6" x14ac:dyDescent="0.3">
      <c r="D162" s="282" t="str">
        <f>IEC_BA!C302</f>
        <v>Equipment Category 24</v>
      </c>
      <c r="F162" s="119"/>
    </row>
    <row r="163" spans="3:6" x14ac:dyDescent="0.3">
      <c r="D163" s="282" t="str">
        <f>IEC_BA!C303</f>
        <v>Equipment Category 25</v>
      </c>
      <c r="F163" s="119"/>
    </row>
    <row r="164" spans="3:6" x14ac:dyDescent="0.3">
      <c r="D164" s="282" t="str">
        <f>IEC_BA!C304</f>
        <v>Equipment Category 26</v>
      </c>
      <c r="F164" s="119"/>
    </row>
    <row r="165" spans="3:6" x14ac:dyDescent="0.3">
      <c r="D165" s="282" t="str">
        <f>IEC_BA!C305</f>
        <v>Equipment Category 27</v>
      </c>
      <c r="F165" s="119"/>
    </row>
    <row r="166" spans="3:6" x14ac:dyDescent="0.3">
      <c r="D166" s="282" t="str">
        <f>IEC_BA!C306</f>
        <v>Equipment Category 28</v>
      </c>
      <c r="F166" s="119"/>
    </row>
    <row r="167" spans="3:6" x14ac:dyDescent="0.3">
      <c r="D167" s="282" t="str">
        <f>IEC_BA!C307</f>
        <v>Equipment Category 29</v>
      </c>
      <c r="F167" s="119"/>
    </row>
    <row r="168" spans="3:6" x14ac:dyDescent="0.3">
      <c r="D168" s="282" t="str">
        <f>IEC_BA!C308</f>
        <v>Equipment Category 30</v>
      </c>
      <c r="F168" s="119"/>
    </row>
    <row r="169" spans="3:6" x14ac:dyDescent="0.3">
      <c r="D169" s="282" t="str">
        <f>IEC_BA!C309</f>
        <v>Equipment Category 31</v>
      </c>
      <c r="F169" s="119"/>
    </row>
    <row r="170" spans="3:6" x14ac:dyDescent="0.3">
      <c r="D170" s="282" t="str">
        <f>IEC_BA!C310</f>
        <v>Equipment Category 32</v>
      </c>
      <c r="F170" s="119"/>
    </row>
    <row r="171" spans="3:6" x14ac:dyDescent="0.3">
      <c r="D171" s="282" t="str">
        <f>IEC_BA!C311</f>
        <v>Equipment Category 33</v>
      </c>
      <c r="F171" s="119"/>
    </row>
    <row r="172" spans="3:6" x14ac:dyDescent="0.3">
      <c r="D172" s="282" t="str">
        <f>IEC_BA!C312</f>
        <v>Equipment Category 34</v>
      </c>
      <c r="F172" s="119"/>
    </row>
    <row r="173" spans="3:6" x14ac:dyDescent="0.3">
      <c r="D173" s="282" t="str">
        <f>IEC_BA!C313</f>
        <v>Equipment Category 35</v>
      </c>
      <c r="F173" s="119"/>
    </row>
    <row r="175" spans="3:6" ht="15.6" x14ac:dyDescent="0.3">
      <c r="C175" s="115" t="s">
        <v>89</v>
      </c>
      <c r="F175" s="115" t="s">
        <v>28</v>
      </c>
    </row>
    <row r="177" spans="4:6" x14ac:dyDescent="0.3">
      <c r="D177" s="116" t="s">
        <v>95</v>
      </c>
      <c r="F177" s="119" t="s">
        <v>251</v>
      </c>
    </row>
    <row r="178" spans="4:6" x14ac:dyDescent="0.3">
      <c r="D178" s="30" t="str">
        <f>IEC_BA!C317</f>
        <v>Other Direct Costs Category 1</v>
      </c>
      <c r="F178" s="33" t="s">
        <v>46</v>
      </c>
    </row>
    <row r="179" spans="4:6" x14ac:dyDescent="0.3">
      <c r="D179" s="30" t="str">
        <f>IEC_BA!C318</f>
        <v>Other Direct Costs Category 2</v>
      </c>
      <c r="F179" s="33" t="s">
        <v>46</v>
      </c>
    </row>
    <row r="180" spans="4:6" x14ac:dyDescent="0.3">
      <c r="D180" s="30" t="str">
        <f>IEC_BA!C319</f>
        <v>Other Direct Costs Category 3</v>
      </c>
      <c r="F180" s="33" t="s">
        <v>46</v>
      </c>
    </row>
    <row r="181" spans="4:6" x14ac:dyDescent="0.3">
      <c r="D181" s="282" t="str">
        <f>IEC_BA!C320</f>
        <v>Other Direct Costs Category 4</v>
      </c>
      <c r="F181" s="119"/>
    </row>
    <row r="182" spans="4:6" x14ac:dyDescent="0.3">
      <c r="D182" s="282" t="str">
        <f>IEC_BA!C321</f>
        <v>Other Direct Costs Category 5</v>
      </c>
      <c r="F182" s="119"/>
    </row>
    <row r="183" spans="4:6" x14ac:dyDescent="0.3">
      <c r="D183" s="282" t="str">
        <f>IEC_BA!C322</f>
        <v>Other Direct Costs Category 6</v>
      </c>
      <c r="F183" s="119"/>
    </row>
    <row r="184" spans="4:6" x14ac:dyDescent="0.3">
      <c r="D184" s="282" t="str">
        <f>IEC_BA!C323</f>
        <v>Other Direct Costs Category 7</v>
      </c>
      <c r="F184" s="119"/>
    </row>
    <row r="185" spans="4:6" x14ac:dyDescent="0.3">
      <c r="D185" s="282" t="str">
        <f>IEC_BA!C324</f>
        <v>Other Direct Costs Category 8</v>
      </c>
      <c r="F185" s="119"/>
    </row>
    <row r="186" spans="4:6" x14ac:dyDescent="0.3">
      <c r="D186" s="282" t="str">
        <f>IEC_BA!C325</f>
        <v>Other Direct Costs Category 9</v>
      </c>
      <c r="F186" s="119"/>
    </row>
    <row r="187" spans="4:6" x14ac:dyDescent="0.3">
      <c r="D187" s="282" t="str">
        <f>IEC_BA!C326</f>
        <v>Other Direct Costs Category 10</v>
      </c>
      <c r="F187" s="119"/>
    </row>
    <row r="188" spans="4:6" x14ac:dyDescent="0.3">
      <c r="D188" s="282" t="str">
        <f>IEC_BA!C327</f>
        <v>Other Direct Costs Category 11</v>
      </c>
      <c r="F188" s="119"/>
    </row>
    <row r="189" spans="4:6" x14ac:dyDescent="0.3">
      <c r="D189" s="282" t="str">
        <f>IEC_BA!C328</f>
        <v>Other Direct Costs Category 12</v>
      </c>
      <c r="F189" s="119"/>
    </row>
    <row r="190" spans="4:6" x14ac:dyDescent="0.3">
      <c r="D190" s="282" t="str">
        <f>IEC_BA!C329</f>
        <v>Other Direct Costs Category 13</v>
      </c>
      <c r="F190" s="119"/>
    </row>
    <row r="191" spans="4:6" x14ac:dyDescent="0.3">
      <c r="D191" s="282" t="str">
        <f>IEC_BA!C330</f>
        <v>Other Direct Costs Category 14</v>
      </c>
      <c r="F191" s="119"/>
    </row>
    <row r="192" spans="4:6" x14ac:dyDescent="0.3">
      <c r="D192" s="282" t="str">
        <f>IEC_BA!C331</f>
        <v>Other Direct Costs Category 15</v>
      </c>
      <c r="F192" s="119"/>
    </row>
    <row r="193" spans="4:6" x14ac:dyDescent="0.3">
      <c r="D193" s="282" t="str">
        <f>IEC_BA!C332</f>
        <v>Other Direct Costs Category 16</v>
      </c>
      <c r="F193" s="119"/>
    </row>
    <row r="194" spans="4:6" x14ac:dyDescent="0.3">
      <c r="D194" s="282" t="str">
        <f>IEC_BA!C333</f>
        <v>Other Direct Costs Category 17</v>
      </c>
      <c r="F194" s="119"/>
    </row>
    <row r="195" spans="4:6" x14ac:dyDescent="0.3">
      <c r="D195" s="282" t="str">
        <f>IEC_BA!C334</f>
        <v>Other Direct Costs Category 18</v>
      </c>
      <c r="F195" s="119"/>
    </row>
    <row r="196" spans="4:6" x14ac:dyDescent="0.3">
      <c r="D196" s="282" t="str">
        <f>IEC_BA!C335</f>
        <v>Other Direct Costs Category 19</v>
      </c>
      <c r="F196" s="119"/>
    </row>
    <row r="197" spans="4:6" x14ac:dyDescent="0.3">
      <c r="D197" s="282" t="str">
        <f>IEC_BA!C336</f>
        <v>Other Direct Costs Category 20</v>
      </c>
      <c r="F197" s="119"/>
    </row>
    <row r="198" spans="4:6" x14ac:dyDescent="0.3">
      <c r="D198" s="282" t="str">
        <f>IEC_BA!C337</f>
        <v>Other Direct Costs Category 21</v>
      </c>
      <c r="F198" s="119"/>
    </row>
    <row r="199" spans="4:6" x14ac:dyDescent="0.3">
      <c r="D199" s="282" t="str">
        <f>IEC_BA!C338</f>
        <v>Other Direct Costs Category 22</v>
      </c>
      <c r="F199" s="119"/>
    </row>
    <row r="200" spans="4:6" x14ac:dyDescent="0.3">
      <c r="D200" s="282" t="str">
        <f>IEC_BA!C339</f>
        <v>Other Direct Costs Category 23</v>
      </c>
      <c r="F200" s="119"/>
    </row>
    <row r="201" spans="4:6" x14ac:dyDescent="0.3">
      <c r="D201" s="282" t="str">
        <f>IEC_BA!C340</f>
        <v>Other Direct Costs Category 24</v>
      </c>
      <c r="F201" s="119"/>
    </row>
    <row r="202" spans="4:6" x14ac:dyDescent="0.3">
      <c r="D202" s="282" t="str">
        <f>IEC_BA!C341</f>
        <v>Other Direct Costs Category 25</v>
      </c>
      <c r="F202" s="119"/>
    </row>
    <row r="203" spans="4:6" x14ac:dyDescent="0.3">
      <c r="D203" s="282" t="str">
        <f>IEC_BA!C342</f>
        <v>Other Direct Costs Category 26</v>
      </c>
      <c r="F203" s="119"/>
    </row>
    <row r="204" spans="4:6" x14ac:dyDescent="0.3">
      <c r="D204" s="282" t="str">
        <f>IEC_BA!C343</f>
        <v>Other Direct Costs Category 27</v>
      </c>
      <c r="F204" s="119"/>
    </row>
    <row r="205" spans="4:6" x14ac:dyDescent="0.3">
      <c r="D205" s="282" t="str">
        <f>IEC_BA!C344</f>
        <v>Other Direct Costs Category 28</v>
      </c>
      <c r="F205" s="119"/>
    </row>
    <row r="206" spans="4:6" x14ac:dyDescent="0.3">
      <c r="D206" s="282" t="str">
        <f>IEC_BA!C345</f>
        <v>Other Direct Costs Category 29</v>
      </c>
      <c r="F206" s="119"/>
    </row>
    <row r="207" spans="4:6" x14ac:dyDescent="0.3">
      <c r="D207" s="282" t="str">
        <f>IEC_BA!C346</f>
        <v>Other Direct Costs Category 30</v>
      </c>
      <c r="F207" s="119"/>
    </row>
    <row r="208" spans="4:6" x14ac:dyDescent="0.3">
      <c r="D208" s="282" t="str">
        <f>IEC_BA!C347</f>
        <v>Other Direct Costs Category 31</v>
      </c>
      <c r="F208" s="119"/>
    </row>
    <row r="209" spans="4:6" x14ac:dyDescent="0.3">
      <c r="D209" s="282" t="str">
        <f>IEC_BA!C348</f>
        <v>Other Direct Costs Category 32</v>
      </c>
      <c r="F209" s="119"/>
    </row>
    <row r="210" spans="4:6" x14ac:dyDescent="0.3">
      <c r="D210" s="282" t="str">
        <f>IEC_BA!C349</f>
        <v>Other Direct Costs Category 33</v>
      </c>
      <c r="F210" s="119"/>
    </row>
    <row r="211" spans="4:6" x14ac:dyDescent="0.3">
      <c r="D211" s="282" t="str">
        <f>IEC_BA!C350</f>
        <v>Other Direct Costs Category 34</v>
      </c>
      <c r="F211" s="119"/>
    </row>
    <row r="212" spans="4:6" x14ac:dyDescent="0.3">
      <c r="D212" s="282" t="str">
        <f>IEC_BA!C351</f>
        <v>Other Direct Costs Category 35</v>
      </c>
      <c r="F212" s="119"/>
    </row>
  </sheetData>
  <sheetProtection algorithmName="SHA-512" hashValue="haPJc1EoU6qAxTOedD1kLyNkOK92jLZg8RryfnqqiFfIXUB4ILldIUzEix44yZUKdBj3jOj0YeTQOqBSsscgYw==" saltValue="l8Js0ZkAN9/ueZcghq5/AQ==" spinCount="100000" sheet="1" objects="1" scenarios="1" formatColumns="0" formatRows="0"/>
  <mergeCells count="1">
    <mergeCell ref="B3:D3"/>
  </mergeCells>
  <hyperlinks>
    <hyperlink ref="B3" location="HL_Home" tooltip="Go to Table of Contents" display="HL_Home" xr:uid="{00000000-0004-0000-2800-000000000000}"/>
    <hyperlink ref="A4" location="$B$5" tooltip="Go to Top of Sheet" display="$B$5" xr:uid="{00000000-0004-0000-2800-000001000000}"/>
    <hyperlink ref="B4" location="HL_Sheet_Main_21" tooltip="Go to Previous Sheet" display="HL_Sheet_Main_21" xr:uid="{00000000-0004-0000-2800-000002000000}"/>
    <hyperlink ref="C4" location="HL_Sheet_Main_19" tooltip="Go to Next Sheet" display="HL_Sheet_Main_19" xr:uid="{00000000-0004-0000-28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4">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456</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457</v>
      </c>
    </row>
    <row r="9" spans="1:6" ht="15.6" x14ac:dyDescent="0.3">
      <c r="C9" s="115" t="s">
        <v>93</v>
      </c>
    </row>
    <row r="11" spans="1:6" ht="15.6" x14ac:dyDescent="0.3">
      <c r="C11" s="115" t="s">
        <v>93</v>
      </c>
      <c r="F11" s="115" t="s">
        <v>28</v>
      </c>
    </row>
    <row r="13" spans="1:6" x14ac:dyDescent="0.3">
      <c r="D13" s="116" t="s">
        <v>95</v>
      </c>
      <c r="F13" s="119" t="s">
        <v>450</v>
      </c>
    </row>
    <row r="14" spans="1:6" x14ac:dyDescent="0.3">
      <c r="D14" s="30" t="str">
        <f>IEC_BA!D510</f>
        <v>USD</v>
      </c>
      <c r="F14" s="33" t="s">
        <v>46</v>
      </c>
    </row>
    <row r="15" spans="1:6" x14ac:dyDescent="0.3">
      <c r="D15" s="30" t="str">
        <f>IEC_BA!D511</f>
        <v>GOZ</v>
      </c>
      <c r="F15" s="33" t="s">
        <v>46</v>
      </c>
    </row>
    <row r="17" spans="3:6" ht="15.6" x14ac:dyDescent="0.3">
      <c r="C17" s="115" t="s">
        <v>77</v>
      </c>
      <c r="F17" s="115" t="s">
        <v>28</v>
      </c>
    </row>
    <row r="19" spans="3:6" x14ac:dyDescent="0.3">
      <c r="D19" s="116" t="s">
        <v>95</v>
      </c>
      <c r="F19" s="119" t="s">
        <v>451</v>
      </c>
    </row>
    <row r="20" spans="3:6" x14ac:dyDescent="0.3">
      <c r="D20" s="30" t="str">
        <f>IEC_BA!C516</f>
        <v>Personnel Cadre - Other 1</v>
      </c>
      <c r="F20" s="33" t="s">
        <v>46</v>
      </c>
    </row>
    <row r="21" spans="3:6" x14ac:dyDescent="0.3">
      <c r="D21" s="30" t="str">
        <f>IEC_BA!C517</f>
        <v>Personnel Cadre - Other 2</v>
      </c>
      <c r="F21" s="33" t="s">
        <v>46</v>
      </c>
    </row>
    <row r="22" spans="3:6" x14ac:dyDescent="0.3">
      <c r="D22" s="30" t="str">
        <f>IEC_BA!C518</f>
        <v>Personnel Cadre - Other 3</v>
      </c>
      <c r="F22" s="33" t="s">
        <v>46</v>
      </c>
    </row>
    <row r="23" spans="3:6" x14ac:dyDescent="0.3">
      <c r="D23" s="30" t="str">
        <f>IEC_BA!C519</f>
        <v>Personnel Cadre - Other 4</v>
      </c>
      <c r="F23" s="33" t="s">
        <v>46</v>
      </c>
    </row>
    <row r="24" spans="3:6" x14ac:dyDescent="0.3">
      <c r="D24" s="30" t="str">
        <f>IEC_BA!C520</f>
        <v>Personnel Cadre - Other 5</v>
      </c>
      <c r="F24" s="33" t="s">
        <v>46</v>
      </c>
    </row>
    <row r="25" spans="3:6" x14ac:dyDescent="0.3">
      <c r="D25" s="30" t="str">
        <f>IEC_BA!C521</f>
        <v>Personnel Cadre - Other 6</v>
      </c>
      <c r="F25" s="33" t="s">
        <v>46</v>
      </c>
    </row>
    <row r="26" spans="3:6" x14ac:dyDescent="0.3">
      <c r="D26" s="30" t="str">
        <f>IEC_BA!C522</f>
        <v>Personnel Cadre - Other 7</v>
      </c>
      <c r="F26" s="33" t="s">
        <v>46</v>
      </c>
    </row>
    <row r="27" spans="3:6" x14ac:dyDescent="0.3">
      <c r="D27" s="30" t="str">
        <f>IEC_BA!C523</f>
        <v>Personnel Cadre - Other 8</v>
      </c>
      <c r="F27" s="33" t="s">
        <v>46</v>
      </c>
    </row>
    <row r="28" spans="3:6" x14ac:dyDescent="0.3">
      <c r="D28" s="30" t="str">
        <f>IEC_BA!C524</f>
        <v>Personnel Cadre - Other 9</v>
      </c>
      <c r="F28" s="33" t="s">
        <v>46</v>
      </c>
    </row>
    <row r="29" spans="3:6" x14ac:dyDescent="0.3">
      <c r="D29" s="30" t="str">
        <f>IEC_BA!C525</f>
        <v>Personnel Cadre - Other 10</v>
      </c>
      <c r="F29" s="33" t="s">
        <v>46</v>
      </c>
    </row>
    <row r="30" spans="3:6" x14ac:dyDescent="0.3">
      <c r="D30" s="30" t="str">
        <f>IEC_BA!C526</f>
        <v>Personnel Cadre - Other 11</v>
      </c>
      <c r="F30" s="33" t="s">
        <v>46</v>
      </c>
    </row>
    <row r="31" spans="3:6" x14ac:dyDescent="0.3">
      <c r="D31" s="30" t="str">
        <f>IEC_BA!C527</f>
        <v>Personnel Cadre - Other 12</v>
      </c>
      <c r="F31" s="33" t="s">
        <v>46</v>
      </c>
    </row>
    <row r="32" spans="3:6" x14ac:dyDescent="0.3">
      <c r="D32" s="30" t="str">
        <f>IEC_BA!C528</f>
        <v>Personnel Cadre - Other 13</v>
      </c>
      <c r="F32" s="33" t="s">
        <v>46</v>
      </c>
    </row>
    <row r="33" spans="4:6" x14ac:dyDescent="0.3">
      <c r="D33" s="30" t="str">
        <f>IEC_BA!C529</f>
        <v>Personnel Cadre - Other 14</v>
      </c>
      <c r="F33" s="33" t="s">
        <v>46</v>
      </c>
    </row>
    <row r="34" spans="4:6" x14ac:dyDescent="0.3">
      <c r="D34" s="30" t="str">
        <f>IEC_BA!C530</f>
        <v>Personnel Cadre - Other 15</v>
      </c>
      <c r="F34" s="33" t="s">
        <v>46</v>
      </c>
    </row>
    <row r="35" spans="4:6" x14ac:dyDescent="0.3">
      <c r="D35" s="282" t="str">
        <f>IEC_BA!C531</f>
        <v>Personnel Cadre - Other 16</v>
      </c>
      <c r="F35" s="119"/>
    </row>
    <row r="36" spans="4:6" x14ac:dyDescent="0.3">
      <c r="D36" s="282" t="str">
        <f>IEC_BA!C532</f>
        <v>Personnel Cadre - Other 17</v>
      </c>
      <c r="F36" s="119"/>
    </row>
    <row r="37" spans="4:6" x14ac:dyDescent="0.3">
      <c r="D37" s="282" t="str">
        <f>IEC_BA!C533</f>
        <v>Personnel Cadre - Other 18</v>
      </c>
      <c r="F37" s="119"/>
    </row>
    <row r="38" spans="4:6" x14ac:dyDescent="0.3">
      <c r="D38" s="282" t="str">
        <f>IEC_BA!C534</f>
        <v>Personnel Cadre - Other 19</v>
      </c>
      <c r="F38" s="119"/>
    </row>
    <row r="39" spans="4:6" x14ac:dyDescent="0.3">
      <c r="D39" s="282" t="str">
        <f>IEC_BA!C535</f>
        <v>Personnel Cadre - Other 20</v>
      </c>
      <c r="F39" s="119"/>
    </row>
    <row r="40" spans="4:6" x14ac:dyDescent="0.3">
      <c r="D40" s="282" t="str">
        <f>IEC_BA!C536</f>
        <v>Personnel Cadre - Other 21</v>
      </c>
      <c r="F40" s="119"/>
    </row>
    <row r="41" spans="4:6" x14ac:dyDescent="0.3">
      <c r="D41" s="282" t="str">
        <f>IEC_BA!C537</f>
        <v>Personnel Cadre - Other 22</v>
      </c>
      <c r="F41" s="119"/>
    </row>
    <row r="42" spans="4:6" x14ac:dyDescent="0.3">
      <c r="D42" s="282" t="str">
        <f>IEC_BA!C538</f>
        <v>Personnel Cadre - Other 23</v>
      </c>
      <c r="F42" s="119"/>
    </row>
    <row r="43" spans="4:6" x14ac:dyDescent="0.3">
      <c r="D43" s="282" t="str">
        <f>IEC_BA!C539</f>
        <v>Personnel Cadre - Other 24</v>
      </c>
      <c r="F43" s="119"/>
    </row>
    <row r="44" spans="4:6" x14ac:dyDescent="0.3">
      <c r="D44" s="282" t="str">
        <f>IEC_BA!C540</f>
        <v>Personnel Cadre - Other 25</v>
      </c>
      <c r="F44" s="119"/>
    </row>
    <row r="45" spans="4:6" x14ac:dyDescent="0.3">
      <c r="D45" s="282" t="str">
        <f>IEC_BA!C541</f>
        <v>Personnel Cadre - Other 26</v>
      </c>
      <c r="F45" s="119"/>
    </row>
    <row r="46" spans="4:6" x14ac:dyDescent="0.3">
      <c r="D46" s="282" t="str">
        <f>IEC_BA!C542</f>
        <v>Personnel Cadre - Other 27</v>
      </c>
      <c r="F46" s="119"/>
    </row>
    <row r="47" spans="4:6" x14ac:dyDescent="0.3">
      <c r="D47" s="282" t="str">
        <f>IEC_BA!C543</f>
        <v>Personnel Cadre - Other 28</v>
      </c>
      <c r="F47" s="119"/>
    </row>
    <row r="48" spans="4:6" x14ac:dyDescent="0.3">
      <c r="D48" s="282" t="str">
        <f>IEC_BA!C544</f>
        <v>Personnel Cadre - Other 29</v>
      </c>
      <c r="F48" s="119"/>
    </row>
    <row r="49" spans="3:6" x14ac:dyDescent="0.3">
      <c r="D49" s="282" t="str">
        <f>IEC_BA!C545</f>
        <v>Personnel Cadre - Other 30</v>
      </c>
      <c r="F49" s="119"/>
    </row>
    <row r="50" spans="3:6" x14ac:dyDescent="0.3">
      <c r="D50" s="282" t="str">
        <f>IEC_BA!C546</f>
        <v>Personnel Cadre - Other 31</v>
      </c>
      <c r="F50" s="119"/>
    </row>
    <row r="51" spans="3:6" x14ac:dyDescent="0.3">
      <c r="D51" s="282" t="str">
        <f>IEC_BA!C547</f>
        <v>Personnel Cadre - Other 32</v>
      </c>
      <c r="F51" s="119"/>
    </row>
    <row r="52" spans="3:6" x14ac:dyDescent="0.3">
      <c r="D52" s="282" t="str">
        <f>IEC_BA!C548</f>
        <v>Personnel Cadre - Other 33</v>
      </c>
      <c r="F52" s="119"/>
    </row>
    <row r="53" spans="3:6" x14ac:dyDescent="0.3">
      <c r="D53" s="282" t="str">
        <f>IEC_BA!C549</f>
        <v>Personnel Cadre - Other 34</v>
      </c>
      <c r="F53" s="119"/>
    </row>
    <row r="54" spans="3:6" x14ac:dyDescent="0.3">
      <c r="D54" s="282" t="str">
        <f>IEC_BA!C550</f>
        <v>Personnel Cadre - Other 35</v>
      </c>
      <c r="F54" s="119"/>
    </row>
    <row r="56" spans="3:6" ht="15.6" x14ac:dyDescent="0.3">
      <c r="C56" s="115" t="s">
        <v>94</v>
      </c>
      <c r="F56" s="115" t="s">
        <v>28</v>
      </c>
    </row>
    <row r="58" spans="3:6" x14ac:dyDescent="0.3">
      <c r="D58" s="116" t="s">
        <v>95</v>
      </c>
      <c r="F58" s="119" t="s">
        <v>452</v>
      </c>
    </row>
    <row r="59" spans="3:6" x14ac:dyDescent="0.3">
      <c r="D59" s="30" t="str">
        <f>IEC_BA!C553</f>
        <v>Allowances Category 1</v>
      </c>
      <c r="F59" s="33" t="s">
        <v>46</v>
      </c>
    </row>
    <row r="60" spans="3:6" x14ac:dyDescent="0.3">
      <c r="D60" s="30" t="str">
        <f>IEC_BA!C554</f>
        <v>Allowances Category 2</v>
      </c>
      <c r="F60" s="33" t="s">
        <v>46</v>
      </c>
    </row>
    <row r="61" spans="3:6" x14ac:dyDescent="0.3">
      <c r="D61" s="30" t="str">
        <f>IEC_BA!C555</f>
        <v>Allowances Category 3</v>
      </c>
      <c r="F61" s="33" t="s">
        <v>46</v>
      </c>
    </row>
    <row r="62" spans="3:6" x14ac:dyDescent="0.3">
      <c r="D62" s="30" t="str">
        <f>IEC_BA!C556</f>
        <v>Allowances Category 4</v>
      </c>
      <c r="F62" s="33" t="s">
        <v>46</v>
      </c>
    </row>
    <row r="63" spans="3:6" x14ac:dyDescent="0.3">
      <c r="D63" s="30" t="str">
        <f>IEC_BA!C557</f>
        <v>Allowances Category 5</v>
      </c>
      <c r="F63" s="33" t="s">
        <v>46</v>
      </c>
    </row>
    <row r="64" spans="3:6" x14ac:dyDescent="0.3">
      <c r="D64" s="282" t="str">
        <f>IEC_BA!C558</f>
        <v>Allowances Category 6</v>
      </c>
      <c r="F64" s="119"/>
    </row>
    <row r="65" spans="4:6" x14ac:dyDescent="0.3">
      <c r="D65" s="282" t="str">
        <f>IEC_BA!C559</f>
        <v>Allowances Category 7</v>
      </c>
      <c r="F65" s="119"/>
    </row>
    <row r="66" spans="4:6" x14ac:dyDescent="0.3">
      <c r="D66" s="282" t="str">
        <f>IEC_BA!C560</f>
        <v>Allowances Category 8</v>
      </c>
      <c r="F66" s="119"/>
    </row>
    <row r="67" spans="4:6" x14ac:dyDescent="0.3">
      <c r="D67" s="282" t="str">
        <f>IEC_BA!C561</f>
        <v>Allowances Category 9</v>
      </c>
      <c r="F67" s="119"/>
    </row>
    <row r="68" spans="4:6" x14ac:dyDescent="0.3">
      <c r="D68" s="282" t="str">
        <f>IEC_BA!C562</f>
        <v>Allowances Category 10</v>
      </c>
      <c r="F68" s="119"/>
    </row>
    <row r="69" spans="4:6" x14ac:dyDescent="0.3">
      <c r="D69" s="282" t="str">
        <f>IEC_BA!C563</f>
        <v>Allowances Category 11</v>
      </c>
      <c r="F69" s="119"/>
    </row>
    <row r="70" spans="4:6" x14ac:dyDescent="0.3">
      <c r="D70" s="282" t="str">
        <f>IEC_BA!C564</f>
        <v>Allowances Category 12</v>
      </c>
      <c r="F70" s="119"/>
    </row>
    <row r="71" spans="4:6" x14ac:dyDescent="0.3">
      <c r="D71" s="282" t="str">
        <f>IEC_BA!C565</f>
        <v>Allowances Category 13</v>
      </c>
      <c r="F71" s="119"/>
    </row>
    <row r="72" spans="4:6" x14ac:dyDescent="0.3">
      <c r="D72" s="282" t="str">
        <f>IEC_BA!C566</f>
        <v>Allowances Category 14</v>
      </c>
      <c r="F72" s="119"/>
    </row>
    <row r="73" spans="4:6" x14ac:dyDescent="0.3">
      <c r="D73" s="282" t="str">
        <f>IEC_BA!C567</f>
        <v>Allowances Category 15</v>
      </c>
      <c r="F73" s="119"/>
    </row>
    <row r="74" spans="4:6" x14ac:dyDescent="0.3">
      <c r="D74" s="282" t="str">
        <f>IEC_BA!C568</f>
        <v>Allowances Category 16</v>
      </c>
      <c r="F74" s="119"/>
    </row>
    <row r="75" spans="4:6" x14ac:dyDescent="0.3">
      <c r="D75" s="30" t="str">
        <f>IEC_BA!C569</f>
        <v>Allowances Category 17</v>
      </c>
      <c r="F75" s="33" t="s">
        <v>46</v>
      </c>
    </row>
    <row r="76" spans="4:6" x14ac:dyDescent="0.3">
      <c r="D76" s="30" t="str">
        <f>IEC_BA!C570</f>
        <v>Allowances Category 18</v>
      </c>
      <c r="F76" s="33" t="s">
        <v>46</v>
      </c>
    </row>
    <row r="77" spans="4:6" x14ac:dyDescent="0.3">
      <c r="D77" s="30" t="str">
        <f>IEC_BA!C571</f>
        <v>Allowances Category 19</v>
      </c>
      <c r="F77" s="33" t="s">
        <v>46</v>
      </c>
    </row>
    <row r="78" spans="4:6" x14ac:dyDescent="0.3">
      <c r="D78" s="30" t="str">
        <f>IEC_BA!C572</f>
        <v>Allowances Category 20</v>
      </c>
      <c r="F78" s="33" t="s">
        <v>46</v>
      </c>
    </row>
    <row r="79" spans="4:6" x14ac:dyDescent="0.3">
      <c r="D79" s="30" t="str">
        <f>IEC_BA!C573</f>
        <v>Allowances Category 21</v>
      </c>
      <c r="F79" s="33" t="s">
        <v>46</v>
      </c>
    </row>
    <row r="80" spans="4:6" x14ac:dyDescent="0.3">
      <c r="D80" s="30" t="str">
        <f>IEC_BA!C574</f>
        <v>Allowances Category 22</v>
      </c>
      <c r="F80" s="33" t="s">
        <v>46</v>
      </c>
    </row>
    <row r="81" spans="3:6" x14ac:dyDescent="0.3">
      <c r="D81" s="30" t="str">
        <f>IEC_BA!C575</f>
        <v>Allowances Category 23</v>
      </c>
      <c r="F81" s="33" t="s">
        <v>46</v>
      </c>
    </row>
    <row r="82" spans="3:6" x14ac:dyDescent="0.3">
      <c r="D82" s="282" t="str">
        <f>IEC_BA!C576</f>
        <v>Allowances Category 24</v>
      </c>
      <c r="F82" s="119"/>
    </row>
    <row r="83" spans="3:6" x14ac:dyDescent="0.3">
      <c r="D83" s="282" t="str">
        <f>IEC_BA!C577</f>
        <v>Allowances Category 25</v>
      </c>
      <c r="F83" s="119"/>
    </row>
    <row r="84" spans="3:6" x14ac:dyDescent="0.3">
      <c r="D84" s="282" t="str">
        <f>IEC_BA!C578</f>
        <v>Allowances Category 26</v>
      </c>
      <c r="F84" s="119"/>
    </row>
    <row r="85" spans="3:6" x14ac:dyDescent="0.3">
      <c r="D85" s="282" t="str">
        <f>IEC_BA!C579</f>
        <v>Allowances Category 27</v>
      </c>
      <c r="F85" s="119"/>
    </row>
    <row r="86" spans="3:6" x14ac:dyDescent="0.3">
      <c r="D86" s="282" t="str">
        <f>IEC_BA!C580</f>
        <v>Allowances Category 28</v>
      </c>
      <c r="F86" s="119"/>
    </row>
    <row r="87" spans="3:6" x14ac:dyDescent="0.3">
      <c r="D87" s="282" t="str">
        <f>IEC_BA!C581</f>
        <v>Allowances Category 29</v>
      </c>
      <c r="F87" s="119"/>
    </row>
    <row r="88" spans="3:6" x14ac:dyDescent="0.3">
      <c r="D88" s="282" t="str">
        <f>IEC_BA!C582</f>
        <v>Allowances Category 30</v>
      </c>
      <c r="F88" s="119"/>
    </row>
    <row r="89" spans="3:6" x14ac:dyDescent="0.3">
      <c r="D89" s="30" t="str">
        <f>IEC_BA!C583</f>
        <v>Allowances Category 31</v>
      </c>
      <c r="F89" s="33" t="s">
        <v>46</v>
      </c>
    </row>
    <row r="90" spans="3:6" x14ac:dyDescent="0.3">
      <c r="D90" s="30" t="str">
        <f>IEC_BA!C584</f>
        <v>Allowances Category 32</v>
      </c>
      <c r="F90" s="33" t="s">
        <v>46</v>
      </c>
    </row>
    <row r="91" spans="3:6" x14ac:dyDescent="0.3">
      <c r="D91" s="30" t="str">
        <f>IEC_BA!C585</f>
        <v>Allowances Category 33</v>
      </c>
      <c r="F91" s="33" t="s">
        <v>46</v>
      </c>
    </row>
    <row r="92" spans="3:6" x14ac:dyDescent="0.3">
      <c r="D92" s="30" t="str">
        <f>IEC_BA!C586</f>
        <v>Allowances Category 34</v>
      </c>
      <c r="F92" s="33" t="s">
        <v>46</v>
      </c>
    </row>
    <row r="93" spans="3:6" x14ac:dyDescent="0.3">
      <c r="D93" s="30" t="str">
        <f>IEC_BA!C587</f>
        <v>Allowances Category 35</v>
      </c>
      <c r="F93" s="33" t="s">
        <v>46</v>
      </c>
    </row>
    <row r="96" spans="3:6" ht="15.6" x14ac:dyDescent="0.3">
      <c r="C96" s="115" t="s">
        <v>132</v>
      </c>
      <c r="F96" s="115" t="s">
        <v>28</v>
      </c>
    </row>
    <row r="98" spans="4:6" x14ac:dyDescent="0.3">
      <c r="D98" s="116" t="s">
        <v>95</v>
      </c>
      <c r="F98" s="119" t="s">
        <v>453</v>
      </c>
    </row>
    <row r="99" spans="4:6" x14ac:dyDescent="0.3">
      <c r="D99" s="30" t="str">
        <f>IEC_BA!C591</f>
        <v>Supplies Category 1</v>
      </c>
      <c r="F99" s="33" t="s">
        <v>46</v>
      </c>
    </row>
    <row r="100" spans="4:6" x14ac:dyDescent="0.3">
      <c r="D100" s="30" t="str">
        <f>IEC_BA!C592</f>
        <v>Supplies Category 2</v>
      </c>
      <c r="F100" s="33" t="s">
        <v>46</v>
      </c>
    </row>
    <row r="101" spans="4:6" x14ac:dyDescent="0.3">
      <c r="D101" s="30" t="str">
        <f>IEC_BA!C593</f>
        <v>Supplies Category 3</v>
      </c>
      <c r="F101" s="33" t="s">
        <v>46</v>
      </c>
    </row>
    <row r="102" spans="4:6" x14ac:dyDescent="0.3">
      <c r="D102" s="30" t="str">
        <f>IEC_BA!C594</f>
        <v>Supplies Category 4</v>
      </c>
      <c r="F102" s="33" t="s">
        <v>46</v>
      </c>
    </row>
    <row r="103" spans="4:6" x14ac:dyDescent="0.3">
      <c r="D103" s="30" t="str">
        <f>IEC_BA!C595</f>
        <v>Supplies Category 5</v>
      </c>
      <c r="F103" s="33" t="s">
        <v>46</v>
      </c>
    </row>
    <row r="104" spans="4:6" x14ac:dyDescent="0.3">
      <c r="D104" s="30" t="str">
        <f>IEC_BA!C596</f>
        <v>Supplies Category 6</v>
      </c>
      <c r="F104" s="33" t="s">
        <v>46</v>
      </c>
    </row>
    <row r="105" spans="4:6" x14ac:dyDescent="0.3">
      <c r="D105" s="30" t="str">
        <f>IEC_BA!C597</f>
        <v>Supplies Category 7</v>
      </c>
      <c r="F105" s="33" t="s">
        <v>46</v>
      </c>
    </row>
    <row r="106" spans="4:6" x14ac:dyDescent="0.3">
      <c r="D106" s="30" t="str">
        <f>IEC_BA!C598</f>
        <v>Supplies Category 8</v>
      </c>
      <c r="F106" s="33" t="s">
        <v>46</v>
      </c>
    </row>
    <row r="107" spans="4:6" x14ac:dyDescent="0.3">
      <c r="D107" s="30" t="str">
        <f>IEC_BA!C599</f>
        <v>Supplies Category 9</v>
      </c>
      <c r="F107" s="33" t="s">
        <v>46</v>
      </c>
    </row>
    <row r="108" spans="4:6" x14ac:dyDescent="0.3">
      <c r="D108" s="30" t="str">
        <f>IEC_BA!C600</f>
        <v>Supplies Category 10</v>
      </c>
      <c r="F108" s="33" t="s">
        <v>46</v>
      </c>
    </row>
    <row r="109" spans="4:6" x14ac:dyDescent="0.3">
      <c r="D109" s="30" t="str">
        <f>IEC_BA!C601</f>
        <v>Supplies Category 11</v>
      </c>
      <c r="F109" s="33" t="s">
        <v>46</v>
      </c>
    </row>
    <row r="110" spans="4:6" x14ac:dyDescent="0.3">
      <c r="D110" s="30" t="str">
        <f>IEC_BA!C602</f>
        <v>Supplies Category 12</v>
      </c>
      <c r="F110" s="33" t="s">
        <v>46</v>
      </c>
    </row>
    <row r="111" spans="4:6" x14ac:dyDescent="0.3">
      <c r="D111" s="30" t="str">
        <f>IEC_BA!C603</f>
        <v>Supplies Category 13</v>
      </c>
      <c r="F111" s="33" t="s">
        <v>46</v>
      </c>
    </row>
    <row r="112" spans="4:6" x14ac:dyDescent="0.3">
      <c r="D112" s="30" t="str">
        <f>IEC_BA!C604</f>
        <v>Supplies Category 14</v>
      </c>
      <c r="F112" s="33" t="s">
        <v>46</v>
      </c>
    </row>
    <row r="113" spans="4:6" x14ac:dyDescent="0.3">
      <c r="D113" s="30" t="str">
        <f>IEC_BA!C605</f>
        <v>Supplies Category 15</v>
      </c>
      <c r="F113" s="33" t="s">
        <v>46</v>
      </c>
    </row>
    <row r="114" spans="4:6" x14ac:dyDescent="0.3">
      <c r="D114" s="30" t="str">
        <f>IEC_BA!C606</f>
        <v>Supplies Category 16</v>
      </c>
      <c r="F114" s="33" t="s">
        <v>46</v>
      </c>
    </row>
    <row r="115" spans="4:6" x14ac:dyDescent="0.3">
      <c r="D115" s="282" t="str">
        <f>IEC_BA!C607</f>
        <v>Supplies Category 17</v>
      </c>
      <c r="F115" s="119"/>
    </row>
    <row r="116" spans="4:6" x14ac:dyDescent="0.3">
      <c r="D116" s="282" t="str">
        <f>IEC_BA!C608</f>
        <v>Supplies Category 18</v>
      </c>
      <c r="F116" s="119"/>
    </row>
    <row r="117" spans="4:6" x14ac:dyDescent="0.3">
      <c r="D117" s="282" t="str">
        <f>IEC_BA!C609</f>
        <v>Supplies Category 19</v>
      </c>
      <c r="F117" s="119"/>
    </row>
    <row r="118" spans="4:6" x14ac:dyDescent="0.3">
      <c r="D118" s="282" t="str">
        <f>IEC_BA!C610</f>
        <v>Supplies Category 20</v>
      </c>
      <c r="F118" s="119"/>
    </row>
    <row r="119" spans="4:6" x14ac:dyDescent="0.3">
      <c r="D119" s="282" t="str">
        <f>IEC_BA!C611</f>
        <v>Supplies Category 21</v>
      </c>
      <c r="F119" s="119"/>
    </row>
    <row r="120" spans="4:6" x14ac:dyDescent="0.3">
      <c r="D120" s="282" t="str">
        <f>IEC_BA!C612</f>
        <v>Supplies Category 22</v>
      </c>
      <c r="F120" s="119"/>
    </row>
    <row r="121" spans="4:6" x14ac:dyDescent="0.3">
      <c r="D121" s="282" t="str">
        <f>IEC_BA!C613</f>
        <v>Supplies Category 23</v>
      </c>
      <c r="F121" s="119"/>
    </row>
    <row r="122" spans="4:6" x14ac:dyDescent="0.3">
      <c r="D122" s="282" t="str">
        <f>IEC_BA!C614</f>
        <v>Supplies Category 24</v>
      </c>
      <c r="F122" s="119"/>
    </row>
    <row r="123" spans="4:6" x14ac:dyDescent="0.3">
      <c r="D123" s="282" t="str">
        <f>IEC_BA!C615</f>
        <v>Supplies Category 25</v>
      </c>
      <c r="F123" s="119"/>
    </row>
    <row r="124" spans="4:6" x14ac:dyDescent="0.3">
      <c r="D124" s="282" t="str">
        <f>IEC_BA!C616</f>
        <v>Supplies Category 26</v>
      </c>
      <c r="F124" s="119"/>
    </row>
    <row r="125" spans="4:6" x14ac:dyDescent="0.3">
      <c r="D125" s="282" t="str">
        <f>IEC_BA!C617</f>
        <v>Supplies Category 27</v>
      </c>
      <c r="F125" s="119"/>
    </row>
    <row r="126" spans="4:6" x14ac:dyDescent="0.3">
      <c r="D126" s="282" t="str">
        <f>IEC_BA!C618</f>
        <v>Supplies Category 28</v>
      </c>
      <c r="F126" s="119"/>
    </row>
    <row r="127" spans="4:6" x14ac:dyDescent="0.3">
      <c r="D127" s="282" t="str">
        <f>IEC_BA!C619</f>
        <v>Supplies Category 29</v>
      </c>
      <c r="F127" s="119"/>
    </row>
    <row r="128" spans="4:6" x14ac:dyDescent="0.3">
      <c r="D128" s="282" t="str">
        <f>IEC_BA!C620</f>
        <v>Supplies Category 30</v>
      </c>
      <c r="F128" s="119"/>
    </row>
    <row r="129" spans="3:6" x14ac:dyDescent="0.3">
      <c r="D129" s="282" t="str">
        <f>IEC_BA!C621</f>
        <v>Supplies Category 31</v>
      </c>
      <c r="F129" s="119"/>
    </row>
    <row r="130" spans="3:6" x14ac:dyDescent="0.3">
      <c r="D130" s="282" t="str">
        <f>IEC_BA!C622</f>
        <v>Supplies Category 32</v>
      </c>
      <c r="F130" s="119"/>
    </row>
    <row r="131" spans="3:6" x14ac:dyDescent="0.3">
      <c r="D131" s="282" t="str">
        <f>IEC_BA!C623</f>
        <v>Supplies Category 33</v>
      </c>
      <c r="F131" s="119"/>
    </row>
    <row r="132" spans="3:6" x14ac:dyDescent="0.3">
      <c r="D132" s="282" t="str">
        <f>IEC_BA!C624</f>
        <v>Supplies Category 34</v>
      </c>
      <c r="F132" s="119"/>
    </row>
    <row r="133" spans="3:6" x14ac:dyDescent="0.3">
      <c r="D133" s="282" t="str">
        <f>IEC_BA!C625</f>
        <v>Supplies Category 35</v>
      </c>
      <c r="F133" s="119"/>
    </row>
    <row r="136" spans="3:6" ht="15.6" x14ac:dyDescent="0.3">
      <c r="C136" s="115" t="s">
        <v>130</v>
      </c>
      <c r="F136" s="115" t="s">
        <v>28</v>
      </c>
    </row>
    <row r="138" spans="3:6" x14ac:dyDescent="0.3">
      <c r="D138" s="116" t="s">
        <v>95</v>
      </c>
      <c r="F138" s="119" t="s">
        <v>454</v>
      </c>
    </row>
    <row r="139" spans="3:6" x14ac:dyDescent="0.3">
      <c r="D139" s="30" t="str">
        <f>IEC_BA!C628</f>
        <v>Equipment Category 1</v>
      </c>
      <c r="F139" s="33" t="s">
        <v>46</v>
      </c>
    </row>
    <row r="140" spans="3:6" x14ac:dyDescent="0.3">
      <c r="D140" s="30" t="str">
        <f>IEC_BA!C629</f>
        <v>Equipment Category 2</v>
      </c>
      <c r="F140" s="33" t="s">
        <v>46</v>
      </c>
    </row>
    <row r="141" spans="3:6" x14ac:dyDescent="0.3">
      <c r="D141" s="30" t="str">
        <f>IEC_BA!C630</f>
        <v>Equipment Category 3</v>
      </c>
      <c r="F141" s="33" t="s">
        <v>46</v>
      </c>
    </row>
    <row r="142" spans="3:6" x14ac:dyDescent="0.3">
      <c r="D142" s="30" t="str">
        <f>IEC_BA!C631</f>
        <v>Equipment Category 4</v>
      </c>
      <c r="F142" s="33" t="s">
        <v>46</v>
      </c>
    </row>
    <row r="143" spans="3:6" x14ac:dyDescent="0.3">
      <c r="D143" s="30" t="str">
        <f>IEC_BA!C632</f>
        <v>Equipment Category 5</v>
      </c>
      <c r="F143" s="33" t="s">
        <v>46</v>
      </c>
    </row>
    <row r="144" spans="3:6" x14ac:dyDescent="0.3">
      <c r="D144" s="30" t="str">
        <f>IEC_BA!C633</f>
        <v>Equipment Category 6</v>
      </c>
      <c r="F144" s="33" t="s">
        <v>46</v>
      </c>
    </row>
    <row r="145" spans="4:6" x14ac:dyDescent="0.3">
      <c r="D145" s="282" t="str">
        <f>IEC_BA!C634</f>
        <v>Equipment Category 7</v>
      </c>
      <c r="F145" s="119"/>
    </row>
    <row r="146" spans="4:6" x14ac:dyDescent="0.3">
      <c r="D146" s="282" t="str">
        <f>IEC_BA!C635</f>
        <v>Equipment Category 8</v>
      </c>
      <c r="F146" s="119"/>
    </row>
    <row r="147" spans="4:6" x14ac:dyDescent="0.3">
      <c r="D147" s="282" t="str">
        <f>IEC_BA!C636</f>
        <v>Equipment Category 9</v>
      </c>
      <c r="F147" s="119"/>
    </row>
    <row r="148" spans="4:6" x14ac:dyDescent="0.3">
      <c r="D148" s="282" t="str">
        <f>IEC_BA!C637</f>
        <v>Equipment Category 10</v>
      </c>
      <c r="F148" s="119"/>
    </row>
    <row r="149" spans="4:6" x14ac:dyDescent="0.3">
      <c r="D149" s="282" t="str">
        <f>IEC_BA!C638</f>
        <v>Equipment Category 11</v>
      </c>
      <c r="F149" s="119"/>
    </row>
    <row r="150" spans="4:6" x14ac:dyDescent="0.3">
      <c r="D150" s="282" t="str">
        <f>IEC_BA!C639</f>
        <v>Equipment Category 12</v>
      </c>
      <c r="F150" s="119"/>
    </row>
    <row r="151" spans="4:6" x14ac:dyDescent="0.3">
      <c r="D151" s="282" t="str">
        <f>IEC_BA!C640</f>
        <v>Equipment Category 13</v>
      </c>
      <c r="F151" s="119"/>
    </row>
    <row r="152" spans="4:6" x14ac:dyDescent="0.3">
      <c r="D152" s="282" t="str">
        <f>IEC_BA!C641</f>
        <v>Equipment Category 14</v>
      </c>
      <c r="F152" s="119"/>
    </row>
    <row r="153" spans="4:6" x14ac:dyDescent="0.3">
      <c r="D153" s="282" t="str">
        <f>IEC_BA!C642</f>
        <v>Equipment Category 15</v>
      </c>
      <c r="F153" s="119"/>
    </row>
    <row r="154" spans="4:6" x14ac:dyDescent="0.3">
      <c r="D154" s="282" t="str">
        <f>IEC_BA!C643</f>
        <v>Equipment Category 16</v>
      </c>
      <c r="F154" s="119"/>
    </row>
    <row r="155" spans="4:6" x14ac:dyDescent="0.3">
      <c r="D155" s="282" t="str">
        <f>IEC_BA!C644</f>
        <v>Equipment Category 17</v>
      </c>
      <c r="F155" s="119"/>
    </row>
    <row r="156" spans="4:6" x14ac:dyDescent="0.3">
      <c r="D156" s="282" t="str">
        <f>IEC_BA!C645</f>
        <v>Equipment Category 18</v>
      </c>
      <c r="F156" s="119"/>
    </row>
    <row r="157" spans="4:6" x14ac:dyDescent="0.3">
      <c r="D157" s="282" t="str">
        <f>IEC_BA!C646</f>
        <v>Equipment Category 19</v>
      </c>
      <c r="F157" s="119"/>
    </row>
    <row r="158" spans="4:6" x14ac:dyDescent="0.3">
      <c r="D158" s="282" t="str">
        <f>IEC_BA!C647</f>
        <v>Equipment Category 20</v>
      </c>
      <c r="F158" s="119"/>
    </row>
    <row r="159" spans="4:6" x14ac:dyDescent="0.3">
      <c r="D159" s="282" t="str">
        <f>IEC_BA!C648</f>
        <v>Equipment Category 21</v>
      </c>
      <c r="F159" s="119"/>
    </row>
    <row r="160" spans="4:6" x14ac:dyDescent="0.3">
      <c r="D160" s="282" t="str">
        <f>IEC_BA!C649</f>
        <v>Equipment Category 22</v>
      </c>
      <c r="F160" s="119"/>
    </row>
    <row r="161" spans="3:6" x14ac:dyDescent="0.3">
      <c r="D161" s="282" t="str">
        <f>IEC_BA!C650</f>
        <v>Equipment Category 23</v>
      </c>
      <c r="F161" s="119"/>
    </row>
    <row r="162" spans="3:6" x14ac:dyDescent="0.3">
      <c r="D162" s="282" t="str">
        <f>IEC_BA!C651</f>
        <v>Equipment Category 24</v>
      </c>
      <c r="F162" s="119"/>
    </row>
    <row r="163" spans="3:6" x14ac:dyDescent="0.3">
      <c r="D163" s="282" t="str">
        <f>IEC_BA!C652</f>
        <v>Equipment Category 25</v>
      </c>
      <c r="F163" s="119"/>
    </row>
    <row r="164" spans="3:6" x14ac:dyDescent="0.3">
      <c r="D164" s="282" t="str">
        <f>IEC_BA!C653</f>
        <v>Equipment Category 26</v>
      </c>
      <c r="F164" s="119"/>
    </row>
    <row r="165" spans="3:6" x14ac:dyDescent="0.3">
      <c r="D165" s="282" t="str">
        <f>IEC_BA!C654</f>
        <v>Equipment Category 27</v>
      </c>
      <c r="F165" s="119"/>
    </row>
    <row r="166" spans="3:6" x14ac:dyDescent="0.3">
      <c r="D166" s="282" t="str">
        <f>IEC_BA!C655</f>
        <v>Equipment Category 28</v>
      </c>
      <c r="F166" s="119"/>
    </row>
    <row r="167" spans="3:6" x14ac:dyDescent="0.3">
      <c r="D167" s="282" t="str">
        <f>IEC_BA!C656</f>
        <v>Equipment Category 29</v>
      </c>
      <c r="F167" s="119"/>
    </row>
    <row r="168" spans="3:6" x14ac:dyDescent="0.3">
      <c r="D168" s="282" t="str">
        <f>IEC_BA!C657</f>
        <v>Equipment Category 30</v>
      </c>
      <c r="F168" s="119"/>
    </row>
    <row r="169" spans="3:6" x14ac:dyDescent="0.3">
      <c r="D169" s="282" t="str">
        <f>IEC_BA!C658</f>
        <v>Equipment Category 31</v>
      </c>
      <c r="F169" s="119"/>
    </row>
    <row r="170" spans="3:6" x14ac:dyDescent="0.3">
      <c r="D170" s="282" t="str">
        <f>IEC_BA!C659</f>
        <v>Equipment Category 32</v>
      </c>
      <c r="F170" s="119"/>
    </row>
    <row r="171" spans="3:6" x14ac:dyDescent="0.3">
      <c r="D171" s="282" t="str">
        <f>IEC_BA!C660</f>
        <v>Equipment Category 33</v>
      </c>
      <c r="F171" s="119"/>
    </row>
    <row r="172" spans="3:6" x14ac:dyDescent="0.3">
      <c r="D172" s="282" t="str">
        <f>IEC_BA!C661</f>
        <v>Equipment Category 34</v>
      </c>
      <c r="F172" s="119"/>
    </row>
    <row r="173" spans="3:6" x14ac:dyDescent="0.3">
      <c r="D173" s="282" t="str">
        <f>IEC_BA!C662</f>
        <v>Equipment Category 35</v>
      </c>
      <c r="F173" s="119"/>
    </row>
    <row r="175" spans="3:6" ht="15.6" x14ac:dyDescent="0.3">
      <c r="C175" s="115" t="s">
        <v>89</v>
      </c>
      <c r="F175" s="115" t="s">
        <v>28</v>
      </c>
    </row>
    <row r="177" spans="4:6" x14ac:dyDescent="0.3">
      <c r="D177" s="116" t="s">
        <v>95</v>
      </c>
      <c r="F177" s="119" t="s">
        <v>455</v>
      </c>
    </row>
    <row r="178" spans="4:6" x14ac:dyDescent="0.3">
      <c r="D178" s="30" t="str">
        <f>IEC_BA!C666</f>
        <v>Other Direct Costs Category 1</v>
      </c>
      <c r="F178" s="33" t="s">
        <v>46</v>
      </c>
    </row>
    <row r="179" spans="4:6" x14ac:dyDescent="0.3">
      <c r="D179" s="30" t="str">
        <f>IEC_BA!C667</f>
        <v>Other Direct Costs Category 2</v>
      </c>
      <c r="F179" s="33" t="s">
        <v>46</v>
      </c>
    </row>
    <row r="180" spans="4:6" x14ac:dyDescent="0.3">
      <c r="D180" s="30" t="str">
        <f>IEC_BA!C668</f>
        <v>Other Direct Costs Category 3</v>
      </c>
      <c r="F180" s="33" t="s">
        <v>46</v>
      </c>
    </row>
    <row r="181" spans="4:6" x14ac:dyDescent="0.3">
      <c r="D181" s="282" t="str">
        <f>IEC_BA!C669</f>
        <v>Other Direct Costs Category 4</v>
      </c>
      <c r="F181" s="119"/>
    </row>
    <row r="182" spans="4:6" x14ac:dyDescent="0.3">
      <c r="D182" s="282" t="str">
        <f>IEC_BA!C670</f>
        <v>Other Direct Costs Category 5</v>
      </c>
      <c r="F182" s="119"/>
    </row>
    <row r="183" spans="4:6" x14ac:dyDescent="0.3">
      <c r="D183" s="282" t="str">
        <f>IEC_BA!C671</f>
        <v>Other Direct Costs Category 6</v>
      </c>
      <c r="F183" s="119"/>
    </row>
    <row r="184" spans="4:6" x14ac:dyDescent="0.3">
      <c r="D184" s="282" t="str">
        <f>IEC_BA!C672</f>
        <v>Other Direct Costs Category 7</v>
      </c>
      <c r="F184" s="119"/>
    </row>
    <row r="185" spans="4:6" x14ac:dyDescent="0.3">
      <c r="D185" s="282" t="str">
        <f>IEC_BA!C673</f>
        <v>Other Direct Costs Category 8</v>
      </c>
      <c r="F185" s="119"/>
    </row>
    <row r="186" spans="4:6" x14ac:dyDescent="0.3">
      <c r="D186" s="282" t="str">
        <f>IEC_BA!C674</f>
        <v>Other Direct Costs Category 9</v>
      </c>
      <c r="F186" s="119"/>
    </row>
    <row r="187" spans="4:6" x14ac:dyDescent="0.3">
      <c r="D187" s="282" t="str">
        <f>IEC_BA!C675</f>
        <v>Other Direct Costs Category 10</v>
      </c>
      <c r="F187" s="119"/>
    </row>
    <row r="188" spans="4:6" x14ac:dyDescent="0.3">
      <c r="D188" s="282" t="str">
        <f>IEC_BA!C676</f>
        <v>Other Direct Costs Category 11</v>
      </c>
      <c r="F188" s="119"/>
    </row>
    <row r="189" spans="4:6" x14ac:dyDescent="0.3">
      <c r="D189" s="282" t="str">
        <f>IEC_BA!C677</f>
        <v>Other Direct Costs Category 12</v>
      </c>
      <c r="F189" s="119"/>
    </row>
    <row r="190" spans="4:6" x14ac:dyDescent="0.3">
      <c r="D190" s="282" t="str">
        <f>IEC_BA!C678</f>
        <v>Other Direct Costs Category 13</v>
      </c>
      <c r="F190" s="119"/>
    </row>
    <row r="191" spans="4:6" x14ac:dyDescent="0.3">
      <c r="D191" s="282" t="str">
        <f>IEC_BA!C679</f>
        <v>Other Direct Costs Category 14</v>
      </c>
      <c r="F191" s="119"/>
    </row>
    <row r="192" spans="4:6" x14ac:dyDescent="0.3">
      <c r="D192" s="282" t="str">
        <f>IEC_BA!C680</f>
        <v>Other Direct Costs Category 15</v>
      </c>
      <c r="F192" s="119"/>
    </row>
    <row r="193" spans="4:6" x14ac:dyDescent="0.3">
      <c r="D193" s="282" t="str">
        <f>IEC_BA!C681</f>
        <v>Other Direct Costs Category 16</v>
      </c>
      <c r="F193" s="119"/>
    </row>
    <row r="194" spans="4:6" x14ac:dyDescent="0.3">
      <c r="D194" s="282" t="str">
        <f>IEC_BA!C682</f>
        <v>Other Direct Costs Category 17</v>
      </c>
      <c r="F194" s="119"/>
    </row>
    <row r="195" spans="4:6" x14ac:dyDescent="0.3">
      <c r="D195" s="282" t="str">
        <f>IEC_BA!C683</f>
        <v>Other Direct Costs Category 18</v>
      </c>
      <c r="F195" s="119"/>
    </row>
    <row r="196" spans="4:6" x14ac:dyDescent="0.3">
      <c r="D196" s="282" t="str">
        <f>IEC_BA!C684</f>
        <v>Other Direct Costs Category 19</v>
      </c>
      <c r="F196" s="119"/>
    </row>
    <row r="197" spans="4:6" x14ac:dyDescent="0.3">
      <c r="D197" s="282" t="str">
        <f>IEC_BA!C685</f>
        <v>Other Direct Costs Category 20</v>
      </c>
      <c r="F197" s="119"/>
    </row>
    <row r="198" spans="4:6" x14ac:dyDescent="0.3">
      <c r="D198" s="282" t="str">
        <f>IEC_BA!C686</f>
        <v>Other Direct Costs Category 21</v>
      </c>
      <c r="F198" s="119"/>
    </row>
    <row r="199" spans="4:6" x14ac:dyDescent="0.3">
      <c r="D199" s="282" t="str">
        <f>IEC_BA!C687</f>
        <v>Other Direct Costs Category 22</v>
      </c>
      <c r="F199" s="119"/>
    </row>
    <row r="200" spans="4:6" x14ac:dyDescent="0.3">
      <c r="D200" s="282" t="str">
        <f>IEC_BA!C688</f>
        <v>Other Direct Costs Category 23</v>
      </c>
      <c r="F200" s="119"/>
    </row>
    <row r="201" spans="4:6" x14ac:dyDescent="0.3">
      <c r="D201" s="282" t="str">
        <f>IEC_BA!C689</f>
        <v>Other Direct Costs Category 24</v>
      </c>
      <c r="F201" s="119"/>
    </row>
    <row r="202" spans="4:6" x14ac:dyDescent="0.3">
      <c r="D202" s="282" t="str">
        <f>IEC_BA!C690</f>
        <v>Other Direct Costs Category 25</v>
      </c>
      <c r="F202" s="119"/>
    </row>
    <row r="203" spans="4:6" x14ac:dyDescent="0.3">
      <c r="D203" s="282" t="str">
        <f>IEC_BA!C691</f>
        <v>Other Direct Costs Category 26</v>
      </c>
      <c r="F203" s="119"/>
    </row>
    <row r="204" spans="4:6" x14ac:dyDescent="0.3">
      <c r="D204" s="282" t="str">
        <f>IEC_BA!C692</f>
        <v>Other Direct Costs Category 27</v>
      </c>
      <c r="F204" s="119"/>
    </row>
    <row r="205" spans="4:6" x14ac:dyDescent="0.3">
      <c r="D205" s="282" t="str">
        <f>IEC_BA!C693</f>
        <v>Other Direct Costs Category 28</v>
      </c>
      <c r="F205" s="119"/>
    </row>
    <row r="206" spans="4:6" x14ac:dyDescent="0.3">
      <c r="D206" s="282" t="str">
        <f>IEC_BA!C694</f>
        <v>Other Direct Costs Category 29</v>
      </c>
      <c r="F206" s="119"/>
    </row>
    <row r="207" spans="4:6" x14ac:dyDescent="0.3">
      <c r="D207" s="282" t="str">
        <f>IEC_BA!C695</f>
        <v>Other Direct Costs Category 30</v>
      </c>
      <c r="F207" s="119"/>
    </row>
    <row r="208" spans="4:6" x14ac:dyDescent="0.3">
      <c r="D208" s="282" t="str">
        <f>IEC_BA!C696</f>
        <v>Other Direct Costs Category 31</v>
      </c>
      <c r="F208" s="119"/>
    </row>
    <row r="209" spans="4:6" x14ac:dyDescent="0.3">
      <c r="D209" s="282" t="str">
        <f>IEC_BA!C697</f>
        <v>Other Direct Costs Category 32</v>
      </c>
      <c r="F209" s="119"/>
    </row>
    <row r="210" spans="4:6" x14ac:dyDescent="0.3">
      <c r="D210" s="282" t="str">
        <f>IEC_BA!C698</f>
        <v>Other Direct Costs Category 33</v>
      </c>
      <c r="F210" s="119"/>
    </row>
    <row r="211" spans="4:6" x14ac:dyDescent="0.3">
      <c r="D211" s="282" t="str">
        <f>IEC_BA!C699</f>
        <v>Other Direct Costs Category 34</v>
      </c>
      <c r="F211" s="119"/>
    </row>
    <row r="212" spans="4:6" x14ac:dyDescent="0.3">
      <c r="D212" s="282" t="str">
        <f>IEC_BA!C700</f>
        <v>Other Direct Costs Category 35</v>
      </c>
      <c r="F212" s="119"/>
    </row>
  </sheetData>
  <sheetProtection algorithmName="SHA-512" hashValue="Aon1St3k3cV3vKA28V6CbSkpGoUT2XvvlyT9UzokCA+e+RQkg38W2/VClY91O8v1tfSSC+RATOOWFHYOQa7z7w==" saltValue="NVQsV7LZ4qUdTQe1W9f1uA==" spinCount="100000" sheet="1" objects="1" scenarios="1" formatColumns="0" formatRows="0"/>
  <mergeCells count="1">
    <mergeCell ref="B3:D3"/>
  </mergeCells>
  <hyperlinks>
    <hyperlink ref="A4" location="$B$5" tooltip="Go to Top of Sheet" display="$B$5" xr:uid="{00000000-0004-0000-2900-000000000000}"/>
    <hyperlink ref="B4" location="HL_Sheet_Main_21" tooltip="Go to Previous Sheet" display="HL_Sheet_Main_21" xr:uid="{00000000-0004-0000-2900-000001000000}"/>
    <hyperlink ref="C4" location="HL_Sheet_Main_55" tooltip="Go to Next Sheet" display="HL_Sheet_Main_55" xr:uid="{00000000-0004-0000-2900-000002000000}"/>
    <hyperlink ref="B3" location="HL_Home" tooltip="Go to Table of Contents" display="HL_Home" xr:uid="{00000000-0004-0000-29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465</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466</v>
      </c>
    </row>
    <row r="9" spans="1:6" ht="15.6" x14ac:dyDescent="0.3">
      <c r="C9" s="115" t="s">
        <v>93</v>
      </c>
    </row>
    <row r="11" spans="1:6" ht="15.6" x14ac:dyDescent="0.3">
      <c r="C11" s="115" t="s">
        <v>93</v>
      </c>
      <c r="F11" s="115" t="s">
        <v>28</v>
      </c>
    </row>
    <row r="13" spans="1:6" x14ac:dyDescent="0.3">
      <c r="D13" s="116" t="s">
        <v>95</v>
      </c>
      <c r="F13" s="119" t="s">
        <v>459</v>
      </c>
    </row>
    <row r="14" spans="1:6" x14ac:dyDescent="0.3">
      <c r="D14" s="30" t="str">
        <f>IEC_BA!D859</f>
        <v>USD</v>
      </c>
      <c r="F14" s="33" t="s">
        <v>46</v>
      </c>
    </row>
    <row r="15" spans="1:6" x14ac:dyDescent="0.3">
      <c r="D15" s="30" t="str">
        <f>IEC_BA!D860</f>
        <v>GOZ</v>
      </c>
      <c r="F15" s="33" t="s">
        <v>46</v>
      </c>
    </row>
    <row r="17" spans="3:6" ht="15.6" x14ac:dyDescent="0.3">
      <c r="C17" s="115" t="s">
        <v>77</v>
      </c>
      <c r="F17" s="115" t="s">
        <v>28</v>
      </c>
    </row>
    <row r="19" spans="3:6" x14ac:dyDescent="0.3">
      <c r="D19" s="116" t="s">
        <v>95</v>
      </c>
      <c r="F19" s="119" t="s">
        <v>460</v>
      </c>
    </row>
    <row r="20" spans="3:6" x14ac:dyDescent="0.3">
      <c r="D20" s="30" t="str">
        <f>IEC_BA!C865</f>
        <v>Personnel Cadre - Other 1</v>
      </c>
      <c r="F20" s="33" t="s">
        <v>46</v>
      </c>
    </row>
    <row r="21" spans="3:6" x14ac:dyDescent="0.3">
      <c r="D21" s="30" t="str">
        <f>IEC_BA!C866</f>
        <v>Personnel Cadre - Other 2</v>
      </c>
      <c r="F21" s="33" t="s">
        <v>46</v>
      </c>
    </row>
    <row r="22" spans="3:6" x14ac:dyDescent="0.3">
      <c r="D22" s="30" t="str">
        <f>IEC_BA!C867</f>
        <v>Personnel Cadre - Other 3</v>
      </c>
      <c r="F22" s="33" t="s">
        <v>46</v>
      </c>
    </row>
    <row r="23" spans="3:6" x14ac:dyDescent="0.3">
      <c r="D23" s="30" t="str">
        <f>IEC_BA!C868</f>
        <v>Personnel Cadre - Other 4</v>
      </c>
      <c r="F23" s="33" t="s">
        <v>46</v>
      </c>
    </row>
    <row r="24" spans="3:6" x14ac:dyDescent="0.3">
      <c r="D24" s="30" t="str">
        <f>IEC_BA!C869</f>
        <v>Personnel Cadre - Other 5</v>
      </c>
      <c r="F24" s="33" t="s">
        <v>46</v>
      </c>
    </row>
    <row r="25" spans="3:6" x14ac:dyDescent="0.3">
      <c r="D25" s="30" t="str">
        <f>IEC_BA!C870</f>
        <v>Personnel Cadre - Other 6</v>
      </c>
      <c r="F25" s="33" t="s">
        <v>46</v>
      </c>
    </row>
    <row r="26" spans="3:6" x14ac:dyDescent="0.3">
      <c r="D26" s="30" t="str">
        <f>IEC_BA!C871</f>
        <v>Personnel Cadre - Other 7</v>
      </c>
      <c r="F26" s="33" t="s">
        <v>46</v>
      </c>
    </row>
    <row r="27" spans="3:6" x14ac:dyDescent="0.3">
      <c r="D27" s="30" t="str">
        <f>IEC_BA!C872</f>
        <v>Personnel Cadre - Other 8</v>
      </c>
      <c r="F27" s="33" t="s">
        <v>46</v>
      </c>
    </row>
    <row r="28" spans="3:6" x14ac:dyDescent="0.3">
      <c r="D28" s="30" t="str">
        <f>IEC_BA!C873</f>
        <v>Personnel Cadre - Other 9</v>
      </c>
      <c r="F28" s="33" t="s">
        <v>46</v>
      </c>
    </row>
    <row r="29" spans="3:6" x14ac:dyDescent="0.3">
      <c r="D29" s="30" t="str">
        <f>IEC_BA!C874</f>
        <v>Personnel Cadre - Other 10</v>
      </c>
      <c r="F29" s="33" t="s">
        <v>46</v>
      </c>
    </row>
    <row r="30" spans="3:6" x14ac:dyDescent="0.3">
      <c r="D30" s="30" t="str">
        <f>IEC_BA!C875</f>
        <v>Personnel Cadre - Other 11</v>
      </c>
      <c r="F30" s="33" t="s">
        <v>46</v>
      </c>
    </row>
    <row r="31" spans="3:6" x14ac:dyDescent="0.3">
      <c r="D31" s="30" t="str">
        <f>IEC_BA!C876</f>
        <v>Personnel Cadre - Other 12</v>
      </c>
      <c r="F31" s="33" t="s">
        <v>46</v>
      </c>
    </row>
    <row r="32" spans="3:6" x14ac:dyDescent="0.3">
      <c r="D32" s="30" t="str">
        <f>IEC_BA!C877</f>
        <v>Personnel Cadre - Other 13</v>
      </c>
      <c r="F32" s="33" t="s">
        <v>46</v>
      </c>
    </row>
    <row r="33" spans="4:6" x14ac:dyDescent="0.3">
      <c r="D33" s="30" t="str">
        <f>IEC_BA!C878</f>
        <v>Personnel Cadre - Other 14</v>
      </c>
      <c r="F33" s="33" t="s">
        <v>46</v>
      </c>
    </row>
    <row r="34" spans="4:6" x14ac:dyDescent="0.3">
      <c r="D34" s="30" t="str">
        <f>IEC_BA!C879</f>
        <v>Personnel Cadre - Other 15</v>
      </c>
      <c r="F34" s="33" t="s">
        <v>46</v>
      </c>
    </row>
    <row r="35" spans="4:6" x14ac:dyDescent="0.3">
      <c r="D35" s="282" t="str">
        <f>IEC_BA!C880</f>
        <v>Personnel Cadre - Other 16</v>
      </c>
      <c r="F35" s="119"/>
    </row>
    <row r="36" spans="4:6" x14ac:dyDescent="0.3">
      <c r="D36" s="282" t="str">
        <f>IEC_BA!C881</f>
        <v>Personnel Cadre - Other 17</v>
      </c>
      <c r="F36" s="119"/>
    </row>
    <row r="37" spans="4:6" x14ac:dyDescent="0.3">
      <c r="D37" s="282" t="str">
        <f>IEC_BA!C882</f>
        <v>Personnel Cadre - Other 18</v>
      </c>
      <c r="F37" s="119"/>
    </row>
    <row r="38" spans="4:6" x14ac:dyDescent="0.3">
      <c r="D38" s="282" t="str">
        <f>IEC_BA!C883</f>
        <v>Personnel Cadre - Other 19</v>
      </c>
      <c r="F38" s="119"/>
    </row>
    <row r="39" spans="4:6" x14ac:dyDescent="0.3">
      <c r="D39" s="282" t="str">
        <f>IEC_BA!C884</f>
        <v>Personnel Cadre - Other 20</v>
      </c>
      <c r="F39" s="119"/>
    </row>
    <row r="40" spans="4:6" x14ac:dyDescent="0.3">
      <c r="D40" s="282" t="str">
        <f>IEC_BA!C885</f>
        <v>Personnel Cadre - Other 21</v>
      </c>
      <c r="F40" s="119"/>
    </row>
    <row r="41" spans="4:6" x14ac:dyDescent="0.3">
      <c r="D41" s="282" t="str">
        <f>IEC_BA!C886</f>
        <v>Personnel Cadre - Other 22</v>
      </c>
      <c r="F41" s="119"/>
    </row>
    <row r="42" spans="4:6" x14ac:dyDescent="0.3">
      <c r="D42" s="282" t="str">
        <f>IEC_BA!C887</f>
        <v>Personnel Cadre - Other 23</v>
      </c>
      <c r="F42" s="119"/>
    </row>
    <row r="43" spans="4:6" x14ac:dyDescent="0.3">
      <c r="D43" s="282" t="str">
        <f>IEC_BA!C888</f>
        <v>Personnel Cadre - Other 24</v>
      </c>
      <c r="F43" s="119"/>
    </row>
    <row r="44" spans="4:6" x14ac:dyDescent="0.3">
      <c r="D44" s="282" t="str">
        <f>IEC_BA!C889</f>
        <v>Personnel Cadre - Other 25</v>
      </c>
      <c r="F44" s="119"/>
    </row>
    <row r="45" spans="4:6" x14ac:dyDescent="0.3">
      <c r="D45" s="282" t="str">
        <f>IEC_BA!C890</f>
        <v>Personnel Cadre - Other 26</v>
      </c>
      <c r="F45" s="119"/>
    </row>
    <row r="46" spans="4:6" x14ac:dyDescent="0.3">
      <c r="D46" s="282" t="str">
        <f>IEC_BA!C891</f>
        <v>Personnel Cadre - Other 27</v>
      </c>
      <c r="F46" s="119"/>
    </row>
    <row r="47" spans="4:6" x14ac:dyDescent="0.3">
      <c r="D47" s="282" t="str">
        <f>IEC_BA!C892</f>
        <v>Personnel Cadre - Other 28</v>
      </c>
      <c r="F47" s="119"/>
    </row>
    <row r="48" spans="4:6" x14ac:dyDescent="0.3">
      <c r="D48" s="282" t="str">
        <f>IEC_BA!C893</f>
        <v>Personnel Cadre - Other 29</v>
      </c>
      <c r="F48" s="119"/>
    </row>
    <row r="49" spans="3:6" x14ac:dyDescent="0.3">
      <c r="D49" s="282" t="str">
        <f>IEC_BA!C894</f>
        <v>Personnel Cadre - Other 30</v>
      </c>
      <c r="F49" s="119"/>
    </row>
    <row r="50" spans="3:6" x14ac:dyDescent="0.3">
      <c r="D50" s="282" t="str">
        <f>IEC_BA!C895</f>
        <v>Personnel Cadre - Other 31</v>
      </c>
      <c r="F50" s="119"/>
    </row>
    <row r="51" spans="3:6" x14ac:dyDescent="0.3">
      <c r="D51" s="282" t="str">
        <f>IEC_BA!C896</f>
        <v>Personnel Cadre - Other 32</v>
      </c>
      <c r="F51" s="119"/>
    </row>
    <row r="52" spans="3:6" x14ac:dyDescent="0.3">
      <c r="D52" s="282" t="str">
        <f>IEC_BA!C897</f>
        <v>Personnel Cadre - Other 33</v>
      </c>
      <c r="F52" s="119"/>
    </row>
    <row r="53" spans="3:6" x14ac:dyDescent="0.3">
      <c r="D53" s="282" t="str">
        <f>IEC_BA!C898</f>
        <v>Personnel Cadre - Other 34</v>
      </c>
      <c r="F53" s="119"/>
    </row>
    <row r="54" spans="3:6" x14ac:dyDescent="0.3">
      <c r="D54" s="282" t="str">
        <f>IEC_BA!C899</f>
        <v>Personnel Cadre - Other 35</v>
      </c>
      <c r="F54" s="119"/>
    </row>
    <row r="56" spans="3:6" ht="15.6" x14ac:dyDescent="0.3">
      <c r="C56" s="115" t="s">
        <v>94</v>
      </c>
      <c r="F56" s="115" t="s">
        <v>28</v>
      </c>
    </row>
    <row r="58" spans="3:6" x14ac:dyDescent="0.3">
      <c r="D58" s="116" t="s">
        <v>95</v>
      </c>
      <c r="F58" s="119" t="s">
        <v>461</v>
      </c>
    </row>
    <row r="59" spans="3:6" x14ac:dyDescent="0.3">
      <c r="D59" s="30" t="str">
        <f>IEC_BA!C902</f>
        <v>Allowances Category 1</v>
      </c>
      <c r="F59" s="33" t="s">
        <v>46</v>
      </c>
    </row>
    <row r="60" spans="3:6" x14ac:dyDescent="0.3">
      <c r="D60" s="30" t="str">
        <f>IEC_BA!C903</f>
        <v>Allowances Category 2</v>
      </c>
      <c r="F60" s="33" t="s">
        <v>46</v>
      </c>
    </row>
    <row r="61" spans="3:6" x14ac:dyDescent="0.3">
      <c r="D61" s="30" t="str">
        <f>IEC_BA!C904</f>
        <v>Allowances Category 3</v>
      </c>
      <c r="F61" s="33" t="s">
        <v>46</v>
      </c>
    </row>
    <row r="62" spans="3:6" x14ac:dyDescent="0.3">
      <c r="D62" s="30" t="str">
        <f>IEC_BA!C905</f>
        <v>Allowances Category 4</v>
      </c>
      <c r="F62" s="33" t="s">
        <v>46</v>
      </c>
    </row>
    <row r="63" spans="3:6" x14ac:dyDescent="0.3">
      <c r="D63" s="30" t="str">
        <f>IEC_BA!C906</f>
        <v>Allowances Category 5</v>
      </c>
      <c r="F63" s="33" t="s">
        <v>46</v>
      </c>
    </row>
    <row r="64" spans="3:6" x14ac:dyDescent="0.3">
      <c r="D64" s="282" t="str">
        <f>IEC_BA!C907</f>
        <v>Allowances Category 6</v>
      </c>
      <c r="F64" s="119"/>
    </row>
    <row r="65" spans="4:6" x14ac:dyDescent="0.3">
      <c r="D65" s="282" t="str">
        <f>IEC_BA!C908</f>
        <v>Allowances Category 7</v>
      </c>
      <c r="F65" s="119"/>
    </row>
    <row r="66" spans="4:6" x14ac:dyDescent="0.3">
      <c r="D66" s="282" t="str">
        <f>IEC_BA!C909</f>
        <v>Allowances Category 8</v>
      </c>
      <c r="F66" s="119"/>
    </row>
    <row r="67" spans="4:6" x14ac:dyDescent="0.3">
      <c r="D67" s="282" t="str">
        <f>IEC_BA!C910</f>
        <v>Allowances Category 9</v>
      </c>
      <c r="F67" s="119"/>
    </row>
    <row r="68" spans="4:6" x14ac:dyDescent="0.3">
      <c r="D68" s="282" t="str">
        <f>IEC_BA!C911</f>
        <v>Allowances Category 10</v>
      </c>
      <c r="F68" s="119"/>
    </row>
    <row r="69" spans="4:6" x14ac:dyDescent="0.3">
      <c r="D69" s="282" t="str">
        <f>IEC_BA!C912</f>
        <v>Allowances Category 11</v>
      </c>
      <c r="F69" s="119"/>
    </row>
    <row r="70" spans="4:6" x14ac:dyDescent="0.3">
      <c r="D70" s="282" t="str">
        <f>IEC_BA!C913</f>
        <v>Allowances Category 12</v>
      </c>
      <c r="F70" s="119"/>
    </row>
    <row r="71" spans="4:6" x14ac:dyDescent="0.3">
      <c r="D71" s="282" t="str">
        <f>IEC_BA!C914</f>
        <v>Allowances Category 13</v>
      </c>
      <c r="F71" s="119"/>
    </row>
    <row r="72" spans="4:6" x14ac:dyDescent="0.3">
      <c r="D72" s="282" t="str">
        <f>IEC_BA!C915</f>
        <v>Allowances Category 14</v>
      </c>
      <c r="F72" s="119"/>
    </row>
    <row r="73" spans="4:6" x14ac:dyDescent="0.3">
      <c r="D73" s="282" t="str">
        <f>IEC_BA!C916</f>
        <v>Allowances Category 15</v>
      </c>
      <c r="F73" s="119"/>
    </row>
    <row r="74" spans="4:6" x14ac:dyDescent="0.3">
      <c r="D74" s="282" t="str">
        <f>IEC_BA!C917</f>
        <v>Allowances Category 16</v>
      </c>
      <c r="F74" s="119"/>
    </row>
    <row r="75" spans="4:6" x14ac:dyDescent="0.3">
      <c r="D75" s="30" t="str">
        <f>IEC_BA!C918</f>
        <v>Allowances Category 17</v>
      </c>
      <c r="F75" s="33" t="s">
        <v>46</v>
      </c>
    </row>
    <row r="76" spans="4:6" x14ac:dyDescent="0.3">
      <c r="D76" s="30" t="str">
        <f>IEC_BA!C919</f>
        <v>Allowances Category 18</v>
      </c>
      <c r="F76" s="33" t="s">
        <v>46</v>
      </c>
    </row>
    <row r="77" spans="4:6" x14ac:dyDescent="0.3">
      <c r="D77" s="30" t="str">
        <f>IEC_BA!C920</f>
        <v>Allowances Category 19</v>
      </c>
      <c r="F77" s="33" t="s">
        <v>46</v>
      </c>
    </row>
    <row r="78" spans="4:6" x14ac:dyDescent="0.3">
      <c r="D78" s="30" t="str">
        <f>IEC_BA!C921</f>
        <v>Allowances Category 20</v>
      </c>
      <c r="F78" s="33" t="s">
        <v>46</v>
      </c>
    </row>
    <row r="79" spans="4:6" x14ac:dyDescent="0.3">
      <c r="D79" s="30" t="str">
        <f>IEC_BA!C922</f>
        <v>Allowances Category 21</v>
      </c>
      <c r="F79" s="33" t="s">
        <v>46</v>
      </c>
    </row>
    <row r="80" spans="4:6" x14ac:dyDescent="0.3">
      <c r="D80" s="30" t="str">
        <f>IEC_BA!C923</f>
        <v>Allowances Category 22</v>
      </c>
      <c r="F80" s="33" t="s">
        <v>46</v>
      </c>
    </row>
    <row r="81" spans="3:6" x14ac:dyDescent="0.3">
      <c r="D81" s="30" t="str">
        <f>IEC_BA!C924</f>
        <v>Allowances Category 23</v>
      </c>
      <c r="F81" s="33" t="s">
        <v>46</v>
      </c>
    </row>
    <row r="82" spans="3:6" x14ac:dyDescent="0.3">
      <c r="D82" s="282" t="str">
        <f>IEC_BA!C925</f>
        <v>Allowances Category 24</v>
      </c>
      <c r="F82" s="119"/>
    </row>
    <row r="83" spans="3:6" x14ac:dyDescent="0.3">
      <c r="D83" s="282" t="str">
        <f>IEC_BA!C926</f>
        <v>Allowances Category 25</v>
      </c>
      <c r="F83" s="119"/>
    </row>
    <row r="84" spans="3:6" x14ac:dyDescent="0.3">
      <c r="D84" s="282" t="str">
        <f>IEC_BA!C927</f>
        <v>Allowances Category 26</v>
      </c>
      <c r="F84" s="119"/>
    </row>
    <row r="85" spans="3:6" x14ac:dyDescent="0.3">
      <c r="D85" s="282" t="str">
        <f>IEC_BA!C928</f>
        <v>Allowances Category 27</v>
      </c>
      <c r="F85" s="119"/>
    </row>
    <row r="86" spans="3:6" x14ac:dyDescent="0.3">
      <c r="D86" s="282" t="str">
        <f>IEC_BA!C929</f>
        <v>Allowances Category 28</v>
      </c>
      <c r="F86" s="119"/>
    </row>
    <row r="87" spans="3:6" x14ac:dyDescent="0.3">
      <c r="D87" s="282" t="str">
        <f>IEC_BA!C930</f>
        <v>Allowances Category 29</v>
      </c>
      <c r="F87" s="119"/>
    </row>
    <row r="88" spans="3:6" x14ac:dyDescent="0.3">
      <c r="D88" s="282" t="str">
        <f>IEC_BA!C931</f>
        <v>Allowances Category 30</v>
      </c>
      <c r="F88" s="119"/>
    </row>
    <row r="89" spans="3:6" x14ac:dyDescent="0.3">
      <c r="D89" s="30" t="str">
        <f>IEC_BA!C932</f>
        <v>Allowances Category 31</v>
      </c>
      <c r="F89" s="33" t="s">
        <v>46</v>
      </c>
    </row>
    <row r="90" spans="3:6" x14ac:dyDescent="0.3">
      <c r="D90" s="30" t="str">
        <f>IEC_BA!C933</f>
        <v>Allowances Category 32</v>
      </c>
      <c r="F90" s="33" t="s">
        <v>46</v>
      </c>
    </row>
    <row r="91" spans="3:6" x14ac:dyDescent="0.3">
      <c r="D91" s="30" t="str">
        <f>IEC_BA!C934</f>
        <v>Allowances Category 33</v>
      </c>
      <c r="F91" s="33" t="s">
        <v>46</v>
      </c>
    </row>
    <row r="92" spans="3:6" x14ac:dyDescent="0.3">
      <c r="D92" s="30" t="str">
        <f>IEC_BA!C935</f>
        <v>Allowances Category 34</v>
      </c>
      <c r="F92" s="33" t="s">
        <v>46</v>
      </c>
    </row>
    <row r="93" spans="3:6" x14ac:dyDescent="0.3">
      <c r="D93" s="30" t="str">
        <f>IEC_BA!C936</f>
        <v>Allowances Category 35</v>
      </c>
      <c r="F93" s="33" t="s">
        <v>46</v>
      </c>
    </row>
    <row r="96" spans="3:6" ht="15.6" x14ac:dyDescent="0.3">
      <c r="C96" s="115" t="s">
        <v>132</v>
      </c>
      <c r="F96" s="115" t="s">
        <v>28</v>
      </c>
    </row>
    <row r="98" spans="4:6" x14ac:dyDescent="0.3">
      <c r="D98" s="116" t="s">
        <v>95</v>
      </c>
      <c r="F98" s="119" t="s">
        <v>462</v>
      </c>
    </row>
    <row r="99" spans="4:6" x14ac:dyDescent="0.3">
      <c r="D99" s="30" t="str">
        <f>IEC_BA!C940</f>
        <v>Supplies Category 1</v>
      </c>
      <c r="F99" s="33" t="s">
        <v>46</v>
      </c>
    </row>
    <row r="100" spans="4:6" x14ac:dyDescent="0.3">
      <c r="D100" s="30" t="str">
        <f>IEC_BA!C941</f>
        <v>Supplies Category 2</v>
      </c>
      <c r="F100" s="33" t="s">
        <v>46</v>
      </c>
    </row>
    <row r="101" spans="4:6" x14ac:dyDescent="0.3">
      <c r="D101" s="30" t="str">
        <f>IEC_BA!C942</f>
        <v>Supplies Category 3</v>
      </c>
      <c r="F101" s="33" t="s">
        <v>46</v>
      </c>
    </row>
    <row r="102" spans="4:6" x14ac:dyDescent="0.3">
      <c r="D102" s="30" t="str">
        <f>IEC_BA!C943</f>
        <v>Supplies Category 4</v>
      </c>
      <c r="F102" s="33" t="s">
        <v>46</v>
      </c>
    </row>
    <row r="103" spans="4:6" x14ac:dyDescent="0.3">
      <c r="D103" s="30" t="str">
        <f>IEC_BA!C944</f>
        <v>Supplies Category 5</v>
      </c>
      <c r="F103" s="33" t="s">
        <v>46</v>
      </c>
    </row>
    <row r="104" spans="4:6" x14ac:dyDescent="0.3">
      <c r="D104" s="30" t="str">
        <f>IEC_BA!C945</f>
        <v>Supplies Category 6</v>
      </c>
      <c r="F104" s="33" t="s">
        <v>46</v>
      </c>
    </row>
    <row r="105" spans="4:6" x14ac:dyDescent="0.3">
      <c r="D105" s="30" t="str">
        <f>IEC_BA!C946</f>
        <v>Supplies Category 7</v>
      </c>
      <c r="F105" s="33" t="s">
        <v>46</v>
      </c>
    </row>
    <row r="106" spans="4:6" x14ac:dyDescent="0.3">
      <c r="D106" s="30" t="str">
        <f>IEC_BA!C947</f>
        <v>Supplies Category 8</v>
      </c>
      <c r="F106" s="33" t="s">
        <v>46</v>
      </c>
    </row>
    <row r="107" spans="4:6" x14ac:dyDescent="0.3">
      <c r="D107" s="30" t="str">
        <f>IEC_BA!C948</f>
        <v>Supplies Category 9</v>
      </c>
      <c r="F107" s="33" t="s">
        <v>46</v>
      </c>
    </row>
    <row r="108" spans="4:6" x14ac:dyDescent="0.3">
      <c r="D108" s="30" t="str">
        <f>IEC_BA!C949</f>
        <v>Supplies Category 10</v>
      </c>
      <c r="F108" s="33" t="s">
        <v>46</v>
      </c>
    </row>
    <row r="109" spans="4:6" x14ac:dyDescent="0.3">
      <c r="D109" s="30" t="str">
        <f>IEC_BA!C950</f>
        <v>Supplies Category 11</v>
      </c>
      <c r="F109" s="33" t="s">
        <v>46</v>
      </c>
    </row>
    <row r="110" spans="4:6" x14ac:dyDescent="0.3">
      <c r="D110" s="30" t="str">
        <f>IEC_BA!C951</f>
        <v>Supplies Category 12</v>
      </c>
      <c r="F110" s="33" t="s">
        <v>46</v>
      </c>
    </row>
    <row r="111" spans="4:6" x14ac:dyDescent="0.3">
      <c r="D111" s="30" t="str">
        <f>IEC_BA!C952</f>
        <v>Supplies Category 13</v>
      </c>
      <c r="F111" s="33" t="s">
        <v>46</v>
      </c>
    </row>
    <row r="112" spans="4:6" x14ac:dyDescent="0.3">
      <c r="D112" s="30" t="str">
        <f>IEC_BA!C953</f>
        <v>Supplies Category 14</v>
      </c>
      <c r="F112" s="33" t="s">
        <v>46</v>
      </c>
    </row>
    <row r="113" spans="4:6" x14ac:dyDescent="0.3">
      <c r="D113" s="30" t="str">
        <f>IEC_BA!C954</f>
        <v>Supplies Category 15</v>
      </c>
      <c r="F113" s="33" t="s">
        <v>46</v>
      </c>
    </row>
    <row r="114" spans="4:6" x14ac:dyDescent="0.3">
      <c r="D114" s="30" t="str">
        <f>IEC_BA!C955</f>
        <v>Supplies Category 16</v>
      </c>
      <c r="F114" s="33" t="s">
        <v>46</v>
      </c>
    </row>
    <row r="115" spans="4:6" x14ac:dyDescent="0.3">
      <c r="D115" s="282" t="str">
        <f>IEC_BA!C956</f>
        <v>Supplies Category 17</v>
      </c>
      <c r="F115" s="119"/>
    </row>
    <row r="116" spans="4:6" x14ac:dyDescent="0.3">
      <c r="D116" s="282" t="str">
        <f>IEC_BA!C957</f>
        <v>Supplies Category 18</v>
      </c>
      <c r="F116" s="119"/>
    </row>
    <row r="117" spans="4:6" x14ac:dyDescent="0.3">
      <c r="D117" s="282" t="str">
        <f>IEC_BA!C958</f>
        <v>Supplies Category 19</v>
      </c>
      <c r="F117" s="119"/>
    </row>
    <row r="118" spans="4:6" x14ac:dyDescent="0.3">
      <c r="D118" s="282" t="str">
        <f>IEC_BA!C959</f>
        <v>Supplies Category 20</v>
      </c>
      <c r="F118" s="119"/>
    </row>
    <row r="119" spans="4:6" x14ac:dyDescent="0.3">
      <c r="D119" s="282" t="str">
        <f>IEC_BA!C960</f>
        <v>Supplies Category 21</v>
      </c>
      <c r="F119" s="119"/>
    </row>
    <row r="120" spans="4:6" x14ac:dyDescent="0.3">
      <c r="D120" s="282" t="str">
        <f>IEC_BA!C961</f>
        <v>Supplies Category 22</v>
      </c>
      <c r="F120" s="119"/>
    </row>
    <row r="121" spans="4:6" x14ac:dyDescent="0.3">
      <c r="D121" s="282" t="str">
        <f>IEC_BA!C962</f>
        <v>Supplies Category 23</v>
      </c>
      <c r="F121" s="119"/>
    </row>
    <row r="122" spans="4:6" x14ac:dyDescent="0.3">
      <c r="D122" s="282" t="str">
        <f>IEC_BA!C963</f>
        <v>Supplies Category 24</v>
      </c>
      <c r="F122" s="119"/>
    </row>
    <row r="123" spans="4:6" x14ac:dyDescent="0.3">
      <c r="D123" s="282" t="str">
        <f>IEC_BA!C964</f>
        <v>Supplies Category 25</v>
      </c>
      <c r="F123" s="119"/>
    </row>
    <row r="124" spans="4:6" x14ac:dyDescent="0.3">
      <c r="D124" s="282" t="str">
        <f>IEC_BA!C965</f>
        <v>Supplies Category 26</v>
      </c>
      <c r="F124" s="119"/>
    </row>
    <row r="125" spans="4:6" x14ac:dyDescent="0.3">
      <c r="D125" s="282" t="str">
        <f>IEC_BA!C966</f>
        <v>Supplies Category 27</v>
      </c>
      <c r="F125" s="119"/>
    </row>
    <row r="126" spans="4:6" x14ac:dyDescent="0.3">
      <c r="D126" s="282" t="str">
        <f>IEC_BA!C967</f>
        <v>Supplies Category 28</v>
      </c>
      <c r="F126" s="119"/>
    </row>
    <row r="127" spans="4:6" x14ac:dyDescent="0.3">
      <c r="D127" s="282" t="str">
        <f>IEC_BA!C968</f>
        <v>Supplies Category 29</v>
      </c>
      <c r="F127" s="119"/>
    </row>
    <row r="128" spans="4:6" x14ac:dyDescent="0.3">
      <c r="D128" s="282" t="str">
        <f>IEC_BA!C969</f>
        <v>Supplies Category 30</v>
      </c>
      <c r="F128" s="119"/>
    </row>
    <row r="129" spans="3:6" x14ac:dyDescent="0.3">
      <c r="D129" s="282" t="str">
        <f>IEC_BA!C970</f>
        <v>Supplies Category 31</v>
      </c>
      <c r="F129" s="119"/>
    </row>
    <row r="130" spans="3:6" x14ac:dyDescent="0.3">
      <c r="D130" s="282" t="str">
        <f>IEC_BA!C971</f>
        <v>Supplies Category 32</v>
      </c>
      <c r="F130" s="119"/>
    </row>
    <row r="131" spans="3:6" x14ac:dyDescent="0.3">
      <c r="D131" s="282" t="str">
        <f>IEC_BA!C972</f>
        <v>Supplies Category 33</v>
      </c>
      <c r="F131" s="119"/>
    </row>
    <row r="132" spans="3:6" x14ac:dyDescent="0.3">
      <c r="D132" s="282" t="str">
        <f>IEC_BA!C973</f>
        <v>Supplies Category 34</v>
      </c>
      <c r="F132" s="119"/>
    </row>
    <row r="133" spans="3:6" x14ac:dyDescent="0.3">
      <c r="D133" s="282" t="str">
        <f>IEC_BA!C974</f>
        <v>Supplies Category 35</v>
      </c>
      <c r="F133" s="119"/>
    </row>
    <row r="136" spans="3:6" ht="15.6" x14ac:dyDescent="0.3">
      <c r="C136" s="115" t="s">
        <v>130</v>
      </c>
      <c r="F136" s="115" t="s">
        <v>28</v>
      </c>
    </row>
    <row r="138" spans="3:6" x14ac:dyDescent="0.3">
      <c r="D138" s="116" t="s">
        <v>95</v>
      </c>
      <c r="F138" s="119" t="s">
        <v>463</v>
      </c>
    </row>
    <row r="139" spans="3:6" x14ac:dyDescent="0.3">
      <c r="D139" s="30" t="str">
        <f>IEC_BA!C977</f>
        <v>Equipment Category 1</v>
      </c>
      <c r="F139" s="33" t="s">
        <v>46</v>
      </c>
    </row>
    <row r="140" spans="3:6" x14ac:dyDescent="0.3">
      <c r="D140" s="30" t="str">
        <f>IEC_BA!C978</f>
        <v>Equipment Category 2</v>
      </c>
      <c r="F140" s="33" t="s">
        <v>46</v>
      </c>
    </row>
    <row r="141" spans="3:6" x14ac:dyDescent="0.3">
      <c r="D141" s="30" t="str">
        <f>IEC_BA!C979</f>
        <v>Equipment Category 3</v>
      </c>
      <c r="F141" s="33" t="s">
        <v>46</v>
      </c>
    </row>
    <row r="142" spans="3:6" x14ac:dyDescent="0.3">
      <c r="D142" s="30" t="str">
        <f>IEC_BA!C980</f>
        <v>Equipment Category 4</v>
      </c>
      <c r="F142" s="33" t="s">
        <v>46</v>
      </c>
    </row>
    <row r="143" spans="3:6" x14ac:dyDescent="0.3">
      <c r="D143" s="30" t="str">
        <f>IEC_BA!C981</f>
        <v>Equipment Category 5</v>
      </c>
      <c r="F143" s="33" t="s">
        <v>46</v>
      </c>
    </row>
    <row r="144" spans="3:6" x14ac:dyDescent="0.3">
      <c r="D144" s="30" t="str">
        <f>IEC_BA!C982</f>
        <v>Equipment Category 6</v>
      </c>
      <c r="F144" s="33" t="s">
        <v>46</v>
      </c>
    </row>
    <row r="145" spans="4:6" x14ac:dyDescent="0.3">
      <c r="D145" s="282" t="str">
        <f>IEC_BA!C983</f>
        <v>Equipment Category 7</v>
      </c>
      <c r="F145" s="119"/>
    </row>
    <row r="146" spans="4:6" x14ac:dyDescent="0.3">
      <c r="D146" s="282" t="str">
        <f>IEC_BA!C984</f>
        <v>Equipment Category 8</v>
      </c>
      <c r="F146" s="119"/>
    </row>
    <row r="147" spans="4:6" x14ac:dyDescent="0.3">
      <c r="D147" s="282" t="str">
        <f>IEC_BA!C985</f>
        <v>Equipment Category 9</v>
      </c>
      <c r="F147" s="119"/>
    </row>
    <row r="148" spans="4:6" x14ac:dyDescent="0.3">
      <c r="D148" s="282" t="str">
        <f>IEC_BA!C986</f>
        <v>Equipment Category 10</v>
      </c>
      <c r="F148" s="119"/>
    </row>
    <row r="149" spans="4:6" x14ac:dyDescent="0.3">
      <c r="D149" s="282" t="str">
        <f>IEC_BA!C987</f>
        <v>Equipment Category 11</v>
      </c>
      <c r="F149" s="119"/>
    </row>
    <row r="150" spans="4:6" x14ac:dyDescent="0.3">
      <c r="D150" s="282" t="str">
        <f>IEC_BA!C988</f>
        <v>Equipment Category 12</v>
      </c>
      <c r="F150" s="119"/>
    </row>
    <row r="151" spans="4:6" x14ac:dyDescent="0.3">
      <c r="D151" s="282" t="str">
        <f>IEC_BA!C989</f>
        <v>Equipment Category 13</v>
      </c>
      <c r="F151" s="119"/>
    </row>
    <row r="152" spans="4:6" x14ac:dyDescent="0.3">
      <c r="D152" s="282" t="str">
        <f>IEC_BA!C990</f>
        <v>Equipment Category 14</v>
      </c>
      <c r="F152" s="119"/>
    </row>
    <row r="153" spans="4:6" x14ac:dyDescent="0.3">
      <c r="D153" s="282" t="str">
        <f>IEC_BA!C991</f>
        <v>Equipment Category 15</v>
      </c>
      <c r="F153" s="119"/>
    </row>
    <row r="154" spans="4:6" x14ac:dyDescent="0.3">
      <c r="D154" s="282" t="str">
        <f>IEC_BA!C992</f>
        <v>Equipment Category 16</v>
      </c>
      <c r="F154" s="119"/>
    </row>
    <row r="155" spans="4:6" x14ac:dyDescent="0.3">
      <c r="D155" s="282" t="str">
        <f>IEC_BA!C993</f>
        <v>Equipment Category 17</v>
      </c>
      <c r="F155" s="119"/>
    </row>
    <row r="156" spans="4:6" x14ac:dyDescent="0.3">
      <c r="D156" s="282" t="str">
        <f>IEC_BA!C994</f>
        <v>Equipment Category 18</v>
      </c>
      <c r="F156" s="119"/>
    </row>
    <row r="157" spans="4:6" x14ac:dyDescent="0.3">
      <c r="D157" s="282" t="str">
        <f>IEC_BA!C995</f>
        <v>Equipment Category 19</v>
      </c>
      <c r="F157" s="119"/>
    </row>
    <row r="158" spans="4:6" x14ac:dyDescent="0.3">
      <c r="D158" s="282" t="str">
        <f>IEC_BA!C996</f>
        <v>Equipment Category 20</v>
      </c>
      <c r="F158" s="119"/>
    </row>
    <row r="159" spans="4:6" x14ac:dyDescent="0.3">
      <c r="D159" s="282" t="str">
        <f>IEC_BA!C997</f>
        <v>Equipment Category 21</v>
      </c>
      <c r="F159" s="119"/>
    </row>
    <row r="160" spans="4:6" x14ac:dyDescent="0.3">
      <c r="D160" s="282" t="str">
        <f>IEC_BA!C998</f>
        <v>Equipment Category 22</v>
      </c>
      <c r="F160" s="119"/>
    </row>
    <row r="161" spans="3:6" x14ac:dyDescent="0.3">
      <c r="D161" s="282" t="str">
        <f>IEC_BA!C999</f>
        <v>Equipment Category 23</v>
      </c>
      <c r="F161" s="119"/>
    </row>
    <row r="162" spans="3:6" x14ac:dyDescent="0.3">
      <c r="D162" s="282" t="str">
        <f>IEC_BA!C1000</f>
        <v>Equipment Category 24</v>
      </c>
      <c r="F162" s="119"/>
    </row>
    <row r="163" spans="3:6" x14ac:dyDescent="0.3">
      <c r="D163" s="282" t="str">
        <f>IEC_BA!C1001</f>
        <v>Equipment Category 25</v>
      </c>
      <c r="F163" s="119"/>
    </row>
    <row r="164" spans="3:6" x14ac:dyDescent="0.3">
      <c r="D164" s="282" t="str">
        <f>IEC_BA!C1002</f>
        <v>Equipment Category 26</v>
      </c>
      <c r="F164" s="119"/>
    </row>
    <row r="165" spans="3:6" x14ac:dyDescent="0.3">
      <c r="D165" s="282" t="str">
        <f>IEC_BA!C1003</f>
        <v>Equipment Category 27</v>
      </c>
      <c r="F165" s="119"/>
    </row>
    <row r="166" spans="3:6" x14ac:dyDescent="0.3">
      <c r="D166" s="282" t="str">
        <f>IEC_BA!C1004</f>
        <v>Equipment Category 28</v>
      </c>
      <c r="F166" s="119"/>
    </row>
    <row r="167" spans="3:6" x14ac:dyDescent="0.3">
      <c r="D167" s="282" t="str">
        <f>IEC_BA!C1005</f>
        <v>Equipment Category 29</v>
      </c>
      <c r="F167" s="119"/>
    </row>
    <row r="168" spans="3:6" x14ac:dyDescent="0.3">
      <c r="D168" s="282" t="str">
        <f>IEC_BA!C1006</f>
        <v>Equipment Category 30</v>
      </c>
      <c r="F168" s="119"/>
    </row>
    <row r="169" spans="3:6" x14ac:dyDescent="0.3">
      <c r="D169" s="282" t="str">
        <f>IEC_BA!C1007</f>
        <v>Equipment Category 31</v>
      </c>
      <c r="F169" s="119"/>
    </row>
    <row r="170" spans="3:6" x14ac:dyDescent="0.3">
      <c r="D170" s="282" t="str">
        <f>IEC_BA!C1008</f>
        <v>Equipment Category 32</v>
      </c>
      <c r="F170" s="119"/>
    </row>
    <row r="171" spans="3:6" x14ac:dyDescent="0.3">
      <c r="D171" s="282" t="str">
        <f>IEC_BA!C1009</f>
        <v>Equipment Category 33</v>
      </c>
      <c r="F171" s="119"/>
    </row>
    <row r="172" spans="3:6" x14ac:dyDescent="0.3">
      <c r="D172" s="282" t="str">
        <f>IEC_BA!C1010</f>
        <v>Equipment Category 34</v>
      </c>
      <c r="F172" s="119"/>
    </row>
    <row r="173" spans="3:6" x14ac:dyDescent="0.3">
      <c r="D173" s="282" t="str">
        <f>IEC_BA!C1011</f>
        <v>Equipment Category 35</v>
      </c>
      <c r="F173" s="119"/>
    </row>
    <row r="175" spans="3:6" ht="15.6" x14ac:dyDescent="0.3">
      <c r="C175" s="115" t="s">
        <v>89</v>
      </c>
      <c r="F175" s="115" t="s">
        <v>28</v>
      </c>
    </row>
    <row r="177" spans="4:6" x14ac:dyDescent="0.3">
      <c r="D177" s="116" t="s">
        <v>95</v>
      </c>
      <c r="F177" s="119" t="s">
        <v>464</v>
      </c>
    </row>
    <row r="178" spans="4:6" x14ac:dyDescent="0.3">
      <c r="D178" s="30" t="str">
        <f>IEC_BA!C1015</f>
        <v>Other Direct Costs Category 1</v>
      </c>
      <c r="F178" s="33" t="s">
        <v>46</v>
      </c>
    </row>
    <row r="179" spans="4:6" x14ac:dyDescent="0.3">
      <c r="D179" s="30" t="str">
        <f>IEC_BA!C1016</f>
        <v>Other Direct Costs Category 2</v>
      </c>
      <c r="F179" s="33" t="s">
        <v>46</v>
      </c>
    </row>
    <row r="180" spans="4:6" x14ac:dyDescent="0.3">
      <c r="D180" s="30" t="str">
        <f>IEC_BA!C1017</f>
        <v>Other Direct Costs Category 3</v>
      </c>
      <c r="F180" s="33" t="s">
        <v>46</v>
      </c>
    </row>
    <row r="181" spans="4:6" x14ac:dyDescent="0.3">
      <c r="D181" s="282" t="str">
        <f>IEC_BA!C1018</f>
        <v>Other Direct Costs Category 4</v>
      </c>
      <c r="F181" s="119"/>
    </row>
    <row r="182" spans="4:6" x14ac:dyDescent="0.3">
      <c r="D182" s="282" t="str">
        <f>IEC_BA!C1019</f>
        <v>Other Direct Costs Category 5</v>
      </c>
      <c r="F182" s="119"/>
    </row>
    <row r="183" spans="4:6" x14ac:dyDescent="0.3">
      <c r="D183" s="282" t="str">
        <f>IEC_BA!C1020</f>
        <v>Other Direct Costs Category 6</v>
      </c>
      <c r="F183" s="119"/>
    </row>
    <row r="184" spans="4:6" x14ac:dyDescent="0.3">
      <c r="D184" s="282" t="str">
        <f>IEC_BA!C1021</f>
        <v>Other Direct Costs Category 7</v>
      </c>
      <c r="F184" s="119"/>
    </row>
    <row r="185" spans="4:6" x14ac:dyDescent="0.3">
      <c r="D185" s="282" t="str">
        <f>IEC_BA!C1022</f>
        <v>Other Direct Costs Category 8</v>
      </c>
      <c r="F185" s="119"/>
    </row>
    <row r="186" spans="4:6" x14ac:dyDescent="0.3">
      <c r="D186" s="282" t="str">
        <f>IEC_BA!C1023</f>
        <v>Other Direct Costs Category 9</v>
      </c>
      <c r="F186" s="119"/>
    </row>
    <row r="187" spans="4:6" x14ac:dyDescent="0.3">
      <c r="D187" s="282" t="str">
        <f>IEC_BA!C1024</f>
        <v>Other Direct Costs Category 10</v>
      </c>
      <c r="F187" s="119"/>
    </row>
    <row r="188" spans="4:6" x14ac:dyDescent="0.3">
      <c r="D188" s="282" t="str">
        <f>IEC_BA!C1025</f>
        <v>Other Direct Costs Category 11</v>
      </c>
      <c r="F188" s="119"/>
    </row>
    <row r="189" spans="4:6" x14ac:dyDescent="0.3">
      <c r="D189" s="282" t="str">
        <f>IEC_BA!C1026</f>
        <v>Other Direct Costs Category 12</v>
      </c>
      <c r="F189" s="119"/>
    </row>
    <row r="190" spans="4:6" x14ac:dyDescent="0.3">
      <c r="D190" s="282" t="str">
        <f>IEC_BA!C1027</f>
        <v>Other Direct Costs Category 13</v>
      </c>
      <c r="F190" s="119"/>
    </row>
    <row r="191" spans="4:6" x14ac:dyDescent="0.3">
      <c r="D191" s="282" t="str">
        <f>IEC_BA!C1028</f>
        <v>Other Direct Costs Category 14</v>
      </c>
      <c r="F191" s="119"/>
    </row>
    <row r="192" spans="4:6" x14ac:dyDescent="0.3">
      <c r="D192" s="282" t="str">
        <f>IEC_BA!C1029</f>
        <v>Other Direct Costs Category 15</v>
      </c>
      <c r="F192" s="119"/>
    </row>
    <row r="193" spans="4:6" x14ac:dyDescent="0.3">
      <c r="D193" s="282" t="str">
        <f>IEC_BA!C1030</f>
        <v>Other Direct Costs Category 16</v>
      </c>
      <c r="F193" s="119"/>
    </row>
    <row r="194" spans="4:6" x14ac:dyDescent="0.3">
      <c r="D194" s="282" t="str">
        <f>IEC_BA!C1031</f>
        <v>Other Direct Costs Category 17</v>
      </c>
      <c r="F194" s="119"/>
    </row>
    <row r="195" spans="4:6" x14ac:dyDescent="0.3">
      <c r="D195" s="282" t="str">
        <f>IEC_BA!C1032</f>
        <v>Other Direct Costs Category 18</v>
      </c>
      <c r="F195" s="119"/>
    </row>
    <row r="196" spans="4:6" x14ac:dyDescent="0.3">
      <c r="D196" s="282" t="str">
        <f>IEC_BA!C1033</f>
        <v>Other Direct Costs Category 19</v>
      </c>
      <c r="F196" s="119"/>
    </row>
    <row r="197" spans="4:6" x14ac:dyDescent="0.3">
      <c r="D197" s="282" t="str">
        <f>IEC_BA!C1034</f>
        <v>Other Direct Costs Category 20</v>
      </c>
      <c r="F197" s="119"/>
    </row>
    <row r="198" spans="4:6" x14ac:dyDescent="0.3">
      <c r="D198" s="282" t="str">
        <f>IEC_BA!C1035</f>
        <v>Other Direct Costs Category 21</v>
      </c>
      <c r="F198" s="119"/>
    </row>
    <row r="199" spans="4:6" x14ac:dyDescent="0.3">
      <c r="D199" s="282" t="str">
        <f>IEC_BA!C1036</f>
        <v>Other Direct Costs Category 22</v>
      </c>
      <c r="F199" s="119"/>
    </row>
    <row r="200" spans="4:6" x14ac:dyDescent="0.3">
      <c r="D200" s="282" t="str">
        <f>IEC_BA!C1037</f>
        <v>Other Direct Costs Category 23</v>
      </c>
      <c r="F200" s="119"/>
    </row>
    <row r="201" spans="4:6" x14ac:dyDescent="0.3">
      <c r="D201" s="282" t="str">
        <f>IEC_BA!C1038</f>
        <v>Other Direct Costs Category 24</v>
      </c>
      <c r="F201" s="119"/>
    </row>
    <row r="202" spans="4:6" x14ac:dyDescent="0.3">
      <c r="D202" s="282" t="str">
        <f>IEC_BA!C1039</f>
        <v>Other Direct Costs Category 25</v>
      </c>
      <c r="F202" s="119"/>
    </row>
    <row r="203" spans="4:6" x14ac:dyDescent="0.3">
      <c r="D203" s="282" t="str">
        <f>IEC_BA!C1040</f>
        <v>Other Direct Costs Category 26</v>
      </c>
      <c r="F203" s="119"/>
    </row>
    <row r="204" spans="4:6" x14ac:dyDescent="0.3">
      <c r="D204" s="282" t="str">
        <f>IEC_BA!C1041</f>
        <v>Other Direct Costs Category 27</v>
      </c>
      <c r="F204" s="119"/>
    </row>
    <row r="205" spans="4:6" x14ac:dyDescent="0.3">
      <c r="D205" s="282" t="str">
        <f>IEC_BA!C1042</f>
        <v>Other Direct Costs Category 28</v>
      </c>
      <c r="F205" s="119"/>
    </row>
    <row r="206" spans="4:6" x14ac:dyDescent="0.3">
      <c r="D206" s="282" t="str">
        <f>IEC_BA!C1043</f>
        <v>Other Direct Costs Category 29</v>
      </c>
      <c r="F206" s="119"/>
    </row>
    <row r="207" spans="4:6" x14ac:dyDescent="0.3">
      <c r="D207" s="282" t="str">
        <f>IEC_BA!C1044</f>
        <v>Other Direct Costs Category 30</v>
      </c>
      <c r="F207" s="119"/>
    </row>
    <row r="208" spans="4:6" x14ac:dyDescent="0.3">
      <c r="D208" s="282" t="str">
        <f>IEC_BA!C1045</f>
        <v>Other Direct Costs Category 31</v>
      </c>
      <c r="F208" s="119"/>
    </row>
    <row r="209" spans="4:6" x14ac:dyDescent="0.3">
      <c r="D209" s="282" t="str">
        <f>IEC_BA!C1046</f>
        <v>Other Direct Costs Category 32</v>
      </c>
      <c r="F209" s="119"/>
    </row>
    <row r="210" spans="4:6" x14ac:dyDescent="0.3">
      <c r="D210" s="282" t="str">
        <f>IEC_BA!C1047</f>
        <v>Other Direct Costs Category 33</v>
      </c>
      <c r="F210" s="119"/>
    </row>
    <row r="211" spans="4:6" x14ac:dyDescent="0.3">
      <c r="D211" s="282" t="str">
        <f>IEC_BA!C1048</f>
        <v>Other Direct Costs Category 34</v>
      </c>
      <c r="F211" s="119"/>
    </row>
    <row r="212" spans="4:6" x14ac:dyDescent="0.3">
      <c r="D212" s="282" t="str">
        <f>IEC_BA!C1049</f>
        <v>Other Direct Costs Category 35</v>
      </c>
      <c r="F212" s="119"/>
    </row>
  </sheetData>
  <sheetProtection algorithmName="SHA-512" hashValue="gYjxWIgmfnSKZmT0C/0TyGddOrKKPOF5GT3IRQnSI5eQegpGSiN7T9wnnxdcFbuxssOsvWKXk8pFS5tEmqHPEA==" saltValue="suq2dyM8tqa8Pff2uzFjQA==" spinCount="100000" sheet="1" objects="1" scenarios="1" formatColumns="0" formatRows="0"/>
  <mergeCells count="1">
    <mergeCell ref="B3:D3"/>
  </mergeCells>
  <hyperlinks>
    <hyperlink ref="A4" location="$B$5" tooltip="Go to Top of Sheet" display="$B$5" xr:uid="{00000000-0004-0000-2A00-000000000000}"/>
    <hyperlink ref="B4" location="HL_Sheet_Main_54" tooltip="Go to Previous Sheet" display="HL_Sheet_Main_54" xr:uid="{00000000-0004-0000-2A00-000001000000}"/>
    <hyperlink ref="C4" location="HL_Sheet_Main_23" tooltip="Go to Next Sheet" display="HL_Sheet_Main_23" xr:uid="{00000000-0004-0000-2A00-000002000000}"/>
    <hyperlink ref="B3" location="HL_Home" tooltip="Go to Table of Contents" display="HL_Home" xr:uid="{00000000-0004-0000-2A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314</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315</v>
      </c>
    </row>
    <row r="9" spans="1:6" ht="15.6" x14ac:dyDescent="0.3">
      <c r="C9" s="115" t="s">
        <v>93</v>
      </c>
    </row>
    <row r="11" spans="1:6" ht="15.6" x14ac:dyDescent="0.3">
      <c r="C11" s="115" t="s">
        <v>93</v>
      </c>
      <c r="F11" s="115" t="s">
        <v>28</v>
      </c>
    </row>
    <row r="13" spans="1:6" x14ac:dyDescent="0.3">
      <c r="D13" s="116" t="s">
        <v>95</v>
      </c>
      <c r="F13" s="119" t="s">
        <v>252</v>
      </c>
    </row>
    <row r="14" spans="1:6" x14ac:dyDescent="0.3">
      <c r="D14" s="30" t="str">
        <f>MOB_BA!D161</f>
        <v>USD</v>
      </c>
      <c r="F14" s="33" t="s">
        <v>46</v>
      </c>
    </row>
    <row r="15" spans="1:6" x14ac:dyDescent="0.3">
      <c r="D15" s="30" t="str">
        <f>MOB_BA!D162</f>
        <v>GOZ</v>
      </c>
      <c r="F15" s="33" t="s">
        <v>46</v>
      </c>
    </row>
    <row r="17" spans="3:6" ht="15.6" x14ac:dyDescent="0.3">
      <c r="C17" s="115" t="s">
        <v>77</v>
      </c>
      <c r="F17" s="115" t="s">
        <v>28</v>
      </c>
    </row>
    <row r="19" spans="3:6" x14ac:dyDescent="0.3">
      <c r="D19" s="116" t="s">
        <v>95</v>
      </c>
      <c r="F19" s="119" t="s">
        <v>253</v>
      </c>
    </row>
    <row r="20" spans="3:6" x14ac:dyDescent="0.3">
      <c r="D20" s="30" t="str">
        <f>MOB_BA!C167</f>
        <v>Personnel Cadre - Other 1</v>
      </c>
      <c r="F20" s="33" t="s">
        <v>46</v>
      </c>
    </row>
    <row r="21" spans="3:6" x14ac:dyDescent="0.3">
      <c r="D21" s="30" t="str">
        <f>MOB_BA!C168</f>
        <v>Personnel Cadre - Other 2</v>
      </c>
      <c r="F21" s="33" t="s">
        <v>46</v>
      </c>
    </row>
    <row r="22" spans="3:6" x14ac:dyDescent="0.3">
      <c r="D22" s="30" t="str">
        <f>MOB_BA!C169</f>
        <v>Personnel Cadre - Other 3</v>
      </c>
      <c r="F22" s="33" t="s">
        <v>46</v>
      </c>
    </row>
    <row r="23" spans="3:6" x14ac:dyDescent="0.3">
      <c r="D23" s="30" t="str">
        <f>MOB_BA!C170</f>
        <v>Personnel Cadre - Other 4</v>
      </c>
      <c r="F23" s="33" t="s">
        <v>46</v>
      </c>
    </row>
    <row r="24" spans="3:6" x14ac:dyDescent="0.3">
      <c r="D24" s="30" t="str">
        <f>MOB_BA!C171</f>
        <v>Personnel Cadre - Other 5</v>
      </c>
      <c r="F24" s="33" t="s">
        <v>46</v>
      </c>
    </row>
    <row r="25" spans="3:6" x14ac:dyDescent="0.3">
      <c r="D25" s="30" t="str">
        <f>MOB_BA!C172</f>
        <v>Personnel Cadre - Other 6</v>
      </c>
      <c r="F25" s="33" t="s">
        <v>46</v>
      </c>
    </row>
    <row r="26" spans="3:6" x14ac:dyDescent="0.3">
      <c r="D26" s="30" t="str">
        <f>MOB_BA!C173</f>
        <v>Personnel Cadre - Other 7</v>
      </c>
      <c r="F26" s="33" t="s">
        <v>46</v>
      </c>
    </row>
    <row r="27" spans="3:6" x14ac:dyDescent="0.3">
      <c r="D27" s="30" t="str">
        <f>MOB_BA!C174</f>
        <v>Personnel Cadre - Other 8</v>
      </c>
      <c r="F27" s="33" t="s">
        <v>46</v>
      </c>
    </row>
    <row r="28" spans="3:6" x14ac:dyDescent="0.3">
      <c r="D28" s="30" t="str">
        <f>MOB_BA!C175</f>
        <v>Personnel Cadre - Other 9</v>
      </c>
      <c r="F28" s="33" t="s">
        <v>46</v>
      </c>
    </row>
    <row r="29" spans="3:6" x14ac:dyDescent="0.3">
      <c r="D29" s="30" t="str">
        <f>MOB_BA!C176</f>
        <v>Personnel Cadre - Other 10</v>
      </c>
      <c r="F29" s="33" t="s">
        <v>46</v>
      </c>
    </row>
    <row r="30" spans="3:6" x14ac:dyDescent="0.3">
      <c r="D30" s="30" t="str">
        <f>MOB_BA!C177</f>
        <v>Personnel Cadre - Other 11</v>
      </c>
      <c r="F30" s="33" t="s">
        <v>46</v>
      </c>
    </row>
    <row r="31" spans="3:6" x14ac:dyDescent="0.3">
      <c r="D31" s="30" t="str">
        <f>MOB_BA!C178</f>
        <v>Personnel Cadre - Other 12</v>
      </c>
      <c r="F31" s="33" t="s">
        <v>46</v>
      </c>
    </row>
    <row r="32" spans="3:6" x14ac:dyDescent="0.3">
      <c r="D32" s="30" t="str">
        <f>MOB_BA!C179</f>
        <v>Personnel Cadre - Other 13</v>
      </c>
      <c r="F32" s="33" t="s">
        <v>46</v>
      </c>
    </row>
    <row r="33" spans="4:6" x14ac:dyDescent="0.3">
      <c r="D33" s="30" t="str">
        <f>MOB_BA!C180</f>
        <v>Personnel Cadre - Other 14</v>
      </c>
      <c r="F33" s="33" t="s">
        <v>46</v>
      </c>
    </row>
    <row r="34" spans="4:6" x14ac:dyDescent="0.3">
      <c r="D34" s="30" t="str">
        <f>MOB_BA!C181</f>
        <v>Personnel Cadre - Other 15</v>
      </c>
      <c r="F34" s="33" t="s">
        <v>46</v>
      </c>
    </row>
    <row r="35" spans="4:6" x14ac:dyDescent="0.3">
      <c r="D35" s="282" t="str">
        <f>MOB_BA!C182</f>
        <v>Personnel Cadre - Other 16</v>
      </c>
      <c r="F35" s="119"/>
    </row>
    <row r="36" spans="4:6" x14ac:dyDescent="0.3">
      <c r="D36" s="282" t="str">
        <f>MOB_BA!C183</f>
        <v>Personnel Cadre - Other 17</v>
      </c>
      <c r="F36" s="119"/>
    </row>
    <row r="37" spans="4:6" x14ac:dyDescent="0.3">
      <c r="D37" s="282" t="str">
        <f>MOB_BA!C184</f>
        <v>Personnel Cadre - Other 18</v>
      </c>
      <c r="F37" s="119"/>
    </row>
    <row r="38" spans="4:6" x14ac:dyDescent="0.3">
      <c r="D38" s="282" t="str">
        <f>MOB_BA!C185</f>
        <v>Personnel Cadre - Other 19</v>
      </c>
      <c r="F38" s="119"/>
    </row>
    <row r="39" spans="4:6" x14ac:dyDescent="0.3">
      <c r="D39" s="282" t="str">
        <f>MOB_BA!C186</f>
        <v>Personnel Cadre - Other 20</v>
      </c>
      <c r="F39" s="119"/>
    </row>
    <row r="40" spans="4:6" x14ac:dyDescent="0.3">
      <c r="D40" s="282" t="str">
        <f>MOB_BA!C187</f>
        <v>Personnel Cadre - Other 21</v>
      </c>
      <c r="F40" s="119"/>
    </row>
    <row r="41" spans="4:6" x14ac:dyDescent="0.3">
      <c r="D41" s="282" t="str">
        <f>MOB_BA!C188</f>
        <v>Personnel Cadre - Other 22</v>
      </c>
      <c r="F41" s="119"/>
    </row>
    <row r="42" spans="4:6" x14ac:dyDescent="0.3">
      <c r="D42" s="282" t="str">
        <f>MOB_BA!C189</f>
        <v>Personnel Cadre - Other 23</v>
      </c>
      <c r="F42" s="119"/>
    </row>
    <row r="43" spans="4:6" x14ac:dyDescent="0.3">
      <c r="D43" s="282" t="str">
        <f>MOB_BA!C190</f>
        <v>Personnel Cadre - Other 24</v>
      </c>
      <c r="F43" s="119"/>
    </row>
    <row r="44" spans="4:6" x14ac:dyDescent="0.3">
      <c r="D44" s="282" t="str">
        <f>MOB_BA!C191</f>
        <v>Personnel Cadre - Other 25</v>
      </c>
      <c r="F44" s="119"/>
    </row>
    <row r="45" spans="4:6" x14ac:dyDescent="0.3">
      <c r="D45" s="282" t="str">
        <f>MOB_BA!C192</f>
        <v>Personnel Cadre - Other 26</v>
      </c>
      <c r="F45" s="119"/>
    </row>
    <row r="46" spans="4:6" x14ac:dyDescent="0.3">
      <c r="D46" s="282" t="str">
        <f>MOB_BA!C193</f>
        <v>Personnel Cadre - Other 27</v>
      </c>
      <c r="F46" s="119"/>
    </row>
    <row r="47" spans="4:6" x14ac:dyDescent="0.3">
      <c r="D47" s="282" t="str">
        <f>MOB_BA!C194</f>
        <v>Personnel Cadre - Other 28</v>
      </c>
      <c r="F47" s="119"/>
    </row>
    <row r="48" spans="4:6" x14ac:dyDescent="0.3">
      <c r="D48" s="282" t="str">
        <f>MOB_BA!C195</f>
        <v>Personnel Cadre - Other 29</v>
      </c>
      <c r="F48" s="119"/>
    </row>
    <row r="49" spans="3:6" x14ac:dyDescent="0.3">
      <c r="D49" s="282" t="str">
        <f>MOB_BA!C196</f>
        <v>Personnel Cadre - Other 30</v>
      </c>
      <c r="F49" s="119"/>
    </row>
    <row r="50" spans="3:6" x14ac:dyDescent="0.3">
      <c r="D50" s="282" t="str">
        <f>MOB_BA!C197</f>
        <v>Personnel Cadre - Other 31</v>
      </c>
      <c r="F50" s="119"/>
    </row>
    <row r="51" spans="3:6" x14ac:dyDescent="0.3">
      <c r="D51" s="282" t="str">
        <f>MOB_BA!C198</f>
        <v>Personnel Cadre - Other 32</v>
      </c>
      <c r="F51" s="119"/>
    </row>
    <row r="52" spans="3:6" x14ac:dyDescent="0.3">
      <c r="D52" s="282" t="str">
        <f>MOB_BA!C199</f>
        <v>Personnel Cadre - Other 33</v>
      </c>
      <c r="F52" s="119"/>
    </row>
    <row r="53" spans="3:6" x14ac:dyDescent="0.3">
      <c r="D53" s="282" t="str">
        <f>MOB_BA!C200</f>
        <v>Personnel Cadre - Other 34</v>
      </c>
      <c r="F53" s="119"/>
    </row>
    <row r="54" spans="3:6" x14ac:dyDescent="0.3">
      <c r="D54" s="282" t="str">
        <f>MOB_BA!C201</f>
        <v>Personnel Cadre - Other 35</v>
      </c>
      <c r="F54" s="119"/>
    </row>
    <row r="56" spans="3:6" ht="15.6" x14ac:dyDescent="0.3">
      <c r="C56" s="115" t="s">
        <v>94</v>
      </c>
      <c r="F56" s="115" t="s">
        <v>28</v>
      </c>
    </row>
    <row r="58" spans="3:6" x14ac:dyDescent="0.3">
      <c r="D58" s="116" t="s">
        <v>95</v>
      </c>
      <c r="F58" s="119" t="s">
        <v>254</v>
      </c>
    </row>
    <row r="59" spans="3:6" x14ac:dyDescent="0.3">
      <c r="D59" s="30" t="str">
        <f>MOB_BA!C204</f>
        <v>Allowances Category 1</v>
      </c>
      <c r="F59" s="33" t="s">
        <v>46</v>
      </c>
    </row>
    <row r="60" spans="3:6" x14ac:dyDescent="0.3">
      <c r="D60" s="30" t="str">
        <f>MOB_BA!C205</f>
        <v>Allowances Category 2</v>
      </c>
      <c r="F60" s="33" t="s">
        <v>46</v>
      </c>
    </row>
    <row r="61" spans="3:6" x14ac:dyDescent="0.3">
      <c r="D61" s="30" t="str">
        <f>MOB_BA!C206</f>
        <v>Allowances Category 3</v>
      </c>
      <c r="F61" s="33" t="s">
        <v>46</v>
      </c>
    </row>
    <row r="62" spans="3:6" x14ac:dyDescent="0.3">
      <c r="D62" s="30" t="str">
        <f>MOB_BA!C207</f>
        <v>Allowances Category 4</v>
      </c>
      <c r="F62" s="33" t="s">
        <v>46</v>
      </c>
    </row>
    <row r="63" spans="3:6" x14ac:dyDescent="0.3">
      <c r="D63" s="30" t="str">
        <f>MOB_BA!C208</f>
        <v>Allowances Category 5</v>
      </c>
      <c r="F63" s="33" t="s">
        <v>46</v>
      </c>
    </row>
    <row r="64" spans="3:6" x14ac:dyDescent="0.3">
      <c r="D64" s="282" t="str">
        <f>MOB_BA!C209</f>
        <v>Allowances Category 6</v>
      </c>
      <c r="F64" s="119"/>
    </row>
    <row r="65" spans="4:6" x14ac:dyDescent="0.3">
      <c r="D65" s="282" t="str">
        <f>MOB_BA!C210</f>
        <v>Allowances Category 7</v>
      </c>
      <c r="F65" s="119"/>
    </row>
    <row r="66" spans="4:6" x14ac:dyDescent="0.3">
      <c r="D66" s="282" t="str">
        <f>MOB_BA!C211</f>
        <v>Allowances Category 8</v>
      </c>
      <c r="F66" s="119"/>
    </row>
    <row r="67" spans="4:6" x14ac:dyDescent="0.3">
      <c r="D67" s="282" t="str">
        <f>MOB_BA!C212</f>
        <v>Allowances Category 9</v>
      </c>
      <c r="F67" s="119"/>
    </row>
    <row r="68" spans="4:6" x14ac:dyDescent="0.3">
      <c r="D68" s="282" t="str">
        <f>MOB_BA!C213</f>
        <v>Allowances Category 10</v>
      </c>
      <c r="F68" s="119"/>
    </row>
    <row r="69" spans="4:6" x14ac:dyDescent="0.3">
      <c r="D69" s="282" t="str">
        <f>MOB_BA!C214</f>
        <v>Allowances Category 11</v>
      </c>
      <c r="F69" s="119"/>
    </row>
    <row r="70" spans="4:6" x14ac:dyDescent="0.3">
      <c r="D70" s="282" t="str">
        <f>MOB_BA!C215</f>
        <v>Allowances Category 12</v>
      </c>
      <c r="F70" s="119"/>
    </row>
    <row r="71" spans="4:6" x14ac:dyDescent="0.3">
      <c r="D71" s="282" t="str">
        <f>MOB_BA!C216</f>
        <v>Allowances Category 13</v>
      </c>
      <c r="F71" s="119"/>
    </row>
    <row r="72" spans="4:6" x14ac:dyDescent="0.3">
      <c r="D72" s="282" t="str">
        <f>MOB_BA!C217</f>
        <v>Allowances Category 14</v>
      </c>
      <c r="F72" s="119"/>
    </row>
    <row r="73" spans="4:6" x14ac:dyDescent="0.3">
      <c r="D73" s="282" t="str">
        <f>MOB_BA!C218</f>
        <v>Allowances Category 15</v>
      </c>
      <c r="F73" s="119"/>
    </row>
    <row r="74" spans="4:6" x14ac:dyDescent="0.3">
      <c r="D74" s="282" t="str">
        <f>MOB_BA!C219</f>
        <v>Allowances Category 16</v>
      </c>
      <c r="F74" s="119"/>
    </row>
    <row r="75" spans="4:6" x14ac:dyDescent="0.3">
      <c r="D75" s="30" t="str">
        <f>MOB_BA!C220</f>
        <v>Allowances Category 17</v>
      </c>
      <c r="F75" s="33" t="s">
        <v>46</v>
      </c>
    </row>
    <row r="76" spans="4:6" x14ac:dyDescent="0.3">
      <c r="D76" s="30" t="str">
        <f>MOB_BA!C221</f>
        <v>Allowances Category 18</v>
      </c>
      <c r="F76" s="33" t="s">
        <v>46</v>
      </c>
    </row>
    <row r="77" spans="4:6" x14ac:dyDescent="0.3">
      <c r="D77" s="30" t="str">
        <f>MOB_BA!C222</f>
        <v>Allowances Category 19</v>
      </c>
      <c r="F77" s="33" t="s">
        <v>46</v>
      </c>
    </row>
    <row r="78" spans="4:6" x14ac:dyDescent="0.3">
      <c r="D78" s="30" t="str">
        <f>MOB_BA!C223</f>
        <v>Allowances Category 20</v>
      </c>
      <c r="F78" s="33" t="s">
        <v>46</v>
      </c>
    </row>
    <row r="79" spans="4:6" x14ac:dyDescent="0.3">
      <c r="D79" s="30" t="str">
        <f>MOB_BA!C224</f>
        <v>Allowances Category 21</v>
      </c>
      <c r="F79" s="33" t="s">
        <v>46</v>
      </c>
    </row>
    <row r="80" spans="4:6" x14ac:dyDescent="0.3">
      <c r="D80" s="30" t="str">
        <f>MOB_BA!C225</f>
        <v>Allowances Category 22</v>
      </c>
      <c r="F80" s="33" t="s">
        <v>46</v>
      </c>
    </row>
    <row r="81" spans="3:6" x14ac:dyDescent="0.3">
      <c r="D81" s="30" t="str">
        <f>MOB_BA!C226</f>
        <v>Allowances Category 23</v>
      </c>
      <c r="F81" s="33" t="s">
        <v>46</v>
      </c>
    </row>
    <row r="82" spans="3:6" x14ac:dyDescent="0.3">
      <c r="D82" s="282" t="str">
        <f>MOB_BA!C227</f>
        <v>Allowances Category 24</v>
      </c>
      <c r="F82" s="119"/>
    </row>
    <row r="83" spans="3:6" x14ac:dyDescent="0.3">
      <c r="D83" s="282" t="str">
        <f>MOB_BA!C228</f>
        <v>Allowances Category 25</v>
      </c>
      <c r="F83" s="119"/>
    </row>
    <row r="84" spans="3:6" x14ac:dyDescent="0.3">
      <c r="D84" s="282" t="str">
        <f>MOB_BA!C229</f>
        <v>Allowances Category 26</v>
      </c>
      <c r="F84" s="119"/>
    </row>
    <row r="85" spans="3:6" x14ac:dyDescent="0.3">
      <c r="D85" s="282" t="str">
        <f>MOB_BA!C230</f>
        <v>Allowances Category 27</v>
      </c>
      <c r="F85" s="119"/>
    </row>
    <row r="86" spans="3:6" x14ac:dyDescent="0.3">
      <c r="D86" s="282" t="str">
        <f>MOB_BA!C231</f>
        <v>Allowances Category 28</v>
      </c>
      <c r="F86" s="119"/>
    </row>
    <row r="87" spans="3:6" x14ac:dyDescent="0.3">
      <c r="D87" s="282" t="str">
        <f>MOB_BA!C232</f>
        <v>Allowances Category 29</v>
      </c>
      <c r="F87" s="119"/>
    </row>
    <row r="88" spans="3:6" x14ac:dyDescent="0.3">
      <c r="D88" s="282" t="str">
        <f>MOB_BA!C233</f>
        <v>Allowances Category 30</v>
      </c>
      <c r="F88" s="119"/>
    </row>
    <row r="89" spans="3:6" x14ac:dyDescent="0.3">
      <c r="D89" s="30" t="str">
        <f>MOB_BA!C234</f>
        <v>Allowances Category 31</v>
      </c>
      <c r="F89" s="33" t="s">
        <v>46</v>
      </c>
    </row>
    <row r="90" spans="3:6" x14ac:dyDescent="0.3">
      <c r="D90" s="30" t="str">
        <f>MOB_BA!C235</f>
        <v>Allowances Category 32</v>
      </c>
      <c r="F90" s="33" t="s">
        <v>46</v>
      </c>
    </row>
    <row r="91" spans="3:6" x14ac:dyDescent="0.3">
      <c r="D91" s="30" t="str">
        <f>MOB_BA!C236</f>
        <v>Allowances Category 33</v>
      </c>
      <c r="F91" s="33" t="s">
        <v>46</v>
      </c>
    </row>
    <row r="92" spans="3:6" x14ac:dyDescent="0.3">
      <c r="D92" s="30" t="str">
        <f>MOB_BA!C237</f>
        <v>Allowances Category 34</v>
      </c>
      <c r="F92" s="33" t="s">
        <v>46</v>
      </c>
    </row>
    <row r="93" spans="3:6" x14ac:dyDescent="0.3">
      <c r="D93" s="30" t="str">
        <f>MOB_BA!C238</f>
        <v>Allowances Category 35</v>
      </c>
      <c r="F93" s="33" t="s">
        <v>46</v>
      </c>
    </row>
    <row r="96" spans="3:6" ht="15.6" x14ac:dyDescent="0.3">
      <c r="C96" s="115" t="s">
        <v>132</v>
      </c>
      <c r="F96" s="115" t="s">
        <v>28</v>
      </c>
    </row>
    <row r="98" spans="4:6" x14ac:dyDescent="0.3">
      <c r="D98" s="116" t="s">
        <v>95</v>
      </c>
      <c r="F98" s="119" t="s">
        <v>255</v>
      </c>
    </row>
    <row r="99" spans="4:6" x14ac:dyDescent="0.3">
      <c r="D99" s="30" t="str">
        <f>MOB_BA!C242</f>
        <v>Supplies Category 1</v>
      </c>
      <c r="F99" s="33" t="s">
        <v>46</v>
      </c>
    </row>
    <row r="100" spans="4:6" x14ac:dyDescent="0.3">
      <c r="D100" s="30" t="str">
        <f>MOB_BA!C243</f>
        <v>Supplies Category 2</v>
      </c>
      <c r="F100" s="33" t="s">
        <v>46</v>
      </c>
    </row>
    <row r="101" spans="4:6" x14ac:dyDescent="0.3">
      <c r="D101" s="30" t="str">
        <f>MOB_BA!C244</f>
        <v>Supplies Category 3</v>
      </c>
      <c r="F101" s="33" t="s">
        <v>46</v>
      </c>
    </row>
    <row r="102" spans="4:6" x14ac:dyDescent="0.3">
      <c r="D102" s="30" t="str">
        <f>MOB_BA!C245</f>
        <v>Supplies Category 4</v>
      </c>
      <c r="F102" s="33" t="s">
        <v>46</v>
      </c>
    </row>
    <row r="103" spans="4:6" x14ac:dyDescent="0.3">
      <c r="D103" s="30" t="str">
        <f>MOB_BA!C246</f>
        <v>Supplies Category 5</v>
      </c>
      <c r="F103" s="33" t="s">
        <v>46</v>
      </c>
    </row>
    <row r="104" spans="4:6" x14ac:dyDescent="0.3">
      <c r="D104" s="30" t="str">
        <f>MOB_BA!C247</f>
        <v>Supplies Category 6</v>
      </c>
      <c r="F104" s="33" t="s">
        <v>46</v>
      </c>
    </row>
    <row r="105" spans="4:6" x14ac:dyDescent="0.3">
      <c r="D105" s="30" t="str">
        <f>MOB_BA!C248</f>
        <v>Supplies Category 7</v>
      </c>
      <c r="F105" s="33" t="s">
        <v>46</v>
      </c>
    </row>
    <row r="106" spans="4:6" x14ac:dyDescent="0.3">
      <c r="D106" s="30" t="str">
        <f>MOB_BA!C249</f>
        <v>Supplies Category 8</v>
      </c>
      <c r="F106" s="33" t="s">
        <v>46</v>
      </c>
    </row>
    <row r="107" spans="4:6" x14ac:dyDescent="0.3">
      <c r="D107" s="30" t="str">
        <f>MOB_BA!C250</f>
        <v>Supplies Category 9</v>
      </c>
      <c r="F107" s="33" t="s">
        <v>46</v>
      </c>
    </row>
    <row r="108" spans="4:6" x14ac:dyDescent="0.3">
      <c r="D108" s="30" t="str">
        <f>MOB_BA!C251</f>
        <v>Supplies Category 10</v>
      </c>
      <c r="F108" s="33" t="s">
        <v>46</v>
      </c>
    </row>
    <row r="109" spans="4:6" x14ac:dyDescent="0.3">
      <c r="D109" s="30" t="str">
        <f>MOB_BA!C252</f>
        <v>Supplies Category 11</v>
      </c>
      <c r="F109" s="33" t="s">
        <v>46</v>
      </c>
    </row>
    <row r="110" spans="4:6" x14ac:dyDescent="0.3">
      <c r="D110" s="30" t="str">
        <f>MOB_BA!C253</f>
        <v>Supplies Category 12</v>
      </c>
      <c r="F110" s="33" t="s">
        <v>46</v>
      </c>
    </row>
    <row r="111" spans="4:6" x14ac:dyDescent="0.3">
      <c r="D111" s="30" t="str">
        <f>MOB_BA!C254</f>
        <v>Supplies Category 13</v>
      </c>
      <c r="F111" s="33" t="s">
        <v>46</v>
      </c>
    </row>
    <row r="112" spans="4:6" x14ac:dyDescent="0.3">
      <c r="D112" s="30" t="str">
        <f>MOB_BA!C255</f>
        <v>Supplies Category 14</v>
      </c>
      <c r="F112" s="33" t="s">
        <v>46</v>
      </c>
    </row>
    <row r="113" spans="4:6" x14ac:dyDescent="0.3">
      <c r="D113" s="30" t="str">
        <f>MOB_BA!C256</f>
        <v>Supplies Category 15</v>
      </c>
      <c r="F113" s="33" t="s">
        <v>46</v>
      </c>
    </row>
    <row r="114" spans="4:6" x14ac:dyDescent="0.3">
      <c r="D114" s="30" t="str">
        <f>MOB_BA!C257</f>
        <v>Supplies Category 16</v>
      </c>
      <c r="F114" s="33" t="s">
        <v>46</v>
      </c>
    </row>
    <row r="115" spans="4:6" x14ac:dyDescent="0.3">
      <c r="D115" s="282" t="str">
        <f>MOB_BA!C258</f>
        <v>Supplies Category 17</v>
      </c>
      <c r="F115" s="119"/>
    </row>
    <row r="116" spans="4:6" x14ac:dyDescent="0.3">
      <c r="D116" s="282" t="str">
        <f>MOB_BA!C259</f>
        <v>Supplies Category 18</v>
      </c>
      <c r="F116" s="119"/>
    </row>
    <row r="117" spans="4:6" x14ac:dyDescent="0.3">
      <c r="D117" s="282" t="str">
        <f>MOB_BA!C260</f>
        <v>Supplies Category 19</v>
      </c>
      <c r="F117" s="119"/>
    </row>
    <row r="118" spans="4:6" x14ac:dyDescent="0.3">
      <c r="D118" s="282" t="str">
        <f>MOB_BA!C261</f>
        <v>Supplies Category 20</v>
      </c>
      <c r="F118" s="119"/>
    </row>
    <row r="119" spans="4:6" x14ac:dyDescent="0.3">
      <c r="D119" s="282" t="str">
        <f>MOB_BA!C262</f>
        <v>Supplies Category 21</v>
      </c>
      <c r="F119" s="119"/>
    </row>
    <row r="120" spans="4:6" x14ac:dyDescent="0.3">
      <c r="D120" s="282" t="str">
        <f>MOB_BA!C263</f>
        <v>Supplies Category 22</v>
      </c>
      <c r="F120" s="119"/>
    </row>
    <row r="121" spans="4:6" x14ac:dyDescent="0.3">
      <c r="D121" s="282" t="str">
        <f>MOB_BA!C264</f>
        <v>Supplies Category 23</v>
      </c>
      <c r="F121" s="119"/>
    </row>
    <row r="122" spans="4:6" x14ac:dyDescent="0.3">
      <c r="D122" s="282" t="str">
        <f>MOB_BA!C265</f>
        <v>Supplies Category 24</v>
      </c>
      <c r="F122" s="119"/>
    </row>
    <row r="123" spans="4:6" x14ac:dyDescent="0.3">
      <c r="D123" s="282" t="str">
        <f>MOB_BA!C266</f>
        <v>Supplies Category 25</v>
      </c>
      <c r="F123" s="119"/>
    </row>
    <row r="124" spans="4:6" x14ac:dyDescent="0.3">
      <c r="D124" s="282" t="str">
        <f>MOB_BA!C267</f>
        <v>Supplies Category 26</v>
      </c>
      <c r="F124" s="119"/>
    </row>
    <row r="125" spans="4:6" x14ac:dyDescent="0.3">
      <c r="D125" s="282" t="str">
        <f>MOB_BA!C268</f>
        <v>Supplies Category 27</v>
      </c>
      <c r="F125" s="119"/>
    </row>
    <row r="126" spans="4:6" x14ac:dyDescent="0.3">
      <c r="D126" s="282" t="str">
        <f>MOB_BA!C269</f>
        <v>Supplies Category 28</v>
      </c>
      <c r="F126" s="119"/>
    </row>
    <row r="127" spans="4:6" x14ac:dyDescent="0.3">
      <c r="D127" s="282" t="str">
        <f>MOB_BA!C270</f>
        <v>Supplies Category 29</v>
      </c>
      <c r="F127" s="119"/>
    </row>
    <row r="128" spans="4:6" x14ac:dyDescent="0.3">
      <c r="D128" s="282" t="str">
        <f>MOB_BA!C271</f>
        <v>Supplies Category 30</v>
      </c>
      <c r="F128" s="119"/>
    </row>
    <row r="129" spans="3:6" x14ac:dyDescent="0.3">
      <c r="D129" s="282" t="str">
        <f>MOB_BA!C272</f>
        <v>Supplies Category 31</v>
      </c>
      <c r="F129" s="119"/>
    </row>
    <row r="130" spans="3:6" x14ac:dyDescent="0.3">
      <c r="D130" s="282" t="str">
        <f>MOB_BA!C273</f>
        <v>Supplies Category 32</v>
      </c>
      <c r="F130" s="119"/>
    </row>
    <row r="131" spans="3:6" x14ac:dyDescent="0.3">
      <c r="D131" s="282" t="str">
        <f>MOB_BA!C274</f>
        <v>Supplies Category 33</v>
      </c>
      <c r="F131" s="119"/>
    </row>
    <row r="132" spans="3:6" x14ac:dyDescent="0.3">
      <c r="D132" s="282" t="str">
        <f>MOB_BA!C275</f>
        <v>Supplies Category 34</v>
      </c>
      <c r="F132" s="119"/>
    </row>
    <row r="133" spans="3:6" x14ac:dyDescent="0.3">
      <c r="D133" s="282" t="str">
        <f>MOB_BA!C276</f>
        <v>Supplies Category 35</v>
      </c>
      <c r="F133" s="119"/>
    </row>
    <row r="136" spans="3:6" ht="15.6" x14ac:dyDescent="0.3">
      <c r="C136" s="115" t="s">
        <v>130</v>
      </c>
      <c r="F136" s="115" t="s">
        <v>28</v>
      </c>
    </row>
    <row r="138" spans="3:6" x14ac:dyDescent="0.3">
      <c r="D138" s="116" t="s">
        <v>95</v>
      </c>
      <c r="F138" s="119" t="s">
        <v>256</v>
      </c>
    </row>
    <row r="139" spans="3:6" x14ac:dyDescent="0.3">
      <c r="D139" s="30" t="str">
        <f>MOB_BA!C279</f>
        <v>Equipment Category 1</v>
      </c>
      <c r="F139" s="33" t="s">
        <v>46</v>
      </c>
    </row>
    <row r="140" spans="3:6" x14ac:dyDescent="0.3">
      <c r="D140" s="30" t="str">
        <f>MOB_BA!C280</f>
        <v>Equipment Category 2</v>
      </c>
      <c r="F140" s="33" t="s">
        <v>46</v>
      </c>
    </row>
    <row r="141" spans="3:6" x14ac:dyDescent="0.3">
      <c r="D141" s="30" t="str">
        <f>MOB_BA!C281</f>
        <v>Equipment Category 3</v>
      </c>
      <c r="F141" s="33" t="s">
        <v>46</v>
      </c>
    </row>
    <row r="142" spans="3:6" x14ac:dyDescent="0.3">
      <c r="D142" s="30" t="str">
        <f>MOB_BA!C282</f>
        <v>Equipment Category 4</v>
      </c>
      <c r="F142" s="33" t="s">
        <v>46</v>
      </c>
    </row>
    <row r="143" spans="3:6" x14ac:dyDescent="0.3">
      <c r="D143" s="30" t="str">
        <f>MOB_BA!C283</f>
        <v>Equipment Category 5</v>
      </c>
      <c r="F143" s="33" t="s">
        <v>46</v>
      </c>
    </row>
    <row r="144" spans="3:6" x14ac:dyDescent="0.3">
      <c r="D144" s="30" t="str">
        <f>MOB_BA!C284</f>
        <v>Equipment Category 6</v>
      </c>
      <c r="F144" s="33" t="s">
        <v>46</v>
      </c>
    </row>
    <row r="145" spans="4:6" x14ac:dyDescent="0.3">
      <c r="D145" s="282" t="str">
        <f>MOB_BA!C285</f>
        <v>Equipment Category 7</v>
      </c>
      <c r="F145" s="119"/>
    </row>
    <row r="146" spans="4:6" x14ac:dyDescent="0.3">
      <c r="D146" s="282" t="str">
        <f>MOB_BA!C286</f>
        <v>Equipment Category 8</v>
      </c>
      <c r="F146" s="119"/>
    </row>
    <row r="147" spans="4:6" x14ac:dyDescent="0.3">
      <c r="D147" s="282" t="str">
        <f>MOB_BA!C287</f>
        <v>Equipment Category 9</v>
      </c>
      <c r="F147" s="119"/>
    </row>
    <row r="148" spans="4:6" x14ac:dyDescent="0.3">
      <c r="D148" s="282" t="str">
        <f>MOB_BA!C288</f>
        <v>Equipment Category 10</v>
      </c>
      <c r="F148" s="119"/>
    </row>
    <row r="149" spans="4:6" x14ac:dyDescent="0.3">
      <c r="D149" s="282" t="str">
        <f>MOB_BA!C289</f>
        <v>Equipment Category 11</v>
      </c>
      <c r="F149" s="119"/>
    </row>
    <row r="150" spans="4:6" x14ac:dyDescent="0.3">
      <c r="D150" s="282" t="str">
        <f>MOB_BA!C290</f>
        <v>Equipment Category 12</v>
      </c>
      <c r="F150" s="119"/>
    </row>
    <row r="151" spans="4:6" x14ac:dyDescent="0.3">
      <c r="D151" s="282" t="str">
        <f>MOB_BA!C291</f>
        <v>Equipment Category 13</v>
      </c>
      <c r="F151" s="119"/>
    </row>
    <row r="152" spans="4:6" x14ac:dyDescent="0.3">
      <c r="D152" s="282" t="str">
        <f>MOB_BA!C292</f>
        <v>Equipment Category 14</v>
      </c>
      <c r="F152" s="119"/>
    </row>
    <row r="153" spans="4:6" x14ac:dyDescent="0.3">
      <c r="D153" s="282" t="str">
        <f>MOB_BA!C293</f>
        <v>Equipment Category 15</v>
      </c>
      <c r="F153" s="119"/>
    </row>
    <row r="154" spans="4:6" x14ac:dyDescent="0.3">
      <c r="D154" s="282" t="str">
        <f>MOB_BA!C294</f>
        <v>Equipment Category 16</v>
      </c>
      <c r="F154" s="119"/>
    </row>
    <row r="155" spans="4:6" x14ac:dyDescent="0.3">
      <c r="D155" s="282" t="str">
        <f>MOB_BA!C295</f>
        <v>Equipment Category 17</v>
      </c>
      <c r="F155" s="119"/>
    </row>
    <row r="156" spans="4:6" x14ac:dyDescent="0.3">
      <c r="D156" s="282" t="str">
        <f>MOB_BA!C296</f>
        <v>Equipment Category 18</v>
      </c>
      <c r="F156" s="119"/>
    </row>
    <row r="157" spans="4:6" x14ac:dyDescent="0.3">
      <c r="D157" s="282" t="str">
        <f>MOB_BA!C297</f>
        <v>Equipment Category 19</v>
      </c>
      <c r="F157" s="119"/>
    </row>
    <row r="158" spans="4:6" x14ac:dyDescent="0.3">
      <c r="D158" s="282" t="str">
        <f>MOB_BA!C298</f>
        <v>Equipment Category 20</v>
      </c>
      <c r="F158" s="119"/>
    </row>
    <row r="159" spans="4:6" x14ac:dyDescent="0.3">
      <c r="D159" s="282" t="str">
        <f>MOB_BA!C299</f>
        <v>Equipment Category 21</v>
      </c>
      <c r="F159" s="119"/>
    </row>
    <row r="160" spans="4:6" x14ac:dyDescent="0.3">
      <c r="D160" s="282" t="str">
        <f>MOB_BA!C300</f>
        <v>Equipment Category 22</v>
      </c>
      <c r="F160" s="119"/>
    </row>
    <row r="161" spans="3:6" x14ac:dyDescent="0.3">
      <c r="D161" s="282" t="str">
        <f>MOB_BA!C301</f>
        <v>Equipment Category 23</v>
      </c>
      <c r="F161" s="119"/>
    </row>
    <row r="162" spans="3:6" x14ac:dyDescent="0.3">
      <c r="D162" s="282" t="str">
        <f>MOB_BA!C302</f>
        <v>Equipment Category 24</v>
      </c>
      <c r="F162" s="119"/>
    </row>
    <row r="163" spans="3:6" x14ac:dyDescent="0.3">
      <c r="D163" s="282" t="str">
        <f>MOB_BA!C303</f>
        <v>Equipment Category 25</v>
      </c>
      <c r="F163" s="119"/>
    </row>
    <row r="164" spans="3:6" x14ac:dyDescent="0.3">
      <c r="D164" s="282" t="str">
        <f>MOB_BA!C304</f>
        <v>Equipment Category 26</v>
      </c>
      <c r="F164" s="119"/>
    </row>
    <row r="165" spans="3:6" x14ac:dyDescent="0.3">
      <c r="D165" s="282" t="str">
        <f>MOB_BA!C305</f>
        <v>Equipment Category 27</v>
      </c>
      <c r="F165" s="119"/>
    </row>
    <row r="166" spans="3:6" x14ac:dyDescent="0.3">
      <c r="D166" s="282" t="str">
        <f>MOB_BA!C306</f>
        <v>Equipment Category 28</v>
      </c>
      <c r="F166" s="119"/>
    </row>
    <row r="167" spans="3:6" x14ac:dyDescent="0.3">
      <c r="D167" s="282" t="str">
        <f>MOB_BA!C307</f>
        <v>Equipment Category 29</v>
      </c>
      <c r="F167" s="119"/>
    </row>
    <row r="168" spans="3:6" x14ac:dyDescent="0.3">
      <c r="D168" s="282" t="str">
        <f>MOB_BA!C308</f>
        <v>Equipment Category 30</v>
      </c>
      <c r="F168" s="119"/>
    </row>
    <row r="169" spans="3:6" x14ac:dyDescent="0.3">
      <c r="D169" s="282" t="str">
        <f>MOB_BA!C309</f>
        <v>Equipment Category 31</v>
      </c>
      <c r="F169" s="119"/>
    </row>
    <row r="170" spans="3:6" x14ac:dyDescent="0.3">
      <c r="D170" s="282" t="str">
        <f>MOB_BA!C310</f>
        <v>Equipment Category 32</v>
      </c>
      <c r="F170" s="119"/>
    </row>
    <row r="171" spans="3:6" x14ac:dyDescent="0.3">
      <c r="D171" s="282" t="str">
        <f>MOB_BA!C311</f>
        <v>Equipment Category 33</v>
      </c>
      <c r="F171" s="119"/>
    </row>
    <row r="172" spans="3:6" x14ac:dyDescent="0.3">
      <c r="D172" s="282" t="str">
        <f>MOB_BA!C312</f>
        <v>Equipment Category 34</v>
      </c>
      <c r="F172" s="119"/>
    </row>
    <row r="173" spans="3:6" x14ac:dyDescent="0.3">
      <c r="D173" s="282" t="str">
        <f>MOB_BA!C313</f>
        <v>Equipment Category 35</v>
      </c>
      <c r="F173" s="119"/>
    </row>
    <row r="175" spans="3:6" ht="15.6" x14ac:dyDescent="0.3">
      <c r="C175" s="115" t="s">
        <v>89</v>
      </c>
      <c r="F175" s="115" t="s">
        <v>28</v>
      </c>
    </row>
    <row r="177" spans="4:6" x14ac:dyDescent="0.3">
      <c r="D177" s="116" t="s">
        <v>95</v>
      </c>
      <c r="F177" s="119" t="s">
        <v>257</v>
      </c>
    </row>
    <row r="178" spans="4:6" x14ac:dyDescent="0.3">
      <c r="D178" s="30" t="str">
        <f>MOB_BA!C317</f>
        <v>Other Direct Costs Category 1</v>
      </c>
      <c r="F178" s="33" t="s">
        <v>46</v>
      </c>
    </row>
    <row r="179" spans="4:6" x14ac:dyDescent="0.3">
      <c r="D179" s="30" t="str">
        <f>MOB_BA!C318</f>
        <v>Other Direct Costs Category 2</v>
      </c>
      <c r="F179" s="33" t="s">
        <v>46</v>
      </c>
    </row>
    <row r="180" spans="4:6" x14ac:dyDescent="0.3">
      <c r="D180" s="30" t="str">
        <f>MOB_BA!C319</f>
        <v>Other Direct Costs Category 3</v>
      </c>
      <c r="F180" s="33" t="s">
        <v>46</v>
      </c>
    </row>
    <row r="181" spans="4:6" x14ac:dyDescent="0.3">
      <c r="D181" s="282" t="str">
        <f>MOB_BA!C320</f>
        <v>Other Direct Costs Category 4</v>
      </c>
      <c r="F181" s="119"/>
    </row>
    <row r="182" spans="4:6" x14ac:dyDescent="0.3">
      <c r="D182" s="282" t="str">
        <f>MOB_BA!C321</f>
        <v>Other Direct Costs Category 5</v>
      </c>
      <c r="F182" s="119"/>
    </row>
    <row r="183" spans="4:6" x14ac:dyDescent="0.3">
      <c r="D183" s="282" t="str">
        <f>MOB_BA!C322</f>
        <v>Other Direct Costs Category 6</v>
      </c>
      <c r="F183" s="119"/>
    </row>
    <row r="184" spans="4:6" x14ac:dyDescent="0.3">
      <c r="D184" s="282" t="str">
        <f>MOB_BA!C323</f>
        <v>Other Direct Costs Category 7</v>
      </c>
      <c r="F184" s="119"/>
    </row>
    <row r="185" spans="4:6" x14ac:dyDescent="0.3">
      <c r="D185" s="282" t="str">
        <f>MOB_BA!C324</f>
        <v>Other Direct Costs Category 8</v>
      </c>
      <c r="F185" s="119"/>
    </row>
    <row r="186" spans="4:6" x14ac:dyDescent="0.3">
      <c r="D186" s="282" t="str">
        <f>MOB_BA!C325</f>
        <v>Other Direct Costs Category 9</v>
      </c>
      <c r="F186" s="119"/>
    </row>
    <row r="187" spans="4:6" x14ac:dyDescent="0.3">
      <c r="D187" s="282" t="str">
        <f>MOB_BA!C326</f>
        <v>Other Direct Costs Category 10</v>
      </c>
      <c r="F187" s="119"/>
    </row>
    <row r="188" spans="4:6" x14ac:dyDescent="0.3">
      <c r="D188" s="282" t="str">
        <f>MOB_BA!C327</f>
        <v>Other Direct Costs Category 11</v>
      </c>
      <c r="F188" s="119"/>
    </row>
    <row r="189" spans="4:6" x14ac:dyDescent="0.3">
      <c r="D189" s="282" t="str">
        <f>MOB_BA!C328</f>
        <v>Other Direct Costs Category 12</v>
      </c>
      <c r="F189" s="119"/>
    </row>
    <row r="190" spans="4:6" x14ac:dyDescent="0.3">
      <c r="D190" s="282" t="str">
        <f>MOB_BA!C329</f>
        <v>Other Direct Costs Category 13</v>
      </c>
      <c r="F190" s="119"/>
    </row>
    <row r="191" spans="4:6" x14ac:dyDescent="0.3">
      <c r="D191" s="282" t="str">
        <f>MOB_BA!C330</f>
        <v>Other Direct Costs Category 14</v>
      </c>
      <c r="F191" s="119"/>
    </row>
    <row r="192" spans="4:6" x14ac:dyDescent="0.3">
      <c r="D192" s="282" t="str">
        <f>MOB_BA!C331</f>
        <v>Other Direct Costs Category 15</v>
      </c>
      <c r="F192" s="119"/>
    </row>
    <row r="193" spans="4:6" x14ac:dyDescent="0.3">
      <c r="D193" s="282" t="str">
        <f>MOB_BA!C332</f>
        <v>Other Direct Costs Category 16</v>
      </c>
      <c r="F193" s="119"/>
    </row>
    <row r="194" spans="4:6" x14ac:dyDescent="0.3">
      <c r="D194" s="282" t="str">
        <f>MOB_BA!C333</f>
        <v>Other Direct Costs Category 17</v>
      </c>
      <c r="F194" s="119"/>
    </row>
    <row r="195" spans="4:6" x14ac:dyDescent="0.3">
      <c r="D195" s="282" t="str">
        <f>MOB_BA!C334</f>
        <v>Other Direct Costs Category 18</v>
      </c>
      <c r="F195" s="119"/>
    </row>
    <row r="196" spans="4:6" x14ac:dyDescent="0.3">
      <c r="D196" s="282" t="str">
        <f>MOB_BA!C335</f>
        <v>Other Direct Costs Category 19</v>
      </c>
      <c r="F196" s="119"/>
    </row>
    <row r="197" spans="4:6" x14ac:dyDescent="0.3">
      <c r="D197" s="282" t="str">
        <f>MOB_BA!C336</f>
        <v>Other Direct Costs Category 20</v>
      </c>
      <c r="F197" s="119"/>
    </row>
    <row r="198" spans="4:6" x14ac:dyDescent="0.3">
      <c r="D198" s="282" t="str">
        <f>MOB_BA!C337</f>
        <v>Other Direct Costs Category 21</v>
      </c>
      <c r="F198" s="119"/>
    </row>
    <row r="199" spans="4:6" x14ac:dyDescent="0.3">
      <c r="D199" s="282" t="str">
        <f>MOB_BA!C338</f>
        <v>Other Direct Costs Category 22</v>
      </c>
      <c r="F199" s="119"/>
    </row>
    <row r="200" spans="4:6" x14ac:dyDescent="0.3">
      <c r="D200" s="282" t="str">
        <f>MOB_BA!C339</f>
        <v>Other Direct Costs Category 23</v>
      </c>
      <c r="F200" s="119"/>
    </row>
    <row r="201" spans="4:6" x14ac:dyDescent="0.3">
      <c r="D201" s="282" t="str">
        <f>MOB_BA!C340</f>
        <v>Other Direct Costs Category 24</v>
      </c>
      <c r="F201" s="119"/>
    </row>
    <row r="202" spans="4:6" x14ac:dyDescent="0.3">
      <c r="D202" s="282" t="str">
        <f>MOB_BA!C341</f>
        <v>Other Direct Costs Category 25</v>
      </c>
      <c r="F202" s="119"/>
    </row>
    <row r="203" spans="4:6" x14ac:dyDescent="0.3">
      <c r="D203" s="282" t="str">
        <f>MOB_BA!C342</f>
        <v>Other Direct Costs Category 26</v>
      </c>
      <c r="F203" s="119"/>
    </row>
    <row r="204" spans="4:6" x14ac:dyDescent="0.3">
      <c r="D204" s="282" t="str">
        <f>MOB_BA!C343</f>
        <v>Other Direct Costs Category 27</v>
      </c>
      <c r="F204" s="119"/>
    </row>
    <row r="205" spans="4:6" x14ac:dyDescent="0.3">
      <c r="D205" s="282" t="str">
        <f>MOB_BA!C344</f>
        <v>Other Direct Costs Category 28</v>
      </c>
      <c r="F205" s="119"/>
    </row>
    <row r="206" spans="4:6" x14ac:dyDescent="0.3">
      <c r="D206" s="282" t="str">
        <f>MOB_BA!C345</f>
        <v>Other Direct Costs Category 29</v>
      </c>
      <c r="F206" s="119"/>
    </row>
    <row r="207" spans="4:6" x14ac:dyDescent="0.3">
      <c r="D207" s="282" t="str">
        <f>MOB_BA!C346</f>
        <v>Other Direct Costs Category 30</v>
      </c>
      <c r="F207" s="119"/>
    </row>
    <row r="208" spans="4:6" x14ac:dyDescent="0.3">
      <c r="D208" s="282" t="str">
        <f>MOB_BA!C347</f>
        <v>Other Direct Costs Category 31</v>
      </c>
      <c r="F208" s="119"/>
    </row>
    <row r="209" spans="4:6" x14ac:dyDescent="0.3">
      <c r="D209" s="282" t="str">
        <f>MOB_BA!C348</f>
        <v>Other Direct Costs Category 32</v>
      </c>
      <c r="F209" s="119"/>
    </row>
    <row r="210" spans="4:6" x14ac:dyDescent="0.3">
      <c r="D210" s="282" t="str">
        <f>MOB_BA!C349</f>
        <v>Other Direct Costs Category 33</v>
      </c>
      <c r="F210" s="119"/>
    </row>
    <row r="211" spans="4:6" x14ac:dyDescent="0.3">
      <c r="D211" s="282" t="str">
        <f>MOB_BA!C350</f>
        <v>Other Direct Costs Category 34</v>
      </c>
      <c r="F211" s="119"/>
    </row>
    <row r="212" spans="4:6" x14ac:dyDescent="0.3">
      <c r="D212" s="282" t="str">
        <f>MOB_BA!C351</f>
        <v>Other Direct Costs Category 35</v>
      </c>
      <c r="F212" s="119"/>
    </row>
  </sheetData>
  <sheetProtection algorithmName="SHA-512" hashValue="xBYnjLyTDq++Lf6Dp8nfCB6uJlXiVdufG9UMowqRGDRVIUWgq1kB/zUmwJ1ihA2CuCocq+J+E5vjBtjWX3rA8w==" saltValue="Ayz/ITHUP+jca0HQ7WjYiQ==" spinCount="100000" sheet="1" objects="1" scenarios="1" formatColumns="0" formatRows="0"/>
  <mergeCells count="1">
    <mergeCell ref="B3:D3"/>
  </mergeCells>
  <hyperlinks>
    <hyperlink ref="A4" location="$B$5" tooltip="Go to Top of Sheet" display="$B$5" xr:uid="{00000000-0004-0000-2B00-000000000000}"/>
    <hyperlink ref="C4" location="HL_Sheet_Main_24" tooltip="Go to Next Sheet" display="HL_Sheet_Main_24" xr:uid="{00000000-0004-0000-2B00-000001000000}"/>
    <hyperlink ref="B4" location="HL_Sheet_Main_55" tooltip="Go to Previous Sheet" display="HL_Sheet_Main_55" xr:uid="{00000000-0004-0000-2B00-000002000000}"/>
    <hyperlink ref="B3" location="HL_Home" tooltip="Go to Table of Contents" display="HL_Home" xr:uid="{00000000-0004-0000-2B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316</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318</v>
      </c>
    </row>
    <row r="9" spans="1:6" ht="15.6" x14ac:dyDescent="0.3">
      <c r="C9" s="115" t="s">
        <v>93</v>
      </c>
    </row>
    <row r="11" spans="1:6" ht="15.6" x14ac:dyDescent="0.3">
      <c r="C11" s="115" t="s">
        <v>93</v>
      </c>
      <c r="F11" s="115" t="s">
        <v>28</v>
      </c>
    </row>
    <row r="13" spans="1:6" x14ac:dyDescent="0.3">
      <c r="D13" s="116" t="s">
        <v>95</v>
      </c>
      <c r="F13" s="119" t="s">
        <v>258</v>
      </c>
    </row>
    <row r="14" spans="1:6" x14ac:dyDescent="0.3">
      <c r="D14" s="30" t="str">
        <f>MOB_BA!D509</f>
        <v>USD</v>
      </c>
      <c r="F14" s="33" t="s">
        <v>46</v>
      </c>
    </row>
    <row r="15" spans="1:6" x14ac:dyDescent="0.3">
      <c r="D15" s="30" t="str">
        <f>MOB_BA!D510</f>
        <v>GOZ</v>
      </c>
      <c r="F15" s="33" t="s">
        <v>46</v>
      </c>
    </row>
    <row r="17" spans="3:6" ht="15.6" x14ac:dyDescent="0.3">
      <c r="C17" s="115" t="s">
        <v>77</v>
      </c>
      <c r="F17" s="115" t="s">
        <v>28</v>
      </c>
    </row>
    <row r="19" spans="3:6" x14ac:dyDescent="0.3">
      <c r="D19" s="116" t="s">
        <v>95</v>
      </c>
      <c r="F19" s="119" t="s">
        <v>259</v>
      </c>
    </row>
    <row r="20" spans="3:6" x14ac:dyDescent="0.3">
      <c r="D20" s="30" t="str">
        <f>MOB_BA!C515</f>
        <v>Personnel Cadre - Other 1</v>
      </c>
      <c r="F20" s="33" t="s">
        <v>46</v>
      </c>
    </row>
    <row r="21" spans="3:6" x14ac:dyDescent="0.3">
      <c r="D21" s="30" t="str">
        <f>MOB_BA!C516</f>
        <v>Personnel Cadre - Other 2</v>
      </c>
      <c r="F21" s="33" t="s">
        <v>46</v>
      </c>
    </row>
    <row r="22" spans="3:6" x14ac:dyDescent="0.3">
      <c r="D22" s="30" t="str">
        <f>MOB_BA!C517</f>
        <v>Personnel Cadre - Other 3</v>
      </c>
      <c r="F22" s="33" t="s">
        <v>46</v>
      </c>
    </row>
    <row r="23" spans="3:6" x14ac:dyDescent="0.3">
      <c r="D23" s="30" t="str">
        <f>MOB_BA!C518</f>
        <v>Personnel Cadre - Other 4</v>
      </c>
      <c r="F23" s="33" t="s">
        <v>46</v>
      </c>
    </row>
    <row r="24" spans="3:6" x14ac:dyDescent="0.3">
      <c r="D24" s="30" t="str">
        <f>MOB_BA!C519</f>
        <v>Personnel Cadre - Other 5</v>
      </c>
      <c r="F24" s="33" t="s">
        <v>46</v>
      </c>
    </row>
    <row r="25" spans="3:6" x14ac:dyDescent="0.3">
      <c r="D25" s="30" t="str">
        <f>MOB_BA!C520</f>
        <v>Personnel Cadre - Other 6</v>
      </c>
      <c r="F25" s="33" t="s">
        <v>46</v>
      </c>
    </row>
    <row r="26" spans="3:6" x14ac:dyDescent="0.3">
      <c r="D26" s="30" t="str">
        <f>MOB_BA!C521</f>
        <v>Personnel Cadre - Other 7</v>
      </c>
      <c r="F26" s="33" t="s">
        <v>46</v>
      </c>
    </row>
    <row r="27" spans="3:6" x14ac:dyDescent="0.3">
      <c r="D27" s="30" t="str">
        <f>MOB_BA!C522</f>
        <v>Personnel Cadre - Other 8</v>
      </c>
      <c r="F27" s="33" t="s">
        <v>46</v>
      </c>
    </row>
    <row r="28" spans="3:6" x14ac:dyDescent="0.3">
      <c r="D28" s="30" t="str">
        <f>MOB_BA!C523</f>
        <v>Personnel Cadre - Other 9</v>
      </c>
      <c r="F28" s="33" t="s">
        <v>46</v>
      </c>
    </row>
    <row r="29" spans="3:6" x14ac:dyDescent="0.3">
      <c r="D29" s="30" t="str">
        <f>MOB_BA!C524</f>
        <v>Personnel Cadre - Other 10</v>
      </c>
      <c r="F29" s="33" t="s">
        <v>46</v>
      </c>
    </row>
    <row r="30" spans="3:6" x14ac:dyDescent="0.3">
      <c r="D30" s="30" t="str">
        <f>MOB_BA!C525</f>
        <v>Personnel Cadre - Other 11</v>
      </c>
      <c r="F30" s="33" t="s">
        <v>46</v>
      </c>
    </row>
    <row r="31" spans="3:6" x14ac:dyDescent="0.3">
      <c r="D31" s="30" t="str">
        <f>MOB_BA!C526</f>
        <v>Personnel Cadre - Other 12</v>
      </c>
      <c r="F31" s="33" t="s">
        <v>46</v>
      </c>
    </row>
    <row r="32" spans="3:6" x14ac:dyDescent="0.3">
      <c r="D32" s="30" t="str">
        <f>MOB_BA!C527</f>
        <v>Personnel Cadre - Other 13</v>
      </c>
      <c r="F32" s="33" t="s">
        <v>46</v>
      </c>
    </row>
    <row r="33" spans="4:6" x14ac:dyDescent="0.3">
      <c r="D33" s="30" t="str">
        <f>MOB_BA!C528</f>
        <v>Personnel Cadre - Other 14</v>
      </c>
      <c r="F33" s="33" t="s">
        <v>46</v>
      </c>
    </row>
    <row r="34" spans="4:6" x14ac:dyDescent="0.3">
      <c r="D34" s="30" t="str">
        <f>MOB_BA!C529</f>
        <v>Personnel Cadre - Other 15</v>
      </c>
      <c r="F34" s="33" t="s">
        <v>46</v>
      </c>
    </row>
    <row r="35" spans="4:6" x14ac:dyDescent="0.3">
      <c r="D35" s="282" t="str">
        <f>MOB_BA!C530</f>
        <v>Personnel Cadre - Other 16</v>
      </c>
      <c r="F35" s="119"/>
    </row>
    <row r="36" spans="4:6" x14ac:dyDescent="0.3">
      <c r="D36" s="282" t="str">
        <f>MOB_BA!C531</f>
        <v>Personnel Cadre - Other 17</v>
      </c>
      <c r="F36" s="119"/>
    </row>
    <row r="37" spans="4:6" x14ac:dyDescent="0.3">
      <c r="D37" s="282" t="str">
        <f>MOB_BA!C532</f>
        <v>Personnel Cadre - Other 18</v>
      </c>
      <c r="F37" s="119"/>
    </row>
    <row r="38" spans="4:6" x14ac:dyDescent="0.3">
      <c r="D38" s="282" t="str">
        <f>MOB_BA!C533</f>
        <v>Personnel Cadre - Other 19</v>
      </c>
      <c r="F38" s="119"/>
    </row>
    <row r="39" spans="4:6" x14ac:dyDescent="0.3">
      <c r="D39" s="282" t="str">
        <f>MOB_BA!C534</f>
        <v>Personnel Cadre - Other 20</v>
      </c>
      <c r="F39" s="119"/>
    </row>
    <row r="40" spans="4:6" x14ac:dyDescent="0.3">
      <c r="D40" s="282" t="str">
        <f>MOB_BA!C535</f>
        <v>Personnel Cadre - Other 21</v>
      </c>
      <c r="F40" s="119"/>
    </row>
    <row r="41" spans="4:6" x14ac:dyDescent="0.3">
      <c r="D41" s="282" t="str">
        <f>MOB_BA!C536</f>
        <v>Personnel Cadre - Other 22</v>
      </c>
      <c r="F41" s="119"/>
    </row>
    <row r="42" spans="4:6" x14ac:dyDescent="0.3">
      <c r="D42" s="282" t="str">
        <f>MOB_BA!C537</f>
        <v>Personnel Cadre - Other 23</v>
      </c>
      <c r="F42" s="119"/>
    </row>
    <row r="43" spans="4:6" x14ac:dyDescent="0.3">
      <c r="D43" s="282" t="str">
        <f>MOB_BA!C538</f>
        <v>Personnel Cadre - Other 24</v>
      </c>
      <c r="F43" s="119"/>
    </row>
    <row r="44" spans="4:6" x14ac:dyDescent="0.3">
      <c r="D44" s="282" t="str">
        <f>MOB_BA!C539</f>
        <v>Personnel Cadre - Other 25</v>
      </c>
      <c r="F44" s="119"/>
    </row>
    <row r="45" spans="4:6" x14ac:dyDescent="0.3">
      <c r="D45" s="282" t="str">
        <f>MOB_BA!C540</f>
        <v>Personnel Cadre - Other 26</v>
      </c>
      <c r="F45" s="119"/>
    </row>
    <row r="46" spans="4:6" x14ac:dyDescent="0.3">
      <c r="D46" s="282" t="str">
        <f>MOB_BA!C541</f>
        <v>Personnel Cadre - Other 27</v>
      </c>
      <c r="F46" s="119"/>
    </row>
    <row r="47" spans="4:6" x14ac:dyDescent="0.3">
      <c r="D47" s="282" t="str">
        <f>MOB_BA!C542</f>
        <v>Personnel Cadre - Other 28</v>
      </c>
      <c r="F47" s="119"/>
    </row>
    <row r="48" spans="4:6" x14ac:dyDescent="0.3">
      <c r="D48" s="282" t="str">
        <f>MOB_BA!C543</f>
        <v>Personnel Cadre - Other 29</v>
      </c>
      <c r="F48" s="119"/>
    </row>
    <row r="49" spans="3:6" x14ac:dyDescent="0.3">
      <c r="D49" s="282" t="str">
        <f>MOB_BA!C544</f>
        <v>Personnel Cadre - Other 30</v>
      </c>
      <c r="F49" s="119"/>
    </row>
    <row r="50" spans="3:6" x14ac:dyDescent="0.3">
      <c r="D50" s="282" t="str">
        <f>MOB_BA!C545</f>
        <v>Personnel Cadre - Other 31</v>
      </c>
      <c r="F50" s="119"/>
    </row>
    <row r="51" spans="3:6" x14ac:dyDescent="0.3">
      <c r="D51" s="282" t="str">
        <f>MOB_BA!C546</f>
        <v>Personnel Cadre - Other 32</v>
      </c>
      <c r="F51" s="119"/>
    </row>
    <row r="52" spans="3:6" x14ac:dyDescent="0.3">
      <c r="D52" s="282" t="str">
        <f>MOB_BA!C547</f>
        <v>Personnel Cadre - Other 33</v>
      </c>
      <c r="F52" s="119"/>
    </row>
    <row r="53" spans="3:6" x14ac:dyDescent="0.3">
      <c r="D53" s="282" t="str">
        <f>MOB_BA!C548</f>
        <v>Personnel Cadre - Other 34</v>
      </c>
      <c r="F53" s="119"/>
    </row>
    <row r="54" spans="3:6" x14ac:dyDescent="0.3">
      <c r="D54" s="282" t="str">
        <f>MOB_BA!C549</f>
        <v>Personnel Cadre - Other 35</v>
      </c>
      <c r="F54" s="119"/>
    </row>
    <row r="56" spans="3:6" ht="15.6" x14ac:dyDescent="0.3">
      <c r="C56" s="115" t="s">
        <v>94</v>
      </c>
      <c r="F56" s="115" t="s">
        <v>28</v>
      </c>
    </row>
    <row r="58" spans="3:6" x14ac:dyDescent="0.3">
      <c r="D58" s="116" t="s">
        <v>95</v>
      </c>
      <c r="F58" s="119" t="s">
        <v>260</v>
      </c>
    </row>
    <row r="59" spans="3:6" x14ac:dyDescent="0.3">
      <c r="D59" s="30" t="str">
        <f>MOB_BA!C552</f>
        <v>Allowances Category 1</v>
      </c>
      <c r="F59" s="33" t="s">
        <v>46</v>
      </c>
    </row>
    <row r="60" spans="3:6" x14ac:dyDescent="0.3">
      <c r="D60" s="30" t="str">
        <f>MOB_BA!C553</f>
        <v>Allowances Category 2</v>
      </c>
      <c r="F60" s="33" t="s">
        <v>46</v>
      </c>
    </row>
    <row r="61" spans="3:6" x14ac:dyDescent="0.3">
      <c r="D61" s="30" t="str">
        <f>MOB_BA!C554</f>
        <v>Allowances Category 3</v>
      </c>
      <c r="F61" s="33" t="s">
        <v>46</v>
      </c>
    </row>
    <row r="62" spans="3:6" x14ac:dyDescent="0.3">
      <c r="D62" s="30" t="str">
        <f>MOB_BA!C555</f>
        <v>Allowances Category 4</v>
      </c>
      <c r="F62" s="33" t="s">
        <v>46</v>
      </c>
    </row>
    <row r="63" spans="3:6" x14ac:dyDescent="0.3">
      <c r="D63" s="30" t="str">
        <f>MOB_BA!C556</f>
        <v>Allowances Category 5</v>
      </c>
      <c r="F63" s="33" t="s">
        <v>46</v>
      </c>
    </row>
    <row r="64" spans="3:6" x14ac:dyDescent="0.3">
      <c r="D64" s="282" t="str">
        <f>MOB_BA!C557</f>
        <v>Allowances Category 6</v>
      </c>
      <c r="F64" s="119"/>
    </row>
    <row r="65" spans="4:6" x14ac:dyDescent="0.3">
      <c r="D65" s="282" t="str">
        <f>MOB_BA!C558</f>
        <v>Allowances Category 7</v>
      </c>
      <c r="F65" s="119"/>
    </row>
    <row r="66" spans="4:6" x14ac:dyDescent="0.3">
      <c r="D66" s="282" t="str">
        <f>MOB_BA!C559</f>
        <v>Allowances Category 8</v>
      </c>
      <c r="F66" s="119"/>
    </row>
    <row r="67" spans="4:6" x14ac:dyDescent="0.3">
      <c r="D67" s="282" t="str">
        <f>MOB_BA!C560</f>
        <v>Allowances Category 9</v>
      </c>
      <c r="F67" s="119"/>
    </row>
    <row r="68" spans="4:6" x14ac:dyDescent="0.3">
      <c r="D68" s="282" t="str">
        <f>MOB_BA!C561</f>
        <v>Allowances Category 10</v>
      </c>
      <c r="F68" s="119"/>
    </row>
    <row r="69" spans="4:6" x14ac:dyDescent="0.3">
      <c r="D69" s="282" t="str">
        <f>MOB_BA!C562</f>
        <v>Allowances Category 11</v>
      </c>
      <c r="F69" s="119"/>
    </row>
    <row r="70" spans="4:6" x14ac:dyDescent="0.3">
      <c r="D70" s="282" t="str">
        <f>MOB_BA!C563</f>
        <v>Allowances Category 12</v>
      </c>
      <c r="F70" s="119"/>
    </row>
    <row r="71" spans="4:6" x14ac:dyDescent="0.3">
      <c r="D71" s="282" t="str">
        <f>MOB_BA!C564</f>
        <v>Allowances Category 13</v>
      </c>
      <c r="F71" s="119"/>
    </row>
    <row r="72" spans="4:6" x14ac:dyDescent="0.3">
      <c r="D72" s="282" t="str">
        <f>MOB_BA!C565</f>
        <v>Allowances Category 14</v>
      </c>
      <c r="F72" s="119"/>
    </row>
    <row r="73" spans="4:6" x14ac:dyDescent="0.3">
      <c r="D73" s="282" t="str">
        <f>MOB_BA!C566</f>
        <v>Allowances Category 15</v>
      </c>
      <c r="F73" s="119"/>
    </row>
    <row r="74" spans="4:6" x14ac:dyDescent="0.3">
      <c r="D74" s="282" t="str">
        <f>MOB_BA!C567</f>
        <v>Allowances Category 16</v>
      </c>
      <c r="F74" s="119"/>
    </row>
    <row r="75" spans="4:6" x14ac:dyDescent="0.3">
      <c r="D75" s="30" t="str">
        <f>MOB_BA!C568</f>
        <v>Allowances Category 17</v>
      </c>
      <c r="F75" s="33" t="s">
        <v>46</v>
      </c>
    </row>
    <row r="76" spans="4:6" x14ac:dyDescent="0.3">
      <c r="D76" s="30" t="str">
        <f>MOB_BA!C569</f>
        <v>Allowances Category 18</v>
      </c>
      <c r="F76" s="33" t="s">
        <v>46</v>
      </c>
    </row>
    <row r="77" spans="4:6" x14ac:dyDescent="0.3">
      <c r="D77" s="30" t="str">
        <f>MOB_BA!C570</f>
        <v>Allowances Category 19</v>
      </c>
      <c r="F77" s="33" t="s">
        <v>46</v>
      </c>
    </row>
    <row r="78" spans="4:6" x14ac:dyDescent="0.3">
      <c r="D78" s="30" t="str">
        <f>MOB_BA!C571</f>
        <v>Allowances Category 20</v>
      </c>
      <c r="F78" s="33" t="s">
        <v>46</v>
      </c>
    </row>
    <row r="79" spans="4:6" x14ac:dyDescent="0.3">
      <c r="D79" s="30" t="str">
        <f>MOB_BA!C572</f>
        <v>Allowances Category 21</v>
      </c>
      <c r="F79" s="33" t="s">
        <v>46</v>
      </c>
    </row>
    <row r="80" spans="4:6" x14ac:dyDescent="0.3">
      <c r="D80" s="30" t="str">
        <f>MOB_BA!C573</f>
        <v>Allowances Category 22</v>
      </c>
      <c r="F80" s="33" t="s">
        <v>46</v>
      </c>
    </row>
    <row r="81" spans="3:6" x14ac:dyDescent="0.3">
      <c r="D81" s="30" t="str">
        <f>MOB_BA!C574</f>
        <v>Allowances Category 23</v>
      </c>
      <c r="F81" s="33" t="s">
        <v>46</v>
      </c>
    </row>
    <row r="82" spans="3:6" x14ac:dyDescent="0.3">
      <c r="D82" s="282" t="str">
        <f>MOB_BA!C575</f>
        <v>Allowances Category 24</v>
      </c>
      <c r="F82" s="119"/>
    </row>
    <row r="83" spans="3:6" x14ac:dyDescent="0.3">
      <c r="D83" s="282" t="str">
        <f>MOB_BA!C576</f>
        <v>Allowances Category 25</v>
      </c>
      <c r="F83" s="119"/>
    </row>
    <row r="84" spans="3:6" x14ac:dyDescent="0.3">
      <c r="D84" s="282" t="str">
        <f>MOB_BA!C577</f>
        <v>Allowances Category 26</v>
      </c>
      <c r="F84" s="119"/>
    </row>
    <row r="85" spans="3:6" x14ac:dyDescent="0.3">
      <c r="D85" s="282" t="str">
        <f>MOB_BA!C578</f>
        <v>Allowances Category 27</v>
      </c>
      <c r="F85" s="119"/>
    </row>
    <row r="86" spans="3:6" x14ac:dyDescent="0.3">
      <c r="D86" s="282" t="str">
        <f>MOB_BA!C579</f>
        <v>Allowances Category 28</v>
      </c>
      <c r="F86" s="119"/>
    </row>
    <row r="87" spans="3:6" x14ac:dyDescent="0.3">
      <c r="D87" s="282" t="str">
        <f>MOB_BA!C580</f>
        <v>Allowances Category 29</v>
      </c>
      <c r="F87" s="119"/>
    </row>
    <row r="88" spans="3:6" x14ac:dyDescent="0.3">
      <c r="D88" s="282" t="str">
        <f>MOB_BA!C581</f>
        <v>Allowances Category 30</v>
      </c>
      <c r="F88" s="119"/>
    </row>
    <row r="89" spans="3:6" x14ac:dyDescent="0.3">
      <c r="D89" s="30" t="str">
        <f>MOB_BA!C582</f>
        <v>Allowances Category 31</v>
      </c>
      <c r="F89" s="33" t="s">
        <v>46</v>
      </c>
    </row>
    <row r="90" spans="3:6" x14ac:dyDescent="0.3">
      <c r="D90" s="30" t="str">
        <f>MOB_BA!C583</f>
        <v>Allowances Category 32</v>
      </c>
      <c r="F90" s="33" t="s">
        <v>46</v>
      </c>
    </row>
    <row r="91" spans="3:6" x14ac:dyDescent="0.3">
      <c r="D91" s="30" t="str">
        <f>MOB_BA!C584</f>
        <v>Allowances Category 33</v>
      </c>
      <c r="F91" s="33" t="s">
        <v>46</v>
      </c>
    </row>
    <row r="92" spans="3:6" x14ac:dyDescent="0.3">
      <c r="D92" s="30" t="str">
        <f>MOB_BA!C585</f>
        <v>Allowances Category 34</v>
      </c>
      <c r="F92" s="33" t="s">
        <v>46</v>
      </c>
    </row>
    <row r="93" spans="3:6" x14ac:dyDescent="0.3">
      <c r="D93" s="30" t="str">
        <f>MOB_BA!C586</f>
        <v>Allowances Category 35</v>
      </c>
      <c r="F93" s="33" t="s">
        <v>46</v>
      </c>
    </row>
    <row r="96" spans="3:6" ht="15.6" x14ac:dyDescent="0.3">
      <c r="C96" s="115" t="s">
        <v>132</v>
      </c>
      <c r="F96" s="115" t="s">
        <v>28</v>
      </c>
    </row>
    <row r="98" spans="4:6" x14ac:dyDescent="0.3">
      <c r="D98" s="116" t="s">
        <v>95</v>
      </c>
      <c r="F98" s="119" t="s">
        <v>261</v>
      </c>
    </row>
    <row r="99" spans="4:6" x14ac:dyDescent="0.3">
      <c r="D99" s="30" t="str">
        <f>MOB_BA!C590</f>
        <v>Supplies Category 1</v>
      </c>
      <c r="F99" s="33" t="s">
        <v>46</v>
      </c>
    </row>
    <row r="100" spans="4:6" x14ac:dyDescent="0.3">
      <c r="D100" s="30" t="str">
        <f>MOB_BA!C591</f>
        <v>Supplies Category 2</v>
      </c>
      <c r="F100" s="33" t="s">
        <v>46</v>
      </c>
    </row>
    <row r="101" spans="4:6" x14ac:dyDescent="0.3">
      <c r="D101" s="30" t="str">
        <f>MOB_BA!C592</f>
        <v>Supplies Category 3</v>
      </c>
      <c r="F101" s="33" t="s">
        <v>46</v>
      </c>
    </row>
    <row r="102" spans="4:6" x14ac:dyDescent="0.3">
      <c r="D102" s="30" t="str">
        <f>MOB_BA!C593</f>
        <v>Supplies Category 4</v>
      </c>
      <c r="F102" s="33" t="s">
        <v>46</v>
      </c>
    </row>
    <row r="103" spans="4:6" x14ac:dyDescent="0.3">
      <c r="D103" s="30" t="str">
        <f>MOB_BA!C594</f>
        <v>Supplies Category 5</v>
      </c>
      <c r="F103" s="33" t="s">
        <v>46</v>
      </c>
    </row>
    <row r="104" spans="4:6" x14ac:dyDescent="0.3">
      <c r="D104" s="30" t="str">
        <f>MOB_BA!C595</f>
        <v>Supplies Category 6</v>
      </c>
      <c r="F104" s="33" t="s">
        <v>46</v>
      </c>
    </row>
    <row r="105" spans="4:6" x14ac:dyDescent="0.3">
      <c r="D105" s="30" t="str">
        <f>MOB_BA!C596</f>
        <v>Supplies Category 7</v>
      </c>
      <c r="F105" s="33" t="s">
        <v>46</v>
      </c>
    </row>
    <row r="106" spans="4:6" x14ac:dyDescent="0.3">
      <c r="D106" s="30" t="str">
        <f>MOB_BA!C597</f>
        <v>Supplies Category 8</v>
      </c>
      <c r="F106" s="33" t="s">
        <v>46</v>
      </c>
    </row>
    <row r="107" spans="4:6" x14ac:dyDescent="0.3">
      <c r="D107" s="30" t="str">
        <f>MOB_BA!C598</f>
        <v>Supplies Category 9</v>
      </c>
      <c r="F107" s="33" t="s">
        <v>46</v>
      </c>
    </row>
    <row r="108" spans="4:6" x14ac:dyDescent="0.3">
      <c r="D108" s="30" t="str">
        <f>MOB_BA!C599</f>
        <v>Supplies Category 10</v>
      </c>
      <c r="F108" s="33" t="s">
        <v>46</v>
      </c>
    </row>
    <row r="109" spans="4:6" x14ac:dyDescent="0.3">
      <c r="D109" s="30" t="str">
        <f>MOB_BA!C600</f>
        <v>Supplies Category 11</v>
      </c>
      <c r="F109" s="33" t="s">
        <v>46</v>
      </c>
    </row>
    <row r="110" spans="4:6" x14ac:dyDescent="0.3">
      <c r="D110" s="30" t="str">
        <f>MOB_BA!C601</f>
        <v>Supplies Category 12</v>
      </c>
      <c r="F110" s="33" t="s">
        <v>46</v>
      </c>
    </row>
    <row r="111" spans="4:6" x14ac:dyDescent="0.3">
      <c r="D111" s="30" t="str">
        <f>MOB_BA!C602</f>
        <v>Supplies Category 13</v>
      </c>
      <c r="F111" s="33" t="s">
        <v>46</v>
      </c>
    </row>
    <row r="112" spans="4:6" x14ac:dyDescent="0.3">
      <c r="D112" s="30" t="str">
        <f>MOB_BA!C603</f>
        <v>Supplies Category 14</v>
      </c>
      <c r="F112" s="33" t="s">
        <v>46</v>
      </c>
    </row>
    <row r="113" spans="4:6" x14ac:dyDescent="0.3">
      <c r="D113" s="30" t="str">
        <f>MOB_BA!C604</f>
        <v>Supplies Category 15</v>
      </c>
      <c r="F113" s="33" t="s">
        <v>46</v>
      </c>
    </row>
    <row r="114" spans="4:6" x14ac:dyDescent="0.3">
      <c r="D114" s="30" t="str">
        <f>MOB_BA!C605</f>
        <v>Supplies Category 16</v>
      </c>
      <c r="F114" s="33" t="s">
        <v>46</v>
      </c>
    </row>
    <row r="115" spans="4:6" x14ac:dyDescent="0.3">
      <c r="D115" s="282" t="str">
        <f>MOB_BA!C606</f>
        <v>Supplies Category 17</v>
      </c>
      <c r="F115" s="119"/>
    </row>
    <row r="116" spans="4:6" x14ac:dyDescent="0.3">
      <c r="D116" s="282" t="str">
        <f>MOB_BA!C607</f>
        <v>Supplies Category 18</v>
      </c>
      <c r="F116" s="119"/>
    </row>
    <row r="117" spans="4:6" x14ac:dyDescent="0.3">
      <c r="D117" s="282" t="str">
        <f>MOB_BA!C608</f>
        <v>Supplies Category 19</v>
      </c>
      <c r="F117" s="119"/>
    </row>
    <row r="118" spans="4:6" x14ac:dyDescent="0.3">
      <c r="D118" s="282" t="str">
        <f>MOB_BA!C609</f>
        <v>Supplies Category 20</v>
      </c>
      <c r="F118" s="119"/>
    </row>
    <row r="119" spans="4:6" x14ac:dyDescent="0.3">
      <c r="D119" s="282" t="str">
        <f>MOB_BA!C610</f>
        <v>Supplies Category 21</v>
      </c>
      <c r="F119" s="119"/>
    </row>
    <row r="120" spans="4:6" x14ac:dyDescent="0.3">
      <c r="D120" s="282" t="str">
        <f>MOB_BA!C611</f>
        <v>Supplies Category 22</v>
      </c>
      <c r="F120" s="119"/>
    </row>
    <row r="121" spans="4:6" x14ac:dyDescent="0.3">
      <c r="D121" s="282" t="str">
        <f>MOB_BA!C612</f>
        <v>Supplies Category 23</v>
      </c>
      <c r="F121" s="119"/>
    </row>
    <row r="122" spans="4:6" x14ac:dyDescent="0.3">
      <c r="D122" s="282" t="str">
        <f>MOB_BA!C613</f>
        <v>Supplies Category 24</v>
      </c>
      <c r="F122" s="119"/>
    </row>
    <row r="123" spans="4:6" x14ac:dyDescent="0.3">
      <c r="D123" s="282" t="str">
        <f>MOB_BA!C614</f>
        <v>Supplies Category 25</v>
      </c>
      <c r="F123" s="119"/>
    </row>
    <row r="124" spans="4:6" x14ac:dyDescent="0.3">
      <c r="D124" s="282" t="str">
        <f>MOB_BA!C615</f>
        <v>Supplies Category 26</v>
      </c>
      <c r="F124" s="119"/>
    </row>
    <row r="125" spans="4:6" x14ac:dyDescent="0.3">
      <c r="D125" s="282" t="str">
        <f>MOB_BA!C616</f>
        <v>Supplies Category 27</v>
      </c>
      <c r="F125" s="119"/>
    </row>
    <row r="126" spans="4:6" x14ac:dyDescent="0.3">
      <c r="D126" s="282" t="str">
        <f>MOB_BA!C617</f>
        <v>Supplies Category 28</v>
      </c>
      <c r="F126" s="119"/>
    </row>
    <row r="127" spans="4:6" x14ac:dyDescent="0.3">
      <c r="D127" s="282" t="str">
        <f>MOB_BA!C618</f>
        <v>Supplies Category 29</v>
      </c>
      <c r="F127" s="119"/>
    </row>
    <row r="128" spans="4:6" x14ac:dyDescent="0.3">
      <c r="D128" s="282" t="str">
        <f>MOB_BA!C619</f>
        <v>Supplies Category 30</v>
      </c>
      <c r="F128" s="119"/>
    </row>
    <row r="129" spans="3:6" x14ac:dyDescent="0.3">
      <c r="D129" s="282" t="str">
        <f>MOB_BA!C620</f>
        <v>Supplies Category 31</v>
      </c>
      <c r="F129" s="119"/>
    </row>
    <row r="130" spans="3:6" x14ac:dyDescent="0.3">
      <c r="D130" s="282" t="str">
        <f>MOB_BA!C621</f>
        <v>Supplies Category 32</v>
      </c>
      <c r="F130" s="119"/>
    </row>
    <row r="131" spans="3:6" x14ac:dyDescent="0.3">
      <c r="D131" s="282" t="str">
        <f>MOB_BA!C622</f>
        <v>Supplies Category 33</v>
      </c>
      <c r="F131" s="119"/>
    </row>
    <row r="132" spans="3:6" x14ac:dyDescent="0.3">
      <c r="D132" s="282" t="str">
        <f>MOB_BA!C623</f>
        <v>Supplies Category 34</v>
      </c>
      <c r="F132" s="119"/>
    </row>
    <row r="133" spans="3:6" x14ac:dyDescent="0.3">
      <c r="D133" s="282" t="str">
        <f>MOB_BA!C624</f>
        <v>Supplies Category 35</v>
      </c>
      <c r="F133" s="119"/>
    </row>
    <row r="136" spans="3:6" ht="15.6" x14ac:dyDescent="0.3">
      <c r="C136" s="115" t="s">
        <v>130</v>
      </c>
      <c r="F136" s="115" t="s">
        <v>28</v>
      </c>
    </row>
    <row r="138" spans="3:6" x14ac:dyDescent="0.3">
      <c r="D138" s="116" t="s">
        <v>95</v>
      </c>
      <c r="F138" s="119" t="s">
        <v>262</v>
      </c>
    </row>
    <row r="139" spans="3:6" x14ac:dyDescent="0.3">
      <c r="D139" s="30" t="str">
        <f>MOB_BA!C627</f>
        <v>Equipment Category 1</v>
      </c>
      <c r="F139" s="33" t="s">
        <v>46</v>
      </c>
    </row>
    <row r="140" spans="3:6" x14ac:dyDescent="0.3">
      <c r="D140" s="30" t="str">
        <f>MOB_BA!C628</f>
        <v>Equipment Category 2</v>
      </c>
      <c r="F140" s="33" t="s">
        <v>46</v>
      </c>
    </row>
    <row r="141" spans="3:6" x14ac:dyDescent="0.3">
      <c r="D141" s="30" t="str">
        <f>MOB_BA!C629</f>
        <v>Equipment Category 3</v>
      </c>
      <c r="F141" s="33" t="s">
        <v>46</v>
      </c>
    </row>
    <row r="142" spans="3:6" x14ac:dyDescent="0.3">
      <c r="D142" s="30" t="str">
        <f>MOB_BA!C630</f>
        <v>Equipment Category 4</v>
      </c>
      <c r="F142" s="33" t="s">
        <v>46</v>
      </c>
    </row>
    <row r="143" spans="3:6" x14ac:dyDescent="0.3">
      <c r="D143" s="30" t="str">
        <f>MOB_BA!C631</f>
        <v>Equipment Category 5</v>
      </c>
      <c r="F143" s="33" t="s">
        <v>46</v>
      </c>
    </row>
    <row r="144" spans="3:6" x14ac:dyDescent="0.3">
      <c r="D144" s="30" t="str">
        <f>MOB_BA!C632</f>
        <v>Equipment Category 6</v>
      </c>
      <c r="F144" s="33" t="s">
        <v>46</v>
      </c>
    </row>
    <row r="145" spans="4:6" x14ac:dyDescent="0.3">
      <c r="D145" s="282" t="str">
        <f>MOB_BA!C633</f>
        <v>Equipment Category 7</v>
      </c>
      <c r="F145" s="119"/>
    </row>
    <row r="146" spans="4:6" x14ac:dyDescent="0.3">
      <c r="D146" s="282" t="str">
        <f>MOB_BA!C634</f>
        <v>Equipment Category 8</v>
      </c>
      <c r="F146" s="119"/>
    </row>
    <row r="147" spans="4:6" x14ac:dyDescent="0.3">
      <c r="D147" s="282" t="str">
        <f>MOB_BA!C635</f>
        <v>Equipment Category 9</v>
      </c>
      <c r="F147" s="119"/>
    </row>
    <row r="148" spans="4:6" x14ac:dyDescent="0.3">
      <c r="D148" s="282" t="str">
        <f>MOB_BA!C636</f>
        <v>Equipment Category 10</v>
      </c>
      <c r="F148" s="119"/>
    </row>
    <row r="149" spans="4:6" x14ac:dyDescent="0.3">
      <c r="D149" s="282" t="str">
        <f>MOB_BA!C637</f>
        <v>Equipment Category 11</v>
      </c>
      <c r="F149" s="119"/>
    </row>
    <row r="150" spans="4:6" x14ac:dyDescent="0.3">
      <c r="D150" s="282" t="str">
        <f>MOB_BA!C638</f>
        <v>Equipment Category 12</v>
      </c>
      <c r="F150" s="119"/>
    </row>
    <row r="151" spans="4:6" x14ac:dyDescent="0.3">
      <c r="D151" s="282" t="str">
        <f>MOB_BA!C639</f>
        <v>Equipment Category 13</v>
      </c>
      <c r="F151" s="119"/>
    </row>
    <row r="152" spans="4:6" x14ac:dyDescent="0.3">
      <c r="D152" s="282" t="str">
        <f>MOB_BA!C640</f>
        <v>Equipment Category 14</v>
      </c>
      <c r="F152" s="119"/>
    </row>
    <row r="153" spans="4:6" x14ac:dyDescent="0.3">
      <c r="D153" s="282" t="str">
        <f>MOB_BA!C641</f>
        <v>Equipment Category 15</v>
      </c>
      <c r="F153" s="119"/>
    </row>
    <row r="154" spans="4:6" x14ac:dyDescent="0.3">
      <c r="D154" s="282" t="str">
        <f>MOB_BA!C642</f>
        <v>Equipment Category 16</v>
      </c>
      <c r="F154" s="119"/>
    </row>
    <row r="155" spans="4:6" x14ac:dyDescent="0.3">
      <c r="D155" s="282" t="str">
        <f>MOB_BA!C643</f>
        <v>Equipment Category 17</v>
      </c>
      <c r="F155" s="119"/>
    </row>
    <row r="156" spans="4:6" x14ac:dyDescent="0.3">
      <c r="D156" s="282" t="str">
        <f>MOB_BA!C644</f>
        <v>Equipment Category 18</v>
      </c>
      <c r="F156" s="119"/>
    </row>
    <row r="157" spans="4:6" x14ac:dyDescent="0.3">
      <c r="D157" s="282" t="str">
        <f>MOB_BA!C645</f>
        <v>Equipment Category 19</v>
      </c>
      <c r="F157" s="119"/>
    </row>
    <row r="158" spans="4:6" x14ac:dyDescent="0.3">
      <c r="D158" s="282" t="str">
        <f>MOB_BA!C646</f>
        <v>Equipment Category 20</v>
      </c>
      <c r="F158" s="119"/>
    </row>
    <row r="159" spans="4:6" x14ac:dyDescent="0.3">
      <c r="D159" s="282" t="str">
        <f>MOB_BA!C647</f>
        <v>Equipment Category 21</v>
      </c>
      <c r="F159" s="119"/>
    </row>
    <row r="160" spans="4:6" x14ac:dyDescent="0.3">
      <c r="D160" s="282" t="str">
        <f>MOB_BA!C648</f>
        <v>Equipment Category 22</v>
      </c>
      <c r="F160" s="119"/>
    </row>
    <row r="161" spans="3:6" x14ac:dyDescent="0.3">
      <c r="D161" s="282" t="str">
        <f>MOB_BA!C649</f>
        <v>Equipment Category 23</v>
      </c>
      <c r="F161" s="119"/>
    </row>
    <row r="162" spans="3:6" x14ac:dyDescent="0.3">
      <c r="D162" s="282" t="str">
        <f>MOB_BA!C650</f>
        <v>Equipment Category 24</v>
      </c>
      <c r="F162" s="119"/>
    </row>
    <row r="163" spans="3:6" x14ac:dyDescent="0.3">
      <c r="D163" s="282" t="str">
        <f>MOB_BA!C651</f>
        <v>Equipment Category 25</v>
      </c>
      <c r="F163" s="119"/>
    </row>
    <row r="164" spans="3:6" x14ac:dyDescent="0.3">
      <c r="D164" s="282" t="str">
        <f>MOB_BA!C652</f>
        <v>Equipment Category 26</v>
      </c>
      <c r="F164" s="119"/>
    </row>
    <row r="165" spans="3:6" x14ac:dyDescent="0.3">
      <c r="D165" s="282" t="str">
        <f>MOB_BA!C653</f>
        <v>Equipment Category 27</v>
      </c>
      <c r="F165" s="119"/>
    </row>
    <row r="166" spans="3:6" x14ac:dyDescent="0.3">
      <c r="D166" s="282" t="str">
        <f>MOB_BA!C654</f>
        <v>Equipment Category 28</v>
      </c>
      <c r="F166" s="119"/>
    </row>
    <row r="167" spans="3:6" x14ac:dyDescent="0.3">
      <c r="D167" s="282" t="str">
        <f>MOB_BA!C655</f>
        <v>Equipment Category 29</v>
      </c>
      <c r="F167" s="119"/>
    </row>
    <row r="168" spans="3:6" x14ac:dyDescent="0.3">
      <c r="D168" s="282" t="str">
        <f>MOB_BA!C656</f>
        <v>Equipment Category 30</v>
      </c>
      <c r="F168" s="119"/>
    </row>
    <row r="169" spans="3:6" x14ac:dyDescent="0.3">
      <c r="D169" s="282" t="str">
        <f>MOB_BA!C657</f>
        <v>Equipment Category 31</v>
      </c>
      <c r="F169" s="119"/>
    </row>
    <row r="170" spans="3:6" x14ac:dyDescent="0.3">
      <c r="D170" s="282" t="str">
        <f>MOB_BA!C658</f>
        <v>Equipment Category 32</v>
      </c>
      <c r="F170" s="119"/>
    </row>
    <row r="171" spans="3:6" x14ac:dyDescent="0.3">
      <c r="D171" s="282" t="str">
        <f>MOB_BA!C659</f>
        <v>Equipment Category 33</v>
      </c>
      <c r="F171" s="119"/>
    </row>
    <row r="172" spans="3:6" x14ac:dyDescent="0.3">
      <c r="D172" s="282" t="str">
        <f>MOB_BA!C660</f>
        <v>Equipment Category 34</v>
      </c>
      <c r="F172" s="119"/>
    </row>
    <row r="173" spans="3:6" x14ac:dyDescent="0.3">
      <c r="D173" s="282" t="str">
        <f>MOB_BA!C661</f>
        <v>Equipment Category 35</v>
      </c>
      <c r="F173" s="119"/>
    </row>
    <row r="175" spans="3:6" ht="15.6" x14ac:dyDescent="0.3">
      <c r="C175" s="115" t="s">
        <v>89</v>
      </c>
      <c r="F175" s="115" t="s">
        <v>28</v>
      </c>
    </row>
    <row r="177" spans="4:6" x14ac:dyDescent="0.3">
      <c r="D177" s="116" t="s">
        <v>95</v>
      </c>
      <c r="F177" s="119" t="s">
        <v>263</v>
      </c>
    </row>
    <row r="178" spans="4:6" x14ac:dyDescent="0.3">
      <c r="D178" s="30" t="str">
        <f>MOB_BA!C665</f>
        <v>Other Direct Costs Category 1</v>
      </c>
      <c r="F178" s="33" t="s">
        <v>46</v>
      </c>
    </row>
    <row r="179" spans="4:6" x14ac:dyDescent="0.3">
      <c r="D179" s="30" t="str">
        <f>MOB_BA!C666</f>
        <v>Other Direct Costs Category 2</v>
      </c>
      <c r="F179" s="33" t="s">
        <v>46</v>
      </c>
    </row>
    <row r="180" spans="4:6" x14ac:dyDescent="0.3">
      <c r="D180" s="30" t="str">
        <f>MOB_BA!C667</f>
        <v>Other Direct Costs Category 3</v>
      </c>
      <c r="F180" s="33" t="s">
        <v>46</v>
      </c>
    </row>
    <row r="181" spans="4:6" x14ac:dyDescent="0.3">
      <c r="D181" s="282" t="str">
        <f>MOB_BA!C668</f>
        <v>Other Direct Costs Category 4</v>
      </c>
      <c r="F181" s="119"/>
    </row>
    <row r="182" spans="4:6" x14ac:dyDescent="0.3">
      <c r="D182" s="282" t="str">
        <f>MOB_BA!C669</f>
        <v>Other Direct Costs Category 5</v>
      </c>
      <c r="F182" s="119"/>
    </row>
    <row r="183" spans="4:6" x14ac:dyDescent="0.3">
      <c r="D183" s="282" t="str">
        <f>MOB_BA!C670</f>
        <v>Other Direct Costs Category 6</v>
      </c>
      <c r="F183" s="119"/>
    </row>
    <row r="184" spans="4:6" x14ac:dyDescent="0.3">
      <c r="D184" s="282" t="str">
        <f>MOB_BA!C671</f>
        <v>Other Direct Costs Category 7</v>
      </c>
      <c r="F184" s="119"/>
    </row>
    <row r="185" spans="4:6" x14ac:dyDescent="0.3">
      <c r="D185" s="282" t="str">
        <f>MOB_BA!C672</f>
        <v>Other Direct Costs Category 8</v>
      </c>
      <c r="F185" s="119"/>
    </row>
    <row r="186" spans="4:6" x14ac:dyDescent="0.3">
      <c r="D186" s="282" t="str">
        <f>MOB_BA!C673</f>
        <v>Other Direct Costs Category 9</v>
      </c>
      <c r="F186" s="119"/>
    </row>
    <row r="187" spans="4:6" x14ac:dyDescent="0.3">
      <c r="D187" s="282" t="str">
        <f>MOB_BA!C674</f>
        <v>Other Direct Costs Category 10</v>
      </c>
      <c r="F187" s="119"/>
    </row>
    <row r="188" spans="4:6" x14ac:dyDescent="0.3">
      <c r="D188" s="282" t="str">
        <f>MOB_BA!C675</f>
        <v>Other Direct Costs Category 11</v>
      </c>
      <c r="F188" s="119"/>
    </row>
    <row r="189" spans="4:6" x14ac:dyDescent="0.3">
      <c r="D189" s="282" t="str">
        <f>MOB_BA!C676</f>
        <v>Other Direct Costs Category 12</v>
      </c>
      <c r="F189" s="119"/>
    </row>
    <row r="190" spans="4:6" x14ac:dyDescent="0.3">
      <c r="D190" s="282" t="str">
        <f>MOB_BA!C677</f>
        <v>Other Direct Costs Category 13</v>
      </c>
      <c r="F190" s="119"/>
    </row>
    <row r="191" spans="4:6" x14ac:dyDescent="0.3">
      <c r="D191" s="282" t="str">
        <f>MOB_BA!C678</f>
        <v>Other Direct Costs Category 14</v>
      </c>
      <c r="F191" s="119"/>
    </row>
    <row r="192" spans="4:6" x14ac:dyDescent="0.3">
      <c r="D192" s="282" t="str">
        <f>MOB_BA!C679</f>
        <v>Other Direct Costs Category 15</v>
      </c>
      <c r="F192" s="119"/>
    </row>
    <row r="193" spans="4:6" x14ac:dyDescent="0.3">
      <c r="D193" s="282" t="str">
        <f>MOB_BA!C680</f>
        <v>Other Direct Costs Category 16</v>
      </c>
      <c r="F193" s="119"/>
    </row>
    <row r="194" spans="4:6" x14ac:dyDescent="0.3">
      <c r="D194" s="282" t="str">
        <f>MOB_BA!C681</f>
        <v>Other Direct Costs Category 17</v>
      </c>
      <c r="F194" s="119"/>
    </row>
    <row r="195" spans="4:6" x14ac:dyDescent="0.3">
      <c r="D195" s="282" t="str">
        <f>MOB_BA!C682</f>
        <v>Other Direct Costs Category 18</v>
      </c>
      <c r="F195" s="119"/>
    </row>
    <row r="196" spans="4:6" x14ac:dyDescent="0.3">
      <c r="D196" s="282" t="str">
        <f>MOB_BA!C683</f>
        <v>Other Direct Costs Category 19</v>
      </c>
      <c r="F196" s="119"/>
    </row>
    <row r="197" spans="4:6" x14ac:dyDescent="0.3">
      <c r="D197" s="282" t="str">
        <f>MOB_BA!C684</f>
        <v>Other Direct Costs Category 20</v>
      </c>
      <c r="F197" s="119"/>
    </row>
    <row r="198" spans="4:6" x14ac:dyDescent="0.3">
      <c r="D198" s="282" t="str">
        <f>MOB_BA!C685</f>
        <v>Other Direct Costs Category 21</v>
      </c>
      <c r="F198" s="119"/>
    </row>
    <row r="199" spans="4:6" x14ac:dyDescent="0.3">
      <c r="D199" s="282" t="str">
        <f>MOB_BA!C686</f>
        <v>Other Direct Costs Category 22</v>
      </c>
      <c r="F199" s="119"/>
    </row>
    <row r="200" spans="4:6" x14ac:dyDescent="0.3">
      <c r="D200" s="282" t="str">
        <f>MOB_BA!C687</f>
        <v>Other Direct Costs Category 23</v>
      </c>
      <c r="F200" s="119"/>
    </row>
    <row r="201" spans="4:6" x14ac:dyDescent="0.3">
      <c r="D201" s="282" t="str">
        <f>MOB_BA!C688</f>
        <v>Other Direct Costs Category 24</v>
      </c>
      <c r="F201" s="119"/>
    </row>
    <row r="202" spans="4:6" x14ac:dyDescent="0.3">
      <c r="D202" s="282" t="str">
        <f>MOB_BA!C689</f>
        <v>Other Direct Costs Category 25</v>
      </c>
      <c r="F202" s="119"/>
    </row>
    <row r="203" spans="4:6" x14ac:dyDescent="0.3">
      <c r="D203" s="282" t="str">
        <f>MOB_BA!C690</f>
        <v>Other Direct Costs Category 26</v>
      </c>
      <c r="F203" s="119"/>
    </row>
    <row r="204" spans="4:6" x14ac:dyDescent="0.3">
      <c r="D204" s="282" t="str">
        <f>MOB_BA!C691</f>
        <v>Other Direct Costs Category 27</v>
      </c>
      <c r="F204" s="119"/>
    </row>
    <row r="205" spans="4:6" x14ac:dyDescent="0.3">
      <c r="D205" s="282" t="str">
        <f>MOB_BA!C692</f>
        <v>Other Direct Costs Category 28</v>
      </c>
      <c r="F205" s="119"/>
    </row>
    <row r="206" spans="4:6" x14ac:dyDescent="0.3">
      <c r="D206" s="282" t="str">
        <f>MOB_BA!C693</f>
        <v>Other Direct Costs Category 29</v>
      </c>
      <c r="F206" s="119"/>
    </row>
    <row r="207" spans="4:6" x14ac:dyDescent="0.3">
      <c r="D207" s="282" t="str">
        <f>MOB_BA!C694</f>
        <v>Other Direct Costs Category 30</v>
      </c>
      <c r="F207" s="119"/>
    </row>
    <row r="208" spans="4:6" x14ac:dyDescent="0.3">
      <c r="D208" s="282" t="str">
        <f>MOB_BA!C695</f>
        <v>Other Direct Costs Category 31</v>
      </c>
      <c r="F208" s="119"/>
    </row>
    <row r="209" spans="4:6" x14ac:dyDescent="0.3">
      <c r="D209" s="282" t="str">
        <f>MOB_BA!C696</f>
        <v>Other Direct Costs Category 32</v>
      </c>
      <c r="F209" s="119"/>
    </row>
    <row r="210" spans="4:6" x14ac:dyDescent="0.3">
      <c r="D210" s="282" t="str">
        <f>MOB_BA!C697</f>
        <v>Other Direct Costs Category 33</v>
      </c>
      <c r="F210" s="119"/>
    </row>
    <row r="211" spans="4:6" x14ac:dyDescent="0.3">
      <c r="D211" s="282" t="str">
        <f>MOB_BA!C698</f>
        <v>Other Direct Costs Category 34</v>
      </c>
      <c r="F211" s="119"/>
    </row>
    <row r="212" spans="4:6" x14ac:dyDescent="0.3">
      <c r="D212" s="282" t="str">
        <f>MOB_BA!C699</f>
        <v>Other Direct Costs Category 35</v>
      </c>
      <c r="F212" s="119"/>
    </row>
  </sheetData>
  <sheetProtection algorithmName="SHA-512" hashValue="wRB52jihKEgbj1DvxW92zWfgbIAAFlDxYKSeXPc+nsA15gPCXe7kiKc7MqqQhV12s9IoM//LpKM9wFJ21ZGb0g==" saltValue="BM2NljRwAPcK8rphvordvQ==" spinCount="100000" sheet="1" objects="1" scenarios="1" formatColumns="0" formatRows="0"/>
  <mergeCells count="1">
    <mergeCell ref="B3:D3"/>
  </mergeCells>
  <hyperlinks>
    <hyperlink ref="A4" location="$B$5" tooltip="Go to Top of Sheet" display="$B$5" xr:uid="{00000000-0004-0000-2C00-000000000000}"/>
    <hyperlink ref="B4" location="HL_Sheet_Main_23" tooltip="Go to Previous Sheet" display="HL_Sheet_Main_23" xr:uid="{00000000-0004-0000-2C00-000001000000}"/>
    <hyperlink ref="C4" location="HL_Sheet_Main_25" tooltip="Go to Next Sheet" display="HL_Sheet_Main_25" xr:uid="{00000000-0004-0000-2C00-000002000000}"/>
    <hyperlink ref="B3" location="HL_Home" tooltip="Go to Table of Contents" display="HL_Home" xr:uid="{00000000-0004-0000-2C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319</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321</v>
      </c>
    </row>
    <row r="9" spans="1:6" ht="15.6" x14ac:dyDescent="0.3">
      <c r="C9" s="115" t="s">
        <v>93</v>
      </c>
    </row>
    <row r="11" spans="1:6" ht="15.6" x14ac:dyDescent="0.3">
      <c r="C11" s="115" t="s">
        <v>93</v>
      </c>
      <c r="F11" s="115" t="s">
        <v>28</v>
      </c>
    </row>
    <row r="13" spans="1:6" x14ac:dyDescent="0.3">
      <c r="D13" s="116" t="s">
        <v>95</v>
      </c>
      <c r="F13" s="119" t="s">
        <v>264</v>
      </c>
    </row>
    <row r="14" spans="1:6" x14ac:dyDescent="0.3">
      <c r="D14" s="30" t="str">
        <f>MOB_BA!D858</f>
        <v>USD</v>
      </c>
      <c r="F14" s="33" t="s">
        <v>46</v>
      </c>
    </row>
    <row r="15" spans="1:6" x14ac:dyDescent="0.3">
      <c r="D15" s="30" t="str">
        <f>MOB_BA!D859</f>
        <v>GOZ</v>
      </c>
      <c r="F15" s="33" t="s">
        <v>46</v>
      </c>
    </row>
    <row r="17" spans="3:6" ht="15.6" x14ac:dyDescent="0.3">
      <c r="C17" s="115" t="s">
        <v>77</v>
      </c>
      <c r="F17" s="115" t="s">
        <v>28</v>
      </c>
    </row>
    <row r="19" spans="3:6" x14ac:dyDescent="0.3">
      <c r="D19" s="116" t="s">
        <v>95</v>
      </c>
      <c r="F19" s="119" t="s">
        <v>265</v>
      </c>
    </row>
    <row r="20" spans="3:6" x14ac:dyDescent="0.3">
      <c r="D20" s="30" t="str">
        <f>MOB_BA!C864</f>
        <v>Personnel Cadre - Other 1</v>
      </c>
      <c r="F20" s="33" t="s">
        <v>46</v>
      </c>
    </row>
    <row r="21" spans="3:6" x14ac:dyDescent="0.3">
      <c r="D21" s="30" t="str">
        <f>MOB_BA!C865</f>
        <v>Personnel Cadre - Other 2</v>
      </c>
      <c r="F21" s="33" t="s">
        <v>46</v>
      </c>
    </row>
    <row r="22" spans="3:6" x14ac:dyDescent="0.3">
      <c r="D22" s="30" t="str">
        <f>MOB_BA!C866</f>
        <v>Personnel Cadre - Other 3</v>
      </c>
      <c r="F22" s="33" t="s">
        <v>46</v>
      </c>
    </row>
    <row r="23" spans="3:6" x14ac:dyDescent="0.3">
      <c r="D23" s="30" t="str">
        <f>MOB_BA!C867</f>
        <v>Personnel Cadre - Other 4</v>
      </c>
      <c r="F23" s="33" t="s">
        <v>46</v>
      </c>
    </row>
    <row r="24" spans="3:6" x14ac:dyDescent="0.3">
      <c r="D24" s="30" t="str">
        <f>MOB_BA!C868</f>
        <v>Personnel Cadre - Other 5</v>
      </c>
      <c r="F24" s="33" t="s">
        <v>46</v>
      </c>
    </row>
    <row r="25" spans="3:6" x14ac:dyDescent="0.3">
      <c r="D25" s="30" t="str">
        <f>MOB_BA!C869</f>
        <v>Personnel Cadre - Other 6</v>
      </c>
      <c r="F25" s="33" t="s">
        <v>46</v>
      </c>
    </row>
    <row r="26" spans="3:6" x14ac:dyDescent="0.3">
      <c r="D26" s="30" t="str">
        <f>MOB_BA!C870</f>
        <v>Personnel Cadre - Other 7</v>
      </c>
      <c r="F26" s="33" t="s">
        <v>46</v>
      </c>
    </row>
    <row r="27" spans="3:6" x14ac:dyDescent="0.3">
      <c r="D27" s="30" t="str">
        <f>MOB_BA!C871</f>
        <v>Personnel Cadre - Other 8</v>
      </c>
      <c r="F27" s="33" t="s">
        <v>46</v>
      </c>
    </row>
    <row r="28" spans="3:6" x14ac:dyDescent="0.3">
      <c r="D28" s="30" t="str">
        <f>MOB_BA!C872</f>
        <v>Personnel Cadre - Other 9</v>
      </c>
      <c r="F28" s="33" t="s">
        <v>46</v>
      </c>
    </row>
    <row r="29" spans="3:6" x14ac:dyDescent="0.3">
      <c r="D29" s="30" t="str">
        <f>MOB_BA!C873</f>
        <v>Personnel Cadre - Other 10</v>
      </c>
      <c r="F29" s="33" t="s">
        <v>46</v>
      </c>
    </row>
    <row r="30" spans="3:6" x14ac:dyDescent="0.3">
      <c r="D30" s="30" t="str">
        <f>MOB_BA!C874</f>
        <v>Personnel Cadre - Other 11</v>
      </c>
      <c r="F30" s="33" t="s">
        <v>46</v>
      </c>
    </row>
    <row r="31" spans="3:6" x14ac:dyDescent="0.3">
      <c r="D31" s="30" t="str">
        <f>MOB_BA!C875</f>
        <v>Personnel Cadre - Other 12</v>
      </c>
      <c r="F31" s="33" t="s">
        <v>46</v>
      </c>
    </row>
    <row r="32" spans="3:6" x14ac:dyDescent="0.3">
      <c r="D32" s="30" t="str">
        <f>MOB_BA!C876</f>
        <v>Personnel Cadre - Other 13</v>
      </c>
      <c r="F32" s="33" t="s">
        <v>46</v>
      </c>
    </row>
    <row r="33" spans="4:6" x14ac:dyDescent="0.3">
      <c r="D33" s="30" t="str">
        <f>MOB_BA!C877</f>
        <v>Personnel Cadre - Other 14</v>
      </c>
      <c r="F33" s="33" t="s">
        <v>46</v>
      </c>
    </row>
    <row r="34" spans="4:6" x14ac:dyDescent="0.3">
      <c r="D34" s="30" t="str">
        <f>MOB_BA!C878</f>
        <v>Personnel Cadre - Other 15</v>
      </c>
      <c r="F34" s="33" t="s">
        <v>46</v>
      </c>
    </row>
    <row r="35" spans="4:6" x14ac:dyDescent="0.3">
      <c r="D35" s="282" t="str">
        <f>MOB_BA!C879</f>
        <v>Personnel Cadre - Other 16</v>
      </c>
      <c r="F35" s="119"/>
    </row>
    <row r="36" spans="4:6" x14ac:dyDescent="0.3">
      <c r="D36" s="282" t="str">
        <f>MOB_BA!C880</f>
        <v>Personnel Cadre - Other 17</v>
      </c>
      <c r="F36" s="119"/>
    </row>
    <row r="37" spans="4:6" x14ac:dyDescent="0.3">
      <c r="D37" s="282" t="str">
        <f>MOB_BA!C881</f>
        <v>Personnel Cadre - Other 18</v>
      </c>
      <c r="F37" s="119"/>
    </row>
    <row r="38" spans="4:6" x14ac:dyDescent="0.3">
      <c r="D38" s="282" t="str">
        <f>MOB_BA!C882</f>
        <v>Personnel Cadre - Other 19</v>
      </c>
      <c r="F38" s="119"/>
    </row>
    <row r="39" spans="4:6" x14ac:dyDescent="0.3">
      <c r="D39" s="282" t="str">
        <f>MOB_BA!C883</f>
        <v>Personnel Cadre - Other 20</v>
      </c>
      <c r="F39" s="119"/>
    </row>
    <row r="40" spans="4:6" x14ac:dyDescent="0.3">
      <c r="D40" s="282" t="str">
        <f>MOB_BA!C884</f>
        <v>Personnel Cadre - Other 21</v>
      </c>
      <c r="F40" s="119"/>
    </row>
    <row r="41" spans="4:6" x14ac:dyDescent="0.3">
      <c r="D41" s="282" t="str">
        <f>MOB_BA!C885</f>
        <v>Personnel Cadre - Other 22</v>
      </c>
      <c r="F41" s="119"/>
    </row>
    <row r="42" spans="4:6" x14ac:dyDescent="0.3">
      <c r="D42" s="282" t="str">
        <f>MOB_BA!C886</f>
        <v>Personnel Cadre - Other 23</v>
      </c>
      <c r="F42" s="119"/>
    </row>
    <row r="43" spans="4:6" x14ac:dyDescent="0.3">
      <c r="D43" s="282" t="str">
        <f>MOB_BA!C887</f>
        <v>Personnel Cadre - Other 24</v>
      </c>
      <c r="F43" s="119"/>
    </row>
    <row r="44" spans="4:6" x14ac:dyDescent="0.3">
      <c r="D44" s="282" t="str">
        <f>MOB_BA!C888</f>
        <v>Personnel Cadre - Other 25</v>
      </c>
      <c r="F44" s="119"/>
    </row>
    <row r="45" spans="4:6" x14ac:dyDescent="0.3">
      <c r="D45" s="282" t="str">
        <f>MOB_BA!C889</f>
        <v>Personnel Cadre - Other 26</v>
      </c>
      <c r="F45" s="119"/>
    </row>
    <row r="46" spans="4:6" x14ac:dyDescent="0.3">
      <c r="D46" s="282" t="str">
        <f>MOB_BA!C890</f>
        <v>Personnel Cadre - Other 27</v>
      </c>
      <c r="F46" s="119"/>
    </row>
    <row r="47" spans="4:6" x14ac:dyDescent="0.3">
      <c r="D47" s="282" t="str">
        <f>MOB_BA!C891</f>
        <v>Personnel Cadre - Other 28</v>
      </c>
      <c r="F47" s="119"/>
    </row>
    <row r="48" spans="4:6" x14ac:dyDescent="0.3">
      <c r="D48" s="282" t="str">
        <f>MOB_BA!C892</f>
        <v>Personnel Cadre - Other 29</v>
      </c>
      <c r="F48" s="119"/>
    </row>
    <row r="49" spans="3:6" x14ac:dyDescent="0.3">
      <c r="D49" s="282" t="str">
        <f>MOB_BA!C893</f>
        <v>Personnel Cadre - Other 30</v>
      </c>
      <c r="F49" s="119"/>
    </row>
    <row r="50" spans="3:6" x14ac:dyDescent="0.3">
      <c r="D50" s="282" t="str">
        <f>MOB_BA!C894</f>
        <v>Personnel Cadre - Other 31</v>
      </c>
      <c r="F50" s="119"/>
    </row>
    <row r="51" spans="3:6" x14ac:dyDescent="0.3">
      <c r="D51" s="282" t="str">
        <f>MOB_BA!C895</f>
        <v>Personnel Cadre - Other 32</v>
      </c>
      <c r="F51" s="119"/>
    </row>
    <row r="52" spans="3:6" x14ac:dyDescent="0.3">
      <c r="D52" s="282" t="str">
        <f>MOB_BA!C896</f>
        <v>Personnel Cadre - Other 33</v>
      </c>
      <c r="F52" s="119"/>
    </row>
    <row r="53" spans="3:6" x14ac:dyDescent="0.3">
      <c r="D53" s="282" t="str">
        <f>MOB_BA!C897</f>
        <v>Personnel Cadre - Other 34</v>
      </c>
      <c r="F53" s="119"/>
    </row>
    <row r="54" spans="3:6" x14ac:dyDescent="0.3">
      <c r="D54" s="282" t="str">
        <f>MOB_BA!C898</f>
        <v>Personnel Cadre - Other 35</v>
      </c>
      <c r="F54" s="119"/>
    </row>
    <row r="56" spans="3:6" ht="15.6" x14ac:dyDescent="0.3">
      <c r="C56" s="115" t="s">
        <v>94</v>
      </c>
      <c r="F56" s="115" t="s">
        <v>28</v>
      </c>
    </row>
    <row r="58" spans="3:6" x14ac:dyDescent="0.3">
      <c r="D58" s="116" t="s">
        <v>95</v>
      </c>
      <c r="F58" s="119" t="s">
        <v>266</v>
      </c>
    </row>
    <row r="59" spans="3:6" x14ac:dyDescent="0.3">
      <c r="D59" s="30" t="str">
        <f>MOB_BA!C901</f>
        <v>Allowances Category 1</v>
      </c>
      <c r="F59" s="33" t="s">
        <v>46</v>
      </c>
    </row>
    <row r="60" spans="3:6" x14ac:dyDescent="0.3">
      <c r="D60" s="30" t="str">
        <f>MOB_BA!C902</f>
        <v>Allowances Category 2</v>
      </c>
      <c r="F60" s="33" t="s">
        <v>46</v>
      </c>
    </row>
    <row r="61" spans="3:6" x14ac:dyDescent="0.3">
      <c r="D61" s="30" t="str">
        <f>MOB_BA!C903</f>
        <v>Allowances Category 3</v>
      </c>
      <c r="F61" s="33" t="s">
        <v>46</v>
      </c>
    </row>
    <row r="62" spans="3:6" x14ac:dyDescent="0.3">
      <c r="D62" s="30" t="str">
        <f>MOB_BA!C904</f>
        <v>Allowances Category 4</v>
      </c>
      <c r="F62" s="33" t="s">
        <v>46</v>
      </c>
    </row>
    <row r="63" spans="3:6" x14ac:dyDescent="0.3">
      <c r="D63" s="30" t="str">
        <f>MOB_BA!C905</f>
        <v>Allowances Category 5</v>
      </c>
      <c r="F63" s="33" t="s">
        <v>46</v>
      </c>
    </row>
    <row r="64" spans="3:6" x14ac:dyDescent="0.3">
      <c r="D64" s="282" t="str">
        <f>MOB_BA!C906</f>
        <v>Allowances Category 6</v>
      </c>
      <c r="F64" s="119"/>
    </row>
    <row r="65" spans="4:6" x14ac:dyDescent="0.3">
      <c r="D65" s="282" t="str">
        <f>MOB_BA!C907</f>
        <v>Allowances Category 7</v>
      </c>
      <c r="F65" s="119"/>
    </row>
    <row r="66" spans="4:6" x14ac:dyDescent="0.3">
      <c r="D66" s="282" t="str">
        <f>MOB_BA!C908</f>
        <v>Allowances Category 8</v>
      </c>
      <c r="F66" s="119"/>
    </row>
    <row r="67" spans="4:6" x14ac:dyDescent="0.3">
      <c r="D67" s="282" t="str">
        <f>MOB_BA!C909</f>
        <v>Allowances Category 9</v>
      </c>
      <c r="F67" s="119"/>
    </row>
    <row r="68" spans="4:6" x14ac:dyDescent="0.3">
      <c r="D68" s="282" t="str">
        <f>MOB_BA!C910</f>
        <v>Allowances Category 10</v>
      </c>
      <c r="F68" s="119"/>
    </row>
    <row r="69" spans="4:6" x14ac:dyDescent="0.3">
      <c r="D69" s="282" t="str">
        <f>MOB_BA!C911</f>
        <v>Allowances Category 11</v>
      </c>
      <c r="F69" s="119"/>
    </row>
    <row r="70" spans="4:6" x14ac:dyDescent="0.3">
      <c r="D70" s="282" t="str">
        <f>MOB_BA!C912</f>
        <v>Allowances Category 12</v>
      </c>
      <c r="F70" s="119"/>
    </row>
    <row r="71" spans="4:6" x14ac:dyDescent="0.3">
      <c r="D71" s="282" t="str">
        <f>MOB_BA!C913</f>
        <v>Allowances Category 13</v>
      </c>
      <c r="F71" s="119"/>
    </row>
    <row r="72" spans="4:6" x14ac:dyDescent="0.3">
      <c r="D72" s="282" t="str">
        <f>MOB_BA!C914</f>
        <v>Allowances Category 14</v>
      </c>
      <c r="F72" s="119"/>
    </row>
    <row r="73" spans="4:6" x14ac:dyDescent="0.3">
      <c r="D73" s="282" t="str">
        <f>MOB_BA!C915</f>
        <v>Allowances Category 15</v>
      </c>
      <c r="F73" s="119"/>
    </row>
    <row r="74" spans="4:6" x14ac:dyDescent="0.3">
      <c r="D74" s="282" t="str">
        <f>MOB_BA!C916</f>
        <v>Allowances Category 16</v>
      </c>
      <c r="F74" s="119"/>
    </row>
    <row r="75" spans="4:6" x14ac:dyDescent="0.3">
      <c r="D75" s="30" t="str">
        <f>MOB_BA!C917</f>
        <v>Allowances Category 17</v>
      </c>
      <c r="F75" s="33" t="s">
        <v>46</v>
      </c>
    </row>
    <row r="76" spans="4:6" x14ac:dyDescent="0.3">
      <c r="D76" s="30" t="str">
        <f>MOB_BA!C918</f>
        <v>Allowances Category 18</v>
      </c>
      <c r="F76" s="33" t="s">
        <v>46</v>
      </c>
    </row>
    <row r="77" spans="4:6" x14ac:dyDescent="0.3">
      <c r="D77" s="30" t="str">
        <f>MOB_BA!C919</f>
        <v>Allowances Category 19</v>
      </c>
      <c r="F77" s="33" t="s">
        <v>46</v>
      </c>
    </row>
    <row r="78" spans="4:6" x14ac:dyDescent="0.3">
      <c r="D78" s="30" t="str">
        <f>MOB_BA!C920</f>
        <v>Allowances Category 20</v>
      </c>
      <c r="F78" s="33" t="s">
        <v>46</v>
      </c>
    </row>
    <row r="79" spans="4:6" x14ac:dyDescent="0.3">
      <c r="D79" s="30" t="str">
        <f>MOB_BA!C921</f>
        <v>Allowances Category 21</v>
      </c>
      <c r="F79" s="33" t="s">
        <v>46</v>
      </c>
    </row>
    <row r="80" spans="4:6" x14ac:dyDescent="0.3">
      <c r="D80" s="30" t="str">
        <f>MOB_BA!C922</f>
        <v>Allowances Category 22</v>
      </c>
      <c r="F80" s="33" t="s">
        <v>46</v>
      </c>
    </row>
    <row r="81" spans="3:6" x14ac:dyDescent="0.3">
      <c r="D81" s="30" t="str">
        <f>MOB_BA!C923</f>
        <v>Allowances Category 23</v>
      </c>
      <c r="F81" s="33" t="s">
        <v>46</v>
      </c>
    </row>
    <row r="82" spans="3:6" x14ac:dyDescent="0.3">
      <c r="D82" s="282" t="str">
        <f>MOB_BA!C924</f>
        <v>Allowances Category 24</v>
      </c>
      <c r="F82" s="119"/>
    </row>
    <row r="83" spans="3:6" x14ac:dyDescent="0.3">
      <c r="D83" s="282" t="str">
        <f>MOB_BA!C925</f>
        <v>Allowances Category 25</v>
      </c>
      <c r="F83" s="119"/>
    </row>
    <row r="84" spans="3:6" x14ac:dyDescent="0.3">
      <c r="D84" s="282" t="str">
        <f>MOB_BA!C926</f>
        <v>Allowances Category 26</v>
      </c>
      <c r="F84" s="119"/>
    </row>
    <row r="85" spans="3:6" x14ac:dyDescent="0.3">
      <c r="D85" s="282" t="str">
        <f>MOB_BA!C927</f>
        <v>Allowances Category 27</v>
      </c>
      <c r="F85" s="119"/>
    </row>
    <row r="86" spans="3:6" x14ac:dyDescent="0.3">
      <c r="D86" s="282" t="str">
        <f>MOB_BA!C928</f>
        <v>Allowances Category 28</v>
      </c>
      <c r="F86" s="119"/>
    </row>
    <row r="87" spans="3:6" x14ac:dyDescent="0.3">
      <c r="D87" s="282" t="str">
        <f>MOB_BA!C929</f>
        <v>Allowances Category 29</v>
      </c>
      <c r="F87" s="119"/>
    </row>
    <row r="88" spans="3:6" x14ac:dyDescent="0.3">
      <c r="D88" s="282" t="str">
        <f>MOB_BA!C930</f>
        <v>Allowances Category 30</v>
      </c>
      <c r="F88" s="119"/>
    </row>
    <row r="89" spans="3:6" x14ac:dyDescent="0.3">
      <c r="D89" s="30" t="str">
        <f>MOB_BA!C931</f>
        <v>Allowances Category 31</v>
      </c>
      <c r="F89" s="33" t="s">
        <v>46</v>
      </c>
    </row>
    <row r="90" spans="3:6" x14ac:dyDescent="0.3">
      <c r="D90" s="30" t="str">
        <f>MOB_BA!C932</f>
        <v>Allowances Category 32</v>
      </c>
      <c r="F90" s="33" t="s">
        <v>46</v>
      </c>
    </row>
    <row r="91" spans="3:6" x14ac:dyDescent="0.3">
      <c r="D91" s="30" t="str">
        <f>MOB_BA!C933</f>
        <v>Allowances Category 33</v>
      </c>
      <c r="F91" s="33" t="s">
        <v>46</v>
      </c>
    </row>
    <row r="92" spans="3:6" x14ac:dyDescent="0.3">
      <c r="D92" s="30" t="str">
        <f>MOB_BA!C934</f>
        <v>Allowances Category 34</v>
      </c>
      <c r="F92" s="33" t="s">
        <v>46</v>
      </c>
    </row>
    <row r="93" spans="3:6" x14ac:dyDescent="0.3">
      <c r="D93" s="30" t="str">
        <f>MOB_BA!C935</f>
        <v>Allowances Category 35</v>
      </c>
      <c r="F93" s="33" t="s">
        <v>46</v>
      </c>
    </row>
    <row r="96" spans="3:6" ht="15.6" x14ac:dyDescent="0.3">
      <c r="C96" s="115" t="s">
        <v>132</v>
      </c>
      <c r="F96" s="115" t="s">
        <v>28</v>
      </c>
    </row>
    <row r="98" spans="4:6" x14ac:dyDescent="0.3">
      <c r="D98" s="116" t="s">
        <v>95</v>
      </c>
      <c r="F98" s="119" t="s">
        <v>267</v>
      </c>
    </row>
    <row r="99" spans="4:6" x14ac:dyDescent="0.3">
      <c r="D99" s="30" t="str">
        <f>MOB_BA!C939</f>
        <v>Supplies Category 1</v>
      </c>
      <c r="F99" s="33" t="s">
        <v>46</v>
      </c>
    </row>
    <row r="100" spans="4:6" x14ac:dyDescent="0.3">
      <c r="D100" s="30" t="str">
        <f>MOB_BA!C940</f>
        <v>Supplies Category 2</v>
      </c>
      <c r="F100" s="33" t="s">
        <v>46</v>
      </c>
    </row>
    <row r="101" spans="4:6" x14ac:dyDescent="0.3">
      <c r="D101" s="30" t="str">
        <f>MOB_BA!C941</f>
        <v>Supplies Category 3</v>
      </c>
      <c r="F101" s="33" t="s">
        <v>46</v>
      </c>
    </row>
    <row r="102" spans="4:6" x14ac:dyDescent="0.3">
      <c r="D102" s="30" t="str">
        <f>MOB_BA!C942</f>
        <v>Supplies Category 4</v>
      </c>
      <c r="F102" s="33" t="s">
        <v>46</v>
      </c>
    </row>
    <row r="103" spans="4:6" x14ac:dyDescent="0.3">
      <c r="D103" s="30" t="str">
        <f>MOB_BA!C943</f>
        <v>Supplies Category 5</v>
      </c>
      <c r="F103" s="33" t="s">
        <v>46</v>
      </c>
    </row>
    <row r="104" spans="4:6" x14ac:dyDescent="0.3">
      <c r="D104" s="30" t="str">
        <f>MOB_BA!C944</f>
        <v>Supplies Category 6</v>
      </c>
      <c r="F104" s="33" t="s">
        <v>46</v>
      </c>
    </row>
    <row r="105" spans="4:6" x14ac:dyDescent="0.3">
      <c r="D105" s="30" t="str">
        <f>MOB_BA!C945</f>
        <v>Supplies Category 7</v>
      </c>
      <c r="F105" s="33" t="s">
        <v>46</v>
      </c>
    </row>
    <row r="106" spans="4:6" x14ac:dyDescent="0.3">
      <c r="D106" s="30" t="str">
        <f>MOB_BA!C946</f>
        <v>Supplies Category 8</v>
      </c>
      <c r="F106" s="33" t="s">
        <v>46</v>
      </c>
    </row>
    <row r="107" spans="4:6" x14ac:dyDescent="0.3">
      <c r="D107" s="30" t="str">
        <f>MOB_BA!C947</f>
        <v>Supplies Category 9</v>
      </c>
      <c r="F107" s="33" t="s">
        <v>46</v>
      </c>
    </row>
    <row r="108" spans="4:6" x14ac:dyDescent="0.3">
      <c r="D108" s="30" t="str">
        <f>MOB_BA!C948</f>
        <v>Supplies Category 10</v>
      </c>
      <c r="F108" s="33" t="s">
        <v>46</v>
      </c>
    </row>
    <row r="109" spans="4:6" x14ac:dyDescent="0.3">
      <c r="D109" s="30" t="str">
        <f>MOB_BA!C949</f>
        <v>Supplies Category 11</v>
      </c>
      <c r="F109" s="33" t="s">
        <v>46</v>
      </c>
    </row>
    <row r="110" spans="4:6" x14ac:dyDescent="0.3">
      <c r="D110" s="30" t="str">
        <f>MOB_BA!C950</f>
        <v>Supplies Category 12</v>
      </c>
      <c r="F110" s="33" t="s">
        <v>46</v>
      </c>
    </row>
    <row r="111" spans="4:6" x14ac:dyDescent="0.3">
      <c r="D111" s="30" t="str">
        <f>MOB_BA!C951</f>
        <v>Supplies Category 13</v>
      </c>
      <c r="F111" s="33" t="s">
        <v>46</v>
      </c>
    </row>
    <row r="112" spans="4:6" x14ac:dyDescent="0.3">
      <c r="D112" s="30" t="str">
        <f>MOB_BA!C952</f>
        <v>Supplies Category 14</v>
      </c>
      <c r="F112" s="33" t="s">
        <v>46</v>
      </c>
    </row>
    <row r="113" spans="4:6" x14ac:dyDescent="0.3">
      <c r="D113" s="30" t="str">
        <f>MOB_BA!C953</f>
        <v>Supplies Category 15</v>
      </c>
      <c r="F113" s="33" t="s">
        <v>46</v>
      </c>
    </row>
    <row r="114" spans="4:6" x14ac:dyDescent="0.3">
      <c r="D114" s="30" t="str">
        <f>MOB_BA!C954</f>
        <v>Supplies Category 16</v>
      </c>
      <c r="F114" s="33" t="s">
        <v>46</v>
      </c>
    </row>
    <row r="115" spans="4:6" x14ac:dyDescent="0.3">
      <c r="D115" s="282" t="str">
        <f>MOB_BA!C955</f>
        <v>Supplies Category 17</v>
      </c>
      <c r="F115" s="119"/>
    </row>
    <row r="116" spans="4:6" x14ac:dyDescent="0.3">
      <c r="D116" s="282" t="str">
        <f>MOB_BA!C956</f>
        <v>Supplies Category 18</v>
      </c>
      <c r="F116" s="119"/>
    </row>
    <row r="117" spans="4:6" x14ac:dyDescent="0.3">
      <c r="D117" s="282" t="str">
        <f>MOB_BA!C957</f>
        <v>Supplies Category 19</v>
      </c>
      <c r="F117" s="119"/>
    </row>
    <row r="118" spans="4:6" x14ac:dyDescent="0.3">
      <c r="D118" s="282" t="str">
        <f>MOB_BA!C958</f>
        <v>Supplies Category 20</v>
      </c>
      <c r="F118" s="119"/>
    </row>
    <row r="119" spans="4:6" x14ac:dyDescent="0.3">
      <c r="D119" s="282" t="str">
        <f>MOB_BA!C959</f>
        <v>Supplies Category 21</v>
      </c>
      <c r="F119" s="119"/>
    </row>
    <row r="120" spans="4:6" x14ac:dyDescent="0.3">
      <c r="D120" s="282" t="str">
        <f>MOB_BA!C960</f>
        <v>Supplies Category 22</v>
      </c>
      <c r="F120" s="119"/>
    </row>
    <row r="121" spans="4:6" x14ac:dyDescent="0.3">
      <c r="D121" s="282" t="str">
        <f>MOB_BA!C961</f>
        <v>Supplies Category 23</v>
      </c>
      <c r="F121" s="119"/>
    </row>
    <row r="122" spans="4:6" x14ac:dyDescent="0.3">
      <c r="D122" s="282" t="str">
        <f>MOB_BA!C962</f>
        <v>Supplies Category 24</v>
      </c>
      <c r="F122" s="119"/>
    </row>
    <row r="123" spans="4:6" x14ac:dyDescent="0.3">
      <c r="D123" s="282" t="str">
        <f>MOB_BA!C963</f>
        <v>Supplies Category 25</v>
      </c>
      <c r="F123" s="119"/>
    </row>
    <row r="124" spans="4:6" x14ac:dyDescent="0.3">
      <c r="D124" s="282" t="str">
        <f>MOB_BA!C964</f>
        <v>Supplies Category 26</v>
      </c>
      <c r="F124" s="119"/>
    </row>
    <row r="125" spans="4:6" x14ac:dyDescent="0.3">
      <c r="D125" s="282" t="str">
        <f>MOB_BA!C965</f>
        <v>Supplies Category 27</v>
      </c>
      <c r="F125" s="119"/>
    </row>
    <row r="126" spans="4:6" x14ac:dyDescent="0.3">
      <c r="D126" s="282" t="str">
        <f>MOB_BA!C966</f>
        <v>Supplies Category 28</v>
      </c>
      <c r="F126" s="119"/>
    </row>
    <row r="127" spans="4:6" x14ac:dyDescent="0.3">
      <c r="D127" s="282" t="str">
        <f>MOB_BA!C967</f>
        <v>Supplies Category 29</v>
      </c>
      <c r="F127" s="119"/>
    </row>
    <row r="128" spans="4:6" x14ac:dyDescent="0.3">
      <c r="D128" s="282" t="str">
        <f>MOB_BA!C968</f>
        <v>Supplies Category 30</v>
      </c>
      <c r="F128" s="119"/>
    </row>
    <row r="129" spans="3:6" x14ac:dyDescent="0.3">
      <c r="D129" s="282" t="str">
        <f>MOB_BA!C969</f>
        <v>Supplies Category 31</v>
      </c>
      <c r="F129" s="119"/>
    </row>
    <row r="130" spans="3:6" x14ac:dyDescent="0.3">
      <c r="D130" s="282" t="str">
        <f>MOB_BA!C970</f>
        <v>Supplies Category 32</v>
      </c>
      <c r="F130" s="119"/>
    </row>
    <row r="131" spans="3:6" x14ac:dyDescent="0.3">
      <c r="D131" s="282" t="str">
        <f>MOB_BA!C971</f>
        <v>Supplies Category 33</v>
      </c>
      <c r="F131" s="119"/>
    </row>
    <row r="132" spans="3:6" x14ac:dyDescent="0.3">
      <c r="D132" s="282" t="str">
        <f>MOB_BA!C972</f>
        <v>Supplies Category 34</v>
      </c>
      <c r="F132" s="119"/>
    </row>
    <row r="133" spans="3:6" x14ac:dyDescent="0.3">
      <c r="D133" s="282" t="str">
        <f>MOB_BA!C973</f>
        <v>Supplies Category 35</v>
      </c>
      <c r="F133" s="119"/>
    </row>
    <row r="136" spans="3:6" ht="15.6" x14ac:dyDescent="0.3">
      <c r="C136" s="115" t="s">
        <v>130</v>
      </c>
      <c r="F136" s="115" t="s">
        <v>28</v>
      </c>
    </row>
    <row r="138" spans="3:6" x14ac:dyDescent="0.3">
      <c r="D138" s="116" t="s">
        <v>95</v>
      </c>
      <c r="F138" s="119" t="s">
        <v>268</v>
      </c>
    </row>
    <row r="139" spans="3:6" x14ac:dyDescent="0.3">
      <c r="D139" s="30" t="str">
        <f>MOB_BA!C976</f>
        <v>Equipment Category 1</v>
      </c>
      <c r="F139" s="33" t="s">
        <v>46</v>
      </c>
    </row>
    <row r="140" spans="3:6" x14ac:dyDescent="0.3">
      <c r="D140" s="30" t="str">
        <f>MOB_BA!C977</f>
        <v>Equipment Category 2</v>
      </c>
      <c r="F140" s="33" t="s">
        <v>46</v>
      </c>
    </row>
    <row r="141" spans="3:6" x14ac:dyDescent="0.3">
      <c r="D141" s="30" t="str">
        <f>MOB_BA!C978</f>
        <v>Equipment Category 3</v>
      </c>
      <c r="F141" s="33" t="s">
        <v>46</v>
      </c>
    </row>
    <row r="142" spans="3:6" x14ac:dyDescent="0.3">
      <c r="D142" s="30" t="str">
        <f>MOB_BA!C979</f>
        <v>Equipment Category 4</v>
      </c>
      <c r="F142" s="33" t="s">
        <v>46</v>
      </c>
    </row>
    <row r="143" spans="3:6" x14ac:dyDescent="0.3">
      <c r="D143" s="30" t="str">
        <f>MOB_BA!C980</f>
        <v>Equipment Category 5</v>
      </c>
      <c r="F143" s="33" t="s">
        <v>46</v>
      </c>
    </row>
    <row r="144" spans="3:6" x14ac:dyDescent="0.3">
      <c r="D144" s="30" t="str">
        <f>MOB_BA!C981</f>
        <v>Equipment Category 6</v>
      </c>
      <c r="F144" s="33" t="s">
        <v>46</v>
      </c>
    </row>
    <row r="145" spans="4:6" x14ac:dyDescent="0.3">
      <c r="D145" s="282" t="str">
        <f>MOB_BA!C982</f>
        <v>Equipment Category 7</v>
      </c>
      <c r="F145" s="119"/>
    </row>
    <row r="146" spans="4:6" x14ac:dyDescent="0.3">
      <c r="D146" s="282" t="str">
        <f>MOB_BA!C983</f>
        <v>Equipment Category 8</v>
      </c>
      <c r="F146" s="119"/>
    </row>
    <row r="147" spans="4:6" x14ac:dyDescent="0.3">
      <c r="D147" s="282" t="str">
        <f>MOB_BA!C984</f>
        <v>Equipment Category 9</v>
      </c>
      <c r="F147" s="119"/>
    </row>
    <row r="148" spans="4:6" x14ac:dyDescent="0.3">
      <c r="D148" s="282" t="str">
        <f>MOB_BA!C985</f>
        <v>Equipment Category 10</v>
      </c>
      <c r="F148" s="119"/>
    </row>
    <row r="149" spans="4:6" x14ac:dyDescent="0.3">
      <c r="D149" s="282" t="str">
        <f>MOB_BA!C986</f>
        <v>Equipment Category 11</v>
      </c>
      <c r="F149" s="119"/>
    </row>
    <row r="150" spans="4:6" x14ac:dyDescent="0.3">
      <c r="D150" s="282" t="str">
        <f>MOB_BA!C987</f>
        <v>Equipment Category 12</v>
      </c>
      <c r="F150" s="119"/>
    </row>
    <row r="151" spans="4:6" x14ac:dyDescent="0.3">
      <c r="D151" s="282" t="str">
        <f>MOB_BA!C988</f>
        <v>Equipment Category 13</v>
      </c>
      <c r="F151" s="119"/>
    </row>
    <row r="152" spans="4:6" x14ac:dyDescent="0.3">
      <c r="D152" s="282" t="str">
        <f>MOB_BA!C989</f>
        <v>Equipment Category 14</v>
      </c>
      <c r="F152" s="119"/>
    </row>
    <row r="153" spans="4:6" x14ac:dyDescent="0.3">
      <c r="D153" s="282" t="str">
        <f>MOB_BA!C990</f>
        <v>Equipment Category 15</v>
      </c>
      <c r="F153" s="119"/>
    </row>
    <row r="154" spans="4:6" x14ac:dyDescent="0.3">
      <c r="D154" s="282" t="str">
        <f>MOB_BA!C991</f>
        <v>Equipment Category 16</v>
      </c>
      <c r="F154" s="119"/>
    </row>
    <row r="155" spans="4:6" x14ac:dyDescent="0.3">
      <c r="D155" s="282" t="str">
        <f>MOB_BA!C992</f>
        <v>Equipment Category 17</v>
      </c>
      <c r="F155" s="119"/>
    </row>
    <row r="156" spans="4:6" x14ac:dyDescent="0.3">
      <c r="D156" s="282" t="str">
        <f>MOB_BA!C993</f>
        <v>Equipment Category 18</v>
      </c>
      <c r="F156" s="119"/>
    </row>
    <row r="157" spans="4:6" x14ac:dyDescent="0.3">
      <c r="D157" s="282" t="str">
        <f>MOB_BA!C994</f>
        <v>Equipment Category 19</v>
      </c>
      <c r="F157" s="119"/>
    </row>
    <row r="158" spans="4:6" x14ac:dyDescent="0.3">
      <c r="D158" s="282" t="str">
        <f>MOB_BA!C995</f>
        <v>Equipment Category 20</v>
      </c>
      <c r="F158" s="119"/>
    </row>
    <row r="159" spans="4:6" x14ac:dyDescent="0.3">
      <c r="D159" s="282" t="str">
        <f>MOB_BA!C996</f>
        <v>Equipment Category 21</v>
      </c>
      <c r="F159" s="119"/>
    </row>
    <row r="160" spans="4:6" x14ac:dyDescent="0.3">
      <c r="D160" s="282" t="str">
        <f>MOB_BA!C997</f>
        <v>Equipment Category 22</v>
      </c>
      <c r="F160" s="119"/>
    </row>
    <row r="161" spans="3:6" x14ac:dyDescent="0.3">
      <c r="D161" s="282" t="str">
        <f>MOB_BA!C998</f>
        <v>Equipment Category 23</v>
      </c>
      <c r="F161" s="119"/>
    </row>
    <row r="162" spans="3:6" x14ac:dyDescent="0.3">
      <c r="D162" s="282" t="str">
        <f>MOB_BA!C999</f>
        <v>Equipment Category 24</v>
      </c>
      <c r="F162" s="119"/>
    </row>
    <row r="163" spans="3:6" x14ac:dyDescent="0.3">
      <c r="D163" s="282" t="str">
        <f>MOB_BA!C1000</f>
        <v>Equipment Category 25</v>
      </c>
      <c r="F163" s="119"/>
    </row>
    <row r="164" spans="3:6" x14ac:dyDescent="0.3">
      <c r="D164" s="282" t="str">
        <f>MOB_BA!C1001</f>
        <v>Equipment Category 26</v>
      </c>
      <c r="F164" s="119"/>
    </row>
    <row r="165" spans="3:6" x14ac:dyDescent="0.3">
      <c r="D165" s="282" t="str">
        <f>MOB_BA!C1002</f>
        <v>Equipment Category 27</v>
      </c>
      <c r="F165" s="119"/>
    </row>
    <row r="166" spans="3:6" x14ac:dyDescent="0.3">
      <c r="D166" s="282" t="str">
        <f>MOB_BA!C1003</f>
        <v>Equipment Category 28</v>
      </c>
      <c r="F166" s="119"/>
    </row>
    <row r="167" spans="3:6" x14ac:dyDescent="0.3">
      <c r="D167" s="282" t="str">
        <f>MOB_BA!C1004</f>
        <v>Equipment Category 29</v>
      </c>
      <c r="F167" s="119"/>
    </row>
    <row r="168" spans="3:6" x14ac:dyDescent="0.3">
      <c r="D168" s="282" t="str">
        <f>MOB_BA!C1005</f>
        <v>Equipment Category 30</v>
      </c>
      <c r="F168" s="119"/>
    </row>
    <row r="169" spans="3:6" x14ac:dyDescent="0.3">
      <c r="D169" s="282" t="str">
        <f>MOB_BA!C1006</f>
        <v>Equipment Category 31</v>
      </c>
      <c r="F169" s="119"/>
    </row>
    <row r="170" spans="3:6" x14ac:dyDescent="0.3">
      <c r="D170" s="282" t="str">
        <f>MOB_BA!C1007</f>
        <v>Equipment Category 32</v>
      </c>
      <c r="F170" s="119"/>
    </row>
    <row r="171" spans="3:6" x14ac:dyDescent="0.3">
      <c r="D171" s="282" t="str">
        <f>MOB_BA!C1008</f>
        <v>Equipment Category 33</v>
      </c>
      <c r="F171" s="119"/>
    </row>
    <row r="172" spans="3:6" x14ac:dyDescent="0.3">
      <c r="D172" s="282" t="str">
        <f>MOB_BA!C1009</f>
        <v>Equipment Category 34</v>
      </c>
      <c r="F172" s="119"/>
    </row>
    <row r="173" spans="3:6" x14ac:dyDescent="0.3">
      <c r="D173" s="282" t="str">
        <f>MOB_BA!C1010</f>
        <v>Equipment Category 35</v>
      </c>
      <c r="F173" s="119"/>
    </row>
    <row r="175" spans="3:6" ht="15.6" x14ac:dyDescent="0.3">
      <c r="C175" s="115" t="s">
        <v>89</v>
      </c>
      <c r="F175" s="115" t="s">
        <v>28</v>
      </c>
    </row>
    <row r="177" spans="4:6" x14ac:dyDescent="0.3">
      <c r="D177" s="116" t="s">
        <v>95</v>
      </c>
      <c r="F177" s="119" t="s">
        <v>269</v>
      </c>
    </row>
    <row r="178" spans="4:6" x14ac:dyDescent="0.3">
      <c r="D178" s="30" t="str">
        <f>MOB_BA!C1014</f>
        <v>Other Direct Costs Category 1</v>
      </c>
      <c r="F178" s="33" t="s">
        <v>46</v>
      </c>
    </row>
    <row r="179" spans="4:6" x14ac:dyDescent="0.3">
      <c r="D179" s="30" t="str">
        <f>MOB_BA!C1015</f>
        <v>Other Direct Costs Category 2</v>
      </c>
      <c r="F179" s="33" t="s">
        <v>46</v>
      </c>
    </row>
    <row r="180" spans="4:6" x14ac:dyDescent="0.3">
      <c r="D180" s="30" t="str">
        <f>MOB_BA!C1016</f>
        <v>Other Direct Costs Category 3</v>
      </c>
      <c r="F180" s="33" t="s">
        <v>46</v>
      </c>
    </row>
    <row r="181" spans="4:6" x14ac:dyDescent="0.3">
      <c r="D181" s="282" t="str">
        <f>MOB_BA!C1017</f>
        <v>Other Direct Costs Category 4</v>
      </c>
      <c r="F181" s="119"/>
    </row>
    <row r="182" spans="4:6" x14ac:dyDescent="0.3">
      <c r="D182" s="282" t="str">
        <f>MOB_BA!C1018</f>
        <v>Other Direct Costs Category 5</v>
      </c>
      <c r="F182" s="119"/>
    </row>
    <row r="183" spans="4:6" x14ac:dyDescent="0.3">
      <c r="D183" s="282" t="str">
        <f>MOB_BA!C1019</f>
        <v>Other Direct Costs Category 6</v>
      </c>
      <c r="F183" s="119"/>
    </row>
    <row r="184" spans="4:6" x14ac:dyDescent="0.3">
      <c r="D184" s="282" t="str">
        <f>MOB_BA!C1020</f>
        <v>Other Direct Costs Category 7</v>
      </c>
      <c r="F184" s="119"/>
    </row>
    <row r="185" spans="4:6" x14ac:dyDescent="0.3">
      <c r="D185" s="282" t="str">
        <f>MOB_BA!C1021</f>
        <v>Other Direct Costs Category 8</v>
      </c>
      <c r="F185" s="119"/>
    </row>
    <row r="186" spans="4:6" x14ac:dyDescent="0.3">
      <c r="D186" s="282" t="str">
        <f>MOB_BA!C1022</f>
        <v>Other Direct Costs Category 9</v>
      </c>
      <c r="F186" s="119"/>
    </row>
    <row r="187" spans="4:6" x14ac:dyDescent="0.3">
      <c r="D187" s="282" t="str">
        <f>MOB_BA!C1023</f>
        <v>Other Direct Costs Category 10</v>
      </c>
      <c r="F187" s="119"/>
    </row>
    <row r="188" spans="4:6" x14ac:dyDescent="0.3">
      <c r="D188" s="282" t="str">
        <f>MOB_BA!C1024</f>
        <v>Other Direct Costs Category 11</v>
      </c>
      <c r="F188" s="119"/>
    </row>
    <row r="189" spans="4:6" x14ac:dyDescent="0.3">
      <c r="D189" s="282" t="str">
        <f>MOB_BA!C1025</f>
        <v>Other Direct Costs Category 12</v>
      </c>
      <c r="F189" s="119"/>
    </row>
    <row r="190" spans="4:6" x14ac:dyDescent="0.3">
      <c r="D190" s="282" t="str">
        <f>MOB_BA!C1026</f>
        <v>Other Direct Costs Category 13</v>
      </c>
      <c r="F190" s="119"/>
    </row>
    <row r="191" spans="4:6" x14ac:dyDescent="0.3">
      <c r="D191" s="282" t="str">
        <f>MOB_BA!C1027</f>
        <v>Other Direct Costs Category 14</v>
      </c>
      <c r="F191" s="119"/>
    </row>
    <row r="192" spans="4:6" x14ac:dyDescent="0.3">
      <c r="D192" s="282" t="str">
        <f>MOB_BA!C1028</f>
        <v>Other Direct Costs Category 15</v>
      </c>
      <c r="F192" s="119"/>
    </row>
    <row r="193" spans="4:6" x14ac:dyDescent="0.3">
      <c r="D193" s="282" t="str">
        <f>MOB_BA!C1029</f>
        <v>Other Direct Costs Category 16</v>
      </c>
      <c r="F193" s="119"/>
    </row>
    <row r="194" spans="4:6" x14ac:dyDescent="0.3">
      <c r="D194" s="282" t="str">
        <f>MOB_BA!C1030</f>
        <v>Other Direct Costs Category 17</v>
      </c>
      <c r="F194" s="119"/>
    </row>
    <row r="195" spans="4:6" x14ac:dyDescent="0.3">
      <c r="D195" s="282" t="str">
        <f>MOB_BA!C1031</f>
        <v>Other Direct Costs Category 18</v>
      </c>
      <c r="F195" s="119"/>
    </row>
    <row r="196" spans="4:6" x14ac:dyDescent="0.3">
      <c r="D196" s="282" t="str">
        <f>MOB_BA!C1032</f>
        <v>Other Direct Costs Category 19</v>
      </c>
      <c r="F196" s="119"/>
    </row>
    <row r="197" spans="4:6" x14ac:dyDescent="0.3">
      <c r="D197" s="282" t="str">
        <f>MOB_BA!C1033</f>
        <v>Other Direct Costs Category 20</v>
      </c>
      <c r="F197" s="119"/>
    </row>
    <row r="198" spans="4:6" x14ac:dyDescent="0.3">
      <c r="D198" s="282" t="str">
        <f>MOB_BA!C1034</f>
        <v>Other Direct Costs Category 21</v>
      </c>
      <c r="F198" s="119"/>
    </row>
    <row r="199" spans="4:6" x14ac:dyDescent="0.3">
      <c r="D199" s="282" t="str">
        <f>MOB_BA!C1035</f>
        <v>Other Direct Costs Category 22</v>
      </c>
      <c r="F199" s="119"/>
    </row>
    <row r="200" spans="4:6" x14ac:dyDescent="0.3">
      <c r="D200" s="282" t="str">
        <f>MOB_BA!C1036</f>
        <v>Other Direct Costs Category 23</v>
      </c>
      <c r="F200" s="119"/>
    </row>
    <row r="201" spans="4:6" x14ac:dyDescent="0.3">
      <c r="D201" s="282" t="str">
        <f>MOB_BA!C1037</f>
        <v>Other Direct Costs Category 24</v>
      </c>
      <c r="F201" s="119"/>
    </row>
    <row r="202" spans="4:6" x14ac:dyDescent="0.3">
      <c r="D202" s="282" t="str">
        <f>MOB_BA!C1038</f>
        <v>Other Direct Costs Category 25</v>
      </c>
      <c r="F202" s="119"/>
    </row>
    <row r="203" spans="4:6" x14ac:dyDescent="0.3">
      <c r="D203" s="282" t="str">
        <f>MOB_BA!C1039</f>
        <v>Other Direct Costs Category 26</v>
      </c>
      <c r="F203" s="119"/>
    </row>
    <row r="204" spans="4:6" x14ac:dyDescent="0.3">
      <c r="D204" s="282" t="str">
        <f>MOB_BA!C1040</f>
        <v>Other Direct Costs Category 27</v>
      </c>
      <c r="F204" s="119"/>
    </row>
    <row r="205" spans="4:6" x14ac:dyDescent="0.3">
      <c r="D205" s="282" t="str">
        <f>MOB_BA!C1041</f>
        <v>Other Direct Costs Category 28</v>
      </c>
      <c r="F205" s="119"/>
    </row>
    <row r="206" spans="4:6" x14ac:dyDescent="0.3">
      <c r="D206" s="282" t="str">
        <f>MOB_BA!C1042</f>
        <v>Other Direct Costs Category 29</v>
      </c>
      <c r="F206" s="119"/>
    </row>
    <row r="207" spans="4:6" x14ac:dyDescent="0.3">
      <c r="D207" s="282" t="str">
        <f>MOB_BA!C1043</f>
        <v>Other Direct Costs Category 30</v>
      </c>
      <c r="F207" s="119"/>
    </row>
    <row r="208" spans="4:6" x14ac:dyDescent="0.3">
      <c r="D208" s="282" t="str">
        <f>MOB_BA!C1044</f>
        <v>Other Direct Costs Category 31</v>
      </c>
      <c r="F208" s="119"/>
    </row>
    <row r="209" spans="4:6" x14ac:dyDescent="0.3">
      <c r="D209" s="282" t="str">
        <f>MOB_BA!C1045</f>
        <v>Other Direct Costs Category 32</v>
      </c>
      <c r="F209" s="119"/>
    </row>
    <row r="210" spans="4:6" x14ac:dyDescent="0.3">
      <c r="D210" s="282" t="str">
        <f>MOB_BA!C1046</f>
        <v>Other Direct Costs Category 33</v>
      </c>
      <c r="F210" s="119"/>
    </row>
    <row r="211" spans="4:6" x14ac:dyDescent="0.3">
      <c r="D211" s="282" t="str">
        <f>MOB_BA!C1047</f>
        <v>Other Direct Costs Category 34</v>
      </c>
      <c r="F211" s="119"/>
    </row>
    <row r="212" spans="4:6" x14ac:dyDescent="0.3">
      <c r="D212" s="282" t="str">
        <f>MOB_BA!C1048</f>
        <v>Other Direct Costs Category 35</v>
      </c>
      <c r="F212" s="119"/>
    </row>
  </sheetData>
  <sheetProtection algorithmName="SHA-512" hashValue="xZIU883I9mbUntOBN0rj7ftQJm8WPfcwPufzZUY0SobREBEb6u0BHl3RxJXa3O8oIeWbypvePdejD4A44yGqYg==" saltValue="6yYFl1ou2gj33kQWa/aGKw==" spinCount="100000" sheet="1" objects="1" scenarios="1" formatColumns="0" formatRows="0"/>
  <mergeCells count="1">
    <mergeCell ref="B3:D3"/>
  </mergeCells>
  <hyperlinks>
    <hyperlink ref="A4" location="$B$5" tooltip="Go to Top of Sheet" display="$B$5" xr:uid="{00000000-0004-0000-2D00-000000000000}"/>
    <hyperlink ref="B4" location="HL_Sheet_Main_24" tooltip="Go to Previous Sheet" display="HL_Sheet_Main_24" xr:uid="{00000000-0004-0000-2D00-000001000000}"/>
    <hyperlink ref="C4" location="HL_Sheet_Main_26" tooltip="Go to Next Sheet" display="HL_Sheet_Main_26" xr:uid="{00000000-0004-0000-2D00-000002000000}"/>
    <hyperlink ref="B3" location="HL_Home" tooltip="Go to Table of Contents" display="HL_Home" xr:uid="{00000000-0004-0000-2D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322</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324</v>
      </c>
    </row>
    <row r="9" spans="1:6" ht="15.6" x14ac:dyDescent="0.3">
      <c r="C9" s="115" t="s">
        <v>93</v>
      </c>
    </row>
    <row r="11" spans="1:6" ht="15.6" x14ac:dyDescent="0.3">
      <c r="C11" s="115" t="s">
        <v>93</v>
      </c>
      <c r="F11" s="115" t="s">
        <v>28</v>
      </c>
    </row>
    <row r="13" spans="1:6" x14ac:dyDescent="0.3">
      <c r="D13" s="116" t="s">
        <v>95</v>
      </c>
      <c r="F13" s="119" t="s">
        <v>270</v>
      </c>
    </row>
    <row r="14" spans="1:6" x14ac:dyDescent="0.3">
      <c r="D14" s="30" t="str">
        <f>MOB_BA!D1206</f>
        <v>USD</v>
      </c>
      <c r="F14" s="33" t="s">
        <v>46</v>
      </c>
    </row>
    <row r="15" spans="1:6" x14ac:dyDescent="0.3">
      <c r="D15" s="30" t="str">
        <f>MOB_BA!D1207</f>
        <v>GOZ</v>
      </c>
      <c r="F15" s="33" t="s">
        <v>46</v>
      </c>
    </row>
    <row r="17" spans="3:6" ht="15.6" x14ac:dyDescent="0.3">
      <c r="C17" s="115" t="s">
        <v>77</v>
      </c>
      <c r="F17" s="115" t="s">
        <v>28</v>
      </c>
    </row>
    <row r="19" spans="3:6" x14ac:dyDescent="0.3">
      <c r="D19" s="116" t="s">
        <v>95</v>
      </c>
      <c r="F19" s="119" t="s">
        <v>271</v>
      </c>
    </row>
    <row r="20" spans="3:6" x14ac:dyDescent="0.3">
      <c r="D20" s="30" t="str">
        <f>MOB_BA!C1212</f>
        <v>Personnel Cadre - Other 1</v>
      </c>
      <c r="F20" s="33" t="s">
        <v>46</v>
      </c>
    </row>
    <row r="21" spans="3:6" x14ac:dyDescent="0.3">
      <c r="D21" s="30" t="str">
        <f>MOB_BA!C1213</f>
        <v>Personnel Cadre - Other 2</v>
      </c>
      <c r="F21" s="33" t="s">
        <v>46</v>
      </c>
    </row>
    <row r="22" spans="3:6" x14ac:dyDescent="0.3">
      <c r="D22" s="30" t="str">
        <f>MOB_BA!C1214</f>
        <v>Personnel Cadre - Other 3</v>
      </c>
      <c r="F22" s="33" t="s">
        <v>46</v>
      </c>
    </row>
    <row r="23" spans="3:6" x14ac:dyDescent="0.3">
      <c r="D23" s="30" t="str">
        <f>MOB_BA!C1215</f>
        <v>Personnel Cadre - Other 4</v>
      </c>
      <c r="F23" s="33" t="s">
        <v>46</v>
      </c>
    </row>
    <row r="24" spans="3:6" x14ac:dyDescent="0.3">
      <c r="D24" s="30" t="str">
        <f>MOB_BA!C1216</f>
        <v>Personnel Cadre - Other 5</v>
      </c>
      <c r="F24" s="33" t="s">
        <v>46</v>
      </c>
    </row>
    <row r="25" spans="3:6" x14ac:dyDescent="0.3">
      <c r="D25" s="30" t="str">
        <f>MOB_BA!C1217</f>
        <v>Personnel Cadre - Other 6</v>
      </c>
      <c r="F25" s="33" t="s">
        <v>46</v>
      </c>
    </row>
    <row r="26" spans="3:6" x14ac:dyDescent="0.3">
      <c r="D26" s="30" t="str">
        <f>MOB_BA!C1218</f>
        <v>Personnel Cadre - Other 7</v>
      </c>
      <c r="F26" s="33" t="s">
        <v>46</v>
      </c>
    </row>
    <row r="27" spans="3:6" x14ac:dyDescent="0.3">
      <c r="D27" s="30" t="str">
        <f>MOB_BA!C1219</f>
        <v>Personnel Cadre - Other 8</v>
      </c>
      <c r="F27" s="33" t="s">
        <v>46</v>
      </c>
    </row>
    <row r="28" spans="3:6" x14ac:dyDescent="0.3">
      <c r="D28" s="30" t="str">
        <f>MOB_BA!C1220</f>
        <v>Personnel Cadre - Other 9</v>
      </c>
      <c r="F28" s="33" t="s">
        <v>46</v>
      </c>
    </row>
    <row r="29" spans="3:6" x14ac:dyDescent="0.3">
      <c r="D29" s="30" t="str">
        <f>MOB_BA!C1221</f>
        <v>Personnel Cadre - Other 10</v>
      </c>
      <c r="F29" s="33" t="s">
        <v>46</v>
      </c>
    </row>
    <row r="30" spans="3:6" x14ac:dyDescent="0.3">
      <c r="D30" s="30" t="str">
        <f>MOB_BA!C1222</f>
        <v>Personnel Cadre - Other 11</v>
      </c>
      <c r="F30" s="33" t="s">
        <v>46</v>
      </c>
    </row>
    <row r="31" spans="3:6" x14ac:dyDescent="0.3">
      <c r="D31" s="30" t="str">
        <f>MOB_BA!C1223</f>
        <v>Personnel Cadre - Other 12</v>
      </c>
      <c r="F31" s="33" t="s">
        <v>46</v>
      </c>
    </row>
    <row r="32" spans="3:6" x14ac:dyDescent="0.3">
      <c r="D32" s="30" t="str">
        <f>MOB_BA!C1224</f>
        <v>Personnel Cadre - Other 13</v>
      </c>
      <c r="F32" s="33" t="s">
        <v>46</v>
      </c>
    </row>
    <row r="33" spans="4:6" x14ac:dyDescent="0.3">
      <c r="D33" s="30" t="str">
        <f>MOB_BA!C1225</f>
        <v>Personnel Cadre - Other 14</v>
      </c>
      <c r="F33" s="33" t="s">
        <v>46</v>
      </c>
    </row>
    <row r="34" spans="4:6" x14ac:dyDescent="0.3">
      <c r="D34" s="30" t="str">
        <f>MOB_BA!C1226</f>
        <v>Personnel Cadre - Other 15</v>
      </c>
      <c r="F34" s="33" t="s">
        <v>46</v>
      </c>
    </row>
    <row r="35" spans="4:6" x14ac:dyDescent="0.3">
      <c r="D35" s="282" t="str">
        <f>MOB_BA!C1227</f>
        <v>Personnel Cadre - Other 16</v>
      </c>
      <c r="F35" s="119"/>
    </row>
    <row r="36" spans="4:6" x14ac:dyDescent="0.3">
      <c r="D36" s="282" t="str">
        <f>MOB_BA!C1228</f>
        <v>Personnel Cadre - Other 17</v>
      </c>
      <c r="F36" s="119"/>
    </row>
    <row r="37" spans="4:6" x14ac:dyDescent="0.3">
      <c r="D37" s="282" t="str">
        <f>MOB_BA!C1229</f>
        <v>Personnel Cadre - Other 18</v>
      </c>
      <c r="F37" s="119"/>
    </row>
    <row r="38" spans="4:6" x14ac:dyDescent="0.3">
      <c r="D38" s="282" t="str">
        <f>MOB_BA!C1230</f>
        <v>Personnel Cadre - Other 19</v>
      </c>
      <c r="F38" s="119"/>
    </row>
    <row r="39" spans="4:6" x14ac:dyDescent="0.3">
      <c r="D39" s="282" t="str">
        <f>MOB_BA!C1231</f>
        <v>Personnel Cadre - Other 20</v>
      </c>
      <c r="F39" s="119"/>
    </row>
    <row r="40" spans="4:6" x14ac:dyDescent="0.3">
      <c r="D40" s="282" t="str">
        <f>MOB_BA!C1232</f>
        <v>Personnel Cadre - Other 21</v>
      </c>
      <c r="F40" s="119"/>
    </row>
    <row r="41" spans="4:6" x14ac:dyDescent="0.3">
      <c r="D41" s="282" t="str">
        <f>MOB_BA!C1233</f>
        <v>Personnel Cadre - Other 22</v>
      </c>
      <c r="F41" s="119"/>
    </row>
    <row r="42" spans="4:6" x14ac:dyDescent="0.3">
      <c r="D42" s="282" t="str">
        <f>MOB_BA!C1234</f>
        <v>Personnel Cadre - Other 23</v>
      </c>
      <c r="F42" s="119"/>
    </row>
    <row r="43" spans="4:6" x14ac:dyDescent="0.3">
      <c r="D43" s="282" t="str">
        <f>MOB_BA!C1235</f>
        <v>Personnel Cadre - Other 24</v>
      </c>
      <c r="F43" s="119"/>
    </row>
    <row r="44" spans="4:6" x14ac:dyDescent="0.3">
      <c r="D44" s="282" t="str">
        <f>MOB_BA!C1236</f>
        <v>Personnel Cadre - Other 25</v>
      </c>
      <c r="F44" s="119"/>
    </row>
    <row r="45" spans="4:6" x14ac:dyDescent="0.3">
      <c r="D45" s="282" t="str">
        <f>MOB_BA!C1237</f>
        <v>Personnel Cadre - Other 26</v>
      </c>
      <c r="F45" s="119"/>
    </row>
    <row r="46" spans="4:6" x14ac:dyDescent="0.3">
      <c r="D46" s="282" t="str">
        <f>MOB_BA!C1238</f>
        <v>Personnel Cadre - Other 27</v>
      </c>
      <c r="F46" s="119"/>
    </row>
    <row r="47" spans="4:6" x14ac:dyDescent="0.3">
      <c r="D47" s="282" t="str">
        <f>MOB_BA!C1239</f>
        <v>Personnel Cadre - Other 28</v>
      </c>
      <c r="F47" s="119"/>
    </row>
    <row r="48" spans="4:6" x14ac:dyDescent="0.3">
      <c r="D48" s="282" t="str">
        <f>MOB_BA!C1240</f>
        <v>Personnel Cadre - Other 29</v>
      </c>
      <c r="F48" s="119"/>
    </row>
    <row r="49" spans="3:6" x14ac:dyDescent="0.3">
      <c r="D49" s="282" t="str">
        <f>MOB_BA!C1241</f>
        <v>Personnel Cadre - Other 30</v>
      </c>
      <c r="F49" s="119"/>
    </row>
    <row r="50" spans="3:6" x14ac:dyDescent="0.3">
      <c r="D50" s="282" t="str">
        <f>MOB_BA!C1242</f>
        <v>Personnel Cadre - Other 31</v>
      </c>
      <c r="F50" s="119"/>
    </row>
    <row r="51" spans="3:6" x14ac:dyDescent="0.3">
      <c r="D51" s="282" t="str">
        <f>MOB_BA!C1243</f>
        <v>Personnel Cadre - Other 32</v>
      </c>
      <c r="F51" s="119"/>
    </row>
    <row r="52" spans="3:6" x14ac:dyDescent="0.3">
      <c r="D52" s="282" t="str">
        <f>MOB_BA!C1244</f>
        <v>Personnel Cadre - Other 33</v>
      </c>
      <c r="F52" s="119"/>
    </row>
    <row r="53" spans="3:6" x14ac:dyDescent="0.3">
      <c r="D53" s="282" t="str">
        <f>MOB_BA!C1245</f>
        <v>Personnel Cadre - Other 34</v>
      </c>
      <c r="F53" s="119"/>
    </row>
    <row r="54" spans="3:6" x14ac:dyDescent="0.3">
      <c r="D54" s="282" t="str">
        <f>MOB_BA!C1246</f>
        <v>Personnel Cadre - Other 35</v>
      </c>
      <c r="F54" s="119"/>
    </row>
    <row r="56" spans="3:6" ht="15.6" x14ac:dyDescent="0.3">
      <c r="C56" s="115" t="s">
        <v>94</v>
      </c>
      <c r="F56" s="115" t="s">
        <v>28</v>
      </c>
    </row>
    <row r="58" spans="3:6" x14ac:dyDescent="0.3">
      <c r="D58" s="116" t="s">
        <v>95</v>
      </c>
      <c r="F58" s="119" t="s">
        <v>272</v>
      </c>
    </row>
    <row r="59" spans="3:6" x14ac:dyDescent="0.3">
      <c r="D59" s="30" t="str">
        <f>MOB_BA!C1249</f>
        <v>Allowances Category 1</v>
      </c>
      <c r="F59" s="33" t="s">
        <v>46</v>
      </c>
    </row>
    <row r="60" spans="3:6" x14ac:dyDescent="0.3">
      <c r="D60" s="30" t="str">
        <f>MOB_BA!C1250</f>
        <v>Allowances Category 2</v>
      </c>
      <c r="F60" s="33" t="s">
        <v>46</v>
      </c>
    </row>
    <row r="61" spans="3:6" x14ac:dyDescent="0.3">
      <c r="D61" s="30" t="str">
        <f>MOB_BA!C1251</f>
        <v>Allowances Category 3</v>
      </c>
      <c r="F61" s="33" t="s">
        <v>46</v>
      </c>
    </row>
    <row r="62" spans="3:6" x14ac:dyDescent="0.3">
      <c r="D62" s="30" t="str">
        <f>MOB_BA!C1252</f>
        <v>Allowances Category 4</v>
      </c>
      <c r="F62" s="33" t="s">
        <v>46</v>
      </c>
    </row>
    <row r="63" spans="3:6" x14ac:dyDescent="0.3">
      <c r="D63" s="30" t="str">
        <f>MOB_BA!C1253</f>
        <v>Allowances Category 5</v>
      </c>
      <c r="F63" s="33" t="s">
        <v>46</v>
      </c>
    </row>
    <row r="64" spans="3:6" x14ac:dyDescent="0.3">
      <c r="D64" s="282" t="str">
        <f>MOB_BA!C1254</f>
        <v>Allowances Category 6</v>
      </c>
      <c r="F64" s="119"/>
    </row>
    <row r="65" spans="4:6" x14ac:dyDescent="0.3">
      <c r="D65" s="282" t="str">
        <f>MOB_BA!C1255</f>
        <v>Allowances Category 7</v>
      </c>
      <c r="F65" s="119"/>
    </row>
    <row r="66" spans="4:6" x14ac:dyDescent="0.3">
      <c r="D66" s="282" t="str">
        <f>MOB_BA!C1256</f>
        <v>Allowances Category 8</v>
      </c>
      <c r="F66" s="119"/>
    </row>
    <row r="67" spans="4:6" x14ac:dyDescent="0.3">
      <c r="D67" s="282" t="str">
        <f>MOB_BA!C1257</f>
        <v>Allowances Category 9</v>
      </c>
      <c r="F67" s="119"/>
    </row>
    <row r="68" spans="4:6" x14ac:dyDescent="0.3">
      <c r="D68" s="282" t="str">
        <f>MOB_BA!C1258</f>
        <v>Allowances Category 10</v>
      </c>
      <c r="F68" s="119"/>
    </row>
    <row r="69" spans="4:6" x14ac:dyDescent="0.3">
      <c r="D69" s="282" t="str">
        <f>MOB_BA!C1259</f>
        <v>Allowances Category 11</v>
      </c>
      <c r="F69" s="119"/>
    </row>
    <row r="70" spans="4:6" x14ac:dyDescent="0.3">
      <c r="D70" s="282" t="str">
        <f>MOB_BA!C1260</f>
        <v>Allowances Category 12</v>
      </c>
      <c r="F70" s="119"/>
    </row>
    <row r="71" spans="4:6" x14ac:dyDescent="0.3">
      <c r="D71" s="282" t="str">
        <f>MOB_BA!C1261</f>
        <v>Allowances Category 13</v>
      </c>
      <c r="F71" s="119"/>
    </row>
    <row r="72" spans="4:6" x14ac:dyDescent="0.3">
      <c r="D72" s="282" t="str">
        <f>MOB_BA!C1262</f>
        <v>Allowances Category 14</v>
      </c>
      <c r="F72" s="119"/>
    </row>
    <row r="73" spans="4:6" x14ac:dyDescent="0.3">
      <c r="D73" s="282" t="str">
        <f>MOB_BA!C1263</f>
        <v>Allowances Category 15</v>
      </c>
      <c r="F73" s="119"/>
    </row>
    <row r="74" spans="4:6" x14ac:dyDescent="0.3">
      <c r="D74" s="282" t="str">
        <f>MOB_BA!C1264</f>
        <v>Allowances Category 16</v>
      </c>
      <c r="F74" s="119"/>
    </row>
    <row r="75" spans="4:6" x14ac:dyDescent="0.3">
      <c r="D75" s="30" t="str">
        <f>MOB_BA!C1265</f>
        <v>Allowances Category 17</v>
      </c>
      <c r="F75" s="33" t="s">
        <v>46</v>
      </c>
    </row>
    <row r="76" spans="4:6" x14ac:dyDescent="0.3">
      <c r="D76" s="30" t="str">
        <f>MOB_BA!C1266</f>
        <v>Allowances Category 18</v>
      </c>
      <c r="F76" s="33" t="s">
        <v>46</v>
      </c>
    </row>
    <row r="77" spans="4:6" x14ac:dyDescent="0.3">
      <c r="D77" s="30" t="str">
        <f>MOB_BA!C1267</f>
        <v>Allowances Category 19</v>
      </c>
      <c r="F77" s="33" t="s">
        <v>46</v>
      </c>
    </row>
    <row r="78" spans="4:6" x14ac:dyDescent="0.3">
      <c r="D78" s="30" t="str">
        <f>MOB_BA!C1268</f>
        <v>Allowances Category 20</v>
      </c>
      <c r="F78" s="33" t="s">
        <v>46</v>
      </c>
    </row>
    <row r="79" spans="4:6" x14ac:dyDescent="0.3">
      <c r="D79" s="30" t="str">
        <f>MOB_BA!C1269</f>
        <v>Allowances Category 21</v>
      </c>
      <c r="F79" s="33" t="s">
        <v>46</v>
      </c>
    </row>
    <row r="80" spans="4:6" x14ac:dyDescent="0.3">
      <c r="D80" s="30" t="str">
        <f>MOB_BA!C1270</f>
        <v>Allowances Category 22</v>
      </c>
      <c r="F80" s="33" t="s">
        <v>46</v>
      </c>
    </row>
    <row r="81" spans="3:6" x14ac:dyDescent="0.3">
      <c r="D81" s="30" t="str">
        <f>MOB_BA!C1271</f>
        <v>Allowances Category 23</v>
      </c>
      <c r="F81" s="33" t="s">
        <v>46</v>
      </c>
    </row>
    <row r="82" spans="3:6" x14ac:dyDescent="0.3">
      <c r="D82" s="282" t="str">
        <f>MOB_BA!C1272</f>
        <v>Allowances Category 24</v>
      </c>
      <c r="F82" s="119"/>
    </row>
    <row r="83" spans="3:6" x14ac:dyDescent="0.3">
      <c r="D83" s="282" t="str">
        <f>MOB_BA!C1273</f>
        <v>Allowances Category 25</v>
      </c>
      <c r="F83" s="119"/>
    </row>
    <row r="84" spans="3:6" x14ac:dyDescent="0.3">
      <c r="D84" s="282" t="str">
        <f>MOB_BA!C1274</f>
        <v>Allowances Category 26</v>
      </c>
      <c r="F84" s="119"/>
    </row>
    <row r="85" spans="3:6" x14ac:dyDescent="0.3">
      <c r="D85" s="282" t="str">
        <f>MOB_BA!C1275</f>
        <v>Allowances Category 27</v>
      </c>
      <c r="F85" s="119"/>
    </row>
    <row r="86" spans="3:6" x14ac:dyDescent="0.3">
      <c r="D86" s="282" t="str">
        <f>MOB_BA!C1276</f>
        <v>Allowances Category 28</v>
      </c>
      <c r="F86" s="119"/>
    </row>
    <row r="87" spans="3:6" x14ac:dyDescent="0.3">
      <c r="D87" s="282" t="str">
        <f>MOB_BA!C1277</f>
        <v>Allowances Category 29</v>
      </c>
      <c r="F87" s="119"/>
    </row>
    <row r="88" spans="3:6" x14ac:dyDescent="0.3">
      <c r="D88" s="282" t="str">
        <f>MOB_BA!C1278</f>
        <v>Allowances Category 30</v>
      </c>
      <c r="F88" s="119"/>
    </row>
    <row r="89" spans="3:6" x14ac:dyDescent="0.3">
      <c r="D89" s="30" t="str">
        <f>MOB_BA!C1279</f>
        <v>Allowances Category 31</v>
      </c>
      <c r="F89" s="33" t="s">
        <v>46</v>
      </c>
    </row>
    <row r="90" spans="3:6" x14ac:dyDescent="0.3">
      <c r="D90" s="30" t="str">
        <f>MOB_BA!C1280</f>
        <v>Allowances Category 32</v>
      </c>
      <c r="F90" s="33" t="s">
        <v>46</v>
      </c>
    </row>
    <row r="91" spans="3:6" x14ac:dyDescent="0.3">
      <c r="D91" s="30" t="str">
        <f>MOB_BA!C1281</f>
        <v>Allowances Category 33</v>
      </c>
      <c r="F91" s="33" t="s">
        <v>46</v>
      </c>
    </row>
    <row r="92" spans="3:6" x14ac:dyDescent="0.3">
      <c r="D92" s="30" t="str">
        <f>MOB_BA!C1282</f>
        <v>Allowances Category 34</v>
      </c>
      <c r="F92" s="33" t="s">
        <v>46</v>
      </c>
    </row>
    <row r="93" spans="3:6" x14ac:dyDescent="0.3">
      <c r="D93" s="30" t="str">
        <f>MOB_BA!C1283</f>
        <v>Allowances Category 35</v>
      </c>
      <c r="F93" s="33" t="s">
        <v>46</v>
      </c>
    </row>
    <row r="96" spans="3:6" ht="15.6" x14ac:dyDescent="0.3">
      <c r="C96" s="115" t="s">
        <v>132</v>
      </c>
      <c r="F96" s="115" t="s">
        <v>28</v>
      </c>
    </row>
    <row r="98" spans="4:6" x14ac:dyDescent="0.3">
      <c r="D98" s="116" t="s">
        <v>95</v>
      </c>
      <c r="F98" s="119" t="s">
        <v>273</v>
      </c>
    </row>
    <row r="99" spans="4:6" x14ac:dyDescent="0.3">
      <c r="D99" s="30" t="str">
        <f>MOB_BA!C1287</f>
        <v>Supplies Category 1</v>
      </c>
      <c r="F99" s="33" t="s">
        <v>46</v>
      </c>
    </row>
    <row r="100" spans="4:6" x14ac:dyDescent="0.3">
      <c r="D100" s="30" t="str">
        <f>MOB_BA!C1288</f>
        <v>Supplies Category 2</v>
      </c>
      <c r="F100" s="33" t="s">
        <v>46</v>
      </c>
    </row>
    <row r="101" spans="4:6" x14ac:dyDescent="0.3">
      <c r="D101" s="30" t="str">
        <f>MOB_BA!C1289</f>
        <v>Supplies Category 3</v>
      </c>
      <c r="F101" s="33" t="s">
        <v>46</v>
      </c>
    </row>
    <row r="102" spans="4:6" x14ac:dyDescent="0.3">
      <c r="D102" s="30" t="str">
        <f>MOB_BA!C1290</f>
        <v>Supplies Category 4</v>
      </c>
      <c r="F102" s="33" t="s">
        <v>46</v>
      </c>
    </row>
    <row r="103" spans="4:6" x14ac:dyDescent="0.3">
      <c r="D103" s="30" t="str">
        <f>MOB_BA!C1291</f>
        <v>Supplies Category 5</v>
      </c>
      <c r="F103" s="33" t="s">
        <v>46</v>
      </c>
    </row>
    <row r="104" spans="4:6" x14ac:dyDescent="0.3">
      <c r="D104" s="30" t="str">
        <f>MOB_BA!C1292</f>
        <v>Supplies Category 6</v>
      </c>
      <c r="F104" s="33" t="s">
        <v>46</v>
      </c>
    </row>
    <row r="105" spans="4:6" x14ac:dyDescent="0.3">
      <c r="D105" s="30" t="str">
        <f>MOB_BA!C1293</f>
        <v>Supplies Category 7</v>
      </c>
      <c r="F105" s="33" t="s">
        <v>46</v>
      </c>
    </row>
    <row r="106" spans="4:6" x14ac:dyDescent="0.3">
      <c r="D106" s="30" t="str">
        <f>MOB_BA!C1294</f>
        <v>Supplies Category 8</v>
      </c>
      <c r="F106" s="33" t="s">
        <v>46</v>
      </c>
    </row>
    <row r="107" spans="4:6" x14ac:dyDescent="0.3">
      <c r="D107" s="30" t="str">
        <f>MOB_BA!C1295</f>
        <v>Supplies Category 9</v>
      </c>
      <c r="F107" s="33" t="s">
        <v>46</v>
      </c>
    </row>
    <row r="108" spans="4:6" x14ac:dyDescent="0.3">
      <c r="D108" s="30" t="str">
        <f>MOB_BA!C1296</f>
        <v>Supplies Category 10</v>
      </c>
      <c r="F108" s="33" t="s">
        <v>46</v>
      </c>
    </row>
    <row r="109" spans="4:6" x14ac:dyDescent="0.3">
      <c r="D109" s="30" t="str">
        <f>MOB_BA!C1297</f>
        <v>Supplies Category 11</v>
      </c>
      <c r="F109" s="33" t="s">
        <v>46</v>
      </c>
    </row>
    <row r="110" spans="4:6" x14ac:dyDescent="0.3">
      <c r="D110" s="30" t="str">
        <f>MOB_BA!C1298</f>
        <v>Supplies Category 12</v>
      </c>
      <c r="F110" s="33" t="s">
        <v>46</v>
      </c>
    </row>
    <row r="111" spans="4:6" x14ac:dyDescent="0.3">
      <c r="D111" s="30" t="str">
        <f>MOB_BA!C1299</f>
        <v>Supplies Category 13</v>
      </c>
      <c r="F111" s="33" t="s">
        <v>46</v>
      </c>
    </row>
    <row r="112" spans="4:6" x14ac:dyDescent="0.3">
      <c r="D112" s="30" t="str">
        <f>MOB_BA!C1300</f>
        <v>Supplies Category 14</v>
      </c>
      <c r="F112" s="33" t="s">
        <v>46</v>
      </c>
    </row>
    <row r="113" spans="4:6" x14ac:dyDescent="0.3">
      <c r="D113" s="30" t="str">
        <f>MOB_BA!C1301</f>
        <v>Supplies Category 15</v>
      </c>
      <c r="F113" s="33" t="s">
        <v>46</v>
      </c>
    </row>
    <row r="114" spans="4:6" x14ac:dyDescent="0.3">
      <c r="D114" s="30" t="str">
        <f>MOB_BA!C1302</f>
        <v>Supplies Category 16</v>
      </c>
      <c r="F114" s="33" t="s">
        <v>46</v>
      </c>
    </row>
    <row r="115" spans="4:6" x14ac:dyDescent="0.3">
      <c r="D115" s="282" t="str">
        <f>MOB_BA!C1303</f>
        <v>Supplies Category 17</v>
      </c>
      <c r="F115" s="119"/>
    </row>
    <row r="116" spans="4:6" x14ac:dyDescent="0.3">
      <c r="D116" s="282" t="str">
        <f>MOB_BA!C1304</f>
        <v>Supplies Category 18</v>
      </c>
      <c r="F116" s="119"/>
    </row>
    <row r="117" spans="4:6" x14ac:dyDescent="0.3">
      <c r="D117" s="282" t="str">
        <f>MOB_BA!C1305</f>
        <v>Supplies Category 19</v>
      </c>
      <c r="F117" s="119"/>
    </row>
    <row r="118" spans="4:6" x14ac:dyDescent="0.3">
      <c r="D118" s="282" t="str">
        <f>MOB_BA!C1306</f>
        <v>Supplies Category 20</v>
      </c>
      <c r="F118" s="119"/>
    </row>
    <row r="119" spans="4:6" x14ac:dyDescent="0.3">
      <c r="D119" s="282" t="str">
        <f>MOB_BA!C1307</f>
        <v>Supplies Category 21</v>
      </c>
      <c r="F119" s="119"/>
    </row>
    <row r="120" spans="4:6" x14ac:dyDescent="0.3">
      <c r="D120" s="282" t="str">
        <f>MOB_BA!C1308</f>
        <v>Supplies Category 22</v>
      </c>
      <c r="F120" s="119"/>
    </row>
    <row r="121" spans="4:6" x14ac:dyDescent="0.3">
      <c r="D121" s="282" t="str">
        <f>MOB_BA!C1309</f>
        <v>Supplies Category 23</v>
      </c>
      <c r="F121" s="119"/>
    </row>
    <row r="122" spans="4:6" x14ac:dyDescent="0.3">
      <c r="D122" s="282" t="str">
        <f>MOB_BA!C1310</f>
        <v>Supplies Category 24</v>
      </c>
      <c r="F122" s="119"/>
    </row>
    <row r="123" spans="4:6" x14ac:dyDescent="0.3">
      <c r="D123" s="282" t="str">
        <f>MOB_BA!C1311</f>
        <v>Supplies Category 25</v>
      </c>
      <c r="F123" s="119"/>
    </row>
    <row r="124" spans="4:6" x14ac:dyDescent="0.3">
      <c r="D124" s="282" t="str">
        <f>MOB_BA!C1312</f>
        <v>Supplies Category 26</v>
      </c>
      <c r="F124" s="119"/>
    </row>
    <row r="125" spans="4:6" x14ac:dyDescent="0.3">
      <c r="D125" s="282" t="str">
        <f>MOB_BA!C1313</f>
        <v>Supplies Category 27</v>
      </c>
      <c r="F125" s="119"/>
    </row>
    <row r="126" spans="4:6" x14ac:dyDescent="0.3">
      <c r="D126" s="282" t="str">
        <f>MOB_BA!C1314</f>
        <v>Supplies Category 28</v>
      </c>
      <c r="F126" s="119"/>
    </row>
    <row r="127" spans="4:6" x14ac:dyDescent="0.3">
      <c r="D127" s="282" t="str">
        <f>MOB_BA!C1315</f>
        <v>Supplies Category 29</v>
      </c>
      <c r="F127" s="119"/>
    </row>
    <row r="128" spans="4:6" x14ac:dyDescent="0.3">
      <c r="D128" s="282" t="str">
        <f>MOB_BA!C1316</f>
        <v>Supplies Category 30</v>
      </c>
      <c r="F128" s="119"/>
    </row>
    <row r="129" spans="3:6" x14ac:dyDescent="0.3">
      <c r="D129" s="282" t="str">
        <f>MOB_BA!C1317</f>
        <v>Supplies Category 31</v>
      </c>
      <c r="F129" s="119"/>
    </row>
    <row r="130" spans="3:6" x14ac:dyDescent="0.3">
      <c r="D130" s="282" t="str">
        <f>MOB_BA!C1318</f>
        <v>Supplies Category 32</v>
      </c>
      <c r="F130" s="119"/>
    </row>
    <row r="131" spans="3:6" x14ac:dyDescent="0.3">
      <c r="D131" s="282" t="str">
        <f>MOB_BA!C1319</f>
        <v>Supplies Category 33</v>
      </c>
      <c r="F131" s="119"/>
    </row>
    <row r="132" spans="3:6" x14ac:dyDescent="0.3">
      <c r="D132" s="282" t="str">
        <f>MOB_BA!C1320</f>
        <v>Supplies Category 34</v>
      </c>
      <c r="F132" s="119"/>
    </row>
    <row r="133" spans="3:6" x14ac:dyDescent="0.3">
      <c r="D133" s="282" t="str">
        <f>MOB_BA!C1321</f>
        <v>Supplies Category 35</v>
      </c>
      <c r="F133" s="119"/>
    </row>
    <row r="136" spans="3:6" ht="15.6" x14ac:dyDescent="0.3">
      <c r="C136" s="115" t="s">
        <v>130</v>
      </c>
      <c r="F136" s="115" t="s">
        <v>28</v>
      </c>
    </row>
    <row r="138" spans="3:6" x14ac:dyDescent="0.3">
      <c r="D138" s="116" t="s">
        <v>95</v>
      </c>
      <c r="F138" s="119" t="s">
        <v>274</v>
      </c>
    </row>
    <row r="139" spans="3:6" x14ac:dyDescent="0.3">
      <c r="D139" s="30" t="str">
        <f>MOB_BA!C1324</f>
        <v>Equipment Category 1</v>
      </c>
      <c r="F139" s="33" t="s">
        <v>46</v>
      </c>
    </row>
    <row r="140" spans="3:6" x14ac:dyDescent="0.3">
      <c r="D140" s="30" t="str">
        <f>MOB_BA!C1325</f>
        <v>Equipment Category 2</v>
      </c>
      <c r="F140" s="33" t="s">
        <v>46</v>
      </c>
    </row>
    <row r="141" spans="3:6" x14ac:dyDescent="0.3">
      <c r="D141" s="30" t="str">
        <f>MOB_BA!C1326</f>
        <v>Equipment Category 3</v>
      </c>
      <c r="F141" s="33" t="s">
        <v>46</v>
      </c>
    </row>
    <row r="142" spans="3:6" x14ac:dyDescent="0.3">
      <c r="D142" s="30" t="str">
        <f>MOB_BA!C1327</f>
        <v>Equipment Category 4</v>
      </c>
      <c r="F142" s="33" t="s">
        <v>46</v>
      </c>
    </row>
    <row r="143" spans="3:6" x14ac:dyDescent="0.3">
      <c r="D143" s="30" t="str">
        <f>MOB_BA!C1328</f>
        <v>Equipment Category 5</v>
      </c>
      <c r="F143" s="33" t="s">
        <v>46</v>
      </c>
    </row>
    <row r="144" spans="3:6" x14ac:dyDescent="0.3">
      <c r="D144" s="30" t="str">
        <f>MOB_BA!C1329</f>
        <v>Equipment Category 6</v>
      </c>
      <c r="F144" s="33" t="s">
        <v>46</v>
      </c>
    </row>
    <row r="145" spans="4:6" x14ac:dyDescent="0.3">
      <c r="D145" s="282" t="str">
        <f>MOB_BA!C1330</f>
        <v>Equipment Category 7</v>
      </c>
      <c r="F145" s="119"/>
    </row>
    <row r="146" spans="4:6" x14ac:dyDescent="0.3">
      <c r="D146" s="282" t="str">
        <f>MOB_BA!C1331</f>
        <v>Equipment Category 8</v>
      </c>
      <c r="F146" s="119"/>
    </row>
    <row r="147" spans="4:6" x14ac:dyDescent="0.3">
      <c r="D147" s="282" t="str">
        <f>MOB_BA!C1332</f>
        <v>Equipment Category 9</v>
      </c>
      <c r="F147" s="119"/>
    </row>
    <row r="148" spans="4:6" x14ac:dyDescent="0.3">
      <c r="D148" s="282" t="str">
        <f>MOB_BA!C1333</f>
        <v>Equipment Category 10</v>
      </c>
      <c r="F148" s="119"/>
    </row>
    <row r="149" spans="4:6" x14ac:dyDescent="0.3">
      <c r="D149" s="282" t="str">
        <f>MOB_BA!C1334</f>
        <v>Equipment Category 11</v>
      </c>
      <c r="F149" s="119"/>
    </row>
    <row r="150" spans="4:6" x14ac:dyDescent="0.3">
      <c r="D150" s="282" t="str">
        <f>MOB_BA!C1335</f>
        <v>Equipment Category 12</v>
      </c>
      <c r="F150" s="119"/>
    </row>
    <row r="151" spans="4:6" x14ac:dyDescent="0.3">
      <c r="D151" s="282" t="str">
        <f>MOB_BA!C1336</f>
        <v>Equipment Category 13</v>
      </c>
      <c r="F151" s="119"/>
    </row>
    <row r="152" spans="4:6" x14ac:dyDescent="0.3">
      <c r="D152" s="282" t="str">
        <f>MOB_BA!C1337</f>
        <v>Equipment Category 14</v>
      </c>
      <c r="F152" s="119"/>
    </row>
    <row r="153" spans="4:6" x14ac:dyDescent="0.3">
      <c r="D153" s="282" t="str">
        <f>MOB_BA!C1338</f>
        <v>Equipment Category 15</v>
      </c>
      <c r="F153" s="119"/>
    </row>
    <row r="154" spans="4:6" x14ac:dyDescent="0.3">
      <c r="D154" s="282" t="str">
        <f>MOB_BA!C1339</f>
        <v>Equipment Category 16</v>
      </c>
      <c r="F154" s="119"/>
    </row>
    <row r="155" spans="4:6" x14ac:dyDescent="0.3">
      <c r="D155" s="282" t="str">
        <f>MOB_BA!C1340</f>
        <v>Equipment Category 17</v>
      </c>
      <c r="F155" s="119"/>
    </row>
    <row r="156" spans="4:6" x14ac:dyDescent="0.3">
      <c r="D156" s="282" t="str">
        <f>MOB_BA!C1341</f>
        <v>Equipment Category 18</v>
      </c>
      <c r="F156" s="119"/>
    </row>
    <row r="157" spans="4:6" x14ac:dyDescent="0.3">
      <c r="D157" s="282" t="str">
        <f>MOB_BA!C1342</f>
        <v>Equipment Category 19</v>
      </c>
      <c r="F157" s="119"/>
    </row>
    <row r="158" spans="4:6" x14ac:dyDescent="0.3">
      <c r="D158" s="282" t="str">
        <f>MOB_BA!C1343</f>
        <v>Equipment Category 20</v>
      </c>
      <c r="F158" s="119"/>
    </row>
    <row r="159" spans="4:6" x14ac:dyDescent="0.3">
      <c r="D159" s="282" t="str">
        <f>MOB_BA!C1344</f>
        <v>Equipment Category 21</v>
      </c>
      <c r="F159" s="119"/>
    </row>
    <row r="160" spans="4:6" x14ac:dyDescent="0.3">
      <c r="D160" s="282" t="str">
        <f>MOB_BA!C1345</f>
        <v>Equipment Category 22</v>
      </c>
      <c r="F160" s="119"/>
    </row>
    <row r="161" spans="3:6" x14ac:dyDescent="0.3">
      <c r="D161" s="282" t="str">
        <f>MOB_BA!C1346</f>
        <v>Equipment Category 23</v>
      </c>
      <c r="F161" s="119"/>
    </row>
    <row r="162" spans="3:6" x14ac:dyDescent="0.3">
      <c r="D162" s="282" t="str">
        <f>MOB_BA!C1347</f>
        <v>Equipment Category 24</v>
      </c>
      <c r="F162" s="119"/>
    </row>
    <row r="163" spans="3:6" x14ac:dyDescent="0.3">
      <c r="D163" s="282" t="str">
        <f>MOB_BA!C1348</f>
        <v>Equipment Category 25</v>
      </c>
      <c r="F163" s="119"/>
    </row>
    <row r="164" spans="3:6" x14ac:dyDescent="0.3">
      <c r="D164" s="282" t="str">
        <f>MOB_BA!C1349</f>
        <v>Equipment Category 26</v>
      </c>
      <c r="F164" s="119"/>
    </row>
    <row r="165" spans="3:6" x14ac:dyDescent="0.3">
      <c r="D165" s="282" t="str">
        <f>MOB_BA!C1350</f>
        <v>Equipment Category 27</v>
      </c>
      <c r="F165" s="119"/>
    </row>
    <row r="166" spans="3:6" x14ac:dyDescent="0.3">
      <c r="D166" s="282" t="str">
        <f>MOB_BA!C1351</f>
        <v>Equipment Category 28</v>
      </c>
      <c r="F166" s="119"/>
    </row>
    <row r="167" spans="3:6" x14ac:dyDescent="0.3">
      <c r="D167" s="282" t="str">
        <f>MOB_BA!C1352</f>
        <v>Equipment Category 29</v>
      </c>
      <c r="F167" s="119"/>
    </row>
    <row r="168" spans="3:6" x14ac:dyDescent="0.3">
      <c r="D168" s="282" t="str">
        <f>MOB_BA!C1353</f>
        <v>Equipment Category 30</v>
      </c>
      <c r="F168" s="119"/>
    </row>
    <row r="169" spans="3:6" x14ac:dyDescent="0.3">
      <c r="D169" s="282" t="str">
        <f>MOB_BA!C1354</f>
        <v>Equipment Category 31</v>
      </c>
      <c r="F169" s="119"/>
    </row>
    <row r="170" spans="3:6" x14ac:dyDescent="0.3">
      <c r="D170" s="282" t="str">
        <f>MOB_BA!C1355</f>
        <v>Equipment Category 32</v>
      </c>
      <c r="F170" s="119"/>
    </row>
    <row r="171" spans="3:6" x14ac:dyDescent="0.3">
      <c r="D171" s="282" t="str">
        <f>MOB_BA!C1356</f>
        <v>Equipment Category 33</v>
      </c>
      <c r="F171" s="119"/>
    </row>
    <row r="172" spans="3:6" x14ac:dyDescent="0.3">
      <c r="D172" s="282" t="str">
        <f>MOB_BA!C1357</f>
        <v>Equipment Category 34</v>
      </c>
      <c r="F172" s="119"/>
    </row>
    <row r="173" spans="3:6" x14ac:dyDescent="0.3">
      <c r="D173" s="282" t="str">
        <f>MOB_BA!C1358</f>
        <v>Equipment Category 35</v>
      </c>
      <c r="F173" s="119"/>
    </row>
    <row r="175" spans="3:6" ht="15.6" x14ac:dyDescent="0.3">
      <c r="C175" s="115" t="s">
        <v>89</v>
      </c>
      <c r="F175" s="115" t="s">
        <v>28</v>
      </c>
    </row>
    <row r="177" spans="4:6" x14ac:dyDescent="0.3">
      <c r="D177" s="116" t="s">
        <v>95</v>
      </c>
      <c r="F177" s="119" t="s">
        <v>275</v>
      </c>
    </row>
    <row r="178" spans="4:6" x14ac:dyDescent="0.3">
      <c r="D178" s="30" t="str">
        <f>MOB_BA!C1362</f>
        <v>Other Direct Costs Category 1</v>
      </c>
      <c r="F178" s="33" t="s">
        <v>46</v>
      </c>
    </row>
    <row r="179" spans="4:6" x14ac:dyDescent="0.3">
      <c r="D179" s="30" t="str">
        <f>MOB_BA!C1363</f>
        <v>Other Direct Costs Category 2</v>
      </c>
      <c r="F179" s="33" t="s">
        <v>46</v>
      </c>
    </row>
    <row r="180" spans="4:6" x14ac:dyDescent="0.3">
      <c r="D180" s="30" t="str">
        <f>MOB_BA!C1364</f>
        <v>Other Direct Costs Category 3</v>
      </c>
      <c r="F180" s="33" t="s">
        <v>46</v>
      </c>
    </row>
    <row r="181" spans="4:6" x14ac:dyDescent="0.3">
      <c r="D181" s="282" t="str">
        <f>MOB_BA!C1365</f>
        <v>Other Direct Costs Category 4</v>
      </c>
      <c r="F181" s="119"/>
    </row>
    <row r="182" spans="4:6" x14ac:dyDescent="0.3">
      <c r="D182" s="282" t="str">
        <f>MOB_BA!C1366</f>
        <v>Other Direct Costs Category 5</v>
      </c>
      <c r="F182" s="119"/>
    </row>
    <row r="183" spans="4:6" x14ac:dyDescent="0.3">
      <c r="D183" s="282" t="str">
        <f>MOB_BA!C1367</f>
        <v>Other Direct Costs Category 6</v>
      </c>
      <c r="F183" s="119"/>
    </row>
    <row r="184" spans="4:6" x14ac:dyDescent="0.3">
      <c r="D184" s="282" t="str">
        <f>MOB_BA!C1368</f>
        <v>Other Direct Costs Category 7</v>
      </c>
      <c r="F184" s="119"/>
    </row>
    <row r="185" spans="4:6" x14ac:dyDescent="0.3">
      <c r="D185" s="282" t="str">
        <f>MOB_BA!C1369</f>
        <v>Other Direct Costs Category 8</v>
      </c>
      <c r="F185" s="119"/>
    </row>
    <row r="186" spans="4:6" x14ac:dyDescent="0.3">
      <c r="D186" s="282" t="str">
        <f>MOB_BA!C1370</f>
        <v>Other Direct Costs Category 9</v>
      </c>
      <c r="F186" s="119"/>
    </row>
    <row r="187" spans="4:6" x14ac:dyDescent="0.3">
      <c r="D187" s="282" t="str">
        <f>MOB_BA!C1371</f>
        <v>Other Direct Costs Category 10</v>
      </c>
      <c r="F187" s="119"/>
    </row>
    <row r="188" spans="4:6" x14ac:dyDescent="0.3">
      <c r="D188" s="282" t="str">
        <f>MOB_BA!C1372</f>
        <v>Other Direct Costs Category 11</v>
      </c>
      <c r="F188" s="119"/>
    </row>
    <row r="189" spans="4:6" x14ac:dyDescent="0.3">
      <c r="D189" s="282" t="str">
        <f>MOB_BA!C1373</f>
        <v>Other Direct Costs Category 12</v>
      </c>
      <c r="F189" s="119"/>
    </row>
    <row r="190" spans="4:6" x14ac:dyDescent="0.3">
      <c r="D190" s="282" t="str">
        <f>MOB_BA!C1374</f>
        <v>Other Direct Costs Category 13</v>
      </c>
      <c r="F190" s="119"/>
    </row>
    <row r="191" spans="4:6" x14ac:dyDescent="0.3">
      <c r="D191" s="282" t="str">
        <f>MOB_BA!C1375</f>
        <v>Other Direct Costs Category 14</v>
      </c>
      <c r="F191" s="119"/>
    </row>
    <row r="192" spans="4:6" x14ac:dyDescent="0.3">
      <c r="D192" s="282" t="str">
        <f>MOB_BA!C1376</f>
        <v>Other Direct Costs Category 15</v>
      </c>
      <c r="F192" s="119"/>
    </row>
    <row r="193" spans="4:6" x14ac:dyDescent="0.3">
      <c r="D193" s="282" t="str">
        <f>MOB_BA!C1377</f>
        <v>Other Direct Costs Category 16</v>
      </c>
      <c r="F193" s="119"/>
    </row>
    <row r="194" spans="4:6" x14ac:dyDescent="0.3">
      <c r="D194" s="282" t="str">
        <f>MOB_BA!C1378</f>
        <v>Other Direct Costs Category 17</v>
      </c>
      <c r="F194" s="119"/>
    </row>
    <row r="195" spans="4:6" x14ac:dyDescent="0.3">
      <c r="D195" s="282" t="str">
        <f>MOB_BA!C1379</f>
        <v>Other Direct Costs Category 18</v>
      </c>
      <c r="F195" s="119"/>
    </row>
    <row r="196" spans="4:6" x14ac:dyDescent="0.3">
      <c r="D196" s="282" t="str">
        <f>MOB_BA!C1380</f>
        <v>Other Direct Costs Category 19</v>
      </c>
      <c r="F196" s="119"/>
    </row>
    <row r="197" spans="4:6" x14ac:dyDescent="0.3">
      <c r="D197" s="282" t="str">
        <f>MOB_BA!C1381</f>
        <v>Other Direct Costs Category 20</v>
      </c>
      <c r="F197" s="119"/>
    </row>
    <row r="198" spans="4:6" x14ac:dyDescent="0.3">
      <c r="D198" s="282" t="str">
        <f>MOB_BA!C1382</f>
        <v>Other Direct Costs Category 21</v>
      </c>
      <c r="F198" s="119"/>
    </row>
    <row r="199" spans="4:6" x14ac:dyDescent="0.3">
      <c r="D199" s="282" t="str">
        <f>MOB_BA!C1383</f>
        <v>Other Direct Costs Category 22</v>
      </c>
      <c r="F199" s="119"/>
    </row>
    <row r="200" spans="4:6" x14ac:dyDescent="0.3">
      <c r="D200" s="282" t="str">
        <f>MOB_BA!C1384</f>
        <v>Other Direct Costs Category 23</v>
      </c>
      <c r="F200" s="119"/>
    </row>
    <row r="201" spans="4:6" x14ac:dyDescent="0.3">
      <c r="D201" s="282" t="str">
        <f>MOB_BA!C1385</f>
        <v>Other Direct Costs Category 24</v>
      </c>
      <c r="F201" s="119"/>
    </row>
    <row r="202" spans="4:6" x14ac:dyDescent="0.3">
      <c r="D202" s="282" t="str">
        <f>MOB_BA!C1386</f>
        <v>Other Direct Costs Category 25</v>
      </c>
      <c r="F202" s="119"/>
    </row>
    <row r="203" spans="4:6" x14ac:dyDescent="0.3">
      <c r="D203" s="282" t="str">
        <f>MOB_BA!C1387</f>
        <v>Other Direct Costs Category 26</v>
      </c>
      <c r="F203" s="119"/>
    </row>
    <row r="204" spans="4:6" x14ac:dyDescent="0.3">
      <c r="D204" s="282" t="str">
        <f>MOB_BA!C1388</f>
        <v>Other Direct Costs Category 27</v>
      </c>
      <c r="F204" s="119"/>
    </row>
    <row r="205" spans="4:6" x14ac:dyDescent="0.3">
      <c r="D205" s="282" t="str">
        <f>MOB_BA!C1389</f>
        <v>Other Direct Costs Category 28</v>
      </c>
      <c r="F205" s="119"/>
    </row>
    <row r="206" spans="4:6" x14ac:dyDescent="0.3">
      <c r="D206" s="282" t="str">
        <f>MOB_BA!C1390</f>
        <v>Other Direct Costs Category 29</v>
      </c>
      <c r="F206" s="119"/>
    </row>
    <row r="207" spans="4:6" x14ac:dyDescent="0.3">
      <c r="D207" s="282" t="str">
        <f>MOB_BA!C1391</f>
        <v>Other Direct Costs Category 30</v>
      </c>
      <c r="F207" s="119"/>
    </row>
    <row r="208" spans="4:6" x14ac:dyDescent="0.3">
      <c r="D208" s="282" t="str">
        <f>MOB_BA!C1392</f>
        <v>Other Direct Costs Category 31</v>
      </c>
      <c r="F208" s="119"/>
    </row>
    <row r="209" spans="4:6" x14ac:dyDescent="0.3">
      <c r="D209" s="282" t="str">
        <f>MOB_BA!C1393</f>
        <v>Other Direct Costs Category 32</v>
      </c>
      <c r="F209" s="119"/>
    </row>
    <row r="210" spans="4:6" x14ac:dyDescent="0.3">
      <c r="D210" s="282" t="str">
        <f>MOB_BA!C1394</f>
        <v>Other Direct Costs Category 33</v>
      </c>
      <c r="F210" s="119"/>
    </row>
    <row r="211" spans="4:6" x14ac:dyDescent="0.3">
      <c r="D211" s="282" t="str">
        <f>MOB_BA!C1395</f>
        <v>Other Direct Costs Category 34</v>
      </c>
      <c r="F211" s="119"/>
    </row>
    <row r="212" spans="4:6" x14ac:dyDescent="0.3">
      <c r="D212" s="282" t="str">
        <f>MOB_BA!C1396</f>
        <v>Other Direct Costs Category 35</v>
      </c>
      <c r="F212" s="119"/>
    </row>
  </sheetData>
  <sheetProtection algorithmName="SHA-512" hashValue="30CL967D97r9a1R5CmN9gWydQwGe3b0aWGTWysukXhdnbbX8/UOhOC9g3+C//Vhz7oO9Yki7y1N1aBVtlo9Zdw==" saltValue="E2Pzfru5AwyVJ1KFNnDK4g==" spinCount="100000" sheet="1" objects="1" scenarios="1" formatColumns="0" formatRows="0"/>
  <mergeCells count="1">
    <mergeCell ref="B3:D3"/>
  </mergeCells>
  <hyperlinks>
    <hyperlink ref="A4" location="$B$5" tooltip="Go to Top of Sheet" display="$B$5" xr:uid="{00000000-0004-0000-2E00-000000000000}"/>
    <hyperlink ref="B4" location="HL_Sheet_Main_25" tooltip="Go to Previous Sheet" display="HL_Sheet_Main_25" xr:uid="{00000000-0004-0000-2E00-000001000000}"/>
    <hyperlink ref="C4" location="HL_Sheet_Main_27" tooltip="Go to Next Sheet" display="HL_Sheet_Main_27" xr:uid="{00000000-0004-0000-2E00-000002000000}"/>
    <hyperlink ref="B3" location="HL_Home" tooltip="Go to Table of Contents" display="HL_Home" xr:uid="{00000000-0004-0000-2E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666</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668</v>
      </c>
    </row>
    <row r="9" spans="1:6" ht="15.6" x14ac:dyDescent="0.3">
      <c r="C9" s="115" t="s">
        <v>93</v>
      </c>
    </row>
    <row r="11" spans="1:6" ht="15.6" x14ac:dyDescent="0.3">
      <c r="C11" s="115" t="s">
        <v>93</v>
      </c>
      <c r="F11" s="115" t="s">
        <v>28</v>
      </c>
    </row>
    <row r="13" spans="1:6" x14ac:dyDescent="0.3">
      <c r="D13" s="116" t="s">
        <v>95</v>
      </c>
      <c r="F13" s="119" t="s">
        <v>276</v>
      </c>
    </row>
    <row r="14" spans="1:6" x14ac:dyDescent="0.3">
      <c r="D14" s="30" t="str">
        <f>SD1_BA!D163</f>
        <v>USD</v>
      </c>
      <c r="F14" s="33" t="s">
        <v>46</v>
      </c>
    </row>
    <row r="15" spans="1:6" x14ac:dyDescent="0.3">
      <c r="D15" s="30" t="str">
        <f>SD1_BA!D164</f>
        <v>GOZ</v>
      </c>
      <c r="F15" s="33" t="s">
        <v>46</v>
      </c>
    </row>
    <row r="17" spans="3:6" ht="15.6" x14ac:dyDescent="0.3">
      <c r="C17" s="115" t="s">
        <v>77</v>
      </c>
      <c r="F17" s="115" t="s">
        <v>28</v>
      </c>
    </row>
    <row r="19" spans="3:6" x14ac:dyDescent="0.3">
      <c r="D19" s="116" t="s">
        <v>95</v>
      </c>
      <c r="F19" s="119" t="s">
        <v>277</v>
      </c>
    </row>
    <row r="20" spans="3:6" x14ac:dyDescent="0.3">
      <c r="D20" s="30" t="str">
        <f>SD1_BA!C169</f>
        <v>Personnel Cadre - Other 1</v>
      </c>
      <c r="F20" s="33" t="s">
        <v>46</v>
      </c>
    </row>
    <row r="21" spans="3:6" x14ac:dyDescent="0.3">
      <c r="D21" s="30" t="str">
        <f>SD1_BA!C170</f>
        <v>Personnel Cadre - Other 2</v>
      </c>
      <c r="F21" s="33" t="s">
        <v>46</v>
      </c>
    </row>
    <row r="22" spans="3:6" x14ac:dyDescent="0.3">
      <c r="D22" s="30" t="str">
        <f>SD1_BA!C171</f>
        <v>Personnel Cadre - Other 3</v>
      </c>
      <c r="F22" s="33" t="s">
        <v>46</v>
      </c>
    </row>
    <row r="23" spans="3:6" x14ac:dyDescent="0.3">
      <c r="D23" s="30" t="str">
        <f>SD1_BA!C172</f>
        <v>Personnel Cadre - Other 4</v>
      </c>
      <c r="F23" s="33" t="s">
        <v>46</v>
      </c>
    </row>
    <row r="24" spans="3:6" x14ac:dyDescent="0.3">
      <c r="D24" s="30" t="str">
        <f>SD1_BA!C173</f>
        <v>Personnel Cadre - Other 5</v>
      </c>
      <c r="F24" s="33" t="s">
        <v>46</v>
      </c>
    </row>
    <row r="25" spans="3:6" x14ac:dyDescent="0.3">
      <c r="D25" s="30" t="str">
        <f>SD1_BA!C174</f>
        <v>Personnel Cadre - Other 6</v>
      </c>
      <c r="F25" s="33" t="s">
        <v>46</v>
      </c>
    </row>
    <row r="26" spans="3:6" x14ac:dyDescent="0.3">
      <c r="D26" s="30" t="str">
        <f>SD1_BA!C175</f>
        <v>Personnel Cadre - Other 7</v>
      </c>
      <c r="F26" s="33" t="s">
        <v>46</v>
      </c>
    </row>
    <row r="27" spans="3:6" x14ac:dyDescent="0.3">
      <c r="D27" s="30" t="str">
        <f>SD1_BA!C176</f>
        <v>Personnel Cadre - Other 8</v>
      </c>
      <c r="F27" s="33" t="s">
        <v>46</v>
      </c>
    </row>
    <row r="28" spans="3:6" x14ac:dyDescent="0.3">
      <c r="D28" s="30" t="str">
        <f>SD1_BA!C177</f>
        <v>Personnel Cadre - Other 9</v>
      </c>
      <c r="F28" s="33" t="s">
        <v>46</v>
      </c>
    </row>
    <row r="29" spans="3:6" x14ac:dyDescent="0.3">
      <c r="D29" s="30" t="str">
        <f>SD1_BA!C178</f>
        <v>Personnel Cadre - Other 10</v>
      </c>
      <c r="F29" s="33" t="s">
        <v>46</v>
      </c>
    </row>
    <row r="30" spans="3:6" x14ac:dyDescent="0.3">
      <c r="D30" s="30" t="str">
        <f>SD1_BA!C179</f>
        <v>Personnel Cadre - Other 11</v>
      </c>
      <c r="F30" s="33" t="s">
        <v>46</v>
      </c>
    </row>
    <row r="31" spans="3:6" x14ac:dyDescent="0.3">
      <c r="D31" s="30" t="str">
        <f>SD1_BA!C180</f>
        <v>Personnel Cadre - Other 12</v>
      </c>
      <c r="F31" s="33" t="s">
        <v>46</v>
      </c>
    </row>
    <row r="32" spans="3:6" x14ac:dyDescent="0.3">
      <c r="D32" s="30" t="str">
        <f>SD1_BA!C181</f>
        <v>Personnel Cadre - Other 13</v>
      </c>
      <c r="F32" s="33" t="s">
        <v>46</v>
      </c>
    </row>
    <row r="33" spans="4:6" x14ac:dyDescent="0.3">
      <c r="D33" s="30" t="str">
        <f>SD1_BA!C182</f>
        <v>Personnel Cadre - Other 14</v>
      </c>
      <c r="F33" s="33" t="s">
        <v>46</v>
      </c>
    </row>
    <row r="34" spans="4:6" x14ac:dyDescent="0.3">
      <c r="D34" s="30" t="str">
        <f>SD1_BA!C183</f>
        <v>Personnel Cadre - Other 15</v>
      </c>
      <c r="F34" s="33" t="s">
        <v>46</v>
      </c>
    </row>
    <row r="35" spans="4:6" x14ac:dyDescent="0.3">
      <c r="D35" s="282" t="str">
        <f>SD1_BA!C184</f>
        <v>Personnel Cadre - Other 16</v>
      </c>
      <c r="F35" s="119"/>
    </row>
    <row r="36" spans="4:6" x14ac:dyDescent="0.3">
      <c r="D36" s="282" t="str">
        <f>SD1_BA!C185</f>
        <v>Personnel Cadre - Other 17</v>
      </c>
      <c r="F36" s="119"/>
    </row>
    <row r="37" spans="4:6" x14ac:dyDescent="0.3">
      <c r="D37" s="282" t="str">
        <f>SD1_BA!C186</f>
        <v>Personnel Cadre - Other 18</v>
      </c>
      <c r="F37" s="119"/>
    </row>
    <row r="38" spans="4:6" x14ac:dyDescent="0.3">
      <c r="D38" s="282" t="str">
        <f>SD1_BA!C187</f>
        <v>Personnel Cadre - Other 19</v>
      </c>
      <c r="F38" s="119"/>
    </row>
    <row r="39" spans="4:6" x14ac:dyDescent="0.3">
      <c r="D39" s="282" t="str">
        <f>SD1_BA!C188</f>
        <v>Personnel Cadre - Other 20</v>
      </c>
      <c r="F39" s="119"/>
    </row>
    <row r="40" spans="4:6" x14ac:dyDescent="0.3">
      <c r="D40" s="282" t="str">
        <f>SD1_BA!C189</f>
        <v>Personnel Cadre - Other 21</v>
      </c>
      <c r="F40" s="119"/>
    </row>
    <row r="41" spans="4:6" x14ac:dyDescent="0.3">
      <c r="D41" s="282" t="str">
        <f>SD1_BA!C190</f>
        <v>Personnel Cadre - Other 22</v>
      </c>
      <c r="F41" s="119"/>
    </row>
    <row r="42" spans="4:6" x14ac:dyDescent="0.3">
      <c r="D42" s="282" t="str">
        <f>SD1_BA!C191</f>
        <v>Personnel Cadre - Other 23</v>
      </c>
      <c r="F42" s="119"/>
    </row>
    <row r="43" spans="4:6" x14ac:dyDescent="0.3">
      <c r="D43" s="282" t="str">
        <f>SD1_BA!C192</f>
        <v>Personnel Cadre - Other 24</v>
      </c>
      <c r="F43" s="119"/>
    </row>
    <row r="44" spans="4:6" x14ac:dyDescent="0.3">
      <c r="D44" s="282" t="str">
        <f>SD1_BA!C193</f>
        <v>Personnel Cadre - Other 25</v>
      </c>
      <c r="F44" s="119"/>
    </row>
    <row r="45" spans="4:6" x14ac:dyDescent="0.3">
      <c r="D45" s="282" t="str">
        <f>SD1_BA!C194</f>
        <v>Personnel Cadre - Other 26</v>
      </c>
      <c r="F45" s="119"/>
    </row>
    <row r="46" spans="4:6" x14ac:dyDescent="0.3">
      <c r="D46" s="282" t="str">
        <f>SD1_BA!C195</f>
        <v>Personnel Cadre - Other 27</v>
      </c>
      <c r="F46" s="119"/>
    </row>
    <row r="47" spans="4:6" x14ac:dyDescent="0.3">
      <c r="D47" s="282" t="str">
        <f>SD1_BA!C196</f>
        <v>Personnel Cadre - Other 28</v>
      </c>
      <c r="F47" s="119"/>
    </row>
    <row r="48" spans="4:6" x14ac:dyDescent="0.3">
      <c r="D48" s="282" t="str">
        <f>SD1_BA!C197</f>
        <v>Personnel Cadre - Other 29</v>
      </c>
      <c r="F48" s="119"/>
    </row>
    <row r="49" spans="3:6" x14ac:dyDescent="0.3">
      <c r="D49" s="282" t="str">
        <f>SD1_BA!C198</f>
        <v>Personnel Cadre - Other 30</v>
      </c>
      <c r="F49" s="119"/>
    </row>
    <row r="50" spans="3:6" x14ac:dyDescent="0.3">
      <c r="D50" s="282" t="str">
        <f>SD1_BA!C199</f>
        <v>Personnel Cadre - Other 31</v>
      </c>
      <c r="F50" s="119"/>
    </row>
    <row r="51" spans="3:6" x14ac:dyDescent="0.3">
      <c r="D51" s="282" t="str">
        <f>SD1_BA!C200</f>
        <v>Personnel Cadre - Other 32</v>
      </c>
      <c r="F51" s="119"/>
    </row>
    <row r="52" spans="3:6" x14ac:dyDescent="0.3">
      <c r="D52" s="282" t="str">
        <f>SD1_BA!C201</f>
        <v>Personnel Cadre - Other 33</v>
      </c>
      <c r="F52" s="119"/>
    </row>
    <row r="53" spans="3:6" x14ac:dyDescent="0.3">
      <c r="D53" s="282" t="str">
        <f>SD1_BA!C202</f>
        <v>Personnel Cadre - Other 34</v>
      </c>
      <c r="F53" s="119"/>
    </row>
    <row r="54" spans="3:6" x14ac:dyDescent="0.3">
      <c r="D54" s="282" t="str">
        <f>SD1_BA!C203</f>
        <v>Personnel Cadre - Other 35</v>
      </c>
      <c r="F54" s="119"/>
    </row>
    <row r="56" spans="3:6" ht="15.6" x14ac:dyDescent="0.3">
      <c r="C56" s="115" t="s">
        <v>94</v>
      </c>
      <c r="F56" s="115" t="s">
        <v>28</v>
      </c>
    </row>
    <row r="58" spans="3:6" x14ac:dyDescent="0.3">
      <c r="D58" s="116" t="s">
        <v>95</v>
      </c>
      <c r="F58" s="119" t="s">
        <v>278</v>
      </c>
    </row>
    <row r="59" spans="3:6" x14ac:dyDescent="0.3">
      <c r="D59" s="30" t="str">
        <f>SD1_BA!C206</f>
        <v>Allowances Category 1</v>
      </c>
      <c r="F59" s="33" t="s">
        <v>46</v>
      </c>
    </row>
    <row r="60" spans="3:6" x14ac:dyDescent="0.3">
      <c r="D60" s="30" t="str">
        <f>SD1_BA!C207</f>
        <v>Allowances Category 2</v>
      </c>
      <c r="F60" s="33" t="s">
        <v>46</v>
      </c>
    </row>
    <row r="61" spans="3:6" x14ac:dyDescent="0.3">
      <c r="D61" s="30" t="str">
        <f>SD1_BA!C208</f>
        <v>Allowances Category 3</v>
      </c>
      <c r="F61" s="33" t="s">
        <v>46</v>
      </c>
    </row>
    <row r="62" spans="3:6" x14ac:dyDescent="0.3">
      <c r="D62" s="30" t="str">
        <f>SD1_BA!C209</f>
        <v>Allowances Category 4</v>
      </c>
      <c r="F62" s="33" t="s">
        <v>46</v>
      </c>
    </row>
    <row r="63" spans="3:6" x14ac:dyDescent="0.3">
      <c r="D63" s="30" t="str">
        <f>SD1_BA!C210</f>
        <v>Allowances Category 5</v>
      </c>
      <c r="F63" s="33" t="s">
        <v>46</v>
      </c>
    </row>
    <row r="64" spans="3:6" x14ac:dyDescent="0.3">
      <c r="D64" s="282" t="str">
        <f>SD1_BA!C211</f>
        <v>Allowances Category 6</v>
      </c>
      <c r="F64" s="119"/>
    </row>
    <row r="65" spans="4:6" x14ac:dyDescent="0.3">
      <c r="D65" s="282" t="str">
        <f>SD1_BA!C212</f>
        <v>Allowances Category 7</v>
      </c>
      <c r="F65" s="119"/>
    </row>
    <row r="66" spans="4:6" x14ac:dyDescent="0.3">
      <c r="D66" s="282" t="str">
        <f>SD1_BA!C213</f>
        <v>Allowances Category 8</v>
      </c>
      <c r="F66" s="119"/>
    </row>
    <row r="67" spans="4:6" x14ac:dyDescent="0.3">
      <c r="D67" s="282" t="str">
        <f>SD1_BA!C214</f>
        <v>Allowances Category 9</v>
      </c>
      <c r="F67" s="119"/>
    </row>
    <row r="68" spans="4:6" x14ac:dyDescent="0.3">
      <c r="D68" s="282" t="str">
        <f>SD1_BA!C215</f>
        <v>Allowances Category 10</v>
      </c>
      <c r="F68" s="119"/>
    </row>
    <row r="69" spans="4:6" x14ac:dyDescent="0.3">
      <c r="D69" s="282" t="str">
        <f>SD1_BA!C216</f>
        <v>Allowances Category 11</v>
      </c>
      <c r="F69" s="119"/>
    </row>
    <row r="70" spans="4:6" x14ac:dyDescent="0.3">
      <c r="D70" s="282" t="str">
        <f>SD1_BA!C217</f>
        <v>Allowances Category 12</v>
      </c>
      <c r="F70" s="119"/>
    </row>
    <row r="71" spans="4:6" x14ac:dyDescent="0.3">
      <c r="D71" s="282" t="str">
        <f>SD1_BA!C218</f>
        <v>Allowances Category 13</v>
      </c>
      <c r="F71" s="119"/>
    </row>
    <row r="72" spans="4:6" x14ac:dyDescent="0.3">
      <c r="D72" s="282" t="str">
        <f>SD1_BA!C219</f>
        <v>Allowances Category 14</v>
      </c>
      <c r="F72" s="119"/>
    </row>
    <row r="73" spans="4:6" x14ac:dyDescent="0.3">
      <c r="D73" s="282" t="str">
        <f>SD1_BA!C220</f>
        <v>Allowances Category 15</v>
      </c>
      <c r="F73" s="119"/>
    </row>
    <row r="74" spans="4:6" x14ac:dyDescent="0.3">
      <c r="D74" s="282" t="str">
        <f>SD1_BA!C221</f>
        <v>Allowances Category 16</v>
      </c>
      <c r="F74" s="119"/>
    </row>
    <row r="75" spans="4:6" x14ac:dyDescent="0.3">
      <c r="D75" s="30" t="str">
        <f>SD1_BA!C222</f>
        <v>Allowances Category 17</v>
      </c>
      <c r="F75" s="33" t="s">
        <v>46</v>
      </c>
    </row>
    <row r="76" spans="4:6" x14ac:dyDescent="0.3">
      <c r="D76" s="30" t="str">
        <f>SD1_BA!C223</f>
        <v>Allowances Category 18</v>
      </c>
      <c r="F76" s="33" t="s">
        <v>46</v>
      </c>
    </row>
    <row r="77" spans="4:6" x14ac:dyDescent="0.3">
      <c r="D77" s="30" t="str">
        <f>SD1_BA!C224</f>
        <v>Allowances Category 19</v>
      </c>
      <c r="F77" s="33" t="s">
        <v>46</v>
      </c>
    </row>
    <row r="78" spans="4:6" x14ac:dyDescent="0.3">
      <c r="D78" s="30" t="str">
        <f>SD1_BA!C225</f>
        <v>Allowances Category 20</v>
      </c>
      <c r="F78" s="33" t="s">
        <v>46</v>
      </c>
    </row>
    <row r="79" spans="4:6" x14ac:dyDescent="0.3">
      <c r="D79" s="30" t="str">
        <f>SD1_BA!C226</f>
        <v>Allowances Category 21</v>
      </c>
      <c r="F79" s="33" t="s">
        <v>46</v>
      </c>
    </row>
    <row r="80" spans="4:6" x14ac:dyDescent="0.3">
      <c r="D80" s="30" t="str">
        <f>SD1_BA!C227</f>
        <v>Allowances Category 22</v>
      </c>
      <c r="F80" s="33" t="s">
        <v>46</v>
      </c>
    </row>
    <row r="81" spans="3:6" x14ac:dyDescent="0.3">
      <c r="D81" s="30" t="str">
        <f>SD1_BA!C228</f>
        <v>Allowances Category 23</v>
      </c>
      <c r="F81" s="33" t="s">
        <v>46</v>
      </c>
    </row>
    <row r="82" spans="3:6" x14ac:dyDescent="0.3">
      <c r="D82" s="282" t="str">
        <f>SD1_BA!C229</f>
        <v>Allowances Category 24</v>
      </c>
      <c r="F82" s="119"/>
    </row>
    <row r="83" spans="3:6" x14ac:dyDescent="0.3">
      <c r="D83" s="282" t="str">
        <f>SD1_BA!C230</f>
        <v>Allowances Category 25</v>
      </c>
      <c r="F83" s="119"/>
    </row>
    <row r="84" spans="3:6" x14ac:dyDescent="0.3">
      <c r="D84" s="282" t="str">
        <f>SD1_BA!C231</f>
        <v>Allowances Category 26</v>
      </c>
      <c r="F84" s="119"/>
    </row>
    <row r="85" spans="3:6" x14ac:dyDescent="0.3">
      <c r="D85" s="282" t="str">
        <f>SD1_BA!C232</f>
        <v>Allowances Category 27</v>
      </c>
      <c r="F85" s="119"/>
    </row>
    <row r="86" spans="3:6" x14ac:dyDescent="0.3">
      <c r="D86" s="282" t="str">
        <f>SD1_BA!C233</f>
        <v>Allowances Category 28</v>
      </c>
      <c r="F86" s="119"/>
    </row>
    <row r="87" spans="3:6" x14ac:dyDescent="0.3">
      <c r="D87" s="282" t="str">
        <f>SD1_BA!C234</f>
        <v>Allowances Category 29</v>
      </c>
      <c r="F87" s="119"/>
    </row>
    <row r="88" spans="3:6" x14ac:dyDescent="0.3">
      <c r="D88" s="282" t="str">
        <f>SD1_BA!C235</f>
        <v>Allowances Category 30</v>
      </c>
      <c r="F88" s="119"/>
    </row>
    <row r="89" spans="3:6" x14ac:dyDescent="0.3">
      <c r="D89" s="30" t="str">
        <f>SD1_BA!C236</f>
        <v>Allowances Category 31</v>
      </c>
      <c r="F89" s="33" t="s">
        <v>46</v>
      </c>
    </row>
    <row r="90" spans="3:6" x14ac:dyDescent="0.3">
      <c r="D90" s="30" t="str">
        <f>SD1_BA!C237</f>
        <v>Allowances Category 32</v>
      </c>
      <c r="F90" s="33" t="s">
        <v>46</v>
      </c>
    </row>
    <row r="91" spans="3:6" x14ac:dyDescent="0.3">
      <c r="D91" s="30" t="str">
        <f>SD1_BA!C238</f>
        <v>Allowances Category 33</v>
      </c>
      <c r="F91" s="33" t="s">
        <v>46</v>
      </c>
    </row>
    <row r="92" spans="3:6" x14ac:dyDescent="0.3">
      <c r="D92" s="30" t="str">
        <f>SD1_BA!C239</f>
        <v>Allowances Category 34</v>
      </c>
      <c r="F92" s="33" t="s">
        <v>46</v>
      </c>
    </row>
    <row r="93" spans="3:6" x14ac:dyDescent="0.3">
      <c r="D93" s="30" t="str">
        <f>SD1_BA!C240</f>
        <v>Allowances Category 35</v>
      </c>
      <c r="F93" s="33" t="s">
        <v>46</v>
      </c>
    </row>
    <row r="96" spans="3:6" ht="15.6" x14ac:dyDescent="0.3">
      <c r="C96" s="115" t="s">
        <v>132</v>
      </c>
      <c r="F96" s="115" t="s">
        <v>28</v>
      </c>
    </row>
    <row r="98" spans="4:6" x14ac:dyDescent="0.3">
      <c r="D98" s="116" t="s">
        <v>95</v>
      </c>
      <c r="F98" s="119" t="s">
        <v>279</v>
      </c>
    </row>
    <row r="99" spans="4:6" x14ac:dyDescent="0.3">
      <c r="D99" s="30" t="str">
        <f>SD1_BA!C244</f>
        <v>Supplies Category 1</v>
      </c>
      <c r="F99" s="33" t="s">
        <v>46</v>
      </c>
    </row>
    <row r="100" spans="4:6" x14ac:dyDescent="0.3">
      <c r="D100" s="30" t="str">
        <f>SD1_BA!C245</f>
        <v>Supplies Category 2</v>
      </c>
      <c r="F100" s="33" t="s">
        <v>46</v>
      </c>
    </row>
    <row r="101" spans="4:6" x14ac:dyDescent="0.3">
      <c r="D101" s="30" t="str">
        <f>SD1_BA!C246</f>
        <v>Supplies Category 3</v>
      </c>
      <c r="F101" s="33" t="s">
        <v>46</v>
      </c>
    </row>
    <row r="102" spans="4:6" x14ac:dyDescent="0.3">
      <c r="D102" s="30" t="str">
        <f>SD1_BA!C247</f>
        <v>Supplies Category 4</v>
      </c>
      <c r="F102" s="33" t="s">
        <v>46</v>
      </c>
    </row>
    <row r="103" spans="4:6" x14ac:dyDescent="0.3">
      <c r="D103" s="30" t="str">
        <f>SD1_BA!C248</f>
        <v>Supplies Category 5</v>
      </c>
      <c r="F103" s="33" t="s">
        <v>46</v>
      </c>
    </row>
    <row r="104" spans="4:6" x14ac:dyDescent="0.3">
      <c r="D104" s="30" t="str">
        <f>SD1_BA!C249</f>
        <v>Supplies Category 6</v>
      </c>
      <c r="F104" s="33" t="s">
        <v>46</v>
      </c>
    </row>
    <row r="105" spans="4:6" x14ac:dyDescent="0.3">
      <c r="D105" s="30" t="str">
        <f>SD1_BA!C250</f>
        <v>Supplies Category 7</v>
      </c>
      <c r="F105" s="33" t="s">
        <v>46</v>
      </c>
    </row>
    <row r="106" spans="4:6" x14ac:dyDescent="0.3">
      <c r="D106" s="30" t="str">
        <f>SD1_BA!C251</f>
        <v>Supplies Category 8</v>
      </c>
      <c r="F106" s="33" t="s">
        <v>46</v>
      </c>
    </row>
    <row r="107" spans="4:6" x14ac:dyDescent="0.3">
      <c r="D107" s="30" t="str">
        <f>SD1_BA!C252</f>
        <v>Supplies Category 9</v>
      </c>
      <c r="F107" s="33" t="s">
        <v>46</v>
      </c>
    </row>
    <row r="108" spans="4:6" x14ac:dyDescent="0.3">
      <c r="D108" s="30" t="str">
        <f>SD1_BA!C253</f>
        <v>Supplies Category 10</v>
      </c>
      <c r="F108" s="33" t="s">
        <v>46</v>
      </c>
    </row>
    <row r="109" spans="4:6" x14ac:dyDescent="0.3">
      <c r="D109" s="30" t="str">
        <f>SD1_BA!C254</f>
        <v>Supplies Category 11</v>
      </c>
      <c r="F109" s="33" t="s">
        <v>46</v>
      </c>
    </row>
    <row r="110" spans="4:6" x14ac:dyDescent="0.3">
      <c r="D110" s="30" t="str">
        <f>SD1_BA!C255</f>
        <v>Supplies Category 12</v>
      </c>
      <c r="F110" s="33" t="s">
        <v>46</v>
      </c>
    </row>
    <row r="111" spans="4:6" x14ac:dyDescent="0.3">
      <c r="D111" s="30" t="str">
        <f>SD1_BA!C256</f>
        <v>Supplies Category 13</v>
      </c>
      <c r="F111" s="33" t="s">
        <v>46</v>
      </c>
    </row>
    <row r="112" spans="4:6" x14ac:dyDescent="0.3">
      <c r="D112" s="30" t="str">
        <f>SD1_BA!C257</f>
        <v>Supplies Category 14</v>
      </c>
      <c r="F112" s="33" t="s">
        <v>46</v>
      </c>
    </row>
    <row r="113" spans="4:6" x14ac:dyDescent="0.3">
      <c r="D113" s="30" t="str">
        <f>SD1_BA!C258</f>
        <v>Supplies Category 15</v>
      </c>
      <c r="F113" s="33" t="s">
        <v>46</v>
      </c>
    </row>
    <row r="114" spans="4:6" x14ac:dyDescent="0.3">
      <c r="D114" s="30" t="str">
        <f>SD1_BA!C259</f>
        <v>Supplies Category 16</v>
      </c>
      <c r="F114" s="33" t="s">
        <v>46</v>
      </c>
    </row>
    <row r="115" spans="4:6" x14ac:dyDescent="0.3">
      <c r="D115" s="282" t="str">
        <f>SD1_BA!C260</f>
        <v>Supplies Category 17</v>
      </c>
      <c r="F115" s="119"/>
    </row>
    <row r="116" spans="4:6" x14ac:dyDescent="0.3">
      <c r="D116" s="282" t="str">
        <f>SD1_BA!C261</f>
        <v>Supplies Category 18</v>
      </c>
      <c r="F116" s="119"/>
    </row>
    <row r="117" spans="4:6" x14ac:dyDescent="0.3">
      <c r="D117" s="282" t="str">
        <f>SD1_BA!C262</f>
        <v>Supplies Category 19</v>
      </c>
      <c r="F117" s="119"/>
    </row>
    <row r="118" spans="4:6" x14ac:dyDescent="0.3">
      <c r="D118" s="282" t="str">
        <f>SD1_BA!C263</f>
        <v>Supplies Category 20</v>
      </c>
      <c r="F118" s="119"/>
    </row>
    <row r="119" spans="4:6" x14ac:dyDescent="0.3">
      <c r="D119" s="282" t="str">
        <f>SD1_BA!C264</f>
        <v>Supplies Category 21</v>
      </c>
      <c r="F119" s="119"/>
    </row>
    <row r="120" spans="4:6" x14ac:dyDescent="0.3">
      <c r="D120" s="282" t="str">
        <f>SD1_BA!C265</f>
        <v>Supplies Category 22</v>
      </c>
      <c r="F120" s="119"/>
    </row>
    <row r="121" spans="4:6" x14ac:dyDescent="0.3">
      <c r="D121" s="282" t="str">
        <f>SD1_BA!C266</f>
        <v>Supplies Category 23</v>
      </c>
      <c r="F121" s="119"/>
    </row>
    <row r="122" spans="4:6" x14ac:dyDescent="0.3">
      <c r="D122" s="282" t="str">
        <f>SD1_BA!C267</f>
        <v>Supplies Category 24</v>
      </c>
      <c r="F122" s="119"/>
    </row>
    <row r="123" spans="4:6" x14ac:dyDescent="0.3">
      <c r="D123" s="282" t="str">
        <f>SD1_BA!C268</f>
        <v>Supplies Category 25</v>
      </c>
      <c r="F123" s="119"/>
    </row>
    <row r="124" spans="4:6" x14ac:dyDescent="0.3">
      <c r="D124" s="282" t="str">
        <f>SD1_BA!C269</f>
        <v>Supplies Category 26</v>
      </c>
      <c r="F124" s="119"/>
    </row>
    <row r="125" spans="4:6" x14ac:dyDescent="0.3">
      <c r="D125" s="282" t="str">
        <f>SD1_BA!C270</f>
        <v>Supplies Category 27</v>
      </c>
      <c r="F125" s="119"/>
    </row>
    <row r="126" spans="4:6" x14ac:dyDescent="0.3">
      <c r="D126" s="282" t="str">
        <f>SD1_BA!C271</f>
        <v>Supplies Category 28</v>
      </c>
      <c r="F126" s="119"/>
    </row>
    <row r="127" spans="4:6" x14ac:dyDescent="0.3">
      <c r="D127" s="282" t="str">
        <f>SD1_BA!C272</f>
        <v>Supplies Category 29</v>
      </c>
      <c r="F127" s="119"/>
    </row>
    <row r="128" spans="4:6" x14ac:dyDescent="0.3">
      <c r="D128" s="282" t="str">
        <f>SD1_BA!C273</f>
        <v>Supplies Category 30</v>
      </c>
      <c r="F128" s="119"/>
    </row>
    <row r="129" spans="3:6" x14ac:dyDescent="0.3">
      <c r="D129" s="282" t="str">
        <f>SD1_BA!C274</f>
        <v>Supplies Category 31</v>
      </c>
      <c r="F129" s="119"/>
    </row>
    <row r="130" spans="3:6" x14ac:dyDescent="0.3">
      <c r="D130" s="282" t="str">
        <f>SD1_BA!C275</f>
        <v>Supplies Category 32</v>
      </c>
      <c r="F130" s="119"/>
    </row>
    <row r="131" spans="3:6" x14ac:dyDescent="0.3">
      <c r="D131" s="282" t="str">
        <f>SD1_BA!C276</f>
        <v>Supplies Category 33</v>
      </c>
      <c r="F131" s="119"/>
    </row>
    <row r="132" spans="3:6" x14ac:dyDescent="0.3">
      <c r="D132" s="282" t="str">
        <f>SD1_BA!C277</f>
        <v>Supplies Category 34</v>
      </c>
      <c r="F132" s="119"/>
    </row>
    <row r="133" spans="3:6" x14ac:dyDescent="0.3">
      <c r="D133" s="282" t="str">
        <f>SD1_BA!C278</f>
        <v>Supplies Category 35</v>
      </c>
      <c r="F133" s="119"/>
    </row>
    <row r="136" spans="3:6" ht="15.6" x14ac:dyDescent="0.3">
      <c r="C136" s="115" t="s">
        <v>130</v>
      </c>
      <c r="F136" s="115" t="s">
        <v>28</v>
      </c>
    </row>
    <row r="138" spans="3:6" x14ac:dyDescent="0.3">
      <c r="D138" s="116" t="s">
        <v>95</v>
      </c>
      <c r="F138" s="119" t="s">
        <v>280</v>
      </c>
    </row>
    <row r="139" spans="3:6" x14ac:dyDescent="0.3">
      <c r="D139" s="30" t="str">
        <f>SD1_BA!C281</f>
        <v>Equipment Category 1</v>
      </c>
      <c r="F139" s="33" t="s">
        <v>46</v>
      </c>
    </row>
    <row r="140" spans="3:6" x14ac:dyDescent="0.3">
      <c r="D140" s="30" t="str">
        <f>SD1_BA!C282</f>
        <v>Equipment Category 2</v>
      </c>
      <c r="F140" s="33" t="s">
        <v>46</v>
      </c>
    </row>
    <row r="141" spans="3:6" x14ac:dyDescent="0.3">
      <c r="D141" s="30" t="str">
        <f>SD1_BA!C283</f>
        <v>Equipment Category 3</v>
      </c>
      <c r="F141" s="33" t="s">
        <v>46</v>
      </c>
    </row>
    <row r="142" spans="3:6" x14ac:dyDescent="0.3">
      <c r="D142" s="30" t="str">
        <f>SD1_BA!C284</f>
        <v>Equipment Category 4</v>
      </c>
      <c r="F142" s="33" t="s">
        <v>46</v>
      </c>
    </row>
    <row r="143" spans="3:6" x14ac:dyDescent="0.3">
      <c r="D143" s="30" t="str">
        <f>SD1_BA!C285</f>
        <v>Equipment Category 5</v>
      </c>
      <c r="F143" s="33" t="s">
        <v>46</v>
      </c>
    </row>
    <row r="144" spans="3:6" x14ac:dyDescent="0.3">
      <c r="D144" s="30" t="str">
        <f>SD1_BA!C286</f>
        <v>Equipment Category 6</v>
      </c>
      <c r="F144" s="33" t="s">
        <v>46</v>
      </c>
    </row>
    <row r="145" spans="4:6" x14ac:dyDescent="0.3">
      <c r="D145" s="282" t="str">
        <f>SD1_BA!C287</f>
        <v>Equipment Category 7</v>
      </c>
      <c r="F145" s="119"/>
    </row>
    <row r="146" spans="4:6" x14ac:dyDescent="0.3">
      <c r="D146" s="282" t="str">
        <f>SD1_BA!C288</f>
        <v>Equipment Category 8</v>
      </c>
      <c r="F146" s="119"/>
    </row>
    <row r="147" spans="4:6" x14ac:dyDescent="0.3">
      <c r="D147" s="282" t="str">
        <f>SD1_BA!C289</f>
        <v>Equipment Category 9</v>
      </c>
      <c r="F147" s="119"/>
    </row>
    <row r="148" spans="4:6" x14ac:dyDescent="0.3">
      <c r="D148" s="282" t="str">
        <f>SD1_BA!C290</f>
        <v>Equipment Category 10</v>
      </c>
      <c r="F148" s="119"/>
    </row>
    <row r="149" spans="4:6" x14ac:dyDescent="0.3">
      <c r="D149" s="282" t="str">
        <f>SD1_BA!C291</f>
        <v>Equipment Category 11</v>
      </c>
      <c r="F149" s="119"/>
    </row>
    <row r="150" spans="4:6" x14ac:dyDescent="0.3">
      <c r="D150" s="282" t="str">
        <f>SD1_BA!C292</f>
        <v>Equipment Category 12</v>
      </c>
      <c r="F150" s="119"/>
    </row>
    <row r="151" spans="4:6" x14ac:dyDescent="0.3">
      <c r="D151" s="282" t="str">
        <f>SD1_BA!C293</f>
        <v>Equipment Category 13</v>
      </c>
      <c r="F151" s="119"/>
    </row>
    <row r="152" spans="4:6" x14ac:dyDescent="0.3">
      <c r="D152" s="282" t="str">
        <f>SD1_BA!C294</f>
        <v>Equipment Category 14</v>
      </c>
      <c r="F152" s="119"/>
    </row>
    <row r="153" spans="4:6" x14ac:dyDescent="0.3">
      <c r="D153" s="282" t="str">
        <f>SD1_BA!C295</f>
        <v>Equipment Category 15</v>
      </c>
      <c r="F153" s="119"/>
    </row>
    <row r="154" spans="4:6" x14ac:dyDescent="0.3">
      <c r="D154" s="282" t="str">
        <f>SD1_BA!C296</f>
        <v>Equipment Category 16</v>
      </c>
      <c r="F154" s="119"/>
    </row>
    <row r="155" spans="4:6" x14ac:dyDescent="0.3">
      <c r="D155" s="282" t="str">
        <f>SD1_BA!C297</f>
        <v>Equipment Category 17</v>
      </c>
      <c r="F155" s="119"/>
    </row>
    <row r="156" spans="4:6" x14ac:dyDescent="0.3">
      <c r="D156" s="282" t="str">
        <f>SD1_BA!C298</f>
        <v>Equipment Category 18</v>
      </c>
      <c r="F156" s="119"/>
    </row>
    <row r="157" spans="4:6" x14ac:dyDescent="0.3">
      <c r="D157" s="282" t="str">
        <f>SD1_BA!C299</f>
        <v>Equipment Category 19</v>
      </c>
      <c r="F157" s="119"/>
    </row>
    <row r="158" spans="4:6" x14ac:dyDescent="0.3">
      <c r="D158" s="282" t="str">
        <f>SD1_BA!C300</f>
        <v>Equipment Category 20</v>
      </c>
      <c r="F158" s="119"/>
    </row>
    <row r="159" spans="4:6" x14ac:dyDescent="0.3">
      <c r="D159" s="282" t="str">
        <f>SD1_BA!C301</f>
        <v>Equipment Category 21</v>
      </c>
      <c r="F159" s="119"/>
    </row>
    <row r="160" spans="4:6" x14ac:dyDescent="0.3">
      <c r="D160" s="282" t="str">
        <f>SD1_BA!C302</f>
        <v>Equipment Category 22</v>
      </c>
      <c r="F160" s="119"/>
    </row>
    <row r="161" spans="3:6" x14ac:dyDescent="0.3">
      <c r="D161" s="282" t="str">
        <f>SD1_BA!C303</f>
        <v>Equipment Category 23</v>
      </c>
      <c r="F161" s="119"/>
    </row>
    <row r="162" spans="3:6" x14ac:dyDescent="0.3">
      <c r="D162" s="282" t="str">
        <f>SD1_BA!C304</f>
        <v>Equipment Category 24</v>
      </c>
      <c r="F162" s="119"/>
    </row>
    <row r="163" spans="3:6" x14ac:dyDescent="0.3">
      <c r="D163" s="282" t="str">
        <f>SD1_BA!C305</f>
        <v>Equipment Category 25</v>
      </c>
      <c r="F163" s="119"/>
    </row>
    <row r="164" spans="3:6" x14ac:dyDescent="0.3">
      <c r="D164" s="282" t="str">
        <f>SD1_BA!C306</f>
        <v>Equipment Category 26</v>
      </c>
      <c r="F164" s="119"/>
    </row>
    <row r="165" spans="3:6" x14ac:dyDescent="0.3">
      <c r="D165" s="282" t="str">
        <f>SD1_BA!C307</f>
        <v>Equipment Category 27</v>
      </c>
      <c r="F165" s="119"/>
    </row>
    <row r="166" spans="3:6" x14ac:dyDescent="0.3">
      <c r="D166" s="282" t="str">
        <f>SD1_BA!C308</f>
        <v>Equipment Category 28</v>
      </c>
      <c r="F166" s="119"/>
    </row>
    <row r="167" spans="3:6" x14ac:dyDescent="0.3">
      <c r="D167" s="282" t="str">
        <f>SD1_BA!C309</f>
        <v>Equipment Category 29</v>
      </c>
      <c r="F167" s="119"/>
    </row>
    <row r="168" spans="3:6" x14ac:dyDescent="0.3">
      <c r="D168" s="282" t="str">
        <f>SD1_BA!C310</f>
        <v>Equipment Category 30</v>
      </c>
      <c r="F168" s="119"/>
    </row>
    <row r="169" spans="3:6" x14ac:dyDescent="0.3">
      <c r="D169" s="282" t="str">
        <f>SD1_BA!C311</f>
        <v>Equipment Category 31</v>
      </c>
      <c r="F169" s="119"/>
    </row>
    <row r="170" spans="3:6" x14ac:dyDescent="0.3">
      <c r="D170" s="282" t="str">
        <f>SD1_BA!C312</f>
        <v>Equipment Category 32</v>
      </c>
      <c r="F170" s="119"/>
    </row>
    <row r="171" spans="3:6" x14ac:dyDescent="0.3">
      <c r="D171" s="282" t="str">
        <f>SD1_BA!C313</f>
        <v>Equipment Category 33</v>
      </c>
      <c r="F171" s="119"/>
    </row>
    <row r="172" spans="3:6" x14ac:dyDescent="0.3">
      <c r="D172" s="282" t="str">
        <f>SD1_BA!C314</f>
        <v>Equipment Category 34</v>
      </c>
      <c r="F172" s="119"/>
    </row>
    <row r="173" spans="3:6" x14ac:dyDescent="0.3">
      <c r="D173" s="282" t="str">
        <f>SD1_BA!C315</f>
        <v>Equipment Category 35</v>
      </c>
      <c r="F173" s="119"/>
    </row>
    <row r="175" spans="3:6" ht="15.6" x14ac:dyDescent="0.3">
      <c r="C175" s="115" t="s">
        <v>89</v>
      </c>
      <c r="F175" s="115" t="s">
        <v>28</v>
      </c>
    </row>
    <row r="177" spans="4:6" x14ac:dyDescent="0.3">
      <c r="D177" s="116" t="s">
        <v>95</v>
      </c>
      <c r="F177" s="119" t="s">
        <v>281</v>
      </c>
    </row>
    <row r="178" spans="4:6" x14ac:dyDescent="0.3">
      <c r="D178" s="30" t="str">
        <f>SD1_BA!C319</f>
        <v>Other Direct Costs Category 1</v>
      </c>
      <c r="F178" s="33" t="s">
        <v>46</v>
      </c>
    </row>
    <row r="179" spans="4:6" x14ac:dyDescent="0.3">
      <c r="D179" s="30" t="str">
        <f>SD1_BA!C320</f>
        <v>Other Direct Costs Category 2</v>
      </c>
      <c r="F179" s="33" t="s">
        <v>46</v>
      </c>
    </row>
    <row r="180" spans="4:6" x14ac:dyDescent="0.3">
      <c r="D180" s="30" t="str">
        <f>SD1_BA!C321</f>
        <v>Other Direct Costs Category 3</v>
      </c>
      <c r="F180" s="33" t="s">
        <v>46</v>
      </c>
    </row>
    <row r="181" spans="4:6" x14ac:dyDescent="0.3">
      <c r="D181" s="282" t="str">
        <f>SD1_BA!C322</f>
        <v>Other Direct Costs Category 4</v>
      </c>
      <c r="F181" s="119"/>
    </row>
    <row r="182" spans="4:6" x14ac:dyDescent="0.3">
      <c r="D182" s="282" t="str">
        <f>SD1_BA!C323</f>
        <v>Other Direct Costs Category 5</v>
      </c>
      <c r="F182" s="119"/>
    </row>
    <row r="183" spans="4:6" x14ac:dyDescent="0.3">
      <c r="D183" s="282" t="str">
        <f>SD1_BA!C324</f>
        <v>Other Direct Costs Category 6</v>
      </c>
      <c r="F183" s="119"/>
    </row>
    <row r="184" spans="4:6" x14ac:dyDescent="0.3">
      <c r="D184" s="282" t="str">
        <f>SD1_BA!C325</f>
        <v>Other Direct Costs Category 7</v>
      </c>
      <c r="F184" s="119"/>
    </row>
    <row r="185" spans="4:6" x14ac:dyDescent="0.3">
      <c r="D185" s="282" t="str">
        <f>SD1_BA!C326</f>
        <v>Other Direct Costs Category 8</v>
      </c>
      <c r="F185" s="119"/>
    </row>
    <row r="186" spans="4:6" x14ac:dyDescent="0.3">
      <c r="D186" s="282" t="str">
        <f>SD1_BA!C327</f>
        <v>Other Direct Costs Category 9</v>
      </c>
      <c r="F186" s="119"/>
    </row>
    <row r="187" spans="4:6" x14ac:dyDescent="0.3">
      <c r="D187" s="282" t="str">
        <f>SD1_BA!C328</f>
        <v>Other Direct Costs Category 10</v>
      </c>
      <c r="F187" s="119"/>
    </row>
    <row r="188" spans="4:6" x14ac:dyDescent="0.3">
      <c r="D188" s="282" t="str">
        <f>SD1_BA!C329</f>
        <v>Other Direct Costs Category 11</v>
      </c>
      <c r="F188" s="119"/>
    </row>
    <row r="189" spans="4:6" x14ac:dyDescent="0.3">
      <c r="D189" s="282" t="str">
        <f>SD1_BA!C330</f>
        <v>Other Direct Costs Category 12</v>
      </c>
      <c r="F189" s="119"/>
    </row>
    <row r="190" spans="4:6" x14ac:dyDescent="0.3">
      <c r="D190" s="282" t="str">
        <f>SD1_BA!C331</f>
        <v>Other Direct Costs Category 13</v>
      </c>
      <c r="F190" s="119"/>
    </row>
    <row r="191" spans="4:6" x14ac:dyDescent="0.3">
      <c r="D191" s="282" t="str">
        <f>SD1_BA!C332</f>
        <v>Other Direct Costs Category 14</v>
      </c>
      <c r="F191" s="119"/>
    </row>
    <row r="192" spans="4:6" x14ac:dyDescent="0.3">
      <c r="D192" s="282" t="str">
        <f>SD1_BA!C333</f>
        <v>Other Direct Costs Category 15</v>
      </c>
      <c r="F192" s="119"/>
    </row>
    <row r="193" spans="4:6" x14ac:dyDescent="0.3">
      <c r="D193" s="282" t="str">
        <f>SD1_BA!C334</f>
        <v>Other Direct Costs Category 16</v>
      </c>
      <c r="F193" s="119"/>
    </row>
    <row r="194" spans="4:6" x14ac:dyDescent="0.3">
      <c r="D194" s="282" t="str">
        <f>SD1_BA!C335</f>
        <v>Other Direct Costs Category 17</v>
      </c>
      <c r="F194" s="119"/>
    </row>
    <row r="195" spans="4:6" x14ac:dyDescent="0.3">
      <c r="D195" s="282" t="str">
        <f>SD1_BA!C336</f>
        <v>Other Direct Costs Category 18</v>
      </c>
      <c r="F195" s="119"/>
    </row>
    <row r="196" spans="4:6" x14ac:dyDescent="0.3">
      <c r="D196" s="282" t="str">
        <f>SD1_BA!C337</f>
        <v>Other Direct Costs Category 19</v>
      </c>
      <c r="F196" s="119"/>
    </row>
    <row r="197" spans="4:6" x14ac:dyDescent="0.3">
      <c r="D197" s="282" t="str">
        <f>SD1_BA!C338</f>
        <v>Other Direct Costs Category 20</v>
      </c>
      <c r="F197" s="119"/>
    </row>
    <row r="198" spans="4:6" x14ac:dyDescent="0.3">
      <c r="D198" s="282" t="str">
        <f>SD1_BA!C339</f>
        <v>Other Direct Costs Category 21</v>
      </c>
      <c r="F198" s="119"/>
    </row>
    <row r="199" spans="4:6" x14ac:dyDescent="0.3">
      <c r="D199" s="282" t="str">
        <f>SD1_BA!C340</f>
        <v>Other Direct Costs Category 22</v>
      </c>
      <c r="F199" s="119"/>
    </row>
    <row r="200" spans="4:6" x14ac:dyDescent="0.3">
      <c r="D200" s="282" t="str">
        <f>SD1_BA!C341</f>
        <v>Other Direct Costs Category 23</v>
      </c>
      <c r="F200" s="119"/>
    </row>
    <row r="201" spans="4:6" x14ac:dyDescent="0.3">
      <c r="D201" s="282" t="str">
        <f>SD1_BA!C342</f>
        <v>Other Direct Costs Category 24</v>
      </c>
      <c r="F201" s="119"/>
    </row>
    <row r="202" spans="4:6" x14ac:dyDescent="0.3">
      <c r="D202" s="282" t="str">
        <f>SD1_BA!C343</f>
        <v>Other Direct Costs Category 25</v>
      </c>
      <c r="F202" s="119"/>
    </row>
    <row r="203" spans="4:6" x14ac:dyDescent="0.3">
      <c r="D203" s="282" t="str">
        <f>SD1_BA!C344</f>
        <v>Other Direct Costs Category 26</v>
      </c>
      <c r="F203" s="119"/>
    </row>
    <row r="204" spans="4:6" x14ac:dyDescent="0.3">
      <c r="D204" s="282" t="str">
        <f>SD1_BA!C345</f>
        <v>Other Direct Costs Category 27</v>
      </c>
      <c r="F204" s="119"/>
    </row>
    <row r="205" spans="4:6" x14ac:dyDescent="0.3">
      <c r="D205" s="282" t="str">
        <f>SD1_BA!C346</f>
        <v>Other Direct Costs Category 28</v>
      </c>
      <c r="F205" s="119"/>
    </row>
    <row r="206" spans="4:6" x14ac:dyDescent="0.3">
      <c r="D206" s="282" t="str">
        <f>SD1_BA!C347</f>
        <v>Other Direct Costs Category 29</v>
      </c>
      <c r="F206" s="119"/>
    </row>
    <row r="207" spans="4:6" x14ac:dyDescent="0.3">
      <c r="D207" s="282" t="str">
        <f>SD1_BA!C348</f>
        <v>Other Direct Costs Category 30</v>
      </c>
      <c r="F207" s="119"/>
    </row>
    <row r="208" spans="4:6" x14ac:dyDescent="0.3">
      <c r="D208" s="282" t="str">
        <f>SD1_BA!C349</f>
        <v>Other Direct Costs Category 31</v>
      </c>
      <c r="F208" s="119"/>
    </row>
    <row r="209" spans="4:6" x14ac:dyDescent="0.3">
      <c r="D209" s="282" t="str">
        <f>SD1_BA!C350</f>
        <v>Other Direct Costs Category 32</v>
      </c>
      <c r="F209" s="119"/>
    </row>
    <row r="210" spans="4:6" x14ac:dyDescent="0.3">
      <c r="D210" s="282" t="str">
        <f>SD1_BA!C351</f>
        <v>Other Direct Costs Category 33</v>
      </c>
      <c r="F210" s="119"/>
    </row>
    <row r="211" spans="4:6" x14ac:dyDescent="0.3">
      <c r="D211" s="282" t="str">
        <f>SD1_BA!C352</f>
        <v>Other Direct Costs Category 34</v>
      </c>
      <c r="F211" s="119"/>
    </row>
    <row r="212" spans="4:6" x14ac:dyDescent="0.3">
      <c r="D212" s="282" t="str">
        <f>SD1_BA!C353</f>
        <v>Other Direct Costs Category 35</v>
      </c>
      <c r="F212" s="119"/>
    </row>
  </sheetData>
  <sheetProtection algorithmName="SHA-512" hashValue="5qfFxTSQIeKQmQtQ/7K49RCtv7fHNZycX5cL0NMI5+rM6K7R1oQoHSfXN1+OqwVFbaBp4TjxLwN3PasX/iVRSQ==" saltValue="MAIWKV1/WiITDc6gyPE4cw==" spinCount="100000" sheet="1" objects="1" scenarios="1" formatColumns="0" formatRows="0"/>
  <mergeCells count="1">
    <mergeCell ref="B3:D3"/>
  </mergeCells>
  <hyperlinks>
    <hyperlink ref="A4" location="$B$5" tooltip="Go to Top of Sheet" display="$B$5" xr:uid="{00000000-0004-0000-2F00-000000000000}"/>
    <hyperlink ref="B4" location="HL_Sheet_Main_26" tooltip="Go to Previous Sheet" display="HL_Sheet_Main_26" xr:uid="{00000000-0004-0000-2F00-000001000000}"/>
    <hyperlink ref="C4" location="HL_Sheet_Main_28" tooltip="Go to Next Sheet" display="HL_Sheet_Main_28" xr:uid="{00000000-0004-0000-2F00-000002000000}"/>
    <hyperlink ref="B3" location="HL_Home" tooltip="Go to Table of Contents" display="HL_Home" xr:uid="{00000000-0004-0000-2F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669</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671</v>
      </c>
    </row>
    <row r="9" spans="1:6" ht="15.6" x14ac:dyDescent="0.3">
      <c r="C9" s="115" t="s">
        <v>93</v>
      </c>
    </row>
    <row r="11" spans="1:6" ht="15.6" x14ac:dyDescent="0.3">
      <c r="C11" s="115" t="s">
        <v>93</v>
      </c>
      <c r="F11" s="115" t="s">
        <v>28</v>
      </c>
    </row>
    <row r="13" spans="1:6" x14ac:dyDescent="0.3">
      <c r="D13" s="116" t="s">
        <v>95</v>
      </c>
      <c r="F13" s="119" t="s">
        <v>282</v>
      </c>
    </row>
    <row r="14" spans="1:6" x14ac:dyDescent="0.3">
      <c r="D14" s="30" t="str">
        <f>SD1_BA!D512</f>
        <v>USD</v>
      </c>
      <c r="F14" s="33" t="s">
        <v>46</v>
      </c>
    </row>
    <row r="15" spans="1:6" x14ac:dyDescent="0.3">
      <c r="D15" s="30" t="str">
        <f>SD1_BA!D513</f>
        <v>GOZ</v>
      </c>
      <c r="F15" s="33" t="s">
        <v>46</v>
      </c>
    </row>
    <row r="17" spans="3:6" ht="15.6" x14ac:dyDescent="0.3">
      <c r="C17" s="115" t="s">
        <v>77</v>
      </c>
      <c r="F17" s="115" t="s">
        <v>28</v>
      </c>
    </row>
    <row r="19" spans="3:6" x14ac:dyDescent="0.3">
      <c r="D19" s="116" t="s">
        <v>95</v>
      </c>
      <c r="F19" s="119" t="s">
        <v>283</v>
      </c>
    </row>
    <row r="20" spans="3:6" x14ac:dyDescent="0.3">
      <c r="D20" s="30" t="str">
        <f>SD1_BA!C518</f>
        <v>Personnel Cadre - Other 1</v>
      </c>
      <c r="F20" s="33" t="s">
        <v>46</v>
      </c>
    </row>
    <row r="21" spans="3:6" x14ac:dyDescent="0.3">
      <c r="D21" s="30" t="str">
        <f>SD1_BA!C519</f>
        <v>Personnel Cadre - Other 2</v>
      </c>
      <c r="F21" s="33" t="s">
        <v>46</v>
      </c>
    </row>
    <row r="22" spans="3:6" x14ac:dyDescent="0.3">
      <c r="D22" s="30" t="str">
        <f>SD1_BA!C520</f>
        <v>Personnel Cadre - Other 3</v>
      </c>
      <c r="F22" s="33" t="s">
        <v>46</v>
      </c>
    </row>
    <row r="23" spans="3:6" x14ac:dyDescent="0.3">
      <c r="D23" s="30" t="str">
        <f>SD1_BA!C521</f>
        <v>Personnel Cadre - Other 4</v>
      </c>
      <c r="F23" s="33" t="s">
        <v>46</v>
      </c>
    </row>
    <row r="24" spans="3:6" x14ac:dyDescent="0.3">
      <c r="D24" s="30" t="str">
        <f>SD1_BA!C522</f>
        <v>Personnel Cadre - Other 5</v>
      </c>
      <c r="F24" s="33" t="s">
        <v>46</v>
      </c>
    </row>
    <row r="25" spans="3:6" x14ac:dyDescent="0.3">
      <c r="D25" s="30" t="str">
        <f>SD1_BA!C523</f>
        <v>Personnel Cadre - Other 6</v>
      </c>
      <c r="F25" s="33" t="s">
        <v>46</v>
      </c>
    </row>
    <row r="26" spans="3:6" x14ac:dyDescent="0.3">
      <c r="D26" s="30" t="str">
        <f>SD1_BA!C524</f>
        <v>Personnel Cadre - Other 7</v>
      </c>
      <c r="F26" s="33" t="s">
        <v>46</v>
      </c>
    </row>
    <row r="27" spans="3:6" x14ac:dyDescent="0.3">
      <c r="D27" s="30" t="str">
        <f>SD1_BA!C525</f>
        <v>Personnel Cadre - Other 8</v>
      </c>
      <c r="F27" s="33" t="s">
        <v>46</v>
      </c>
    </row>
    <row r="28" spans="3:6" x14ac:dyDescent="0.3">
      <c r="D28" s="30" t="str">
        <f>SD1_BA!C526</f>
        <v>Personnel Cadre - Other 9</v>
      </c>
      <c r="F28" s="33" t="s">
        <v>46</v>
      </c>
    </row>
    <row r="29" spans="3:6" x14ac:dyDescent="0.3">
      <c r="D29" s="30" t="str">
        <f>SD1_BA!C527</f>
        <v>Personnel Cadre - Other 10</v>
      </c>
      <c r="F29" s="33" t="s">
        <v>46</v>
      </c>
    </row>
    <row r="30" spans="3:6" x14ac:dyDescent="0.3">
      <c r="D30" s="30" t="str">
        <f>SD1_BA!C528</f>
        <v>Personnel Cadre - Other 11</v>
      </c>
      <c r="F30" s="33" t="s">
        <v>46</v>
      </c>
    </row>
    <row r="31" spans="3:6" x14ac:dyDescent="0.3">
      <c r="D31" s="30" t="str">
        <f>SD1_BA!C529</f>
        <v>Personnel Cadre - Other 12</v>
      </c>
      <c r="F31" s="33" t="s">
        <v>46</v>
      </c>
    </row>
    <row r="32" spans="3:6" x14ac:dyDescent="0.3">
      <c r="D32" s="30" t="str">
        <f>SD1_BA!C530</f>
        <v>Personnel Cadre - Other 13</v>
      </c>
      <c r="F32" s="33" t="s">
        <v>46</v>
      </c>
    </row>
    <row r="33" spans="4:6" x14ac:dyDescent="0.3">
      <c r="D33" s="30" t="str">
        <f>SD1_BA!C531</f>
        <v>Personnel Cadre - Other 14</v>
      </c>
      <c r="F33" s="33" t="s">
        <v>46</v>
      </c>
    </row>
    <row r="34" spans="4:6" x14ac:dyDescent="0.3">
      <c r="D34" s="30" t="str">
        <f>SD1_BA!C532</f>
        <v>Personnel Cadre - Other 15</v>
      </c>
      <c r="F34" s="33" t="s">
        <v>46</v>
      </c>
    </row>
    <row r="35" spans="4:6" x14ac:dyDescent="0.3">
      <c r="D35" s="282" t="str">
        <f>SD1_BA!C533</f>
        <v>Personnel Cadre - Other 16</v>
      </c>
      <c r="F35" s="119"/>
    </row>
    <row r="36" spans="4:6" x14ac:dyDescent="0.3">
      <c r="D36" s="282" t="str">
        <f>SD1_BA!C534</f>
        <v>Personnel Cadre - Other 17</v>
      </c>
      <c r="F36" s="119"/>
    </row>
    <row r="37" spans="4:6" x14ac:dyDescent="0.3">
      <c r="D37" s="282" t="str">
        <f>SD1_BA!C535</f>
        <v>Personnel Cadre - Other 18</v>
      </c>
      <c r="F37" s="119"/>
    </row>
    <row r="38" spans="4:6" x14ac:dyDescent="0.3">
      <c r="D38" s="282" t="str">
        <f>SD1_BA!C536</f>
        <v>Personnel Cadre - Other 19</v>
      </c>
      <c r="F38" s="119"/>
    </row>
    <row r="39" spans="4:6" x14ac:dyDescent="0.3">
      <c r="D39" s="282" t="str">
        <f>SD1_BA!C537</f>
        <v>Personnel Cadre - Other 20</v>
      </c>
      <c r="F39" s="119"/>
    </row>
    <row r="40" spans="4:6" x14ac:dyDescent="0.3">
      <c r="D40" s="282" t="str">
        <f>SD1_BA!C538</f>
        <v>Personnel Cadre - Other 21</v>
      </c>
      <c r="F40" s="119"/>
    </row>
    <row r="41" spans="4:6" x14ac:dyDescent="0.3">
      <c r="D41" s="282" t="str">
        <f>SD1_BA!C539</f>
        <v>Personnel Cadre - Other 22</v>
      </c>
      <c r="F41" s="119"/>
    </row>
    <row r="42" spans="4:6" x14ac:dyDescent="0.3">
      <c r="D42" s="282" t="str">
        <f>SD1_BA!C540</f>
        <v>Personnel Cadre - Other 23</v>
      </c>
      <c r="F42" s="119"/>
    </row>
    <row r="43" spans="4:6" x14ac:dyDescent="0.3">
      <c r="D43" s="282" t="str">
        <f>SD1_BA!C541</f>
        <v>Personnel Cadre - Other 24</v>
      </c>
      <c r="F43" s="119"/>
    </row>
    <row r="44" spans="4:6" x14ac:dyDescent="0.3">
      <c r="D44" s="282" t="str">
        <f>SD1_BA!C542</f>
        <v>Personnel Cadre - Other 25</v>
      </c>
      <c r="F44" s="119"/>
    </row>
    <row r="45" spans="4:6" x14ac:dyDescent="0.3">
      <c r="D45" s="282" t="str">
        <f>SD1_BA!C543</f>
        <v>Personnel Cadre - Other 26</v>
      </c>
      <c r="F45" s="119"/>
    </row>
    <row r="46" spans="4:6" x14ac:dyDescent="0.3">
      <c r="D46" s="282" t="str">
        <f>SD1_BA!C544</f>
        <v>Personnel Cadre - Other 27</v>
      </c>
      <c r="F46" s="119"/>
    </row>
    <row r="47" spans="4:6" x14ac:dyDescent="0.3">
      <c r="D47" s="282" t="str">
        <f>SD1_BA!C545</f>
        <v>Personnel Cadre - Other 28</v>
      </c>
      <c r="F47" s="119"/>
    </row>
    <row r="48" spans="4:6" x14ac:dyDescent="0.3">
      <c r="D48" s="282" t="str">
        <f>SD1_BA!C546</f>
        <v>Personnel Cadre - Other 29</v>
      </c>
      <c r="F48" s="119"/>
    </row>
    <row r="49" spans="3:6" x14ac:dyDescent="0.3">
      <c r="D49" s="282" t="str">
        <f>SD1_BA!C547</f>
        <v>Personnel Cadre - Other 30</v>
      </c>
      <c r="F49" s="119"/>
    </row>
    <row r="50" spans="3:6" x14ac:dyDescent="0.3">
      <c r="D50" s="282" t="str">
        <f>SD1_BA!C548</f>
        <v>Personnel Cadre - Other 31</v>
      </c>
      <c r="F50" s="119"/>
    </row>
    <row r="51" spans="3:6" x14ac:dyDescent="0.3">
      <c r="D51" s="282" t="str">
        <f>SD1_BA!C549</f>
        <v>Personnel Cadre - Other 32</v>
      </c>
      <c r="F51" s="119"/>
    </row>
    <row r="52" spans="3:6" x14ac:dyDescent="0.3">
      <c r="D52" s="282" t="str">
        <f>SD1_BA!C550</f>
        <v>Personnel Cadre - Other 33</v>
      </c>
      <c r="F52" s="119"/>
    </row>
    <row r="53" spans="3:6" x14ac:dyDescent="0.3">
      <c r="D53" s="282" t="str">
        <f>SD1_BA!C551</f>
        <v>Personnel Cadre - Other 34</v>
      </c>
      <c r="F53" s="119"/>
    </row>
    <row r="54" spans="3:6" x14ac:dyDescent="0.3">
      <c r="D54" s="282" t="str">
        <f>SD1_BA!C552</f>
        <v>Personnel Cadre - Other 35</v>
      </c>
      <c r="F54" s="119"/>
    </row>
    <row r="56" spans="3:6" ht="15.6" x14ac:dyDescent="0.3">
      <c r="C56" s="115" t="s">
        <v>94</v>
      </c>
      <c r="F56" s="115" t="s">
        <v>28</v>
      </c>
    </row>
    <row r="58" spans="3:6" x14ac:dyDescent="0.3">
      <c r="D58" s="116" t="s">
        <v>95</v>
      </c>
      <c r="F58" s="119" t="s">
        <v>284</v>
      </c>
    </row>
    <row r="59" spans="3:6" x14ac:dyDescent="0.3">
      <c r="D59" s="30" t="str">
        <f>SD1_BA!C555</f>
        <v>Allowances Category 1</v>
      </c>
      <c r="F59" s="33" t="s">
        <v>46</v>
      </c>
    </row>
    <row r="60" spans="3:6" x14ac:dyDescent="0.3">
      <c r="D60" s="30" t="str">
        <f>SD1_BA!C556</f>
        <v>Allowances Category 2</v>
      </c>
      <c r="F60" s="33" t="s">
        <v>46</v>
      </c>
    </row>
    <row r="61" spans="3:6" x14ac:dyDescent="0.3">
      <c r="D61" s="30" t="str">
        <f>SD1_BA!C557</f>
        <v>Allowances Category 3</v>
      </c>
      <c r="F61" s="33" t="s">
        <v>46</v>
      </c>
    </row>
    <row r="62" spans="3:6" x14ac:dyDescent="0.3">
      <c r="D62" s="30" t="str">
        <f>SD1_BA!C558</f>
        <v>Allowances Category 4</v>
      </c>
      <c r="F62" s="33" t="s">
        <v>46</v>
      </c>
    </row>
    <row r="63" spans="3:6" x14ac:dyDescent="0.3">
      <c r="D63" s="30" t="str">
        <f>SD1_BA!C559</f>
        <v>Allowances Category 5</v>
      </c>
      <c r="F63" s="33" t="s">
        <v>46</v>
      </c>
    </row>
    <row r="64" spans="3:6" x14ac:dyDescent="0.3">
      <c r="D64" s="282" t="str">
        <f>SD1_BA!C560</f>
        <v>Allowances Category 6</v>
      </c>
      <c r="F64" s="119"/>
    </row>
    <row r="65" spans="4:6" x14ac:dyDescent="0.3">
      <c r="D65" s="282" t="str">
        <f>SD1_BA!C561</f>
        <v>Allowances Category 7</v>
      </c>
      <c r="F65" s="119"/>
    </row>
    <row r="66" spans="4:6" x14ac:dyDescent="0.3">
      <c r="D66" s="282" t="str">
        <f>SD1_BA!C562</f>
        <v>Allowances Category 8</v>
      </c>
      <c r="F66" s="119"/>
    </row>
    <row r="67" spans="4:6" x14ac:dyDescent="0.3">
      <c r="D67" s="282" t="str">
        <f>SD1_BA!C563</f>
        <v>Allowances Category 9</v>
      </c>
      <c r="F67" s="119"/>
    </row>
    <row r="68" spans="4:6" x14ac:dyDescent="0.3">
      <c r="D68" s="282" t="str">
        <f>SD1_BA!C564</f>
        <v>Allowances Category 10</v>
      </c>
      <c r="F68" s="119"/>
    </row>
    <row r="69" spans="4:6" x14ac:dyDescent="0.3">
      <c r="D69" s="282" t="str">
        <f>SD1_BA!C565</f>
        <v>Allowances Category 11</v>
      </c>
      <c r="F69" s="119"/>
    </row>
    <row r="70" spans="4:6" x14ac:dyDescent="0.3">
      <c r="D70" s="282" t="str">
        <f>SD1_BA!C566</f>
        <v>Allowances Category 12</v>
      </c>
      <c r="F70" s="119"/>
    </row>
    <row r="71" spans="4:6" x14ac:dyDescent="0.3">
      <c r="D71" s="282" t="str">
        <f>SD1_BA!C567</f>
        <v>Allowances Category 13</v>
      </c>
      <c r="F71" s="119"/>
    </row>
    <row r="72" spans="4:6" x14ac:dyDescent="0.3">
      <c r="D72" s="282" t="str">
        <f>SD1_BA!C568</f>
        <v>Allowances Category 14</v>
      </c>
      <c r="F72" s="119"/>
    </row>
    <row r="73" spans="4:6" x14ac:dyDescent="0.3">
      <c r="D73" s="282" t="str">
        <f>SD1_BA!C569</f>
        <v>Allowances Category 15</v>
      </c>
      <c r="F73" s="119"/>
    </row>
    <row r="74" spans="4:6" x14ac:dyDescent="0.3">
      <c r="D74" s="282" t="str">
        <f>SD1_BA!C570</f>
        <v>Allowances Category 16</v>
      </c>
      <c r="F74" s="119"/>
    </row>
    <row r="75" spans="4:6" x14ac:dyDescent="0.3">
      <c r="D75" s="30" t="str">
        <f>SD1_BA!C571</f>
        <v>Allowances Category 17</v>
      </c>
      <c r="F75" s="33" t="s">
        <v>46</v>
      </c>
    </row>
    <row r="76" spans="4:6" x14ac:dyDescent="0.3">
      <c r="D76" s="30" t="str">
        <f>SD1_BA!C572</f>
        <v>Allowances Category 18</v>
      </c>
      <c r="F76" s="33" t="s">
        <v>46</v>
      </c>
    </row>
    <row r="77" spans="4:6" x14ac:dyDescent="0.3">
      <c r="D77" s="30" t="str">
        <f>SD1_BA!C573</f>
        <v>Allowances Category 19</v>
      </c>
      <c r="F77" s="33" t="s">
        <v>46</v>
      </c>
    </row>
    <row r="78" spans="4:6" x14ac:dyDescent="0.3">
      <c r="D78" s="30" t="str">
        <f>SD1_BA!C574</f>
        <v>Allowances Category 20</v>
      </c>
      <c r="F78" s="33" t="s">
        <v>46</v>
      </c>
    </row>
    <row r="79" spans="4:6" x14ac:dyDescent="0.3">
      <c r="D79" s="30" t="str">
        <f>SD1_BA!C575</f>
        <v>Allowances Category 21</v>
      </c>
      <c r="F79" s="33" t="s">
        <v>46</v>
      </c>
    </row>
    <row r="80" spans="4:6" x14ac:dyDescent="0.3">
      <c r="D80" s="30" t="str">
        <f>SD1_BA!C576</f>
        <v>Allowances Category 22</v>
      </c>
      <c r="F80" s="33" t="s">
        <v>46</v>
      </c>
    </row>
    <row r="81" spans="3:6" x14ac:dyDescent="0.3">
      <c r="D81" s="30" t="str">
        <f>SD1_BA!C577</f>
        <v>Allowances Category 23</v>
      </c>
      <c r="F81" s="33" t="s">
        <v>46</v>
      </c>
    </row>
    <row r="82" spans="3:6" x14ac:dyDescent="0.3">
      <c r="D82" s="282" t="str">
        <f>SD1_BA!C578</f>
        <v>Allowances Category 24</v>
      </c>
      <c r="F82" s="119"/>
    </row>
    <row r="83" spans="3:6" x14ac:dyDescent="0.3">
      <c r="D83" s="282" t="str">
        <f>SD1_BA!C579</f>
        <v>Allowances Category 25</v>
      </c>
      <c r="F83" s="119"/>
    </row>
    <row r="84" spans="3:6" x14ac:dyDescent="0.3">
      <c r="D84" s="282" t="str">
        <f>SD1_BA!C580</f>
        <v>Allowances Category 26</v>
      </c>
      <c r="F84" s="119"/>
    </row>
    <row r="85" spans="3:6" x14ac:dyDescent="0.3">
      <c r="D85" s="282" t="str">
        <f>SD1_BA!C581</f>
        <v>Allowances Category 27</v>
      </c>
      <c r="F85" s="119"/>
    </row>
    <row r="86" spans="3:6" x14ac:dyDescent="0.3">
      <c r="D86" s="282" t="str">
        <f>SD1_BA!C582</f>
        <v>Allowances Category 28</v>
      </c>
      <c r="F86" s="119"/>
    </row>
    <row r="87" spans="3:6" x14ac:dyDescent="0.3">
      <c r="D87" s="282" t="str">
        <f>SD1_BA!C583</f>
        <v>Allowances Category 29</v>
      </c>
      <c r="F87" s="119"/>
    </row>
    <row r="88" spans="3:6" x14ac:dyDescent="0.3">
      <c r="D88" s="282" t="str">
        <f>SD1_BA!C584</f>
        <v>Allowances Category 30</v>
      </c>
      <c r="F88" s="119"/>
    </row>
    <row r="89" spans="3:6" x14ac:dyDescent="0.3">
      <c r="D89" s="30" t="str">
        <f>SD1_BA!C585</f>
        <v>Allowances Category 31</v>
      </c>
      <c r="F89" s="33" t="s">
        <v>46</v>
      </c>
    </row>
    <row r="90" spans="3:6" x14ac:dyDescent="0.3">
      <c r="D90" s="30" t="str">
        <f>SD1_BA!C586</f>
        <v>Allowances Category 32</v>
      </c>
      <c r="F90" s="33" t="s">
        <v>46</v>
      </c>
    </row>
    <row r="91" spans="3:6" x14ac:dyDescent="0.3">
      <c r="D91" s="30" t="str">
        <f>SD1_BA!C587</f>
        <v>Allowances Category 33</v>
      </c>
      <c r="F91" s="33" t="s">
        <v>46</v>
      </c>
    </row>
    <row r="92" spans="3:6" x14ac:dyDescent="0.3">
      <c r="D92" s="30" t="str">
        <f>SD1_BA!C588</f>
        <v>Allowances Category 34</v>
      </c>
      <c r="F92" s="33" t="s">
        <v>46</v>
      </c>
    </row>
    <row r="93" spans="3:6" x14ac:dyDescent="0.3">
      <c r="D93" s="30" t="str">
        <f>SD1_BA!C589</f>
        <v>Allowances Category 35</v>
      </c>
      <c r="F93" s="33" t="s">
        <v>46</v>
      </c>
    </row>
    <row r="96" spans="3:6" ht="15.6" x14ac:dyDescent="0.3">
      <c r="C96" s="115" t="s">
        <v>132</v>
      </c>
      <c r="F96" s="115" t="s">
        <v>28</v>
      </c>
    </row>
    <row r="98" spans="4:6" x14ac:dyDescent="0.3">
      <c r="D98" s="116" t="s">
        <v>95</v>
      </c>
      <c r="F98" s="119" t="s">
        <v>285</v>
      </c>
    </row>
    <row r="99" spans="4:6" x14ac:dyDescent="0.3">
      <c r="D99" s="30" t="str">
        <f>SD1_BA!C593</f>
        <v>Supplies Category 1</v>
      </c>
      <c r="F99" s="33" t="s">
        <v>46</v>
      </c>
    </row>
    <row r="100" spans="4:6" x14ac:dyDescent="0.3">
      <c r="D100" s="30" t="str">
        <f>SD1_BA!C594</f>
        <v>Supplies Category 2</v>
      </c>
      <c r="F100" s="33" t="s">
        <v>46</v>
      </c>
    </row>
    <row r="101" spans="4:6" x14ac:dyDescent="0.3">
      <c r="D101" s="30" t="str">
        <f>SD1_BA!C595</f>
        <v>Supplies Category 3</v>
      </c>
      <c r="F101" s="33" t="s">
        <v>46</v>
      </c>
    </row>
    <row r="102" spans="4:6" x14ac:dyDescent="0.3">
      <c r="D102" s="30" t="str">
        <f>SD1_BA!C596</f>
        <v>Supplies Category 4</v>
      </c>
      <c r="F102" s="33" t="s">
        <v>46</v>
      </c>
    </row>
    <row r="103" spans="4:6" x14ac:dyDescent="0.3">
      <c r="D103" s="30" t="str">
        <f>SD1_BA!C597</f>
        <v>Supplies Category 5</v>
      </c>
      <c r="F103" s="33" t="s">
        <v>46</v>
      </c>
    </row>
    <row r="104" spans="4:6" x14ac:dyDescent="0.3">
      <c r="D104" s="30" t="str">
        <f>SD1_BA!C598</f>
        <v>Supplies Category 6</v>
      </c>
      <c r="F104" s="33" t="s">
        <v>46</v>
      </c>
    </row>
    <row r="105" spans="4:6" x14ac:dyDescent="0.3">
      <c r="D105" s="30" t="str">
        <f>SD1_BA!C599</f>
        <v>Supplies Category 7</v>
      </c>
      <c r="F105" s="33" t="s">
        <v>46</v>
      </c>
    </row>
    <row r="106" spans="4:6" x14ac:dyDescent="0.3">
      <c r="D106" s="30" t="str">
        <f>SD1_BA!C600</f>
        <v>Supplies Category 8</v>
      </c>
      <c r="F106" s="33" t="s">
        <v>46</v>
      </c>
    </row>
    <row r="107" spans="4:6" x14ac:dyDescent="0.3">
      <c r="D107" s="30" t="str">
        <f>SD1_BA!C601</f>
        <v>Supplies Category 9</v>
      </c>
      <c r="F107" s="33" t="s">
        <v>46</v>
      </c>
    </row>
    <row r="108" spans="4:6" x14ac:dyDescent="0.3">
      <c r="D108" s="30" t="str">
        <f>SD1_BA!C602</f>
        <v>Supplies Category 10</v>
      </c>
      <c r="F108" s="33" t="s">
        <v>46</v>
      </c>
    </row>
    <row r="109" spans="4:6" x14ac:dyDescent="0.3">
      <c r="D109" s="30" t="str">
        <f>SD1_BA!C603</f>
        <v>Supplies Category 11</v>
      </c>
      <c r="F109" s="33" t="s">
        <v>46</v>
      </c>
    </row>
    <row r="110" spans="4:6" x14ac:dyDescent="0.3">
      <c r="D110" s="30" t="str">
        <f>SD1_BA!C604</f>
        <v>Supplies Category 12</v>
      </c>
      <c r="F110" s="33" t="s">
        <v>46</v>
      </c>
    </row>
    <row r="111" spans="4:6" x14ac:dyDescent="0.3">
      <c r="D111" s="30" t="str">
        <f>SD1_BA!C605</f>
        <v>Supplies Category 13</v>
      </c>
      <c r="F111" s="33" t="s">
        <v>46</v>
      </c>
    </row>
    <row r="112" spans="4:6" x14ac:dyDescent="0.3">
      <c r="D112" s="30" t="str">
        <f>SD1_BA!C606</f>
        <v>Supplies Category 14</v>
      </c>
      <c r="F112" s="33" t="s">
        <v>46</v>
      </c>
    </row>
    <row r="113" spans="4:6" x14ac:dyDescent="0.3">
      <c r="D113" s="30" t="str">
        <f>SD1_BA!C607</f>
        <v>Supplies Category 15</v>
      </c>
      <c r="F113" s="33" t="s">
        <v>46</v>
      </c>
    </row>
    <row r="114" spans="4:6" x14ac:dyDescent="0.3">
      <c r="D114" s="30" t="str">
        <f>SD1_BA!C608</f>
        <v>Supplies Category 16</v>
      </c>
      <c r="F114" s="33" t="s">
        <v>46</v>
      </c>
    </row>
    <row r="115" spans="4:6" x14ac:dyDescent="0.3">
      <c r="D115" s="282" t="str">
        <f>SD1_BA!C609</f>
        <v>Supplies Category 17</v>
      </c>
      <c r="F115" s="119"/>
    </row>
    <row r="116" spans="4:6" x14ac:dyDescent="0.3">
      <c r="D116" s="282" t="str">
        <f>SD1_BA!C610</f>
        <v>Supplies Category 18</v>
      </c>
      <c r="F116" s="119"/>
    </row>
    <row r="117" spans="4:6" x14ac:dyDescent="0.3">
      <c r="D117" s="282" t="str">
        <f>SD1_BA!C611</f>
        <v>Supplies Category 19</v>
      </c>
      <c r="F117" s="119"/>
    </row>
    <row r="118" spans="4:6" x14ac:dyDescent="0.3">
      <c r="D118" s="282" t="str">
        <f>SD1_BA!C612</f>
        <v>Supplies Category 20</v>
      </c>
      <c r="F118" s="119"/>
    </row>
    <row r="119" spans="4:6" x14ac:dyDescent="0.3">
      <c r="D119" s="282" t="str">
        <f>SD1_BA!C613</f>
        <v>Supplies Category 21</v>
      </c>
      <c r="F119" s="119"/>
    </row>
    <row r="120" spans="4:6" x14ac:dyDescent="0.3">
      <c r="D120" s="282" t="str">
        <f>SD1_BA!C614</f>
        <v>Supplies Category 22</v>
      </c>
      <c r="F120" s="119"/>
    </row>
    <row r="121" spans="4:6" x14ac:dyDescent="0.3">
      <c r="D121" s="282" t="str">
        <f>SD1_BA!C615</f>
        <v>Supplies Category 23</v>
      </c>
      <c r="F121" s="119"/>
    </row>
    <row r="122" spans="4:6" x14ac:dyDescent="0.3">
      <c r="D122" s="282" t="str">
        <f>SD1_BA!C616</f>
        <v>Supplies Category 24</v>
      </c>
      <c r="F122" s="119"/>
    </row>
    <row r="123" spans="4:6" x14ac:dyDescent="0.3">
      <c r="D123" s="282" t="str">
        <f>SD1_BA!C617</f>
        <v>Supplies Category 25</v>
      </c>
      <c r="F123" s="119"/>
    </row>
    <row r="124" spans="4:6" x14ac:dyDescent="0.3">
      <c r="D124" s="282" t="str">
        <f>SD1_BA!C618</f>
        <v>Supplies Category 26</v>
      </c>
      <c r="F124" s="119"/>
    </row>
    <row r="125" spans="4:6" x14ac:dyDescent="0.3">
      <c r="D125" s="282" t="str">
        <f>SD1_BA!C619</f>
        <v>Supplies Category 27</v>
      </c>
      <c r="F125" s="119"/>
    </row>
    <row r="126" spans="4:6" x14ac:dyDescent="0.3">
      <c r="D126" s="282" t="str">
        <f>SD1_BA!C620</f>
        <v>Supplies Category 28</v>
      </c>
      <c r="F126" s="119"/>
    </row>
    <row r="127" spans="4:6" x14ac:dyDescent="0.3">
      <c r="D127" s="282" t="str">
        <f>SD1_BA!C621</f>
        <v>Supplies Category 29</v>
      </c>
      <c r="F127" s="119"/>
    </row>
    <row r="128" spans="4:6" x14ac:dyDescent="0.3">
      <c r="D128" s="282" t="str">
        <f>SD1_BA!C622</f>
        <v>Supplies Category 30</v>
      </c>
      <c r="F128" s="119"/>
    </row>
    <row r="129" spans="3:6" x14ac:dyDescent="0.3">
      <c r="D129" s="282" t="str">
        <f>SD1_BA!C623</f>
        <v>Supplies Category 31</v>
      </c>
      <c r="F129" s="119"/>
    </row>
    <row r="130" spans="3:6" x14ac:dyDescent="0.3">
      <c r="D130" s="282" t="str">
        <f>SD1_BA!C624</f>
        <v>Supplies Category 32</v>
      </c>
      <c r="F130" s="119"/>
    </row>
    <row r="131" spans="3:6" x14ac:dyDescent="0.3">
      <c r="D131" s="282" t="str">
        <f>SD1_BA!C625</f>
        <v>Supplies Category 33</v>
      </c>
      <c r="F131" s="119"/>
    </row>
    <row r="132" spans="3:6" x14ac:dyDescent="0.3">
      <c r="D132" s="282" t="str">
        <f>SD1_BA!C626</f>
        <v>Supplies Category 34</v>
      </c>
      <c r="F132" s="119"/>
    </row>
    <row r="133" spans="3:6" x14ac:dyDescent="0.3">
      <c r="D133" s="282" t="str">
        <f>SD1_BA!C627</f>
        <v>Supplies Category 35</v>
      </c>
      <c r="F133" s="119"/>
    </row>
    <row r="136" spans="3:6" ht="15.6" x14ac:dyDescent="0.3">
      <c r="C136" s="115" t="s">
        <v>130</v>
      </c>
      <c r="F136" s="115" t="s">
        <v>28</v>
      </c>
    </row>
    <row r="138" spans="3:6" x14ac:dyDescent="0.3">
      <c r="D138" s="116" t="s">
        <v>95</v>
      </c>
      <c r="F138" s="119" t="s">
        <v>286</v>
      </c>
    </row>
    <row r="139" spans="3:6" x14ac:dyDescent="0.3">
      <c r="D139" s="30" t="str">
        <f>SD1_BA!C630</f>
        <v>Equipment Category 1</v>
      </c>
      <c r="F139" s="33" t="s">
        <v>46</v>
      </c>
    </row>
    <row r="140" spans="3:6" x14ac:dyDescent="0.3">
      <c r="D140" s="30" t="str">
        <f>SD1_BA!C631</f>
        <v>Equipment Category 2</v>
      </c>
      <c r="F140" s="33" t="s">
        <v>46</v>
      </c>
    </row>
    <row r="141" spans="3:6" x14ac:dyDescent="0.3">
      <c r="D141" s="30" t="str">
        <f>SD1_BA!C632</f>
        <v>Equipment Category 3</v>
      </c>
      <c r="F141" s="33" t="s">
        <v>46</v>
      </c>
    </row>
    <row r="142" spans="3:6" x14ac:dyDescent="0.3">
      <c r="D142" s="30" t="str">
        <f>SD1_BA!C633</f>
        <v>Equipment Category 4</v>
      </c>
      <c r="F142" s="33" t="s">
        <v>46</v>
      </c>
    </row>
    <row r="143" spans="3:6" x14ac:dyDescent="0.3">
      <c r="D143" s="30" t="str">
        <f>SD1_BA!C634</f>
        <v>Equipment Category 5</v>
      </c>
      <c r="F143" s="33" t="s">
        <v>46</v>
      </c>
    </row>
    <row r="144" spans="3:6" x14ac:dyDescent="0.3">
      <c r="D144" s="30" t="str">
        <f>SD1_BA!C635</f>
        <v>Equipment Category 6</v>
      </c>
      <c r="F144" s="33" t="s">
        <v>46</v>
      </c>
    </row>
    <row r="145" spans="4:6" x14ac:dyDescent="0.3">
      <c r="D145" s="282" t="str">
        <f>SD1_BA!C636</f>
        <v>Equipment Category 7</v>
      </c>
      <c r="F145" s="119"/>
    </row>
    <row r="146" spans="4:6" x14ac:dyDescent="0.3">
      <c r="D146" s="282" t="str">
        <f>SD1_BA!C637</f>
        <v>Equipment Category 8</v>
      </c>
      <c r="F146" s="119"/>
    </row>
    <row r="147" spans="4:6" x14ac:dyDescent="0.3">
      <c r="D147" s="282" t="str">
        <f>SD1_BA!C638</f>
        <v>Equipment Category 9</v>
      </c>
      <c r="F147" s="119"/>
    </row>
    <row r="148" spans="4:6" x14ac:dyDescent="0.3">
      <c r="D148" s="282" t="str">
        <f>SD1_BA!C639</f>
        <v>Equipment Category 10</v>
      </c>
      <c r="F148" s="119"/>
    </row>
    <row r="149" spans="4:6" x14ac:dyDescent="0.3">
      <c r="D149" s="282" t="str">
        <f>SD1_BA!C640</f>
        <v>Equipment Category 11</v>
      </c>
      <c r="F149" s="119"/>
    </row>
    <row r="150" spans="4:6" x14ac:dyDescent="0.3">
      <c r="D150" s="282" t="str">
        <f>SD1_BA!C641</f>
        <v>Equipment Category 12</v>
      </c>
      <c r="F150" s="119"/>
    </row>
    <row r="151" spans="4:6" x14ac:dyDescent="0.3">
      <c r="D151" s="282" t="str">
        <f>SD1_BA!C642</f>
        <v>Equipment Category 13</v>
      </c>
      <c r="F151" s="119"/>
    </row>
    <row r="152" spans="4:6" x14ac:dyDescent="0.3">
      <c r="D152" s="282" t="str">
        <f>SD1_BA!C643</f>
        <v>Equipment Category 14</v>
      </c>
      <c r="F152" s="119"/>
    </row>
    <row r="153" spans="4:6" x14ac:dyDescent="0.3">
      <c r="D153" s="282" t="str">
        <f>SD1_BA!C644</f>
        <v>Equipment Category 15</v>
      </c>
      <c r="F153" s="119"/>
    </row>
    <row r="154" spans="4:6" x14ac:dyDescent="0.3">
      <c r="D154" s="282" t="str">
        <f>SD1_BA!C645</f>
        <v>Equipment Category 16</v>
      </c>
      <c r="F154" s="119"/>
    </row>
    <row r="155" spans="4:6" x14ac:dyDescent="0.3">
      <c r="D155" s="282" t="str">
        <f>SD1_BA!C646</f>
        <v>Equipment Category 17</v>
      </c>
      <c r="F155" s="119"/>
    </row>
    <row r="156" spans="4:6" x14ac:dyDescent="0.3">
      <c r="D156" s="282" t="str">
        <f>SD1_BA!C647</f>
        <v>Equipment Category 18</v>
      </c>
      <c r="F156" s="119"/>
    </row>
    <row r="157" spans="4:6" x14ac:dyDescent="0.3">
      <c r="D157" s="282" t="str">
        <f>SD1_BA!C648</f>
        <v>Equipment Category 19</v>
      </c>
      <c r="F157" s="119"/>
    </row>
    <row r="158" spans="4:6" x14ac:dyDescent="0.3">
      <c r="D158" s="282" t="str">
        <f>SD1_BA!C649</f>
        <v>Equipment Category 20</v>
      </c>
      <c r="F158" s="119"/>
    </row>
    <row r="159" spans="4:6" x14ac:dyDescent="0.3">
      <c r="D159" s="282" t="str">
        <f>SD1_BA!C650</f>
        <v>Equipment Category 21</v>
      </c>
      <c r="F159" s="119"/>
    </row>
    <row r="160" spans="4:6" x14ac:dyDescent="0.3">
      <c r="D160" s="282" t="str">
        <f>SD1_BA!C651</f>
        <v>Equipment Category 22</v>
      </c>
      <c r="F160" s="119"/>
    </row>
    <row r="161" spans="3:6" x14ac:dyDescent="0.3">
      <c r="D161" s="282" t="str">
        <f>SD1_BA!C652</f>
        <v>Equipment Category 23</v>
      </c>
      <c r="F161" s="119"/>
    </row>
    <row r="162" spans="3:6" x14ac:dyDescent="0.3">
      <c r="D162" s="282" t="str">
        <f>SD1_BA!C653</f>
        <v>Equipment Category 24</v>
      </c>
      <c r="F162" s="119"/>
    </row>
    <row r="163" spans="3:6" x14ac:dyDescent="0.3">
      <c r="D163" s="282" t="str">
        <f>SD1_BA!C654</f>
        <v>Equipment Category 25</v>
      </c>
      <c r="F163" s="119"/>
    </row>
    <row r="164" spans="3:6" x14ac:dyDescent="0.3">
      <c r="D164" s="282" t="str">
        <f>SD1_BA!C655</f>
        <v>Equipment Category 26</v>
      </c>
      <c r="F164" s="119"/>
    </row>
    <row r="165" spans="3:6" x14ac:dyDescent="0.3">
      <c r="D165" s="282" t="str">
        <f>SD1_BA!C656</f>
        <v>Equipment Category 27</v>
      </c>
      <c r="F165" s="119"/>
    </row>
    <row r="166" spans="3:6" x14ac:dyDescent="0.3">
      <c r="D166" s="282" t="str">
        <f>SD1_BA!C657</f>
        <v>Equipment Category 28</v>
      </c>
      <c r="F166" s="119"/>
    </row>
    <row r="167" spans="3:6" x14ac:dyDescent="0.3">
      <c r="D167" s="282" t="str">
        <f>SD1_BA!C658</f>
        <v>Equipment Category 29</v>
      </c>
      <c r="F167" s="119"/>
    </row>
    <row r="168" spans="3:6" x14ac:dyDescent="0.3">
      <c r="D168" s="282" t="str">
        <f>SD1_BA!C659</f>
        <v>Equipment Category 30</v>
      </c>
      <c r="F168" s="119"/>
    </row>
    <row r="169" spans="3:6" x14ac:dyDescent="0.3">
      <c r="D169" s="282" t="str">
        <f>SD1_BA!C660</f>
        <v>Equipment Category 31</v>
      </c>
      <c r="F169" s="119"/>
    </row>
    <row r="170" spans="3:6" x14ac:dyDescent="0.3">
      <c r="D170" s="282" t="str">
        <f>SD1_BA!C661</f>
        <v>Equipment Category 32</v>
      </c>
      <c r="F170" s="119"/>
    </row>
    <row r="171" spans="3:6" x14ac:dyDescent="0.3">
      <c r="D171" s="282" t="str">
        <f>SD1_BA!C662</f>
        <v>Equipment Category 33</v>
      </c>
      <c r="F171" s="119"/>
    </row>
    <row r="172" spans="3:6" x14ac:dyDescent="0.3">
      <c r="D172" s="282" t="str">
        <f>SD1_BA!C663</f>
        <v>Equipment Category 34</v>
      </c>
      <c r="F172" s="119"/>
    </row>
    <row r="173" spans="3:6" x14ac:dyDescent="0.3">
      <c r="D173" s="282" t="str">
        <f>SD1_BA!C664</f>
        <v>Equipment Category 35</v>
      </c>
      <c r="F173" s="119"/>
    </row>
    <row r="175" spans="3:6" ht="15.6" x14ac:dyDescent="0.3">
      <c r="C175" s="115" t="s">
        <v>89</v>
      </c>
      <c r="F175" s="115" t="s">
        <v>28</v>
      </c>
    </row>
    <row r="177" spans="4:6" x14ac:dyDescent="0.3">
      <c r="D177" s="116" t="s">
        <v>95</v>
      </c>
      <c r="F177" s="119" t="s">
        <v>287</v>
      </c>
    </row>
    <row r="178" spans="4:6" x14ac:dyDescent="0.3">
      <c r="D178" s="30" t="str">
        <f>SD1_BA!C668</f>
        <v>Other Direct Costs Category 1</v>
      </c>
      <c r="F178" s="33" t="s">
        <v>46</v>
      </c>
    </row>
    <row r="179" spans="4:6" x14ac:dyDescent="0.3">
      <c r="D179" s="30" t="str">
        <f>SD1_BA!C669</f>
        <v>Other Direct Costs Category 2</v>
      </c>
      <c r="F179" s="33" t="s">
        <v>46</v>
      </c>
    </row>
    <row r="180" spans="4:6" x14ac:dyDescent="0.3">
      <c r="D180" s="30" t="str">
        <f>SD1_BA!C670</f>
        <v>Other Direct Costs Category 3</v>
      </c>
      <c r="F180" s="33" t="s">
        <v>46</v>
      </c>
    </row>
    <row r="181" spans="4:6" x14ac:dyDescent="0.3">
      <c r="D181" s="282" t="str">
        <f>SD1_BA!C671</f>
        <v>Other Direct Costs Category 4</v>
      </c>
      <c r="F181" s="119"/>
    </row>
    <row r="182" spans="4:6" x14ac:dyDescent="0.3">
      <c r="D182" s="282" t="str">
        <f>SD1_BA!C672</f>
        <v>Other Direct Costs Category 5</v>
      </c>
      <c r="F182" s="119"/>
    </row>
    <row r="183" spans="4:6" x14ac:dyDescent="0.3">
      <c r="D183" s="282" t="str">
        <f>SD1_BA!C673</f>
        <v>Other Direct Costs Category 6</v>
      </c>
      <c r="F183" s="119"/>
    </row>
    <row r="184" spans="4:6" x14ac:dyDescent="0.3">
      <c r="D184" s="282" t="str">
        <f>SD1_BA!C674</f>
        <v>Other Direct Costs Category 7</v>
      </c>
      <c r="F184" s="119"/>
    </row>
    <row r="185" spans="4:6" x14ac:dyDescent="0.3">
      <c r="D185" s="282" t="str">
        <f>SD1_BA!C675</f>
        <v>Other Direct Costs Category 8</v>
      </c>
      <c r="F185" s="119"/>
    </row>
    <row r="186" spans="4:6" x14ac:dyDescent="0.3">
      <c r="D186" s="282" t="str">
        <f>SD1_BA!C676</f>
        <v>Other Direct Costs Category 9</v>
      </c>
      <c r="F186" s="119"/>
    </row>
    <row r="187" spans="4:6" x14ac:dyDescent="0.3">
      <c r="D187" s="282" t="str">
        <f>SD1_BA!C677</f>
        <v>Other Direct Costs Category 10</v>
      </c>
      <c r="F187" s="119"/>
    </row>
    <row r="188" spans="4:6" x14ac:dyDescent="0.3">
      <c r="D188" s="282" t="str">
        <f>SD1_BA!C678</f>
        <v>Other Direct Costs Category 11</v>
      </c>
      <c r="F188" s="119"/>
    </row>
    <row r="189" spans="4:6" x14ac:dyDescent="0.3">
      <c r="D189" s="282" t="str">
        <f>SD1_BA!C679</f>
        <v>Other Direct Costs Category 12</v>
      </c>
      <c r="F189" s="119"/>
    </row>
    <row r="190" spans="4:6" x14ac:dyDescent="0.3">
      <c r="D190" s="282" t="str">
        <f>SD1_BA!C680</f>
        <v>Other Direct Costs Category 13</v>
      </c>
      <c r="F190" s="119"/>
    </row>
    <row r="191" spans="4:6" x14ac:dyDescent="0.3">
      <c r="D191" s="282" t="str">
        <f>SD1_BA!C681</f>
        <v>Other Direct Costs Category 14</v>
      </c>
      <c r="F191" s="119"/>
    </row>
    <row r="192" spans="4:6" x14ac:dyDescent="0.3">
      <c r="D192" s="282" t="str">
        <f>SD1_BA!C682</f>
        <v>Other Direct Costs Category 15</v>
      </c>
      <c r="F192" s="119"/>
    </row>
    <row r="193" spans="4:6" x14ac:dyDescent="0.3">
      <c r="D193" s="282" t="str">
        <f>SD1_BA!C683</f>
        <v>Other Direct Costs Category 16</v>
      </c>
      <c r="F193" s="119"/>
    </row>
    <row r="194" spans="4:6" x14ac:dyDescent="0.3">
      <c r="D194" s="282" t="str">
        <f>SD1_BA!C684</f>
        <v>Other Direct Costs Category 17</v>
      </c>
      <c r="F194" s="119"/>
    </row>
    <row r="195" spans="4:6" x14ac:dyDescent="0.3">
      <c r="D195" s="282" t="str">
        <f>SD1_BA!C685</f>
        <v>Other Direct Costs Category 18</v>
      </c>
      <c r="F195" s="119"/>
    </row>
    <row r="196" spans="4:6" x14ac:dyDescent="0.3">
      <c r="D196" s="282" t="str">
        <f>SD1_BA!C686</f>
        <v>Other Direct Costs Category 19</v>
      </c>
      <c r="F196" s="119"/>
    </row>
    <row r="197" spans="4:6" x14ac:dyDescent="0.3">
      <c r="D197" s="282" t="str">
        <f>SD1_BA!C687</f>
        <v>Other Direct Costs Category 20</v>
      </c>
      <c r="F197" s="119"/>
    </row>
    <row r="198" spans="4:6" x14ac:dyDescent="0.3">
      <c r="D198" s="282" t="str">
        <f>SD1_BA!C688</f>
        <v>Other Direct Costs Category 21</v>
      </c>
      <c r="F198" s="119"/>
    </row>
    <row r="199" spans="4:6" x14ac:dyDescent="0.3">
      <c r="D199" s="282" t="str">
        <f>SD1_BA!C689</f>
        <v>Other Direct Costs Category 22</v>
      </c>
      <c r="F199" s="119"/>
    </row>
    <row r="200" spans="4:6" x14ac:dyDescent="0.3">
      <c r="D200" s="282" t="str">
        <f>SD1_BA!C690</f>
        <v>Other Direct Costs Category 23</v>
      </c>
      <c r="F200" s="119"/>
    </row>
    <row r="201" spans="4:6" x14ac:dyDescent="0.3">
      <c r="D201" s="282" t="str">
        <f>SD1_BA!C691</f>
        <v>Other Direct Costs Category 24</v>
      </c>
      <c r="F201" s="119"/>
    </row>
    <row r="202" spans="4:6" x14ac:dyDescent="0.3">
      <c r="D202" s="282" t="str">
        <f>SD1_BA!C692</f>
        <v>Other Direct Costs Category 25</v>
      </c>
      <c r="F202" s="119"/>
    </row>
    <row r="203" spans="4:6" x14ac:dyDescent="0.3">
      <c r="D203" s="282" t="str">
        <f>SD1_BA!C693</f>
        <v>Other Direct Costs Category 26</v>
      </c>
      <c r="F203" s="119"/>
    </row>
    <row r="204" spans="4:6" x14ac:dyDescent="0.3">
      <c r="D204" s="282" t="str">
        <f>SD1_BA!C694</f>
        <v>Other Direct Costs Category 27</v>
      </c>
      <c r="F204" s="119"/>
    </row>
    <row r="205" spans="4:6" x14ac:dyDescent="0.3">
      <c r="D205" s="282" t="str">
        <f>SD1_BA!C695</f>
        <v>Other Direct Costs Category 28</v>
      </c>
      <c r="F205" s="119"/>
    </row>
    <row r="206" spans="4:6" x14ac:dyDescent="0.3">
      <c r="D206" s="282" t="str">
        <f>SD1_BA!C696</f>
        <v>Other Direct Costs Category 29</v>
      </c>
      <c r="F206" s="119"/>
    </row>
    <row r="207" spans="4:6" x14ac:dyDescent="0.3">
      <c r="D207" s="282" t="str">
        <f>SD1_BA!C697</f>
        <v>Other Direct Costs Category 30</v>
      </c>
      <c r="F207" s="119"/>
    </row>
    <row r="208" spans="4:6" x14ac:dyDescent="0.3">
      <c r="D208" s="282" t="str">
        <f>SD1_BA!C698</f>
        <v>Other Direct Costs Category 31</v>
      </c>
      <c r="F208" s="119"/>
    </row>
    <row r="209" spans="4:6" x14ac:dyDescent="0.3">
      <c r="D209" s="282" t="str">
        <f>SD1_BA!C699</f>
        <v>Other Direct Costs Category 32</v>
      </c>
      <c r="F209" s="119"/>
    </row>
    <row r="210" spans="4:6" x14ac:dyDescent="0.3">
      <c r="D210" s="282" t="str">
        <f>SD1_BA!C700</f>
        <v>Other Direct Costs Category 33</v>
      </c>
      <c r="F210" s="119"/>
    </row>
    <row r="211" spans="4:6" x14ac:dyDescent="0.3">
      <c r="D211" s="282" t="str">
        <f>SD1_BA!C701</f>
        <v>Other Direct Costs Category 34</v>
      </c>
      <c r="F211" s="119"/>
    </row>
    <row r="212" spans="4:6" x14ac:dyDescent="0.3">
      <c r="D212" s="282" t="str">
        <f>SD1_BA!C702</f>
        <v>Other Direct Costs Category 35</v>
      </c>
      <c r="F212" s="119"/>
    </row>
  </sheetData>
  <sheetProtection algorithmName="SHA-512" hashValue="tjCIFCZIGPR4YRpLZ22Kuru8Ia7r+kaE1sJV+j965lr9aMonWpNEgN2lTYHMvguq8r9Hu5GdxKX/FuTSXpGioA==" saltValue="ysZncMOV6WdYAMmJ1/22Jg==" spinCount="100000" sheet="1" objects="1" scenarios="1" formatColumns="0" formatRows="0"/>
  <mergeCells count="1">
    <mergeCell ref="B3:D3"/>
  </mergeCells>
  <hyperlinks>
    <hyperlink ref="A4" location="$B$5" tooltip="Go to Top of Sheet" display="$B$5" xr:uid="{00000000-0004-0000-3000-000000000000}"/>
    <hyperlink ref="B4" location="HL_Sheet_Main_27" tooltip="Go to Previous Sheet" display="HL_Sheet_Main_27" xr:uid="{00000000-0004-0000-3000-000001000000}"/>
    <hyperlink ref="C4" location="HL_Sheet_Main_29" tooltip="Go to Next Sheet" display="HL_Sheet_Main_29" xr:uid="{00000000-0004-0000-3000-000002000000}"/>
    <hyperlink ref="B3" location="HL_Home" tooltip="Go to Table of Contents" display="HL_Home" xr:uid="{00000000-0004-0000-30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autoPageBreaks="0"/>
  </sheetPr>
  <dimension ref="A1:O26"/>
  <sheetViews>
    <sheetView showGridLines="0" zoomScaleNormal="100" workbookViewId="0">
      <pane xSplit="1" ySplit="4" topLeftCell="B5" activePane="bottomRight" state="frozen"/>
      <selection pane="topRight" activeCell="B1" sqref="B1"/>
      <selection pane="bottomLeft" activeCell="A5" sqref="A5"/>
      <selection pane="bottomRight" activeCell="K16" sqref="K16:O16"/>
    </sheetView>
  </sheetViews>
  <sheetFormatPr defaultColWidth="11.6640625" defaultRowHeight="13.8" x14ac:dyDescent="0.3"/>
  <cols>
    <col min="1" max="3" width="3.6640625" style="22" customWidth="1"/>
    <col min="4" max="4" width="11.6640625" style="22" customWidth="1"/>
    <col min="5" max="5" width="13.6640625" style="22" customWidth="1"/>
    <col min="6" max="16384" width="11.6640625" style="22"/>
  </cols>
  <sheetData>
    <row r="1" spans="1:15" ht="23.4" x14ac:dyDescent="0.3">
      <c r="B1" s="275" t="s">
        <v>688</v>
      </c>
    </row>
    <row r="2" spans="1:15" ht="18" x14ac:dyDescent="0.3">
      <c r="B2" s="23" t="str">
        <f>Model_Name</f>
        <v>Oral Cholera Vaccine Activity-Based Costing</v>
      </c>
    </row>
    <row r="3" spans="1:15" x14ac:dyDescent="0.3">
      <c r="B3" s="349" t="s">
        <v>2</v>
      </c>
      <c r="C3" s="349"/>
      <c r="D3" s="349"/>
      <c r="E3" s="349"/>
      <c r="F3" s="69"/>
    </row>
    <row r="4" spans="1:15" x14ac:dyDescent="0.3">
      <c r="A4" s="25" t="s">
        <v>5</v>
      </c>
      <c r="B4" s="26" t="s">
        <v>10</v>
      </c>
      <c r="C4" s="27" t="s">
        <v>11</v>
      </c>
      <c r="D4" s="28" t="s">
        <v>25</v>
      </c>
      <c r="F4" s="29" t="s">
        <v>26</v>
      </c>
    </row>
    <row r="5" spans="1:15" x14ac:dyDescent="0.3">
      <c r="K5" s="91" t="s">
        <v>151</v>
      </c>
    </row>
    <row r="6" spans="1:15" ht="15.6" x14ac:dyDescent="0.3">
      <c r="B6" s="354" t="s">
        <v>152</v>
      </c>
      <c r="C6" s="355"/>
      <c r="D6" s="355"/>
      <c r="E6" s="355"/>
      <c r="G6" s="356" t="s">
        <v>691</v>
      </c>
      <c r="H6" s="356"/>
      <c r="I6" s="356"/>
      <c r="K6" s="357"/>
      <c r="L6" s="358"/>
      <c r="M6" s="358"/>
      <c r="N6" s="358"/>
      <c r="O6" s="359"/>
    </row>
    <row r="8" spans="1:15" ht="15.6" x14ac:dyDescent="0.3">
      <c r="B8" s="354" t="s">
        <v>153</v>
      </c>
      <c r="C8" s="355"/>
      <c r="D8" s="355"/>
      <c r="E8" s="355"/>
      <c r="K8" s="91" t="s">
        <v>151</v>
      </c>
    </row>
    <row r="9" spans="1:15" x14ac:dyDescent="0.3">
      <c r="C9" s="91" t="s">
        <v>154</v>
      </c>
      <c r="G9" s="356" t="s">
        <v>692</v>
      </c>
      <c r="H9" s="356"/>
      <c r="I9" s="356"/>
      <c r="K9" s="357"/>
      <c r="L9" s="358"/>
      <c r="M9" s="358"/>
      <c r="N9" s="358"/>
      <c r="O9" s="359"/>
    </row>
    <row r="10" spans="1:15" x14ac:dyDescent="0.3">
      <c r="C10" s="91" t="s">
        <v>155</v>
      </c>
      <c r="G10" s="356" t="s">
        <v>693</v>
      </c>
      <c r="H10" s="356"/>
      <c r="I10" s="356"/>
      <c r="K10" s="357"/>
      <c r="L10" s="358"/>
      <c r="M10" s="358"/>
      <c r="N10" s="358"/>
      <c r="O10" s="359"/>
    </row>
    <row r="11" spans="1:15" x14ac:dyDescent="0.3">
      <c r="C11" s="91" t="s">
        <v>156</v>
      </c>
      <c r="G11" s="356" t="s">
        <v>694</v>
      </c>
      <c r="H11" s="356"/>
      <c r="I11" s="356"/>
      <c r="K11" s="357"/>
      <c r="L11" s="358"/>
      <c r="M11" s="358"/>
      <c r="N11" s="358"/>
      <c r="O11" s="359"/>
    </row>
    <row r="13" spans="1:15" ht="15.6" x14ac:dyDescent="0.3">
      <c r="B13" s="354" t="s">
        <v>157</v>
      </c>
      <c r="C13" s="355"/>
      <c r="D13" s="355"/>
      <c r="E13" s="355"/>
    </row>
    <row r="14" spans="1:15" ht="14.4" x14ac:dyDescent="0.3">
      <c r="D14" s="362" t="s">
        <v>159</v>
      </c>
      <c r="E14" s="363"/>
      <c r="F14" s="363"/>
      <c r="G14" s="362" t="s">
        <v>559</v>
      </c>
      <c r="H14" s="363"/>
      <c r="I14" s="364"/>
    </row>
    <row r="15" spans="1:15" ht="14.4" x14ac:dyDescent="0.3">
      <c r="D15" s="77" t="s">
        <v>135</v>
      </c>
      <c r="E15" s="90" t="s">
        <v>136</v>
      </c>
      <c r="F15" s="78" t="s">
        <v>137</v>
      </c>
      <c r="G15" s="90" t="s">
        <v>560</v>
      </c>
      <c r="H15" s="90" t="s">
        <v>561</v>
      </c>
      <c r="I15" s="78" t="s">
        <v>562</v>
      </c>
      <c r="K15" s="91" t="s">
        <v>151</v>
      </c>
    </row>
    <row r="16" spans="1:15" ht="38.1" customHeight="1" x14ac:dyDescent="0.3">
      <c r="D16" s="278" t="s">
        <v>695</v>
      </c>
      <c r="E16" s="93" t="s">
        <v>696</v>
      </c>
      <c r="F16" s="93" t="s">
        <v>697</v>
      </c>
      <c r="G16" s="93" t="s">
        <v>698</v>
      </c>
      <c r="H16" s="93"/>
      <c r="I16" s="94"/>
      <c r="K16" s="357"/>
      <c r="L16" s="358"/>
      <c r="M16" s="358"/>
      <c r="N16" s="358"/>
      <c r="O16" s="359"/>
    </row>
    <row r="19" spans="2:15" ht="15.6" x14ac:dyDescent="0.3">
      <c r="B19" s="354" t="s">
        <v>563</v>
      </c>
      <c r="C19" s="355"/>
      <c r="D19" s="355"/>
      <c r="E19" s="355"/>
    </row>
    <row r="21" spans="2:15" ht="14.4" x14ac:dyDescent="0.3">
      <c r="D21" s="90" t="s">
        <v>564</v>
      </c>
      <c r="E21" s="91" t="s">
        <v>565</v>
      </c>
      <c r="F21" s="91" t="s">
        <v>566</v>
      </c>
      <c r="G21" s="91" t="s">
        <v>567</v>
      </c>
      <c r="H21" s="90" t="s">
        <v>569</v>
      </c>
      <c r="I21" s="90" t="s">
        <v>568</v>
      </c>
      <c r="K21" s="91" t="s">
        <v>151</v>
      </c>
    </row>
    <row r="22" spans="2:15" ht="30.9" customHeight="1" x14ac:dyDescent="0.3">
      <c r="D22" s="276" t="s">
        <v>570</v>
      </c>
      <c r="E22" s="276" t="s">
        <v>571</v>
      </c>
      <c r="F22" s="276" t="s">
        <v>557</v>
      </c>
      <c r="G22" s="276" t="s">
        <v>572</v>
      </c>
      <c r="H22" s="276"/>
      <c r="I22" s="276"/>
      <c r="K22" s="356"/>
      <c r="L22" s="356"/>
      <c r="M22" s="356"/>
      <c r="N22" s="356"/>
      <c r="O22" s="356"/>
    </row>
    <row r="25" spans="2:15" ht="15.6" x14ac:dyDescent="0.3">
      <c r="B25" s="360" t="s">
        <v>527</v>
      </c>
      <c r="C25" s="361"/>
      <c r="D25" s="361"/>
      <c r="E25" s="361"/>
      <c r="F25" s="361"/>
      <c r="K25" s="91" t="s">
        <v>151</v>
      </c>
    </row>
    <row r="26" spans="2:15" x14ac:dyDescent="0.3">
      <c r="D26" s="356" t="s">
        <v>537</v>
      </c>
      <c r="E26" s="356"/>
      <c r="F26" s="356"/>
      <c r="K26" s="356"/>
      <c r="L26" s="356"/>
      <c r="M26" s="356"/>
      <c r="N26" s="356"/>
      <c r="O26" s="356"/>
    </row>
  </sheetData>
  <sheetProtection algorithmName="SHA-512" hashValue="Hu77cO6XmOjLBWSnOXaHOPEH7q9DL53cL3refsz8m4CnpLN4itIXsKHxq8GmQNZkWQ6RFQkjTcfe0kV0awduWg==" saltValue="VdyE7gLm3URZMAsm6Q0/ag==" spinCount="100000" sheet="1" objects="1" scenarios="1" formatColumns="0" formatRows="0"/>
  <mergeCells count="20">
    <mergeCell ref="D26:F26"/>
    <mergeCell ref="K6:O6"/>
    <mergeCell ref="B8:E8"/>
    <mergeCell ref="G9:I9"/>
    <mergeCell ref="G10:I10"/>
    <mergeCell ref="G11:I11"/>
    <mergeCell ref="B13:E13"/>
    <mergeCell ref="K9:O9"/>
    <mergeCell ref="K10:O10"/>
    <mergeCell ref="D14:F14"/>
    <mergeCell ref="G14:I14"/>
    <mergeCell ref="K11:O11"/>
    <mergeCell ref="K26:O26"/>
    <mergeCell ref="B3:E3"/>
    <mergeCell ref="B6:E6"/>
    <mergeCell ref="G6:I6"/>
    <mergeCell ref="K16:O16"/>
    <mergeCell ref="B25:F25"/>
    <mergeCell ref="B19:E19"/>
    <mergeCell ref="K22:O22"/>
  </mergeCells>
  <hyperlinks>
    <hyperlink ref="A4" location="$B$5" tooltip="Go to Top of Sheet" display="$B$5" xr:uid="{00000000-0004-0000-0400-000000000000}"/>
    <hyperlink ref="B4" location="HL_Sheet_Main_7" tooltip="Go to Previous Sheet" display="HL_Sheet_Main_7" xr:uid="{00000000-0004-0000-0400-000001000000}"/>
    <hyperlink ref="C4" location="HL_Sheet_Main_43" tooltip="Go to Next Sheet" display="HL_Sheet_Main_43" xr:uid="{00000000-0004-0000-0400-000002000000}"/>
    <hyperlink ref="B3" location="HL_Home" tooltip="Go to Table of Contents" display="HL_Home" xr:uid="{00000000-0004-0000-0400-000003000000}"/>
    <hyperlink ref="D4" location="HL_Err_Chk" tooltip="Go to Error Checks" display="HL_Err_Chk" xr:uid="{00000000-0004-0000-0400-000004000000}"/>
    <hyperlink ref="F4" location="HL_Alt_Chk" tooltip="Go to Alert Checks" display="HL_Alt_Chk" xr:uid="{00000000-0004-0000-04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2">
    <pageSetUpPr autoPageBreaks="0"/>
  </sheetPr>
  <dimension ref="A1:F212"/>
  <sheetViews>
    <sheetView showGridLines="0" zoomScaleNormal="100" workbookViewId="0">
      <pane xSplit="1" ySplit="4" topLeftCell="B5" activePane="bottomRight" state="frozen"/>
      <selection activeCell="F86" sqref="F86"/>
      <selection pane="topRight" activeCell="F86" sqref="F86"/>
      <selection pane="bottomLeft" activeCell="F86" sqref="F86"/>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675</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677</v>
      </c>
    </row>
    <row r="9" spans="1:6" ht="15.6" x14ac:dyDescent="0.3">
      <c r="C9" s="115" t="s">
        <v>93</v>
      </c>
    </row>
    <row r="11" spans="1:6" ht="15.6" x14ac:dyDescent="0.3">
      <c r="C11" s="115" t="s">
        <v>93</v>
      </c>
      <c r="F11" s="115" t="s">
        <v>28</v>
      </c>
    </row>
    <row r="13" spans="1:6" x14ac:dyDescent="0.3">
      <c r="D13" s="116" t="s">
        <v>95</v>
      </c>
      <c r="F13" s="119" t="s">
        <v>547</v>
      </c>
    </row>
    <row r="14" spans="1:6" x14ac:dyDescent="0.3">
      <c r="D14" s="30" t="str">
        <f>SD1_BA!D861</f>
        <v>USD</v>
      </c>
      <c r="F14" s="33" t="s">
        <v>46</v>
      </c>
    </row>
    <row r="15" spans="1:6" x14ac:dyDescent="0.3">
      <c r="D15" s="30" t="str">
        <f>SD1_BA!D862</f>
        <v>GOZ</v>
      </c>
      <c r="F15" s="33" t="s">
        <v>46</v>
      </c>
    </row>
    <row r="17" spans="3:6" ht="15.6" x14ac:dyDescent="0.3">
      <c r="C17" s="115" t="s">
        <v>77</v>
      </c>
      <c r="F17" s="115" t="s">
        <v>28</v>
      </c>
    </row>
    <row r="19" spans="3:6" x14ac:dyDescent="0.3">
      <c r="D19" s="116" t="s">
        <v>95</v>
      </c>
      <c r="F19" s="119" t="s">
        <v>548</v>
      </c>
    </row>
    <row r="20" spans="3:6" x14ac:dyDescent="0.3">
      <c r="D20" s="30" t="str">
        <f>SD1_BA!C867</f>
        <v>Personnel Cadre - Other 1</v>
      </c>
      <c r="F20" s="33" t="s">
        <v>46</v>
      </c>
    </row>
    <row r="21" spans="3:6" x14ac:dyDescent="0.3">
      <c r="D21" s="30" t="str">
        <f>SD1_BA!C868</f>
        <v>Personnel Cadre - Other 2</v>
      </c>
      <c r="F21" s="33" t="s">
        <v>46</v>
      </c>
    </row>
    <row r="22" spans="3:6" x14ac:dyDescent="0.3">
      <c r="D22" s="30" t="str">
        <f>SD1_BA!C869</f>
        <v>Personnel Cadre - Other 3</v>
      </c>
      <c r="F22" s="33" t="s">
        <v>46</v>
      </c>
    </row>
    <row r="23" spans="3:6" x14ac:dyDescent="0.3">
      <c r="D23" s="30" t="str">
        <f>SD1_BA!C870</f>
        <v>Personnel Cadre - Other 4</v>
      </c>
      <c r="F23" s="33" t="s">
        <v>46</v>
      </c>
    </row>
    <row r="24" spans="3:6" x14ac:dyDescent="0.3">
      <c r="D24" s="30" t="str">
        <f>SD1_BA!C871</f>
        <v>Personnel Cadre - Other 5</v>
      </c>
      <c r="F24" s="33" t="s">
        <v>46</v>
      </c>
    </row>
    <row r="25" spans="3:6" x14ac:dyDescent="0.3">
      <c r="D25" s="30" t="str">
        <f>SD1_BA!C872</f>
        <v>Personnel Cadre - Other 6</v>
      </c>
      <c r="F25" s="33" t="s">
        <v>46</v>
      </c>
    </row>
    <row r="26" spans="3:6" x14ac:dyDescent="0.3">
      <c r="D26" s="30" t="str">
        <f>SD1_BA!C873</f>
        <v>Personnel Cadre - Other 7</v>
      </c>
      <c r="F26" s="33" t="s">
        <v>46</v>
      </c>
    </row>
    <row r="27" spans="3:6" x14ac:dyDescent="0.3">
      <c r="D27" s="30" t="str">
        <f>SD1_BA!C874</f>
        <v>Personnel Cadre - Other 8</v>
      </c>
      <c r="F27" s="33" t="s">
        <v>46</v>
      </c>
    </row>
    <row r="28" spans="3:6" x14ac:dyDescent="0.3">
      <c r="D28" s="30" t="str">
        <f>SD1_BA!C875</f>
        <v>Personnel Cadre - Other 9</v>
      </c>
      <c r="F28" s="33" t="s">
        <v>46</v>
      </c>
    </row>
    <row r="29" spans="3:6" x14ac:dyDescent="0.3">
      <c r="D29" s="30" t="str">
        <f>SD1_BA!C876</f>
        <v>Personnel Cadre - Other 10</v>
      </c>
      <c r="F29" s="33" t="s">
        <v>46</v>
      </c>
    </row>
    <row r="30" spans="3:6" x14ac:dyDescent="0.3">
      <c r="D30" s="30" t="str">
        <f>SD1_BA!C877</f>
        <v>Personnel Cadre - Other 11</v>
      </c>
      <c r="F30" s="33" t="s">
        <v>46</v>
      </c>
    </row>
    <row r="31" spans="3:6" x14ac:dyDescent="0.3">
      <c r="D31" s="30" t="str">
        <f>SD1_BA!C878</f>
        <v>Personnel Cadre - Other 12</v>
      </c>
      <c r="F31" s="33" t="s">
        <v>46</v>
      </c>
    </row>
    <row r="32" spans="3:6" x14ac:dyDescent="0.3">
      <c r="D32" s="30" t="str">
        <f>SD1_BA!C879</f>
        <v>Personnel Cadre - Other 13</v>
      </c>
      <c r="F32" s="33" t="s">
        <v>46</v>
      </c>
    </row>
    <row r="33" spans="4:6" x14ac:dyDescent="0.3">
      <c r="D33" s="30" t="str">
        <f>SD1_BA!C880</f>
        <v>Personnel Cadre - Other 14</v>
      </c>
      <c r="F33" s="33" t="s">
        <v>46</v>
      </c>
    </row>
    <row r="34" spans="4:6" x14ac:dyDescent="0.3">
      <c r="D34" s="30" t="str">
        <f>SD1_BA!C881</f>
        <v>Personnel Cadre - Other 15</v>
      </c>
      <c r="F34" s="33" t="s">
        <v>46</v>
      </c>
    </row>
    <row r="35" spans="4:6" x14ac:dyDescent="0.3">
      <c r="D35" s="282" t="str">
        <f>SD1_BA!C882</f>
        <v>Personnel Cadre - Other 16</v>
      </c>
      <c r="F35" s="119"/>
    </row>
    <row r="36" spans="4:6" x14ac:dyDescent="0.3">
      <c r="D36" s="282" t="str">
        <f>SD1_BA!C883</f>
        <v>Personnel Cadre - Other 17</v>
      </c>
      <c r="F36" s="119"/>
    </row>
    <row r="37" spans="4:6" x14ac:dyDescent="0.3">
      <c r="D37" s="282" t="str">
        <f>SD1_BA!C884</f>
        <v>Personnel Cadre - Other 18</v>
      </c>
      <c r="F37" s="119"/>
    </row>
    <row r="38" spans="4:6" x14ac:dyDescent="0.3">
      <c r="D38" s="282" t="str">
        <f>SD1_BA!C885</f>
        <v>Personnel Cadre - Other 19</v>
      </c>
      <c r="F38" s="119"/>
    </row>
    <row r="39" spans="4:6" x14ac:dyDescent="0.3">
      <c r="D39" s="282" t="str">
        <f>SD1_BA!C886</f>
        <v>Personnel Cadre - Other 20</v>
      </c>
      <c r="F39" s="119"/>
    </row>
    <row r="40" spans="4:6" x14ac:dyDescent="0.3">
      <c r="D40" s="282" t="str">
        <f>SD1_BA!C887</f>
        <v>Personnel Cadre - Other 21</v>
      </c>
      <c r="F40" s="119"/>
    </row>
    <row r="41" spans="4:6" x14ac:dyDescent="0.3">
      <c r="D41" s="282" t="str">
        <f>SD1_BA!C888</f>
        <v>Personnel Cadre - Other 22</v>
      </c>
      <c r="F41" s="119"/>
    </row>
    <row r="42" spans="4:6" x14ac:dyDescent="0.3">
      <c r="D42" s="282" t="str">
        <f>SD1_BA!C889</f>
        <v>Personnel Cadre - Other 23</v>
      </c>
      <c r="F42" s="119"/>
    </row>
    <row r="43" spans="4:6" x14ac:dyDescent="0.3">
      <c r="D43" s="282" t="str">
        <f>SD1_BA!C890</f>
        <v>Personnel Cadre - Other 24</v>
      </c>
      <c r="F43" s="119"/>
    </row>
    <row r="44" spans="4:6" x14ac:dyDescent="0.3">
      <c r="D44" s="282" t="str">
        <f>SD1_BA!C891</f>
        <v>Personnel Cadre - Other 25</v>
      </c>
      <c r="F44" s="119"/>
    </row>
    <row r="45" spans="4:6" x14ac:dyDescent="0.3">
      <c r="D45" s="282" t="str">
        <f>SD1_BA!C892</f>
        <v>Personnel Cadre - Other 26</v>
      </c>
      <c r="F45" s="119"/>
    </row>
    <row r="46" spans="4:6" x14ac:dyDescent="0.3">
      <c r="D46" s="282" t="str">
        <f>SD1_BA!C893</f>
        <v>Personnel Cadre - Other 27</v>
      </c>
      <c r="F46" s="119"/>
    </row>
    <row r="47" spans="4:6" x14ac:dyDescent="0.3">
      <c r="D47" s="282" t="str">
        <f>SD1_BA!C894</f>
        <v>Personnel Cadre - Other 28</v>
      </c>
      <c r="F47" s="119"/>
    </row>
    <row r="48" spans="4:6" x14ac:dyDescent="0.3">
      <c r="D48" s="282" t="str">
        <f>SD1_BA!C895</f>
        <v>Personnel Cadre - Other 29</v>
      </c>
      <c r="F48" s="119"/>
    </row>
    <row r="49" spans="3:6" x14ac:dyDescent="0.3">
      <c r="D49" s="282" t="str">
        <f>SD1_BA!C896</f>
        <v>Personnel Cadre - Other 30</v>
      </c>
      <c r="F49" s="119"/>
    </row>
    <row r="50" spans="3:6" x14ac:dyDescent="0.3">
      <c r="D50" s="282" t="str">
        <f>SD1_BA!C897</f>
        <v>Personnel Cadre - Other 31</v>
      </c>
      <c r="F50" s="119"/>
    </row>
    <row r="51" spans="3:6" x14ac:dyDescent="0.3">
      <c r="D51" s="282" t="str">
        <f>SD1_BA!C898</f>
        <v>Personnel Cadre - Other 32</v>
      </c>
      <c r="F51" s="119"/>
    </row>
    <row r="52" spans="3:6" x14ac:dyDescent="0.3">
      <c r="D52" s="282" t="str">
        <f>SD1_BA!C899</f>
        <v>Personnel Cadre - Other 33</v>
      </c>
      <c r="F52" s="119"/>
    </row>
    <row r="53" spans="3:6" x14ac:dyDescent="0.3">
      <c r="D53" s="282" t="str">
        <f>SD1_BA!C900</f>
        <v>Personnel Cadre - Other 34</v>
      </c>
      <c r="F53" s="119"/>
    </row>
    <row r="54" spans="3:6" x14ac:dyDescent="0.3">
      <c r="D54" s="282" t="str">
        <f>SD1_BA!C901</f>
        <v>Personnel Cadre - Other 35</v>
      </c>
      <c r="F54" s="119"/>
    </row>
    <row r="56" spans="3:6" ht="15.6" x14ac:dyDescent="0.3">
      <c r="C56" s="115" t="s">
        <v>94</v>
      </c>
      <c r="F56" s="115" t="s">
        <v>28</v>
      </c>
    </row>
    <row r="58" spans="3:6" x14ac:dyDescent="0.3">
      <c r="D58" s="116" t="s">
        <v>95</v>
      </c>
      <c r="F58" s="119" t="s">
        <v>549</v>
      </c>
    </row>
    <row r="59" spans="3:6" x14ac:dyDescent="0.3">
      <c r="D59" s="30" t="str">
        <f>SD1_BA!C904</f>
        <v>Allowances Category 1</v>
      </c>
      <c r="F59" s="33" t="s">
        <v>46</v>
      </c>
    </row>
    <row r="60" spans="3:6" x14ac:dyDescent="0.3">
      <c r="D60" s="30" t="str">
        <f>SD1_BA!C905</f>
        <v>Allowances Category 2</v>
      </c>
      <c r="F60" s="33" t="s">
        <v>46</v>
      </c>
    </row>
    <row r="61" spans="3:6" x14ac:dyDescent="0.3">
      <c r="D61" s="30" t="str">
        <f>SD1_BA!C906</f>
        <v>Allowances Category 3</v>
      </c>
      <c r="F61" s="33" t="s">
        <v>46</v>
      </c>
    </row>
    <row r="62" spans="3:6" x14ac:dyDescent="0.3">
      <c r="D62" s="30" t="str">
        <f>SD1_BA!C907</f>
        <v>Allowances Category 4</v>
      </c>
      <c r="F62" s="33" t="s">
        <v>46</v>
      </c>
    </row>
    <row r="63" spans="3:6" x14ac:dyDescent="0.3">
      <c r="D63" s="30" t="str">
        <f>SD1_BA!C908</f>
        <v>Allowances Category 5</v>
      </c>
      <c r="F63" s="33" t="s">
        <v>46</v>
      </c>
    </row>
    <row r="64" spans="3:6" x14ac:dyDescent="0.3">
      <c r="D64" s="282" t="str">
        <f>SD1_BA!C909</f>
        <v>Allowances Category 6</v>
      </c>
      <c r="F64" s="119"/>
    </row>
    <row r="65" spans="4:6" x14ac:dyDescent="0.3">
      <c r="D65" s="282" t="str">
        <f>SD1_BA!C910</f>
        <v>Allowances Category 7</v>
      </c>
      <c r="F65" s="119"/>
    </row>
    <row r="66" spans="4:6" x14ac:dyDescent="0.3">
      <c r="D66" s="282" t="str">
        <f>SD1_BA!C911</f>
        <v>Allowances Category 8</v>
      </c>
      <c r="F66" s="119"/>
    </row>
    <row r="67" spans="4:6" x14ac:dyDescent="0.3">
      <c r="D67" s="282" t="str">
        <f>SD1_BA!C912</f>
        <v>Allowances Category 9</v>
      </c>
      <c r="F67" s="119"/>
    </row>
    <row r="68" spans="4:6" x14ac:dyDescent="0.3">
      <c r="D68" s="282" t="str">
        <f>SD1_BA!C913</f>
        <v>Allowances Category 10</v>
      </c>
      <c r="F68" s="119"/>
    </row>
    <row r="69" spans="4:6" x14ac:dyDescent="0.3">
      <c r="D69" s="282" t="str">
        <f>SD1_BA!C914</f>
        <v>Allowances Category 11</v>
      </c>
      <c r="F69" s="119"/>
    </row>
    <row r="70" spans="4:6" x14ac:dyDescent="0.3">
      <c r="D70" s="282" t="str">
        <f>SD1_BA!C915</f>
        <v>Allowances Category 12</v>
      </c>
      <c r="F70" s="119"/>
    </row>
    <row r="71" spans="4:6" x14ac:dyDescent="0.3">
      <c r="D71" s="282" t="str">
        <f>SD1_BA!C916</f>
        <v>Allowances Category 13</v>
      </c>
      <c r="F71" s="119"/>
    </row>
    <row r="72" spans="4:6" x14ac:dyDescent="0.3">
      <c r="D72" s="282" t="str">
        <f>SD1_BA!C917</f>
        <v>Allowances Category 14</v>
      </c>
      <c r="F72" s="119"/>
    </row>
    <row r="73" spans="4:6" x14ac:dyDescent="0.3">
      <c r="D73" s="282" t="str">
        <f>SD1_BA!C918</f>
        <v>Allowances Category 15</v>
      </c>
      <c r="F73" s="119"/>
    </row>
    <row r="74" spans="4:6" x14ac:dyDescent="0.3">
      <c r="D74" s="282" t="str">
        <f>SD1_BA!C919</f>
        <v>Allowances Category 16</v>
      </c>
      <c r="F74" s="119"/>
    </row>
    <row r="75" spans="4:6" x14ac:dyDescent="0.3">
      <c r="D75" s="30" t="str">
        <f>SD1_BA!C920</f>
        <v>Allowances Category 17</v>
      </c>
      <c r="F75" s="33" t="s">
        <v>46</v>
      </c>
    </row>
    <row r="76" spans="4:6" x14ac:dyDescent="0.3">
      <c r="D76" s="30" t="str">
        <f>SD1_BA!C921</f>
        <v>Allowances Category 18</v>
      </c>
      <c r="F76" s="33" t="s">
        <v>46</v>
      </c>
    </row>
    <row r="77" spans="4:6" x14ac:dyDescent="0.3">
      <c r="D77" s="30" t="str">
        <f>SD1_BA!C922</f>
        <v>Allowances Category 19</v>
      </c>
      <c r="F77" s="33" t="s">
        <v>46</v>
      </c>
    </row>
    <row r="78" spans="4:6" x14ac:dyDescent="0.3">
      <c r="D78" s="30" t="str">
        <f>SD1_BA!C923</f>
        <v>Allowances Category 20</v>
      </c>
      <c r="F78" s="33" t="s">
        <v>46</v>
      </c>
    </row>
    <row r="79" spans="4:6" x14ac:dyDescent="0.3">
      <c r="D79" s="30" t="str">
        <f>SD1_BA!C924</f>
        <v>Allowances Category 21</v>
      </c>
      <c r="F79" s="33" t="s">
        <v>46</v>
      </c>
    </row>
    <row r="80" spans="4:6" x14ac:dyDescent="0.3">
      <c r="D80" s="30" t="str">
        <f>SD1_BA!C925</f>
        <v>Allowances Category 22</v>
      </c>
      <c r="F80" s="33" t="s">
        <v>46</v>
      </c>
    </row>
    <row r="81" spans="3:6" x14ac:dyDescent="0.3">
      <c r="D81" s="30" t="str">
        <f>SD1_BA!C926</f>
        <v>Allowances Category 23</v>
      </c>
      <c r="F81" s="33" t="s">
        <v>46</v>
      </c>
    </row>
    <row r="82" spans="3:6" x14ac:dyDescent="0.3">
      <c r="D82" s="282" t="str">
        <f>SD1_BA!C927</f>
        <v>Allowances Category 24</v>
      </c>
      <c r="F82" s="119"/>
    </row>
    <row r="83" spans="3:6" x14ac:dyDescent="0.3">
      <c r="D83" s="282" t="str">
        <f>SD1_BA!C928</f>
        <v>Allowances Category 25</v>
      </c>
      <c r="F83" s="119"/>
    </row>
    <row r="84" spans="3:6" x14ac:dyDescent="0.3">
      <c r="D84" s="282" t="str">
        <f>SD1_BA!C929</f>
        <v>Allowances Category 26</v>
      </c>
      <c r="F84" s="119"/>
    </row>
    <row r="85" spans="3:6" x14ac:dyDescent="0.3">
      <c r="D85" s="282" t="str">
        <f>SD1_BA!C930</f>
        <v>Allowances Category 27</v>
      </c>
      <c r="F85" s="119"/>
    </row>
    <row r="86" spans="3:6" x14ac:dyDescent="0.3">
      <c r="D86" s="282" t="str">
        <f>SD1_BA!C931</f>
        <v>Allowances Category 28</v>
      </c>
      <c r="F86" s="119"/>
    </row>
    <row r="87" spans="3:6" x14ac:dyDescent="0.3">
      <c r="D87" s="282" t="str">
        <f>SD1_BA!C932</f>
        <v>Allowances Category 29</v>
      </c>
      <c r="F87" s="119"/>
    </row>
    <row r="88" spans="3:6" x14ac:dyDescent="0.3">
      <c r="D88" s="282" t="str">
        <f>SD1_BA!C933</f>
        <v>Allowances Category 30</v>
      </c>
      <c r="F88" s="119"/>
    </row>
    <row r="89" spans="3:6" x14ac:dyDescent="0.3">
      <c r="D89" s="30" t="str">
        <f>SD1_BA!C934</f>
        <v>Allowances Category 31</v>
      </c>
      <c r="F89" s="33" t="s">
        <v>46</v>
      </c>
    </row>
    <row r="90" spans="3:6" x14ac:dyDescent="0.3">
      <c r="D90" s="30" t="str">
        <f>SD1_BA!C935</f>
        <v>Allowances Category 32</v>
      </c>
      <c r="F90" s="33" t="s">
        <v>46</v>
      </c>
    </row>
    <row r="91" spans="3:6" x14ac:dyDescent="0.3">
      <c r="D91" s="30" t="str">
        <f>SD1_BA!C936</f>
        <v>Allowances Category 33</v>
      </c>
      <c r="F91" s="33" t="s">
        <v>46</v>
      </c>
    </row>
    <row r="92" spans="3:6" x14ac:dyDescent="0.3">
      <c r="D92" s="30" t="str">
        <f>SD1_BA!C937</f>
        <v>Allowances Category 34</v>
      </c>
      <c r="F92" s="33" t="s">
        <v>46</v>
      </c>
    </row>
    <row r="93" spans="3:6" x14ac:dyDescent="0.3">
      <c r="D93" s="30" t="str">
        <f>SD1_BA!C938</f>
        <v>Allowances Category 35</v>
      </c>
      <c r="F93" s="33" t="s">
        <v>46</v>
      </c>
    </row>
    <row r="96" spans="3:6" ht="15.6" x14ac:dyDescent="0.3">
      <c r="C96" s="115" t="s">
        <v>132</v>
      </c>
      <c r="F96" s="115" t="s">
        <v>28</v>
      </c>
    </row>
    <row r="98" spans="4:6" x14ac:dyDescent="0.3">
      <c r="D98" s="116" t="s">
        <v>95</v>
      </c>
      <c r="F98" s="119" t="s">
        <v>550</v>
      </c>
    </row>
    <row r="99" spans="4:6" x14ac:dyDescent="0.3">
      <c r="D99" s="30" t="str">
        <f>SD1_BA!C942</f>
        <v>Supplies Category 1</v>
      </c>
      <c r="F99" s="33" t="s">
        <v>46</v>
      </c>
    </row>
    <row r="100" spans="4:6" x14ac:dyDescent="0.3">
      <c r="D100" s="30" t="str">
        <f>SD1_BA!C943</f>
        <v>Supplies Category 2</v>
      </c>
      <c r="F100" s="33" t="s">
        <v>46</v>
      </c>
    </row>
    <row r="101" spans="4:6" x14ac:dyDescent="0.3">
      <c r="D101" s="30" t="str">
        <f>SD1_BA!C944</f>
        <v>Supplies Category 3</v>
      </c>
      <c r="F101" s="33" t="s">
        <v>46</v>
      </c>
    </row>
    <row r="102" spans="4:6" x14ac:dyDescent="0.3">
      <c r="D102" s="30" t="str">
        <f>SD1_BA!C945</f>
        <v>Supplies Category 4</v>
      </c>
      <c r="F102" s="33" t="s">
        <v>46</v>
      </c>
    </row>
    <row r="103" spans="4:6" x14ac:dyDescent="0.3">
      <c r="D103" s="30" t="str">
        <f>SD1_BA!C946</f>
        <v>Supplies Category 5</v>
      </c>
      <c r="F103" s="33" t="s">
        <v>46</v>
      </c>
    </row>
    <row r="104" spans="4:6" x14ac:dyDescent="0.3">
      <c r="D104" s="30" t="str">
        <f>SD1_BA!C947</f>
        <v>Supplies Category 6</v>
      </c>
      <c r="F104" s="33" t="s">
        <v>46</v>
      </c>
    </row>
    <row r="105" spans="4:6" x14ac:dyDescent="0.3">
      <c r="D105" s="30" t="str">
        <f>SD1_BA!C948</f>
        <v>Supplies Category 7</v>
      </c>
      <c r="F105" s="33" t="s">
        <v>46</v>
      </c>
    </row>
    <row r="106" spans="4:6" x14ac:dyDescent="0.3">
      <c r="D106" s="30" t="str">
        <f>SD1_BA!C949</f>
        <v>Supplies Category 8</v>
      </c>
      <c r="F106" s="33" t="s">
        <v>46</v>
      </c>
    </row>
    <row r="107" spans="4:6" x14ac:dyDescent="0.3">
      <c r="D107" s="30" t="str">
        <f>SD1_BA!C950</f>
        <v>Supplies Category 9</v>
      </c>
      <c r="F107" s="33" t="s">
        <v>46</v>
      </c>
    </row>
    <row r="108" spans="4:6" x14ac:dyDescent="0.3">
      <c r="D108" s="30" t="str">
        <f>SD1_BA!C951</f>
        <v>Supplies Category 10</v>
      </c>
      <c r="F108" s="33" t="s">
        <v>46</v>
      </c>
    </row>
    <row r="109" spans="4:6" x14ac:dyDescent="0.3">
      <c r="D109" s="30" t="str">
        <f>SD1_BA!C952</f>
        <v>Supplies Category 11</v>
      </c>
      <c r="F109" s="33" t="s">
        <v>46</v>
      </c>
    </row>
    <row r="110" spans="4:6" x14ac:dyDescent="0.3">
      <c r="D110" s="30" t="str">
        <f>SD1_BA!C953</f>
        <v>Supplies Category 12</v>
      </c>
      <c r="F110" s="33" t="s">
        <v>46</v>
      </c>
    </row>
    <row r="111" spans="4:6" x14ac:dyDescent="0.3">
      <c r="D111" s="30" t="str">
        <f>SD1_BA!C954</f>
        <v>Supplies Category 13</v>
      </c>
      <c r="F111" s="33" t="s">
        <v>46</v>
      </c>
    </row>
    <row r="112" spans="4:6" x14ac:dyDescent="0.3">
      <c r="D112" s="30" t="str">
        <f>SD1_BA!C955</f>
        <v>Supplies Category 14</v>
      </c>
      <c r="F112" s="33" t="s">
        <v>46</v>
      </c>
    </row>
    <row r="113" spans="4:6" x14ac:dyDescent="0.3">
      <c r="D113" s="30" t="str">
        <f>SD1_BA!C956</f>
        <v>Supplies Category 15</v>
      </c>
      <c r="F113" s="33" t="s">
        <v>46</v>
      </c>
    </row>
    <row r="114" spans="4:6" x14ac:dyDescent="0.3">
      <c r="D114" s="30" t="str">
        <f>SD1_BA!C957</f>
        <v>Supplies Category 16</v>
      </c>
      <c r="F114" s="33" t="s">
        <v>46</v>
      </c>
    </row>
    <row r="115" spans="4:6" x14ac:dyDescent="0.3">
      <c r="D115" s="282" t="str">
        <f>SD1_BA!C958</f>
        <v>Supplies Category 17</v>
      </c>
      <c r="F115" s="119"/>
    </row>
    <row r="116" spans="4:6" x14ac:dyDescent="0.3">
      <c r="D116" s="282" t="str">
        <f>SD1_BA!C959</f>
        <v>Supplies Category 18</v>
      </c>
      <c r="F116" s="119"/>
    </row>
    <row r="117" spans="4:6" x14ac:dyDescent="0.3">
      <c r="D117" s="282" t="str">
        <f>SD1_BA!C960</f>
        <v>Supplies Category 19</v>
      </c>
      <c r="F117" s="119"/>
    </row>
    <row r="118" spans="4:6" x14ac:dyDescent="0.3">
      <c r="D118" s="282" t="str">
        <f>SD1_BA!C961</f>
        <v>Supplies Category 20</v>
      </c>
      <c r="F118" s="119"/>
    </row>
    <row r="119" spans="4:6" x14ac:dyDescent="0.3">
      <c r="D119" s="282" t="str">
        <f>SD1_BA!C962</f>
        <v>Supplies Category 21</v>
      </c>
      <c r="F119" s="119"/>
    </row>
    <row r="120" spans="4:6" x14ac:dyDescent="0.3">
      <c r="D120" s="282" t="str">
        <f>SD1_BA!C963</f>
        <v>Supplies Category 22</v>
      </c>
      <c r="F120" s="119"/>
    </row>
    <row r="121" spans="4:6" x14ac:dyDescent="0.3">
      <c r="D121" s="282" t="str">
        <f>SD1_BA!C964</f>
        <v>Supplies Category 23</v>
      </c>
      <c r="F121" s="119"/>
    </row>
    <row r="122" spans="4:6" x14ac:dyDescent="0.3">
      <c r="D122" s="282" t="str">
        <f>SD1_BA!C965</f>
        <v>Supplies Category 24</v>
      </c>
      <c r="F122" s="119"/>
    </row>
    <row r="123" spans="4:6" x14ac:dyDescent="0.3">
      <c r="D123" s="282" t="str">
        <f>SD1_BA!C966</f>
        <v>Supplies Category 25</v>
      </c>
      <c r="F123" s="119"/>
    </row>
    <row r="124" spans="4:6" x14ac:dyDescent="0.3">
      <c r="D124" s="282" t="str">
        <f>SD1_BA!C967</f>
        <v>Supplies Category 26</v>
      </c>
      <c r="F124" s="119"/>
    </row>
    <row r="125" spans="4:6" x14ac:dyDescent="0.3">
      <c r="D125" s="282" t="str">
        <f>SD1_BA!C968</f>
        <v>Supplies Category 27</v>
      </c>
      <c r="F125" s="119"/>
    </row>
    <row r="126" spans="4:6" x14ac:dyDescent="0.3">
      <c r="D126" s="282" t="str">
        <f>SD1_BA!C969</f>
        <v>Supplies Category 28</v>
      </c>
      <c r="F126" s="119"/>
    </row>
    <row r="127" spans="4:6" x14ac:dyDescent="0.3">
      <c r="D127" s="282" t="str">
        <f>SD1_BA!C970</f>
        <v>Supplies Category 29</v>
      </c>
      <c r="F127" s="119"/>
    </row>
    <row r="128" spans="4:6" x14ac:dyDescent="0.3">
      <c r="D128" s="282" t="str">
        <f>SD1_BA!C971</f>
        <v>Supplies Category 30</v>
      </c>
      <c r="F128" s="119"/>
    </row>
    <row r="129" spans="3:6" x14ac:dyDescent="0.3">
      <c r="D129" s="282" t="str">
        <f>SD1_BA!C972</f>
        <v>Supplies Category 31</v>
      </c>
      <c r="F129" s="119"/>
    </row>
    <row r="130" spans="3:6" x14ac:dyDescent="0.3">
      <c r="D130" s="282" t="str">
        <f>SD1_BA!C973</f>
        <v>Supplies Category 32</v>
      </c>
      <c r="F130" s="119"/>
    </row>
    <row r="131" spans="3:6" x14ac:dyDescent="0.3">
      <c r="D131" s="282" t="str">
        <f>SD1_BA!C974</f>
        <v>Supplies Category 33</v>
      </c>
      <c r="F131" s="119"/>
    </row>
    <row r="132" spans="3:6" x14ac:dyDescent="0.3">
      <c r="D132" s="282" t="str">
        <f>SD1_BA!C975</f>
        <v>Supplies Category 34</v>
      </c>
      <c r="F132" s="119"/>
    </row>
    <row r="133" spans="3:6" x14ac:dyDescent="0.3">
      <c r="D133" s="282" t="str">
        <f>SD1_BA!C976</f>
        <v>Supplies Category 35</v>
      </c>
      <c r="F133" s="119"/>
    </row>
    <row r="136" spans="3:6" ht="15.6" x14ac:dyDescent="0.3">
      <c r="C136" s="115" t="s">
        <v>130</v>
      </c>
      <c r="F136" s="115" t="s">
        <v>28</v>
      </c>
    </row>
    <row r="138" spans="3:6" x14ac:dyDescent="0.3">
      <c r="D138" s="116" t="s">
        <v>95</v>
      </c>
      <c r="F138" s="119" t="s">
        <v>551</v>
      </c>
    </row>
    <row r="139" spans="3:6" x14ac:dyDescent="0.3">
      <c r="D139" s="30" t="str">
        <f>SD1_BA!C979</f>
        <v>Equipment Category 1</v>
      </c>
      <c r="F139" s="33" t="s">
        <v>46</v>
      </c>
    </row>
    <row r="140" spans="3:6" x14ac:dyDescent="0.3">
      <c r="D140" s="30" t="str">
        <f>SD1_BA!C980</f>
        <v>Equipment Category 2</v>
      </c>
      <c r="F140" s="33" t="s">
        <v>46</v>
      </c>
    </row>
    <row r="141" spans="3:6" x14ac:dyDescent="0.3">
      <c r="D141" s="30" t="str">
        <f>SD1_BA!C981</f>
        <v>Equipment Category 3</v>
      </c>
      <c r="F141" s="33" t="s">
        <v>46</v>
      </c>
    </row>
    <row r="142" spans="3:6" x14ac:dyDescent="0.3">
      <c r="D142" s="30" t="str">
        <f>SD1_BA!C982</f>
        <v>Equipment Category 4</v>
      </c>
      <c r="F142" s="33" t="s">
        <v>46</v>
      </c>
    </row>
    <row r="143" spans="3:6" x14ac:dyDescent="0.3">
      <c r="D143" s="30" t="str">
        <f>SD1_BA!C983</f>
        <v>Equipment Category 5</v>
      </c>
      <c r="F143" s="33" t="s">
        <v>46</v>
      </c>
    </row>
    <row r="144" spans="3:6" x14ac:dyDescent="0.3">
      <c r="D144" s="30" t="str">
        <f>SD1_BA!C984</f>
        <v>Equipment Category 6</v>
      </c>
      <c r="F144" s="33" t="s">
        <v>46</v>
      </c>
    </row>
    <row r="145" spans="4:6" x14ac:dyDescent="0.3">
      <c r="D145" s="282" t="str">
        <f>SD1_BA!C985</f>
        <v>Equipment Category 7</v>
      </c>
      <c r="F145" s="119"/>
    </row>
    <row r="146" spans="4:6" x14ac:dyDescent="0.3">
      <c r="D146" s="282" t="str">
        <f>SD1_BA!C986</f>
        <v>Equipment Category 8</v>
      </c>
      <c r="F146" s="119"/>
    </row>
    <row r="147" spans="4:6" x14ac:dyDescent="0.3">
      <c r="D147" s="282" t="str">
        <f>SD1_BA!C987</f>
        <v>Equipment Category 9</v>
      </c>
      <c r="F147" s="119"/>
    </row>
    <row r="148" spans="4:6" x14ac:dyDescent="0.3">
      <c r="D148" s="282" t="str">
        <f>SD1_BA!C988</f>
        <v>Equipment Category 10</v>
      </c>
      <c r="F148" s="119"/>
    </row>
    <row r="149" spans="4:6" x14ac:dyDescent="0.3">
      <c r="D149" s="282" t="str">
        <f>SD1_BA!C989</f>
        <v>Equipment Category 11</v>
      </c>
      <c r="F149" s="119"/>
    </row>
    <row r="150" spans="4:6" x14ac:dyDescent="0.3">
      <c r="D150" s="282" t="str">
        <f>SD1_BA!C990</f>
        <v>Equipment Category 12</v>
      </c>
      <c r="F150" s="119"/>
    </row>
    <row r="151" spans="4:6" x14ac:dyDescent="0.3">
      <c r="D151" s="282" t="str">
        <f>SD1_BA!C991</f>
        <v>Equipment Category 13</v>
      </c>
      <c r="F151" s="119"/>
    </row>
    <row r="152" spans="4:6" x14ac:dyDescent="0.3">
      <c r="D152" s="282" t="str">
        <f>SD1_BA!C992</f>
        <v>Equipment Category 14</v>
      </c>
      <c r="F152" s="119"/>
    </row>
    <row r="153" spans="4:6" x14ac:dyDescent="0.3">
      <c r="D153" s="282" t="str">
        <f>SD1_BA!C993</f>
        <v>Equipment Category 15</v>
      </c>
      <c r="F153" s="119"/>
    </row>
    <row r="154" spans="4:6" x14ac:dyDescent="0.3">
      <c r="D154" s="282" t="str">
        <f>SD1_BA!C994</f>
        <v>Equipment Category 16</v>
      </c>
      <c r="F154" s="119"/>
    </row>
    <row r="155" spans="4:6" x14ac:dyDescent="0.3">
      <c r="D155" s="282" t="str">
        <f>SD1_BA!C995</f>
        <v>Equipment Category 17</v>
      </c>
      <c r="F155" s="119"/>
    </row>
    <row r="156" spans="4:6" x14ac:dyDescent="0.3">
      <c r="D156" s="282" t="str">
        <f>SD1_BA!C996</f>
        <v>Equipment Category 18</v>
      </c>
      <c r="F156" s="119"/>
    </row>
    <row r="157" spans="4:6" x14ac:dyDescent="0.3">
      <c r="D157" s="282" t="str">
        <f>SD1_BA!C997</f>
        <v>Equipment Category 19</v>
      </c>
      <c r="F157" s="119"/>
    </row>
    <row r="158" spans="4:6" x14ac:dyDescent="0.3">
      <c r="D158" s="282" t="str">
        <f>SD1_BA!C998</f>
        <v>Equipment Category 20</v>
      </c>
      <c r="F158" s="119"/>
    </row>
    <row r="159" spans="4:6" x14ac:dyDescent="0.3">
      <c r="D159" s="282" t="str">
        <f>SD1_BA!C999</f>
        <v>Equipment Category 21</v>
      </c>
      <c r="F159" s="119"/>
    </row>
    <row r="160" spans="4:6" x14ac:dyDescent="0.3">
      <c r="D160" s="282" t="str">
        <f>SD1_BA!C1000</f>
        <v>Equipment Category 22</v>
      </c>
      <c r="F160" s="119"/>
    </row>
    <row r="161" spans="3:6" x14ac:dyDescent="0.3">
      <c r="D161" s="282" t="str">
        <f>SD1_BA!C1001</f>
        <v>Equipment Category 23</v>
      </c>
      <c r="F161" s="119"/>
    </row>
    <row r="162" spans="3:6" x14ac:dyDescent="0.3">
      <c r="D162" s="282" t="str">
        <f>SD1_BA!C1002</f>
        <v>Equipment Category 24</v>
      </c>
      <c r="F162" s="119"/>
    </row>
    <row r="163" spans="3:6" x14ac:dyDescent="0.3">
      <c r="D163" s="282" t="str">
        <f>SD1_BA!C1003</f>
        <v>Equipment Category 25</v>
      </c>
      <c r="F163" s="119"/>
    </row>
    <row r="164" spans="3:6" x14ac:dyDescent="0.3">
      <c r="D164" s="282" t="str">
        <f>SD1_BA!C1004</f>
        <v>Equipment Category 26</v>
      </c>
      <c r="F164" s="119"/>
    </row>
    <row r="165" spans="3:6" x14ac:dyDescent="0.3">
      <c r="D165" s="282" t="str">
        <f>SD1_BA!C1005</f>
        <v>Equipment Category 27</v>
      </c>
      <c r="F165" s="119"/>
    </row>
    <row r="166" spans="3:6" x14ac:dyDescent="0.3">
      <c r="D166" s="282" t="str">
        <f>SD1_BA!C1006</f>
        <v>Equipment Category 28</v>
      </c>
      <c r="F166" s="119"/>
    </row>
    <row r="167" spans="3:6" x14ac:dyDescent="0.3">
      <c r="D167" s="282" t="str">
        <f>SD1_BA!C1007</f>
        <v>Equipment Category 29</v>
      </c>
      <c r="F167" s="119"/>
    </row>
    <row r="168" spans="3:6" x14ac:dyDescent="0.3">
      <c r="D168" s="282" t="str">
        <f>SD1_BA!C1008</f>
        <v>Equipment Category 30</v>
      </c>
      <c r="F168" s="119"/>
    </row>
    <row r="169" spans="3:6" x14ac:dyDescent="0.3">
      <c r="D169" s="282" t="str">
        <f>SD1_BA!C1009</f>
        <v>Equipment Category 31</v>
      </c>
      <c r="F169" s="119"/>
    </row>
    <row r="170" spans="3:6" x14ac:dyDescent="0.3">
      <c r="D170" s="282" t="str">
        <f>SD1_BA!C1010</f>
        <v>Equipment Category 32</v>
      </c>
      <c r="F170" s="119"/>
    </row>
    <row r="171" spans="3:6" x14ac:dyDescent="0.3">
      <c r="D171" s="282" t="str">
        <f>SD1_BA!C1011</f>
        <v>Equipment Category 33</v>
      </c>
      <c r="F171" s="119"/>
    </row>
    <row r="172" spans="3:6" x14ac:dyDescent="0.3">
      <c r="D172" s="282" t="str">
        <f>SD1_BA!C1012</f>
        <v>Equipment Category 34</v>
      </c>
      <c r="F172" s="119"/>
    </row>
    <row r="173" spans="3:6" x14ac:dyDescent="0.3">
      <c r="D173" s="282" t="str">
        <f>SD1_BA!C1013</f>
        <v>Equipment Category 35</v>
      </c>
      <c r="F173" s="119"/>
    </row>
    <row r="175" spans="3:6" ht="15.6" x14ac:dyDescent="0.3">
      <c r="C175" s="115" t="s">
        <v>89</v>
      </c>
      <c r="F175" s="115" t="s">
        <v>28</v>
      </c>
    </row>
    <row r="177" spans="4:6" x14ac:dyDescent="0.3">
      <c r="D177" s="116" t="s">
        <v>95</v>
      </c>
      <c r="F177" s="119" t="s">
        <v>552</v>
      </c>
    </row>
    <row r="178" spans="4:6" x14ac:dyDescent="0.3">
      <c r="D178" s="30" t="str">
        <f>SD1_BA!C1017</f>
        <v>Other Direct Costs Category 1</v>
      </c>
      <c r="F178" s="33" t="s">
        <v>46</v>
      </c>
    </row>
    <row r="179" spans="4:6" x14ac:dyDescent="0.3">
      <c r="D179" s="30" t="str">
        <f>SD1_BA!C1018</f>
        <v>Other Direct Costs Category 2</v>
      </c>
      <c r="F179" s="33" t="s">
        <v>46</v>
      </c>
    </row>
    <row r="180" spans="4:6" x14ac:dyDescent="0.3">
      <c r="D180" s="30" t="str">
        <f>SD1_BA!C1019</f>
        <v>Other Direct Costs Category 3</v>
      </c>
      <c r="F180" s="33" t="s">
        <v>46</v>
      </c>
    </row>
    <row r="181" spans="4:6" x14ac:dyDescent="0.3">
      <c r="D181" s="282" t="str">
        <f>SD1_BA!C1020</f>
        <v>Other Direct Costs Category 4</v>
      </c>
      <c r="F181" s="119"/>
    </row>
    <row r="182" spans="4:6" x14ac:dyDescent="0.3">
      <c r="D182" s="282" t="str">
        <f>SD1_BA!C1021</f>
        <v>Other Direct Costs Category 5</v>
      </c>
      <c r="F182" s="119"/>
    </row>
    <row r="183" spans="4:6" x14ac:dyDescent="0.3">
      <c r="D183" s="282" t="str">
        <f>SD1_BA!C1022</f>
        <v>Other Direct Costs Category 6</v>
      </c>
      <c r="F183" s="119"/>
    </row>
    <row r="184" spans="4:6" x14ac:dyDescent="0.3">
      <c r="D184" s="282" t="str">
        <f>SD1_BA!C1023</f>
        <v>Other Direct Costs Category 7</v>
      </c>
      <c r="F184" s="119"/>
    </row>
    <row r="185" spans="4:6" x14ac:dyDescent="0.3">
      <c r="D185" s="282" t="str">
        <f>SD1_BA!C1024</f>
        <v>Other Direct Costs Category 8</v>
      </c>
      <c r="F185" s="119"/>
    </row>
    <row r="186" spans="4:6" x14ac:dyDescent="0.3">
      <c r="D186" s="282" t="str">
        <f>SD1_BA!C1025</f>
        <v>Other Direct Costs Category 9</v>
      </c>
      <c r="F186" s="119"/>
    </row>
    <row r="187" spans="4:6" x14ac:dyDescent="0.3">
      <c r="D187" s="282" t="str">
        <f>SD1_BA!C1026</f>
        <v>Other Direct Costs Category 10</v>
      </c>
      <c r="F187" s="119"/>
    </row>
    <row r="188" spans="4:6" x14ac:dyDescent="0.3">
      <c r="D188" s="282" t="str">
        <f>SD1_BA!C1027</f>
        <v>Other Direct Costs Category 11</v>
      </c>
      <c r="F188" s="119"/>
    </row>
    <row r="189" spans="4:6" x14ac:dyDescent="0.3">
      <c r="D189" s="282" t="str">
        <f>SD1_BA!C1028</f>
        <v>Other Direct Costs Category 12</v>
      </c>
      <c r="F189" s="119"/>
    </row>
    <row r="190" spans="4:6" x14ac:dyDescent="0.3">
      <c r="D190" s="282" t="str">
        <f>SD1_BA!C1029</f>
        <v>Other Direct Costs Category 13</v>
      </c>
      <c r="F190" s="119"/>
    </row>
    <row r="191" spans="4:6" x14ac:dyDescent="0.3">
      <c r="D191" s="282" t="str">
        <f>SD1_BA!C1030</f>
        <v>Other Direct Costs Category 14</v>
      </c>
      <c r="F191" s="119"/>
    </row>
    <row r="192" spans="4:6" x14ac:dyDescent="0.3">
      <c r="D192" s="282" t="str">
        <f>SD1_BA!C1031</f>
        <v>Other Direct Costs Category 15</v>
      </c>
      <c r="F192" s="119"/>
    </row>
    <row r="193" spans="4:6" x14ac:dyDescent="0.3">
      <c r="D193" s="282" t="str">
        <f>SD1_BA!C1032</f>
        <v>Other Direct Costs Category 16</v>
      </c>
      <c r="F193" s="119"/>
    </row>
    <row r="194" spans="4:6" x14ac:dyDescent="0.3">
      <c r="D194" s="282" t="str">
        <f>SD1_BA!C1033</f>
        <v>Other Direct Costs Category 17</v>
      </c>
      <c r="F194" s="119"/>
    </row>
    <row r="195" spans="4:6" x14ac:dyDescent="0.3">
      <c r="D195" s="282" t="str">
        <f>SD1_BA!C1034</f>
        <v>Other Direct Costs Category 18</v>
      </c>
      <c r="F195" s="119"/>
    </row>
    <row r="196" spans="4:6" x14ac:dyDescent="0.3">
      <c r="D196" s="282" t="str">
        <f>SD1_BA!C1035</f>
        <v>Other Direct Costs Category 19</v>
      </c>
      <c r="F196" s="119"/>
    </row>
    <row r="197" spans="4:6" x14ac:dyDescent="0.3">
      <c r="D197" s="282" t="str">
        <f>SD1_BA!C1036</f>
        <v>Other Direct Costs Category 20</v>
      </c>
      <c r="F197" s="119"/>
    </row>
    <row r="198" spans="4:6" x14ac:dyDescent="0.3">
      <c r="D198" s="282" t="str">
        <f>SD1_BA!C1037</f>
        <v>Other Direct Costs Category 21</v>
      </c>
      <c r="F198" s="119"/>
    </row>
    <row r="199" spans="4:6" x14ac:dyDescent="0.3">
      <c r="D199" s="282" t="str">
        <f>SD1_BA!C1038</f>
        <v>Other Direct Costs Category 22</v>
      </c>
      <c r="F199" s="119"/>
    </row>
    <row r="200" spans="4:6" x14ac:dyDescent="0.3">
      <c r="D200" s="282" t="str">
        <f>SD1_BA!C1039</f>
        <v>Other Direct Costs Category 23</v>
      </c>
      <c r="F200" s="119"/>
    </row>
    <row r="201" spans="4:6" x14ac:dyDescent="0.3">
      <c r="D201" s="282" t="str">
        <f>SD1_BA!C1040</f>
        <v>Other Direct Costs Category 24</v>
      </c>
      <c r="F201" s="119"/>
    </row>
    <row r="202" spans="4:6" x14ac:dyDescent="0.3">
      <c r="D202" s="282" t="str">
        <f>SD1_BA!C1041</f>
        <v>Other Direct Costs Category 25</v>
      </c>
      <c r="F202" s="119"/>
    </row>
    <row r="203" spans="4:6" x14ac:dyDescent="0.3">
      <c r="D203" s="282" t="str">
        <f>SD1_BA!C1042</f>
        <v>Other Direct Costs Category 26</v>
      </c>
      <c r="F203" s="119"/>
    </row>
    <row r="204" spans="4:6" x14ac:dyDescent="0.3">
      <c r="D204" s="282" t="str">
        <f>SD1_BA!C1043</f>
        <v>Other Direct Costs Category 27</v>
      </c>
      <c r="F204" s="119"/>
    </row>
    <row r="205" spans="4:6" x14ac:dyDescent="0.3">
      <c r="D205" s="282" t="str">
        <f>SD1_BA!C1044</f>
        <v>Other Direct Costs Category 28</v>
      </c>
      <c r="F205" s="119"/>
    </row>
    <row r="206" spans="4:6" x14ac:dyDescent="0.3">
      <c r="D206" s="282" t="str">
        <f>SD1_BA!C1045</f>
        <v>Other Direct Costs Category 29</v>
      </c>
      <c r="F206" s="119"/>
    </row>
    <row r="207" spans="4:6" x14ac:dyDescent="0.3">
      <c r="D207" s="282" t="str">
        <f>SD1_BA!C1046</f>
        <v>Other Direct Costs Category 30</v>
      </c>
      <c r="F207" s="119"/>
    </row>
    <row r="208" spans="4:6" x14ac:dyDescent="0.3">
      <c r="D208" s="282" t="str">
        <f>SD1_BA!C1047</f>
        <v>Other Direct Costs Category 31</v>
      </c>
      <c r="F208" s="119"/>
    </row>
    <row r="209" spans="4:6" x14ac:dyDescent="0.3">
      <c r="D209" s="282" t="str">
        <f>SD1_BA!C1048</f>
        <v>Other Direct Costs Category 32</v>
      </c>
      <c r="F209" s="119"/>
    </row>
    <row r="210" spans="4:6" x14ac:dyDescent="0.3">
      <c r="D210" s="282" t="str">
        <f>SD1_BA!C1049</f>
        <v>Other Direct Costs Category 33</v>
      </c>
      <c r="F210" s="119"/>
    </row>
    <row r="211" spans="4:6" x14ac:dyDescent="0.3">
      <c r="D211" s="282" t="str">
        <f>SD1_BA!C1050</f>
        <v>Other Direct Costs Category 34</v>
      </c>
      <c r="F211" s="119"/>
    </row>
    <row r="212" spans="4:6" x14ac:dyDescent="0.3">
      <c r="D212" s="282" t="str">
        <f>SD1_BA!C1051</f>
        <v>Other Direct Costs Category 35</v>
      </c>
      <c r="F212" s="119"/>
    </row>
  </sheetData>
  <sheetProtection algorithmName="SHA-512" hashValue="E0bRtye7VFXvjhtZupwYoSuTtTlFSW5j1wigPj/BYCkvalKyDF/qmyxlYCnLrpjz1z2Di30mf5lUXHZEJvu+GQ==" saltValue="5UYWNBi2LT77wnbWJ5NIkw==" spinCount="100000" sheet="1" objects="1" scenarios="1" formatColumns="0" formatRows="0"/>
  <mergeCells count="1">
    <mergeCell ref="B3:D3"/>
  </mergeCells>
  <hyperlinks>
    <hyperlink ref="A4" location="$B$5" tooltip="Go to Top of Sheet" display="$B$5" xr:uid="{00000000-0004-0000-3100-000000000000}"/>
    <hyperlink ref="B4" location="HL_Sheet_Main_63" tooltip="Go to Previous Sheet" display="HL_Sheet_Main_63" xr:uid="{00000000-0004-0000-3100-000001000000}"/>
    <hyperlink ref="C4" location="HL_Sheet_Main_68" tooltip="Go to Next Sheet" display="HL_Sheet_Main_68" xr:uid="{00000000-0004-0000-3100-000002000000}"/>
    <hyperlink ref="B3" location="HL_Home" tooltip="Go to Table of Contents" display="HL_Home" xr:uid="{00000000-0004-0000-31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5">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681</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683</v>
      </c>
    </row>
    <row r="9" spans="1:6" ht="15.6" x14ac:dyDescent="0.3">
      <c r="C9" s="115" t="s">
        <v>93</v>
      </c>
    </row>
    <row r="11" spans="1:6" ht="15.6" x14ac:dyDescent="0.3">
      <c r="C11" s="115" t="s">
        <v>93</v>
      </c>
      <c r="F11" s="115" t="s">
        <v>28</v>
      </c>
    </row>
    <row r="13" spans="1:6" x14ac:dyDescent="0.3">
      <c r="D13" s="116" t="s">
        <v>95</v>
      </c>
      <c r="F13" s="119" t="s">
        <v>288</v>
      </c>
    </row>
    <row r="14" spans="1:6" x14ac:dyDescent="0.3">
      <c r="D14" s="30" t="str">
        <f>SD1_BA!D1210</f>
        <v>USD</v>
      </c>
      <c r="F14" s="33" t="s">
        <v>46</v>
      </c>
    </row>
    <row r="15" spans="1:6" x14ac:dyDescent="0.3">
      <c r="D15" s="30" t="str">
        <f>SD1_BA!D1211</f>
        <v>GOZ</v>
      </c>
      <c r="F15" s="33" t="s">
        <v>46</v>
      </c>
    </row>
    <row r="17" spans="3:6" ht="15.6" x14ac:dyDescent="0.3">
      <c r="C17" s="115" t="s">
        <v>77</v>
      </c>
      <c r="F17" s="115" t="s">
        <v>28</v>
      </c>
    </row>
    <row r="19" spans="3:6" x14ac:dyDescent="0.3">
      <c r="D19" s="116" t="s">
        <v>95</v>
      </c>
      <c r="F19" s="119" t="s">
        <v>289</v>
      </c>
    </row>
    <row r="20" spans="3:6" x14ac:dyDescent="0.3">
      <c r="D20" s="30" t="str">
        <f>SD1_BA!C1216</f>
        <v>Personnel Cadre - Other 1</v>
      </c>
      <c r="F20" s="33" t="s">
        <v>46</v>
      </c>
    </row>
    <row r="21" spans="3:6" x14ac:dyDescent="0.3">
      <c r="D21" s="30" t="str">
        <f>SD1_BA!C1217</f>
        <v>Personnel Cadre - Other 2</v>
      </c>
      <c r="F21" s="33" t="s">
        <v>46</v>
      </c>
    </row>
    <row r="22" spans="3:6" x14ac:dyDescent="0.3">
      <c r="D22" s="30" t="str">
        <f>SD1_BA!C1218</f>
        <v>Personnel Cadre - Other 3</v>
      </c>
      <c r="F22" s="33" t="s">
        <v>46</v>
      </c>
    </row>
    <row r="23" spans="3:6" x14ac:dyDescent="0.3">
      <c r="D23" s="30" t="str">
        <f>SD1_BA!C1219</f>
        <v>Personnel Cadre - Other 4</v>
      </c>
      <c r="F23" s="33" t="s">
        <v>46</v>
      </c>
    </row>
    <row r="24" spans="3:6" x14ac:dyDescent="0.3">
      <c r="D24" s="30" t="str">
        <f>SD1_BA!C1220</f>
        <v>Personnel Cadre - Other 5</v>
      </c>
      <c r="F24" s="33" t="s">
        <v>46</v>
      </c>
    </row>
    <row r="25" spans="3:6" x14ac:dyDescent="0.3">
      <c r="D25" s="30" t="str">
        <f>SD1_BA!C1221</f>
        <v>Personnel Cadre - Other 6</v>
      </c>
      <c r="F25" s="33" t="s">
        <v>46</v>
      </c>
    </row>
    <row r="26" spans="3:6" x14ac:dyDescent="0.3">
      <c r="D26" s="30" t="str">
        <f>SD1_BA!C1222</f>
        <v>Personnel Cadre - Other 7</v>
      </c>
      <c r="F26" s="33" t="s">
        <v>46</v>
      </c>
    </row>
    <row r="27" spans="3:6" x14ac:dyDescent="0.3">
      <c r="D27" s="30" t="str">
        <f>SD1_BA!C1223</f>
        <v>Personnel Cadre - Other 8</v>
      </c>
      <c r="F27" s="33" t="s">
        <v>46</v>
      </c>
    </row>
    <row r="28" spans="3:6" x14ac:dyDescent="0.3">
      <c r="D28" s="30" t="str">
        <f>SD1_BA!C1224</f>
        <v>Personnel Cadre - Other 9</v>
      </c>
      <c r="F28" s="33" t="s">
        <v>46</v>
      </c>
    </row>
    <row r="29" spans="3:6" x14ac:dyDescent="0.3">
      <c r="D29" s="30" t="str">
        <f>SD1_BA!C1225</f>
        <v>Personnel Cadre - Other 10</v>
      </c>
      <c r="F29" s="33" t="s">
        <v>46</v>
      </c>
    </row>
    <row r="30" spans="3:6" x14ac:dyDescent="0.3">
      <c r="D30" s="30" t="str">
        <f>SD1_BA!C1226</f>
        <v>Personnel Cadre - Other 11</v>
      </c>
      <c r="F30" s="33" t="s">
        <v>46</v>
      </c>
    </row>
    <row r="31" spans="3:6" x14ac:dyDescent="0.3">
      <c r="D31" s="30" t="str">
        <f>SD1_BA!C1227</f>
        <v>Personnel Cadre - Other 12</v>
      </c>
      <c r="F31" s="33" t="s">
        <v>46</v>
      </c>
    </row>
    <row r="32" spans="3:6" x14ac:dyDescent="0.3">
      <c r="D32" s="30" t="str">
        <f>SD1_BA!C1228</f>
        <v>Personnel Cadre - Other 13</v>
      </c>
      <c r="F32" s="33" t="s">
        <v>46</v>
      </c>
    </row>
    <row r="33" spans="4:6" x14ac:dyDescent="0.3">
      <c r="D33" s="30" t="str">
        <f>SD1_BA!C1229</f>
        <v>Personnel Cadre - Other 14</v>
      </c>
      <c r="F33" s="33" t="s">
        <v>46</v>
      </c>
    </row>
    <row r="34" spans="4:6" x14ac:dyDescent="0.3">
      <c r="D34" s="30" t="str">
        <f>SD1_BA!C1230</f>
        <v>Personnel Cadre - Other 15</v>
      </c>
      <c r="F34" s="33" t="s">
        <v>46</v>
      </c>
    </row>
    <row r="35" spans="4:6" x14ac:dyDescent="0.3">
      <c r="D35" s="282" t="str">
        <f>SD1_BA!C1231</f>
        <v>Personnel Cadre - Other 16</v>
      </c>
      <c r="F35" s="119"/>
    </row>
    <row r="36" spans="4:6" x14ac:dyDescent="0.3">
      <c r="D36" s="282" t="str">
        <f>SD1_BA!C1232</f>
        <v>Personnel Cadre - Other 17</v>
      </c>
      <c r="F36" s="119"/>
    </row>
    <row r="37" spans="4:6" x14ac:dyDescent="0.3">
      <c r="D37" s="282" t="str">
        <f>SD1_BA!C1233</f>
        <v>Personnel Cadre - Other 18</v>
      </c>
      <c r="F37" s="119"/>
    </row>
    <row r="38" spans="4:6" x14ac:dyDescent="0.3">
      <c r="D38" s="282" t="str">
        <f>SD1_BA!C1234</f>
        <v>Personnel Cadre - Other 19</v>
      </c>
      <c r="F38" s="119"/>
    </row>
    <row r="39" spans="4:6" x14ac:dyDescent="0.3">
      <c r="D39" s="282" t="str">
        <f>SD1_BA!C1235</f>
        <v>Personnel Cadre - Other 20</v>
      </c>
      <c r="F39" s="119"/>
    </row>
    <row r="40" spans="4:6" x14ac:dyDescent="0.3">
      <c r="D40" s="282" t="str">
        <f>SD1_BA!C1236</f>
        <v>Personnel Cadre - Other 21</v>
      </c>
      <c r="F40" s="119"/>
    </row>
    <row r="41" spans="4:6" x14ac:dyDescent="0.3">
      <c r="D41" s="282" t="str">
        <f>SD1_BA!C1237</f>
        <v>Personnel Cadre - Other 22</v>
      </c>
      <c r="F41" s="119"/>
    </row>
    <row r="42" spans="4:6" x14ac:dyDescent="0.3">
      <c r="D42" s="282" t="str">
        <f>SD1_BA!C1238</f>
        <v>Personnel Cadre - Other 23</v>
      </c>
      <c r="F42" s="119"/>
    </row>
    <row r="43" spans="4:6" x14ac:dyDescent="0.3">
      <c r="D43" s="282" t="str">
        <f>SD1_BA!C1239</f>
        <v>Personnel Cadre - Other 24</v>
      </c>
      <c r="F43" s="119"/>
    </row>
    <row r="44" spans="4:6" x14ac:dyDescent="0.3">
      <c r="D44" s="282" t="str">
        <f>SD1_BA!C1240</f>
        <v>Personnel Cadre - Other 25</v>
      </c>
      <c r="F44" s="119"/>
    </row>
    <row r="45" spans="4:6" x14ac:dyDescent="0.3">
      <c r="D45" s="282" t="str">
        <f>SD1_BA!C1241</f>
        <v>Personnel Cadre - Other 26</v>
      </c>
      <c r="F45" s="119"/>
    </row>
    <row r="46" spans="4:6" x14ac:dyDescent="0.3">
      <c r="D46" s="282" t="str">
        <f>SD1_BA!C1242</f>
        <v>Personnel Cadre - Other 27</v>
      </c>
      <c r="F46" s="119"/>
    </row>
    <row r="47" spans="4:6" x14ac:dyDescent="0.3">
      <c r="D47" s="282" t="str">
        <f>SD1_BA!C1243</f>
        <v>Personnel Cadre - Other 28</v>
      </c>
      <c r="F47" s="119"/>
    </row>
    <row r="48" spans="4:6" x14ac:dyDescent="0.3">
      <c r="D48" s="282" t="str">
        <f>SD1_BA!C1244</f>
        <v>Personnel Cadre - Other 29</v>
      </c>
      <c r="F48" s="119"/>
    </row>
    <row r="49" spans="3:6" x14ac:dyDescent="0.3">
      <c r="D49" s="282" t="str">
        <f>SD1_BA!C1245</f>
        <v>Personnel Cadre - Other 30</v>
      </c>
      <c r="F49" s="119"/>
    </row>
    <row r="50" spans="3:6" x14ac:dyDescent="0.3">
      <c r="D50" s="282" t="str">
        <f>SD1_BA!C1246</f>
        <v>Personnel Cadre - Other 31</v>
      </c>
      <c r="F50" s="119"/>
    </row>
    <row r="51" spans="3:6" x14ac:dyDescent="0.3">
      <c r="D51" s="282" t="str">
        <f>SD1_BA!C1247</f>
        <v>Personnel Cadre - Other 32</v>
      </c>
      <c r="F51" s="119"/>
    </row>
    <row r="52" spans="3:6" x14ac:dyDescent="0.3">
      <c r="D52" s="282" t="str">
        <f>SD1_BA!C1248</f>
        <v>Personnel Cadre - Other 33</v>
      </c>
      <c r="F52" s="119"/>
    </row>
    <row r="53" spans="3:6" x14ac:dyDescent="0.3">
      <c r="D53" s="282" t="str">
        <f>SD1_BA!C1249</f>
        <v>Personnel Cadre - Other 34</v>
      </c>
      <c r="F53" s="119"/>
    </row>
    <row r="54" spans="3:6" x14ac:dyDescent="0.3">
      <c r="D54" s="282" t="str">
        <f>SD1_BA!C1250</f>
        <v>Personnel Cadre - Other 35</v>
      </c>
      <c r="F54" s="119"/>
    </row>
    <row r="56" spans="3:6" ht="15.6" x14ac:dyDescent="0.3">
      <c r="C56" s="115" t="s">
        <v>94</v>
      </c>
      <c r="F56" s="115" t="s">
        <v>28</v>
      </c>
    </row>
    <row r="58" spans="3:6" x14ac:dyDescent="0.3">
      <c r="D58" s="116" t="s">
        <v>95</v>
      </c>
      <c r="F58" s="119" t="s">
        <v>290</v>
      </c>
    </row>
    <row r="59" spans="3:6" x14ac:dyDescent="0.3">
      <c r="D59" s="30" t="str">
        <f>SD1_BA!C1253</f>
        <v>Allowances Category 1</v>
      </c>
      <c r="F59" s="33" t="s">
        <v>46</v>
      </c>
    </row>
    <row r="60" spans="3:6" x14ac:dyDescent="0.3">
      <c r="D60" s="30" t="str">
        <f>SD1_BA!C1254</f>
        <v>Allowances Category 2</v>
      </c>
      <c r="F60" s="33" t="s">
        <v>46</v>
      </c>
    </row>
    <row r="61" spans="3:6" x14ac:dyDescent="0.3">
      <c r="D61" s="30" t="str">
        <f>SD1_BA!C1255</f>
        <v>Allowances Category 3</v>
      </c>
      <c r="F61" s="33" t="s">
        <v>46</v>
      </c>
    </row>
    <row r="62" spans="3:6" x14ac:dyDescent="0.3">
      <c r="D62" s="30" t="str">
        <f>SD1_BA!C1256</f>
        <v>Allowances Category 4</v>
      </c>
      <c r="F62" s="33" t="s">
        <v>46</v>
      </c>
    </row>
    <row r="63" spans="3:6" x14ac:dyDescent="0.3">
      <c r="D63" s="30" t="str">
        <f>SD1_BA!C1257</f>
        <v>Allowances Category 5</v>
      </c>
      <c r="F63" s="33" t="s">
        <v>46</v>
      </c>
    </row>
    <row r="64" spans="3:6" x14ac:dyDescent="0.3">
      <c r="D64" s="282" t="str">
        <f>SD1_BA!C1258</f>
        <v>Allowances Category 6</v>
      </c>
      <c r="F64" s="119"/>
    </row>
    <row r="65" spans="4:6" x14ac:dyDescent="0.3">
      <c r="D65" s="282" t="str">
        <f>SD1_BA!C1259</f>
        <v>Allowances Category 7</v>
      </c>
      <c r="F65" s="119"/>
    </row>
    <row r="66" spans="4:6" x14ac:dyDescent="0.3">
      <c r="D66" s="282" t="str">
        <f>SD1_BA!C1260</f>
        <v>Allowances Category 8</v>
      </c>
      <c r="F66" s="119"/>
    </row>
    <row r="67" spans="4:6" x14ac:dyDescent="0.3">
      <c r="D67" s="282" t="str">
        <f>SD1_BA!C1261</f>
        <v>Allowances Category 9</v>
      </c>
      <c r="F67" s="119"/>
    </row>
    <row r="68" spans="4:6" x14ac:dyDescent="0.3">
      <c r="D68" s="282" t="str">
        <f>SD1_BA!C1262</f>
        <v>Allowances Category 10</v>
      </c>
      <c r="F68" s="119"/>
    </row>
    <row r="69" spans="4:6" x14ac:dyDescent="0.3">
      <c r="D69" s="282" t="str">
        <f>SD1_BA!C1263</f>
        <v>Allowances Category 11</v>
      </c>
      <c r="F69" s="119"/>
    </row>
    <row r="70" spans="4:6" x14ac:dyDescent="0.3">
      <c r="D70" s="282" t="str">
        <f>SD1_BA!C1264</f>
        <v>Allowances Category 12</v>
      </c>
      <c r="F70" s="119"/>
    </row>
    <row r="71" spans="4:6" x14ac:dyDescent="0.3">
      <c r="D71" s="282" t="str">
        <f>SD1_BA!C1265</f>
        <v>Allowances Category 13</v>
      </c>
      <c r="F71" s="119"/>
    </row>
    <row r="72" spans="4:6" x14ac:dyDescent="0.3">
      <c r="D72" s="282" t="str">
        <f>SD1_BA!C1266</f>
        <v>Allowances Category 14</v>
      </c>
      <c r="F72" s="119"/>
    </row>
    <row r="73" spans="4:6" x14ac:dyDescent="0.3">
      <c r="D73" s="282" t="str">
        <f>SD1_BA!C1267</f>
        <v>Allowances Category 15</v>
      </c>
      <c r="F73" s="119"/>
    </row>
    <row r="74" spans="4:6" x14ac:dyDescent="0.3">
      <c r="D74" s="282" t="str">
        <f>SD1_BA!C1268</f>
        <v>Allowances Category 16</v>
      </c>
      <c r="F74" s="119"/>
    </row>
    <row r="75" spans="4:6" x14ac:dyDescent="0.3">
      <c r="D75" s="30" t="str">
        <f>SD1_BA!C1269</f>
        <v>Allowances Category 17</v>
      </c>
      <c r="F75" s="33" t="s">
        <v>46</v>
      </c>
    </row>
    <row r="76" spans="4:6" x14ac:dyDescent="0.3">
      <c r="D76" s="30" t="str">
        <f>SD1_BA!C1270</f>
        <v>Allowances Category 18</v>
      </c>
      <c r="F76" s="33" t="s">
        <v>46</v>
      </c>
    </row>
    <row r="77" spans="4:6" x14ac:dyDescent="0.3">
      <c r="D77" s="30" t="str">
        <f>SD1_BA!C1271</f>
        <v>Allowances Category 19</v>
      </c>
      <c r="F77" s="33" t="s">
        <v>46</v>
      </c>
    </row>
    <row r="78" spans="4:6" x14ac:dyDescent="0.3">
      <c r="D78" s="30" t="str">
        <f>SD1_BA!C1272</f>
        <v>Allowances Category 20</v>
      </c>
      <c r="F78" s="33" t="s">
        <v>46</v>
      </c>
    </row>
    <row r="79" spans="4:6" x14ac:dyDescent="0.3">
      <c r="D79" s="30" t="str">
        <f>SD1_BA!C1273</f>
        <v>Allowances Category 21</v>
      </c>
      <c r="F79" s="33" t="s">
        <v>46</v>
      </c>
    </row>
    <row r="80" spans="4:6" x14ac:dyDescent="0.3">
      <c r="D80" s="30" t="str">
        <f>SD1_BA!C1274</f>
        <v>Allowances Category 22</v>
      </c>
      <c r="F80" s="33" t="s">
        <v>46</v>
      </c>
    </row>
    <row r="81" spans="3:6" x14ac:dyDescent="0.3">
      <c r="D81" s="30" t="str">
        <f>SD1_BA!C1275</f>
        <v>Allowances Category 23</v>
      </c>
      <c r="F81" s="33" t="s">
        <v>46</v>
      </c>
    </row>
    <row r="82" spans="3:6" x14ac:dyDescent="0.3">
      <c r="D82" s="282" t="str">
        <f>SD1_BA!C1276</f>
        <v>Allowances Category 24</v>
      </c>
      <c r="F82" s="119"/>
    </row>
    <row r="83" spans="3:6" x14ac:dyDescent="0.3">
      <c r="D83" s="282" t="str">
        <f>SD1_BA!C1277</f>
        <v>Allowances Category 25</v>
      </c>
      <c r="F83" s="119"/>
    </row>
    <row r="84" spans="3:6" x14ac:dyDescent="0.3">
      <c r="D84" s="282" t="str">
        <f>SD1_BA!C1278</f>
        <v>Allowances Category 26</v>
      </c>
      <c r="F84" s="119"/>
    </row>
    <row r="85" spans="3:6" x14ac:dyDescent="0.3">
      <c r="D85" s="282" t="str">
        <f>SD1_BA!C1279</f>
        <v>Allowances Category 27</v>
      </c>
      <c r="F85" s="119"/>
    </row>
    <row r="86" spans="3:6" x14ac:dyDescent="0.3">
      <c r="D86" s="282" t="str">
        <f>SD1_BA!C1280</f>
        <v>Allowances Category 28</v>
      </c>
      <c r="F86" s="119"/>
    </row>
    <row r="87" spans="3:6" x14ac:dyDescent="0.3">
      <c r="D87" s="282" t="str">
        <f>SD1_BA!C1281</f>
        <v>Allowances Category 29</v>
      </c>
      <c r="F87" s="119"/>
    </row>
    <row r="88" spans="3:6" x14ac:dyDescent="0.3">
      <c r="D88" s="282" t="str">
        <f>SD1_BA!C1282</f>
        <v>Allowances Category 30</v>
      </c>
      <c r="F88" s="119"/>
    </row>
    <row r="89" spans="3:6" x14ac:dyDescent="0.3">
      <c r="D89" s="30" t="str">
        <f>SD1_BA!C1283</f>
        <v>Allowances Category 31</v>
      </c>
      <c r="F89" s="33" t="s">
        <v>46</v>
      </c>
    </row>
    <row r="90" spans="3:6" x14ac:dyDescent="0.3">
      <c r="D90" s="30" t="str">
        <f>SD1_BA!C1284</f>
        <v>Allowances Category 32</v>
      </c>
      <c r="F90" s="33" t="s">
        <v>46</v>
      </c>
    </row>
    <row r="91" spans="3:6" x14ac:dyDescent="0.3">
      <c r="D91" s="30" t="str">
        <f>SD1_BA!C1285</f>
        <v>Allowances Category 33</v>
      </c>
      <c r="F91" s="33" t="s">
        <v>46</v>
      </c>
    </row>
    <row r="92" spans="3:6" x14ac:dyDescent="0.3">
      <c r="D92" s="30" t="str">
        <f>SD1_BA!C1286</f>
        <v>Allowances Category 34</v>
      </c>
      <c r="F92" s="33" t="s">
        <v>46</v>
      </c>
    </row>
    <row r="93" spans="3:6" x14ac:dyDescent="0.3">
      <c r="D93" s="30" t="str">
        <f>SD1_BA!C1287</f>
        <v>Allowances Category 35</v>
      </c>
      <c r="F93" s="33" t="s">
        <v>46</v>
      </c>
    </row>
    <row r="96" spans="3:6" ht="15.6" x14ac:dyDescent="0.3">
      <c r="C96" s="115" t="s">
        <v>132</v>
      </c>
      <c r="F96" s="115" t="s">
        <v>28</v>
      </c>
    </row>
    <row r="98" spans="4:6" x14ac:dyDescent="0.3">
      <c r="D98" s="116" t="s">
        <v>95</v>
      </c>
      <c r="F98" s="119" t="s">
        <v>291</v>
      </c>
    </row>
    <row r="99" spans="4:6" x14ac:dyDescent="0.3">
      <c r="D99" s="30" t="str">
        <f>SD1_BA!C1291</f>
        <v>Supplies Category 1</v>
      </c>
      <c r="F99" s="33" t="s">
        <v>46</v>
      </c>
    </row>
    <row r="100" spans="4:6" x14ac:dyDescent="0.3">
      <c r="D100" s="30" t="str">
        <f>SD1_BA!C1292</f>
        <v>Supplies Category 2</v>
      </c>
      <c r="F100" s="33" t="s">
        <v>46</v>
      </c>
    </row>
    <row r="101" spans="4:6" x14ac:dyDescent="0.3">
      <c r="D101" s="30" t="str">
        <f>SD1_BA!C1293</f>
        <v>Supplies Category 3</v>
      </c>
      <c r="F101" s="33" t="s">
        <v>46</v>
      </c>
    </row>
    <row r="102" spans="4:6" x14ac:dyDescent="0.3">
      <c r="D102" s="30" t="str">
        <f>SD1_BA!C1294</f>
        <v>Supplies Category 4</v>
      </c>
      <c r="F102" s="33" t="s">
        <v>46</v>
      </c>
    </row>
    <row r="103" spans="4:6" x14ac:dyDescent="0.3">
      <c r="D103" s="30" t="str">
        <f>SD1_BA!C1295</f>
        <v>Supplies Category 5</v>
      </c>
      <c r="F103" s="33" t="s">
        <v>46</v>
      </c>
    </row>
    <row r="104" spans="4:6" x14ac:dyDescent="0.3">
      <c r="D104" s="30" t="str">
        <f>SD1_BA!C1296</f>
        <v>Supplies Category 6</v>
      </c>
      <c r="F104" s="33" t="s">
        <v>46</v>
      </c>
    </row>
    <row r="105" spans="4:6" x14ac:dyDescent="0.3">
      <c r="D105" s="30" t="str">
        <f>SD1_BA!C1297</f>
        <v>Supplies Category 7</v>
      </c>
      <c r="F105" s="33" t="s">
        <v>46</v>
      </c>
    </row>
    <row r="106" spans="4:6" x14ac:dyDescent="0.3">
      <c r="D106" s="30" t="str">
        <f>SD1_BA!C1298</f>
        <v>Supplies Category 8</v>
      </c>
      <c r="F106" s="33" t="s">
        <v>46</v>
      </c>
    </row>
    <row r="107" spans="4:6" x14ac:dyDescent="0.3">
      <c r="D107" s="30" t="str">
        <f>SD1_BA!C1299</f>
        <v>Supplies Category 9</v>
      </c>
      <c r="F107" s="33" t="s">
        <v>46</v>
      </c>
    </row>
    <row r="108" spans="4:6" x14ac:dyDescent="0.3">
      <c r="D108" s="30" t="str">
        <f>SD1_BA!C1300</f>
        <v>Supplies Category 10</v>
      </c>
      <c r="F108" s="33" t="s">
        <v>46</v>
      </c>
    </row>
    <row r="109" spans="4:6" x14ac:dyDescent="0.3">
      <c r="D109" s="30" t="str">
        <f>SD1_BA!C1301</f>
        <v>Supplies Category 11</v>
      </c>
      <c r="F109" s="33" t="s">
        <v>46</v>
      </c>
    </row>
    <row r="110" spans="4:6" x14ac:dyDescent="0.3">
      <c r="D110" s="30" t="str">
        <f>SD1_BA!C1302</f>
        <v>Supplies Category 12</v>
      </c>
      <c r="F110" s="33" t="s">
        <v>46</v>
      </c>
    </row>
    <row r="111" spans="4:6" x14ac:dyDescent="0.3">
      <c r="D111" s="30" t="str">
        <f>SD1_BA!C1303</f>
        <v>Supplies Category 13</v>
      </c>
      <c r="F111" s="33" t="s">
        <v>46</v>
      </c>
    </row>
    <row r="112" spans="4:6" x14ac:dyDescent="0.3">
      <c r="D112" s="30" t="str">
        <f>SD1_BA!C1304</f>
        <v>Supplies Category 14</v>
      </c>
      <c r="F112" s="33" t="s">
        <v>46</v>
      </c>
    </row>
    <row r="113" spans="4:6" x14ac:dyDescent="0.3">
      <c r="D113" s="30" t="str">
        <f>SD1_BA!C1305</f>
        <v>Supplies Category 15</v>
      </c>
      <c r="F113" s="33" t="s">
        <v>46</v>
      </c>
    </row>
    <row r="114" spans="4:6" x14ac:dyDescent="0.3">
      <c r="D114" s="30" t="str">
        <f>SD1_BA!C1306</f>
        <v>Supplies Category 16</v>
      </c>
      <c r="F114" s="33" t="s">
        <v>46</v>
      </c>
    </row>
    <row r="115" spans="4:6" x14ac:dyDescent="0.3">
      <c r="D115" s="282" t="str">
        <f>SD1_BA!C1307</f>
        <v>Supplies Category 17</v>
      </c>
      <c r="F115" s="119"/>
    </row>
    <row r="116" spans="4:6" x14ac:dyDescent="0.3">
      <c r="D116" s="282" t="str">
        <f>SD1_BA!C1308</f>
        <v>Supplies Category 18</v>
      </c>
      <c r="F116" s="119"/>
    </row>
    <row r="117" spans="4:6" x14ac:dyDescent="0.3">
      <c r="D117" s="282" t="str">
        <f>SD1_BA!C1309</f>
        <v>Supplies Category 19</v>
      </c>
      <c r="F117" s="119"/>
    </row>
    <row r="118" spans="4:6" x14ac:dyDescent="0.3">
      <c r="D118" s="282" t="str">
        <f>SD1_BA!C1310</f>
        <v>Supplies Category 20</v>
      </c>
      <c r="F118" s="119"/>
    </row>
    <row r="119" spans="4:6" x14ac:dyDescent="0.3">
      <c r="D119" s="282" t="str">
        <f>SD1_BA!C1311</f>
        <v>Supplies Category 21</v>
      </c>
      <c r="F119" s="119"/>
    </row>
    <row r="120" spans="4:6" x14ac:dyDescent="0.3">
      <c r="D120" s="282" t="str">
        <f>SD1_BA!C1312</f>
        <v>Supplies Category 22</v>
      </c>
      <c r="F120" s="119"/>
    </row>
    <row r="121" spans="4:6" x14ac:dyDescent="0.3">
      <c r="D121" s="282" t="str">
        <f>SD1_BA!C1313</f>
        <v>Supplies Category 23</v>
      </c>
      <c r="F121" s="119"/>
    </row>
    <row r="122" spans="4:6" x14ac:dyDescent="0.3">
      <c r="D122" s="282" t="str">
        <f>SD1_BA!C1314</f>
        <v>Supplies Category 24</v>
      </c>
      <c r="F122" s="119"/>
    </row>
    <row r="123" spans="4:6" x14ac:dyDescent="0.3">
      <c r="D123" s="282" t="str">
        <f>SD1_BA!C1315</f>
        <v>Supplies Category 25</v>
      </c>
      <c r="F123" s="119"/>
    </row>
    <row r="124" spans="4:6" x14ac:dyDescent="0.3">
      <c r="D124" s="282" t="str">
        <f>SD1_BA!C1316</f>
        <v>Supplies Category 26</v>
      </c>
      <c r="F124" s="119"/>
    </row>
    <row r="125" spans="4:6" x14ac:dyDescent="0.3">
      <c r="D125" s="282" t="str">
        <f>SD1_BA!C1317</f>
        <v>Supplies Category 27</v>
      </c>
      <c r="F125" s="119"/>
    </row>
    <row r="126" spans="4:6" x14ac:dyDescent="0.3">
      <c r="D126" s="282" t="str">
        <f>SD1_BA!C1318</f>
        <v>Supplies Category 28</v>
      </c>
      <c r="F126" s="119"/>
    </row>
    <row r="127" spans="4:6" x14ac:dyDescent="0.3">
      <c r="D127" s="282" t="str">
        <f>SD1_BA!C1319</f>
        <v>Supplies Category 29</v>
      </c>
      <c r="F127" s="119"/>
    </row>
    <row r="128" spans="4:6" x14ac:dyDescent="0.3">
      <c r="D128" s="282" t="str">
        <f>SD1_BA!C1320</f>
        <v>Supplies Category 30</v>
      </c>
      <c r="F128" s="119"/>
    </row>
    <row r="129" spans="3:6" x14ac:dyDescent="0.3">
      <c r="D129" s="282" t="str">
        <f>SD1_BA!C1321</f>
        <v>Supplies Category 31</v>
      </c>
      <c r="F129" s="119"/>
    </row>
    <row r="130" spans="3:6" x14ac:dyDescent="0.3">
      <c r="D130" s="282" t="str">
        <f>SD1_BA!C1322</f>
        <v>Supplies Category 32</v>
      </c>
      <c r="F130" s="119"/>
    </row>
    <row r="131" spans="3:6" x14ac:dyDescent="0.3">
      <c r="D131" s="282" t="str">
        <f>SD1_BA!C1323</f>
        <v>Supplies Category 33</v>
      </c>
      <c r="F131" s="119"/>
    </row>
    <row r="132" spans="3:6" x14ac:dyDescent="0.3">
      <c r="D132" s="282" t="str">
        <f>SD1_BA!C1324</f>
        <v>Supplies Category 34</v>
      </c>
      <c r="F132" s="119"/>
    </row>
    <row r="133" spans="3:6" x14ac:dyDescent="0.3">
      <c r="D133" s="282" t="str">
        <f>SD1_BA!C1325</f>
        <v>Supplies Category 35</v>
      </c>
      <c r="F133" s="119"/>
    </row>
    <row r="136" spans="3:6" ht="15.6" x14ac:dyDescent="0.3">
      <c r="C136" s="115" t="s">
        <v>130</v>
      </c>
      <c r="F136" s="115" t="s">
        <v>28</v>
      </c>
    </row>
    <row r="138" spans="3:6" x14ac:dyDescent="0.3">
      <c r="D138" s="116" t="s">
        <v>95</v>
      </c>
      <c r="F138" s="119" t="s">
        <v>292</v>
      </c>
    </row>
    <row r="139" spans="3:6" x14ac:dyDescent="0.3">
      <c r="D139" s="30" t="str">
        <f>SD1_BA!C1328</f>
        <v>Equipment Category 1</v>
      </c>
      <c r="F139" s="33" t="s">
        <v>46</v>
      </c>
    </row>
    <row r="140" spans="3:6" x14ac:dyDescent="0.3">
      <c r="D140" s="30" t="str">
        <f>SD1_BA!C1329</f>
        <v>Equipment Category 2</v>
      </c>
      <c r="F140" s="33" t="s">
        <v>46</v>
      </c>
    </row>
    <row r="141" spans="3:6" x14ac:dyDescent="0.3">
      <c r="D141" s="30" t="str">
        <f>SD1_BA!C1330</f>
        <v>Equipment Category 3</v>
      </c>
      <c r="F141" s="33" t="s">
        <v>46</v>
      </c>
    </row>
    <row r="142" spans="3:6" x14ac:dyDescent="0.3">
      <c r="D142" s="30" t="str">
        <f>SD1_BA!C1331</f>
        <v>Equipment Category 4</v>
      </c>
      <c r="F142" s="33" t="s">
        <v>46</v>
      </c>
    </row>
    <row r="143" spans="3:6" x14ac:dyDescent="0.3">
      <c r="D143" s="30" t="str">
        <f>SD1_BA!C1332</f>
        <v>Equipment Category 5</v>
      </c>
      <c r="F143" s="33" t="s">
        <v>46</v>
      </c>
    </row>
    <row r="144" spans="3:6" x14ac:dyDescent="0.3">
      <c r="D144" s="30" t="str">
        <f>SD1_BA!C1333</f>
        <v>Equipment Category 6</v>
      </c>
      <c r="F144" s="33" t="s">
        <v>46</v>
      </c>
    </row>
    <row r="145" spans="4:6" x14ac:dyDescent="0.3">
      <c r="D145" s="282" t="str">
        <f>SD1_BA!C1334</f>
        <v>Equipment Category 7</v>
      </c>
      <c r="F145" s="119"/>
    </row>
    <row r="146" spans="4:6" x14ac:dyDescent="0.3">
      <c r="D146" s="282" t="str">
        <f>SD1_BA!C1335</f>
        <v>Equipment Category 8</v>
      </c>
      <c r="F146" s="119"/>
    </row>
    <row r="147" spans="4:6" x14ac:dyDescent="0.3">
      <c r="D147" s="282" t="str">
        <f>SD1_BA!C1336</f>
        <v>Equipment Category 9</v>
      </c>
      <c r="F147" s="119"/>
    </row>
    <row r="148" spans="4:6" x14ac:dyDescent="0.3">
      <c r="D148" s="282" t="str">
        <f>SD1_BA!C1337</f>
        <v>Equipment Category 10</v>
      </c>
      <c r="F148" s="119"/>
    </row>
    <row r="149" spans="4:6" x14ac:dyDescent="0.3">
      <c r="D149" s="282" t="str">
        <f>SD1_BA!C1338</f>
        <v>Equipment Category 11</v>
      </c>
      <c r="F149" s="119"/>
    </row>
    <row r="150" spans="4:6" x14ac:dyDescent="0.3">
      <c r="D150" s="282" t="str">
        <f>SD1_BA!C1339</f>
        <v>Equipment Category 12</v>
      </c>
      <c r="F150" s="119"/>
    </row>
    <row r="151" spans="4:6" x14ac:dyDescent="0.3">
      <c r="D151" s="282" t="str">
        <f>SD1_BA!C1340</f>
        <v>Equipment Category 13</v>
      </c>
      <c r="F151" s="119"/>
    </row>
    <row r="152" spans="4:6" x14ac:dyDescent="0.3">
      <c r="D152" s="282" t="str">
        <f>SD1_BA!C1341</f>
        <v>Equipment Category 14</v>
      </c>
      <c r="F152" s="119"/>
    </row>
    <row r="153" spans="4:6" x14ac:dyDescent="0.3">
      <c r="D153" s="282" t="str">
        <f>SD1_BA!C1342</f>
        <v>Equipment Category 15</v>
      </c>
      <c r="F153" s="119"/>
    </row>
    <row r="154" spans="4:6" x14ac:dyDescent="0.3">
      <c r="D154" s="282" t="str">
        <f>SD1_BA!C1343</f>
        <v>Equipment Category 16</v>
      </c>
      <c r="F154" s="119"/>
    </row>
    <row r="155" spans="4:6" x14ac:dyDescent="0.3">
      <c r="D155" s="282" t="str">
        <f>SD1_BA!C1344</f>
        <v>Equipment Category 17</v>
      </c>
      <c r="F155" s="119"/>
    </row>
    <row r="156" spans="4:6" x14ac:dyDescent="0.3">
      <c r="D156" s="282" t="str">
        <f>SD1_BA!C1345</f>
        <v>Equipment Category 18</v>
      </c>
      <c r="F156" s="119"/>
    </row>
    <row r="157" spans="4:6" x14ac:dyDescent="0.3">
      <c r="D157" s="282" t="str">
        <f>SD1_BA!C1346</f>
        <v>Equipment Category 19</v>
      </c>
      <c r="F157" s="119"/>
    </row>
    <row r="158" spans="4:6" x14ac:dyDescent="0.3">
      <c r="D158" s="282" t="str">
        <f>SD1_BA!C1347</f>
        <v>Equipment Category 20</v>
      </c>
      <c r="F158" s="119"/>
    </row>
    <row r="159" spans="4:6" x14ac:dyDescent="0.3">
      <c r="D159" s="282" t="str">
        <f>SD1_BA!C1348</f>
        <v>Equipment Category 21</v>
      </c>
      <c r="F159" s="119"/>
    </row>
    <row r="160" spans="4:6" x14ac:dyDescent="0.3">
      <c r="D160" s="282" t="str">
        <f>SD1_BA!C1349</f>
        <v>Equipment Category 22</v>
      </c>
      <c r="F160" s="119"/>
    </row>
    <row r="161" spans="3:6" x14ac:dyDescent="0.3">
      <c r="D161" s="282" t="str">
        <f>SD1_BA!C1350</f>
        <v>Equipment Category 23</v>
      </c>
      <c r="F161" s="119"/>
    </row>
    <row r="162" spans="3:6" x14ac:dyDescent="0.3">
      <c r="D162" s="282" t="str">
        <f>SD1_BA!C1351</f>
        <v>Equipment Category 24</v>
      </c>
      <c r="F162" s="119"/>
    </row>
    <row r="163" spans="3:6" x14ac:dyDescent="0.3">
      <c r="D163" s="282" t="str">
        <f>SD1_BA!C1352</f>
        <v>Equipment Category 25</v>
      </c>
      <c r="F163" s="119"/>
    </row>
    <row r="164" spans="3:6" x14ac:dyDescent="0.3">
      <c r="D164" s="282" t="str">
        <f>SD1_BA!C1353</f>
        <v>Equipment Category 26</v>
      </c>
      <c r="F164" s="119"/>
    </row>
    <row r="165" spans="3:6" x14ac:dyDescent="0.3">
      <c r="D165" s="282" t="str">
        <f>SD1_BA!C1354</f>
        <v>Equipment Category 27</v>
      </c>
      <c r="F165" s="119"/>
    </row>
    <row r="166" spans="3:6" x14ac:dyDescent="0.3">
      <c r="D166" s="282" t="str">
        <f>SD1_BA!C1355</f>
        <v>Equipment Category 28</v>
      </c>
      <c r="F166" s="119"/>
    </row>
    <row r="167" spans="3:6" x14ac:dyDescent="0.3">
      <c r="D167" s="282" t="str">
        <f>SD1_BA!C1356</f>
        <v>Equipment Category 29</v>
      </c>
      <c r="F167" s="119"/>
    </row>
    <row r="168" spans="3:6" x14ac:dyDescent="0.3">
      <c r="D168" s="282" t="str">
        <f>SD1_BA!C1357</f>
        <v>Equipment Category 30</v>
      </c>
      <c r="F168" s="119"/>
    </row>
    <row r="169" spans="3:6" x14ac:dyDescent="0.3">
      <c r="D169" s="282" t="str">
        <f>SD1_BA!C1358</f>
        <v>Equipment Category 31</v>
      </c>
      <c r="F169" s="119"/>
    </row>
    <row r="170" spans="3:6" x14ac:dyDescent="0.3">
      <c r="D170" s="282" t="str">
        <f>SD1_BA!C1359</f>
        <v>Equipment Category 32</v>
      </c>
      <c r="F170" s="119"/>
    </row>
    <row r="171" spans="3:6" x14ac:dyDescent="0.3">
      <c r="D171" s="282" t="str">
        <f>SD1_BA!C1360</f>
        <v>Equipment Category 33</v>
      </c>
      <c r="F171" s="119"/>
    </row>
    <row r="172" spans="3:6" x14ac:dyDescent="0.3">
      <c r="D172" s="282" t="str">
        <f>SD1_BA!C1361</f>
        <v>Equipment Category 34</v>
      </c>
      <c r="F172" s="119"/>
    </row>
    <row r="173" spans="3:6" x14ac:dyDescent="0.3">
      <c r="D173" s="282" t="str">
        <f>SD1_BA!C1362</f>
        <v>Equipment Category 35</v>
      </c>
      <c r="F173" s="119"/>
    </row>
    <row r="175" spans="3:6" ht="15.6" x14ac:dyDescent="0.3">
      <c r="C175" s="115" t="s">
        <v>89</v>
      </c>
      <c r="F175" s="115" t="s">
        <v>28</v>
      </c>
    </row>
    <row r="177" spans="4:6" x14ac:dyDescent="0.3">
      <c r="D177" s="116" t="s">
        <v>95</v>
      </c>
      <c r="F177" s="119" t="s">
        <v>293</v>
      </c>
    </row>
    <row r="178" spans="4:6" x14ac:dyDescent="0.3">
      <c r="D178" s="30" t="str">
        <f>SD1_BA!C1366</f>
        <v>Other Direct Costs Category 1</v>
      </c>
      <c r="F178" s="33" t="s">
        <v>46</v>
      </c>
    </row>
    <row r="179" spans="4:6" x14ac:dyDescent="0.3">
      <c r="D179" s="30" t="str">
        <f>SD1_BA!C1367</f>
        <v>Other Direct Costs Category 2</v>
      </c>
      <c r="F179" s="33" t="s">
        <v>46</v>
      </c>
    </row>
    <row r="180" spans="4:6" x14ac:dyDescent="0.3">
      <c r="D180" s="30" t="str">
        <f>SD1_BA!C1368</f>
        <v>Other Direct Costs Category 3</v>
      </c>
      <c r="F180" s="33" t="s">
        <v>46</v>
      </c>
    </row>
    <row r="181" spans="4:6" x14ac:dyDescent="0.3">
      <c r="D181" s="282" t="str">
        <f>SD1_BA!C1369</f>
        <v>Other Direct Costs Category 4</v>
      </c>
      <c r="F181" s="119"/>
    </row>
    <row r="182" spans="4:6" x14ac:dyDescent="0.3">
      <c r="D182" s="282" t="str">
        <f>SD1_BA!C1370</f>
        <v>Other Direct Costs Category 5</v>
      </c>
      <c r="F182" s="119"/>
    </row>
    <row r="183" spans="4:6" x14ac:dyDescent="0.3">
      <c r="D183" s="282" t="str">
        <f>SD1_BA!C1371</f>
        <v>Other Direct Costs Category 6</v>
      </c>
      <c r="F183" s="119"/>
    </row>
    <row r="184" spans="4:6" x14ac:dyDescent="0.3">
      <c r="D184" s="282" t="str">
        <f>SD1_BA!C1372</f>
        <v>Other Direct Costs Category 7</v>
      </c>
      <c r="F184" s="119"/>
    </row>
    <row r="185" spans="4:6" x14ac:dyDescent="0.3">
      <c r="D185" s="282" t="str">
        <f>SD1_BA!C1373</f>
        <v>Other Direct Costs Category 8</v>
      </c>
      <c r="F185" s="119"/>
    </row>
    <row r="186" spans="4:6" x14ac:dyDescent="0.3">
      <c r="D186" s="282" t="str">
        <f>SD1_BA!C1374</f>
        <v>Other Direct Costs Category 9</v>
      </c>
      <c r="F186" s="119"/>
    </row>
    <row r="187" spans="4:6" x14ac:dyDescent="0.3">
      <c r="D187" s="282" t="str">
        <f>SD1_BA!C1375</f>
        <v>Other Direct Costs Category 10</v>
      </c>
      <c r="F187" s="119"/>
    </row>
    <row r="188" spans="4:6" x14ac:dyDescent="0.3">
      <c r="D188" s="282" t="str">
        <f>SD1_BA!C1376</f>
        <v>Other Direct Costs Category 11</v>
      </c>
      <c r="F188" s="119"/>
    </row>
    <row r="189" spans="4:6" x14ac:dyDescent="0.3">
      <c r="D189" s="282" t="str">
        <f>SD1_BA!C1377</f>
        <v>Other Direct Costs Category 12</v>
      </c>
      <c r="F189" s="119"/>
    </row>
    <row r="190" spans="4:6" x14ac:dyDescent="0.3">
      <c r="D190" s="282" t="str">
        <f>SD1_BA!C1378</f>
        <v>Other Direct Costs Category 13</v>
      </c>
      <c r="F190" s="119"/>
    </row>
    <row r="191" spans="4:6" x14ac:dyDescent="0.3">
      <c r="D191" s="282" t="str">
        <f>SD1_BA!C1379</f>
        <v>Other Direct Costs Category 14</v>
      </c>
      <c r="F191" s="119"/>
    </row>
    <row r="192" spans="4:6" x14ac:dyDescent="0.3">
      <c r="D192" s="282" t="str">
        <f>SD1_BA!C1380</f>
        <v>Other Direct Costs Category 15</v>
      </c>
      <c r="F192" s="119"/>
    </row>
    <row r="193" spans="4:6" x14ac:dyDescent="0.3">
      <c r="D193" s="282" t="str">
        <f>SD1_BA!C1381</f>
        <v>Other Direct Costs Category 16</v>
      </c>
      <c r="F193" s="119"/>
    </row>
    <row r="194" spans="4:6" x14ac:dyDescent="0.3">
      <c r="D194" s="282" t="str">
        <f>SD1_BA!C1382</f>
        <v>Other Direct Costs Category 17</v>
      </c>
      <c r="F194" s="119"/>
    </row>
    <row r="195" spans="4:6" x14ac:dyDescent="0.3">
      <c r="D195" s="282" t="str">
        <f>SD1_BA!C1383</f>
        <v>Other Direct Costs Category 18</v>
      </c>
      <c r="F195" s="119"/>
    </row>
    <row r="196" spans="4:6" x14ac:dyDescent="0.3">
      <c r="D196" s="282" t="str">
        <f>SD1_BA!C1384</f>
        <v>Other Direct Costs Category 19</v>
      </c>
      <c r="F196" s="119"/>
    </row>
    <row r="197" spans="4:6" x14ac:dyDescent="0.3">
      <c r="D197" s="282" t="str">
        <f>SD1_BA!C1385</f>
        <v>Other Direct Costs Category 20</v>
      </c>
      <c r="F197" s="119"/>
    </row>
    <row r="198" spans="4:6" x14ac:dyDescent="0.3">
      <c r="D198" s="282" t="str">
        <f>SD1_BA!C1386</f>
        <v>Other Direct Costs Category 21</v>
      </c>
      <c r="F198" s="119"/>
    </row>
    <row r="199" spans="4:6" x14ac:dyDescent="0.3">
      <c r="D199" s="282" t="str">
        <f>SD1_BA!C1387</f>
        <v>Other Direct Costs Category 22</v>
      </c>
      <c r="F199" s="119"/>
    </row>
    <row r="200" spans="4:6" x14ac:dyDescent="0.3">
      <c r="D200" s="282" t="str">
        <f>SD1_BA!C1388</f>
        <v>Other Direct Costs Category 23</v>
      </c>
      <c r="F200" s="119"/>
    </row>
    <row r="201" spans="4:6" x14ac:dyDescent="0.3">
      <c r="D201" s="282" t="str">
        <f>SD1_BA!C1389</f>
        <v>Other Direct Costs Category 24</v>
      </c>
      <c r="F201" s="119"/>
    </row>
    <row r="202" spans="4:6" x14ac:dyDescent="0.3">
      <c r="D202" s="282" t="str">
        <f>SD1_BA!C1390</f>
        <v>Other Direct Costs Category 25</v>
      </c>
      <c r="F202" s="119"/>
    </row>
    <row r="203" spans="4:6" x14ac:dyDescent="0.3">
      <c r="D203" s="282" t="str">
        <f>SD1_BA!C1391</f>
        <v>Other Direct Costs Category 26</v>
      </c>
      <c r="F203" s="119"/>
    </row>
    <row r="204" spans="4:6" x14ac:dyDescent="0.3">
      <c r="D204" s="282" t="str">
        <f>SD1_BA!C1392</f>
        <v>Other Direct Costs Category 27</v>
      </c>
      <c r="F204" s="119"/>
    </row>
    <row r="205" spans="4:6" x14ac:dyDescent="0.3">
      <c r="D205" s="282" t="str">
        <f>SD1_BA!C1393</f>
        <v>Other Direct Costs Category 28</v>
      </c>
      <c r="F205" s="119"/>
    </row>
    <row r="206" spans="4:6" x14ac:dyDescent="0.3">
      <c r="D206" s="282" t="str">
        <f>SD1_BA!C1394</f>
        <v>Other Direct Costs Category 29</v>
      </c>
      <c r="F206" s="119"/>
    </row>
    <row r="207" spans="4:6" x14ac:dyDescent="0.3">
      <c r="D207" s="282" t="str">
        <f>SD1_BA!C1395</f>
        <v>Other Direct Costs Category 30</v>
      </c>
      <c r="F207" s="119"/>
    </row>
    <row r="208" spans="4:6" x14ac:dyDescent="0.3">
      <c r="D208" s="282" t="str">
        <f>SD1_BA!C1396</f>
        <v>Other Direct Costs Category 31</v>
      </c>
      <c r="F208" s="119"/>
    </row>
    <row r="209" spans="4:6" x14ac:dyDescent="0.3">
      <c r="D209" s="282" t="str">
        <f>SD1_BA!C1397</f>
        <v>Other Direct Costs Category 32</v>
      </c>
      <c r="F209" s="119"/>
    </row>
    <row r="210" spans="4:6" x14ac:dyDescent="0.3">
      <c r="D210" s="282" t="str">
        <f>SD1_BA!C1398</f>
        <v>Other Direct Costs Category 33</v>
      </c>
      <c r="F210" s="119"/>
    </row>
    <row r="211" spans="4:6" x14ac:dyDescent="0.3">
      <c r="D211" s="282" t="str">
        <f>SD1_BA!C1399</f>
        <v>Other Direct Costs Category 34</v>
      </c>
      <c r="F211" s="119"/>
    </row>
    <row r="212" spans="4:6" x14ac:dyDescent="0.3">
      <c r="D212" s="282" t="str">
        <f>SD1_BA!C1400</f>
        <v>Other Direct Costs Category 35</v>
      </c>
      <c r="F212" s="119"/>
    </row>
  </sheetData>
  <sheetProtection algorithmName="SHA-512" hashValue="LSJ6QtRfQ6yy9jXWVsUVgDBLiq4pqGoqVFOPdZXdwFVPcl6nxqhx/hdEmJ6CA0a98joY7n1gOL/WMIZSp4LF1Q==" saltValue="53YbG0BlRMmwydBgCSnH1A==" spinCount="100000" sheet="1" objects="1" scenarios="1" formatColumns="0" formatRows="0"/>
  <mergeCells count="1">
    <mergeCell ref="B3:D3"/>
  </mergeCells>
  <hyperlinks>
    <hyperlink ref="A4" location="$B$5" tooltip="Go to Top of Sheet" display="$B$5" xr:uid="{00000000-0004-0000-3200-000000000000}"/>
    <hyperlink ref="B4" location="HL_Sheet_Main_28" tooltip="Go to Previous Sheet" display="HL_Sheet_Main_28" xr:uid="{00000000-0004-0000-3200-000001000000}"/>
    <hyperlink ref="C4" location="HL_Sheet_Main_56" tooltip="Go to Next Sheet" display="HL_Sheet_Main_56" xr:uid="{00000000-0004-0000-3200-000002000000}"/>
    <hyperlink ref="B3" location="HL_Home" tooltip="Go to Table of Contents" display="HL_Home" xr:uid="{00000000-0004-0000-32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660</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662</v>
      </c>
    </row>
    <row r="9" spans="1:6" ht="15.6" x14ac:dyDescent="0.3">
      <c r="C9" s="115" t="s">
        <v>93</v>
      </c>
    </row>
    <row r="11" spans="1:6" ht="15.6" x14ac:dyDescent="0.3">
      <c r="C11" s="115" t="s">
        <v>93</v>
      </c>
      <c r="F11" s="115" t="s">
        <v>28</v>
      </c>
    </row>
    <row r="13" spans="1:6" x14ac:dyDescent="0.3">
      <c r="D13" s="116" t="s">
        <v>95</v>
      </c>
      <c r="F13" s="119" t="s">
        <v>478</v>
      </c>
    </row>
    <row r="14" spans="1:6" x14ac:dyDescent="0.3">
      <c r="D14" s="30" t="str">
        <f>SD1_BA!D1559</f>
        <v>USD</v>
      </c>
      <c r="F14" s="33" t="s">
        <v>46</v>
      </c>
    </row>
    <row r="15" spans="1:6" x14ac:dyDescent="0.3">
      <c r="D15" s="30" t="str">
        <f>SD1_BA!D1560</f>
        <v>GOZ</v>
      </c>
      <c r="F15" s="33" t="s">
        <v>46</v>
      </c>
    </row>
    <row r="17" spans="3:6" ht="15.6" x14ac:dyDescent="0.3">
      <c r="C17" s="115" t="s">
        <v>77</v>
      </c>
      <c r="F17" s="115" t="s">
        <v>28</v>
      </c>
    </row>
    <row r="19" spans="3:6" x14ac:dyDescent="0.3">
      <c r="D19" s="116" t="s">
        <v>95</v>
      </c>
      <c r="F19" s="119" t="s">
        <v>479</v>
      </c>
    </row>
    <row r="20" spans="3:6" x14ac:dyDescent="0.3">
      <c r="D20" s="30" t="str">
        <f>SD1_BA!C1565</f>
        <v>Personnel Cadre - Other 1</v>
      </c>
      <c r="F20" s="33" t="s">
        <v>46</v>
      </c>
    </row>
    <row r="21" spans="3:6" x14ac:dyDescent="0.3">
      <c r="D21" s="30" t="str">
        <f>SD1_BA!C1566</f>
        <v>Personnel Cadre - Other 2</v>
      </c>
      <c r="F21" s="33" t="s">
        <v>46</v>
      </c>
    </row>
    <row r="22" spans="3:6" x14ac:dyDescent="0.3">
      <c r="D22" s="30" t="str">
        <f>SD1_BA!C1567</f>
        <v>Personnel Cadre - Other 3</v>
      </c>
      <c r="F22" s="33" t="s">
        <v>46</v>
      </c>
    </row>
    <row r="23" spans="3:6" x14ac:dyDescent="0.3">
      <c r="D23" s="30" t="str">
        <f>SD1_BA!C1568</f>
        <v>Personnel Cadre - Other 4</v>
      </c>
      <c r="F23" s="33" t="s">
        <v>46</v>
      </c>
    </row>
    <row r="24" spans="3:6" x14ac:dyDescent="0.3">
      <c r="D24" s="30" t="str">
        <f>SD1_BA!C1569</f>
        <v>Personnel Cadre - Other 5</v>
      </c>
      <c r="F24" s="33" t="s">
        <v>46</v>
      </c>
    </row>
    <row r="25" spans="3:6" x14ac:dyDescent="0.3">
      <c r="D25" s="30" t="str">
        <f>SD1_BA!C1570</f>
        <v>Personnel Cadre - Other 6</v>
      </c>
      <c r="F25" s="33" t="s">
        <v>46</v>
      </c>
    </row>
    <row r="26" spans="3:6" x14ac:dyDescent="0.3">
      <c r="D26" s="30" t="str">
        <f>SD1_BA!C1571</f>
        <v>Personnel Cadre - Other 7</v>
      </c>
      <c r="F26" s="33" t="s">
        <v>46</v>
      </c>
    </row>
    <row r="27" spans="3:6" x14ac:dyDescent="0.3">
      <c r="D27" s="30" t="str">
        <f>SD1_BA!C1572</f>
        <v>Personnel Cadre - Other 8</v>
      </c>
      <c r="F27" s="33" t="s">
        <v>46</v>
      </c>
    </row>
    <row r="28" spans="3:6" x14ac:dyDescent="0.3">
      <c r="D28" s="30" t="str">
        <f>SD1_BA!C1573</f>
        <v>Personnel Cadre - Other 9</v>
      </c>
      <c r="F28" s="33" t="s">
        <v>46</v>
      </c>
    </row>
    <row r="29" spans="3:6" x14ac:dyDescent="0.3">
      <c r="D29" s="30" t="str">
        <f>SD1_BA!C1574</f>
        <v>Personnel Cadre - Other 10</v>
      </c>
      <c r="F29" s="33" t="s">
        <v>46</v>
      </c>
    </row>
    <row r="30" spans="3:6" x14ac:dyDescent="0.3">
      <c r="D30" s="30" t="str">
        <f>SD1_BA!C1575</f>
        <v>Personnel Cadre - Other 11</v>
      </c>
      <c r="F30" s="33" t="s">
        <v>46</v>
      </c>
    </row>
    <row r="31" spans="3:6" x14ac:dyDescent="0.3">
      <c r="D31" s="30" t="str">
        <f>SD1_BA!C1576</f>
        <v>Personnel Cadre - Other 12</v>
      </c>
      <c r="F31" s="33" t="s">
        <v>46</v>
      </c>
    </row>
    <row r="32" spans="3:6" x14ac:dyDescent="0.3">
      <c r="D32" s="30" t="str">
        <f>SD1_BA!C1577</f>
        <v>Personnel Cadre - Other 13</v>
      </c>
      <c r="F32" s="33" t="s">
        <v>46</v>
      </c>
    </row>
    <row r="33" spans="4:6" x14ac:dyDescent="0.3">
      <c r="D33" s="30" t="str">
        <f>SD1_BA!C1578</f>
        <v>Personnel Cadre - Other 14</v>
      </c>
      <c r="F33" s="33" t="s">
        <v>46</v>
      </c>
    </row>
    <row r="34" spans="4:6" x14ac:dyDescent="0.3">
      <c r="D34" s="30" t="str">
        <f>SD1_BA!C1579</f>
        <v>Personnel Cadre - Other 15</v>
      </c>
      <c r="F34" s="33" t="s">
        <v>46</v>
      </c>
    </row>
    <row r="35" spans="4:6" x14ac:dyDescent="0.3">
      <c r="D35" s="282" t="str">
        <f>SD1_BA!C1580</f>
        <v>Personnel Cadre - Other 16</v>
      </c>
      <c r="F35" s="119"/>
    </row>
    <row r="36" spans="4:6" x14ac:dyDescent="0.3">
      <c r="D36" s="282" t="str">
        <f>SD1_BA!C1581</f>
        <v>Personnel Cadre - Other 17</v>
      </c>
      <c r="F36" s="119"/>
    </row>
    <row r="37" spans="4:6" x14ac:dyDescent="0.3">
      <c r="D37" s="282" t="str">
        <f>SD1_BA!C1582</f>
        <v>Personnel Cadre - Other 18</v>
      </c>
      <c r="F37" s="119"/>
    </row>
    <row r="38" spans="4:6" x14ac:dyDescent="0.3">
      <c r="D38" s="282" t="str">
        <f>SD1_BA!C1583</f>
        <v>Personnel Cadre - Other 19</v>
      </c>
      <c r="F38" s="119"/>
    </row>
    <row r="39" spans="4:6" x14ac:dyDescent="0.3">
      <c r="D39" s="282" t="str">
        <f>SD1_BA!C1584</f>
        <v>Personnel Cadre - Other 20</v>
      </c>
      <c r="F39" s="119"/>
    </row>
    <row r="40" spans="4:6" x14ac:dyDescent="0.3">
      <c r="D40" s="282" t="str">
        <f>SD1_BA!C1585</f>
        <v>Personnel Cadre - Other 21</v>
      </c>
      <c r="F40" s="119"/>
    </row>
    <row r="41" spans="4:6" x14ac:dyDescent="0.3">
      <c r="D41" s="282" t="str">
        <f>SD1_BA!C1586</f>
        <v>Personnel Cadre - Other 22</v>
      </c>
      <c r="F41" s="119"/>
    </row>
    <row r="42" spans="4:6" x14ac:dyDescent="0.3">
      <c r="D42" s="282" t="str">
        <f>SD1_BA!C1587</f>
        <v>Personnel Cadre - Other 23</v>
      </c>
      <c r="F42" s="119"/>
    </row>
    <row r="43" spans="4:6" x14ac:dyDescent="0.3">
      <c r="D43" s="282" t="str">
        <f>SD1_BA!C1588</f>
        <v>Personnel Cadre - Other 24</v>
      </c>
      <c r="F43" s="119"/>
    </row>
    <row r="44" spans="4:6" x14ac:dyDescent="0.3">
      <c r="D44" s="282" t="str">
        <f>SD1_BA!C1589</f>
        <v>Personnel Cadre - Other 25</v>
      </c>
      <c r="F44" s="119"/>
    </row>
    <row r="45" spans="4:6" x14ac:dyDescent="0.3">
      <c r="D45" s="282" t="str">
        <f>SD1_BA!C1590</f>
        <v>Personnel Cadre - Other 26</v>
      </c>
      <c r="F45" s="119"/>
    </row>
    <row r="46" spans="4:6" x14ac:dyDescent="0.3">
      <c r="D46" s="282" t="str">
        <f>SD1_BA!C1591</f>
        <v>Personnel Cadre - Other 27</v>
      </c>
      <c r="F46" s="119"/>
    </row>
    <row r="47" spans="4:6" x14ac:dyDescent="0.3">
      <c r="D47" s="282" t="str">
        <f>SD1_BA!C1592</f>
        <v>Personnel Cadre - Other 28</v>
      </c>
      <c r="F47" s="119"/>
    </row>
    <row r="48" spans="4:6" x14ac:dyDescent="0.3">
      <c r="D48" s="282" t="str">
        <f>SD1_BA!C1593</f>
        <v>Personnel Cadre - Other 29</v>
      </c>
      <c r="F48" s="119"/>
    </row>
    <row r="49" spans="3:6" x14ac:dyDescent="0.3">
      <c r="D49" s="282" t="str">
        <f>SD1_BA!C1594</f>
        <v>Personnel Cadre - Other 30</v>
      </c>
      <c r="F49" s="119"/>
    </row>
    <row r="50" spans="3:6" x14ac:dyDescent="0.3">
      <c r="D50" s="282" t="str">
        <f>SD1_BA!C1595</f>
        <v>Personnel Cadre - Other 31</v>
      </c>
      <c r="F50" s="119"/>
    </row>
    <row r="51" spans="3:6" x14ac:dyDescent="0.3">
      <c r="D51" s="282" t="str">
        <f>SD1_BA!C1596</f>
        <v>Personnel Cadre - Other 32</v>
      </c>
      <c r="F51" s="119"/>
    </row>
    <row r="52" spans="3:6" x14ac:dyDescent="0.3">
      <c r="D52" s="282" t="str">
        <f>SD1_BA!C1597</f>
        <v>Personnel Cadre - Other 33</v>
      </c>
      <c r="F52" s="119"/>
    </row>
    <row r="53" spans="3:6" x14ac:dyDescent="0.3">
      <c r="D53" s="282" t="str">
        <f>SD1_BA!C1598</f>
        <v>Personnel Cadre - Other 34</v>
      </c>
      <c r="F53" s="119"/>
    </row>
    <row r="54" spans="3:6" x14ac:dyDescent="0.3">
      <c r="D54" s="282" t="str">
        <f>SD1_BA!C1599</f>
        <v>Personnel Cadre - Other 35</v>
      </c>
      <c r="F54" s="119"/>
    </row>
    <row r="56" spans="3:6" ht="15.6" x14ac:dyDescent="0.3">
      <c r="C56" s="115" t="s">
        <v>94</v>
      </c>
      <c r="F56" s="115" t="s">
        <v>28</v>
      </c>
    </row>
    <row r="58" spans="3:6" x14ac:dyDescent="0.3">
      <c r="D58" s="116" t="s">
        <v>95</v>
      </c>
      <c r="F58" s="119" t="s">
        <v>480</v>
      </c>
    </row>
    <row r="59" spans="3:6" x14ac:dyDescent="0.3">
      <c r="D59" s="30" t="str">
        <f>SD1_BA!C1602</f>
        <v>Allowances Category 1</v>
      </c>
      <c r="F59" s="33" t="s">
        <v>46</v>
      </c>
    </row>
    <row r="60" spans="3:6" x14ac:dyDescent="0.3">
      <c r="D60" s="30" t="str">
        <f>SD1_BA!C1603</f>
        <v>Allowances Category 2</v>
      </c>
      <c r="F60" s="33" t="s">
        <v>46</v>
      </c>
    </row>
    <row r="61" spans="3:6" x14ac:dyDescent="0.3">
      <c r="D61" s="30" t="str">
        <f>SD1_BA!C1604</f>
        <v>Allowances Category 3</v>
      </c>
      <c r="F61" s="33" t="s">
        <v>46</v>
      </c>
    </row>
    <row r="62" spans="3:6" x14ac:dyDescent="0.3">
      <c r="D62" s="30" t="str">
        <f>SD1_BA!C1605</f>
        <v>Allowances Category 4</v>
      </c>
      <c r="F62" s="33" t="s">
        <v>46</v>
      </c>
    </row>
    <row r="63" spans="3:6" x14ac:dyDescent="0.3">
      <c r="D63" s="30" t="str">
        <f>SD1_BA!C1606</f>
        <v>Allowances Category 5</v>
      </c>
      <c r="F63" s="33" t="s">
        <v>46</v>
      </c>
    </row>
    <row r="64" spans="3:6" x14ac:dyDescent="0.3">
      <c r="D64" s="282" t="str">
        <f>SD1_BA!C1607</f>
        <v>Allowances Category 6</v>
      </c>
      <c r="F64" s="119"/>
    </row>
    <row r="65" spans="4:6" x14ac:dyDescent="0.3">
      <c r="D65" s="282" t="str">
        <f>SD1_BA!C1608</f>
        <v>Allowances Category 7</v>
      </c>
      <c r="F65" s="119"/>
    </row>
    <row r="66" spans="4:6" x14ac:dyDescent="0.3">
      <c r="D66" s="282" t="str">
        <f>SD1_BA!C1609</f>
        <v>Allowances Category 8</v>
      </c>
      <c r="F66" s="119"/>
    </row>
    <row r="67" spans="4:6" x14ac:dyDescent="0.3">
      <c r="D67" s="282" t="str">
        <f>SD1_BA!C1610</f>
        <v>Allowances Category 9</v>
      </c>
      <c r="F67" s="119"/>
    </row>
    <row r="68" spans="4:6" x14ac:dyDescent="0.3">
      <c r="D68" s="282" t="str">
        <f>SD1_BA!C1611</f>
        <v>Allowances Category 10</v>
      </c>
      <c r="F68" s="119"/>
    </row>
    <row r="69" spans="4:6" x14ac:dyDescent="0.3">
      <c r="D69" s="282" t="str">
        <f>SD1_BA!C1612</f>
        <v>Allowances Category 11</v>
      </c>
      <c r="F69" s="119"/>
    </row>
    <row r="70" spans="4:6" x14ac:dyDescent="0.3">
      <c r="D70" s="282" t="str">
        <f>SD1_BA!C1613</f>
        <v>Allowances Category 12</v>
      </c>
      <c r="F70" s="119"/>
    </row>
    <row r="71" spans="4:6" x14ac:dyDescent="0.3">
      <c r="D71" s="282" t="str">
        <f>SD1_BA!C1614</f>
        <v>Allowances Category 13</v>
      </c>
      <c r="F71" s="119"/>
    </row>
    <row r="72" spans="4:6" x14ac:dyDescent="0.3">
      <c r="D72" s="282" t="str">
        <f>SD1_BA!C1615</f>
        <v>Allowances Category 14</v>
      </c>
      <c r="F72" s="119"/>
    </row>
    <row r="73" spans="4:6" x14ac:dyDescent="0.3">
      <c r="D73" s="282" t="str">
        <f>SD1_BA!C1616</f>
        <v>Allowances Category 15</v>
      </c>
      <c r="F73" s="119"/>
    </row>
    <row r="74" spans="4:6" x14ac:dyDescent="0.3">
      <c r="D74" s="282" t="str">
        <f>SD1_BA!C1617</f>
        <v>Allowances Category 16</v>
      </c>
      <c r="F74" s="119"/>
    </row>
    <row r="75" spans="4:6" x14ac:dyDescent="0.3">
      <c r="D75" s="30" t="str">
        <f>SD1_BA!C1618</f>
        <v>Allowances Category 17</v>
      </c>
      <c r="F75" s="33" t="s">
        <v>46</v>
      </c>
    </row>
    <row r="76" spans="4:6" x14ac:dyDescent="0.3">
      <c r="D76" s="30" t="str">
        <f>SD1_BA!C1619</f>
        <v>Allowances Category 18</v>
      </c>
      <c r="F76" s="33" t="s">
        <v>46</v>
      </c>
    </row>
    <row r="77" spans="4:6" x14ac:dyDescent="0.3">
      <c r="D77" s="30" t="str">
        <f>SD1_BA!C1620</f>
        <v>Allowances Category 19</v>
      </c>
      <c r="F77" s="33" t="s">
        <v>46</v>
      </c>
    </row>
    <row r="78" spans="4:6" x14ac:dyDescent="0.3">
      <c r="D78" s="30" t="str">
        <f>SD1_BA!C1621</f>
        <v>Allowances Category 20</v>
      </c>
      <c r="F78" s="33" t="s">
        <v>46</v>
      </c>
    </row>
    <row r="79" spans="4:6" x14ac:dyDescent="0.3">
      <c r="D79" s="30" t="str">
        <f>SD1_BA!C1622</f>
        <v>Allowances Category 21</v>
      </c>
      <c r="F79" s="33" t="s">
        <v>46</v>
      </c>
    </row>
    <row r="80" spans="4:6" x14ac:dyDescent="0.3">
      <c r="D80" s="30" t="str">
        <f>SD1_BA!C1623</f>
        <v>Allowances Category 22</v>
      </c>
      <c r="F80" s="33" t="s">
        <v>46</v>
      </c>
    </row>
    <row r="81" spans="3:6" x14ac:dyDescent="0.3">
      <c r="D81" s="30" t="str">
        <f>SD1_BA!C1624</f>
        <v>Allowances Category 23</v>
      </c>
      <c r="F81" s="33" t="s">
        <v>46</v>
      </c>
    </row>
    <row r="82" spans="3:6" x14ac:dyDescent="0.3">
      <c r="D82" s="282" t="str">
        <f>SD1_BA!C1625</f>
        <v>Allowances Category 24</v>
      </c>
      <c r="F82" s="119"/>
    </row>
    <row r="83" spans="3:6" x14ac:dyDescent="0.3">
      <c r="D83" s="282" t="str">
        <f>SD1_BA!C1626</f>
        <v>Allowances Category 25</v>
      </c>
      <c r="F83" s="119"/>
    </row>
    <row r="84" spans="3:6" x14ac:dyDescent="0.3">
      <c r="D84" s="282" t="str">
        <f>SD1_BA!C1627</f>
        <v>Allowances Category 26</v>
      </c>
      <c r="F84" s="119"/>
    </row>
    <row r="85" spans="3:6" x14ac:dyDescent="0.3">
      <c r="D85" s="282" t="str">
        <f>SD1_BA!C1628</f>
        <v>Allowances Category 27</v>
      </c>
      <c r="F85" s="119"/>
    </row>
    <row r="86" spans="3:6" x14ac:dyDescent="0.3">
      <c r="D86" s="282" t="str">
        <f>SD1_BA!C1629</f>
        <v>Allowances Category 28</v>
      </c>
      <c r="F86" s="119"/>
    </row>
    <row r="87" spans="3:6" x14ac:dyDescent="0.3">
      <c r="D87" s="282" t="str">
        <f>SD1_BA!C1630</f>
        <v>Allowances Category 29</v>
      </c>
      <c r="F87" s="119"/>
    </row>
    <row r="88" spans="3:6" x14ac:dyDescent="0.3">
      <c r="D88" s="282" t="str">
        <f>SD1_BA!C1631</f>
        <v>Allowances Category 30</v>
      </c>
      <c r="F88" s="119"/>
    </row>
    <row r="89" spans="3:6" x14ac:dyDescent="0.3">
      <c r="D89" s="30" t="str">
        <f>SD1_BA!C1632</f>
        <v>Allowances Category 31</v>
      </c>
      <c r="F89" s="33" t="s">
        <v>46</v>
      </c>
    </row>
    <row r="90" spans="3:6" x14ac:dyDescent="0.3">
      <c r="D90" s="30" t="str">
        <f>SD1_BA!C1633</f>
        <v>Allowances Category 32</v>
      </c>
      <c r="F90" s="33" t="s">
        <v>46</v>
      </c>
    </row>
    <row r="91" spans="3:6" x14ac:dyDescent="0.3">
      <c r="D91" s="30" t="str">
        <f>SD1_BA!C1634</f>
        <v>Allowances Category 33</v>
      </c>
      <c r="F91" s="33" t="s">
        <v>46</v>
      </c>
    </row>
    <row r="92" spans="3:6" x14ac:dyDescent="0.3">
      <c r="D92" s="30" t="str">
        <f>SD1_BA!C1635</f>
        <v>Allowances Category 34</v>
      </c>
      <c r="F92" s="33" t="s">
        <v>46</v>
      </c>
    </row>
    <row r="93" spans="3:6" x14ac:dyDescent="0.3">
      <c r="D93" s="30" t="str">
        <f>SD1_BA!C1636</f>
        <v>Allowances Category 35</v>
      </c>
      <c r="F93" s="33" t="s">
        <v>46</v>
      </c>
    </row>
    <row r="96" spans="3:6" ht="15.6" x14ac:dyDescent="0.3">
      <c r="C96" s="115" t="s">
        <v>132</v>
      </c>
      <c r="F96" s="115" t="s">
        <v>28</v>
      </c>
    </row>
    <row r="98" spans="4:6" x14ac:dyDescent="0.3">
      <c r="D98" s="116" t="s">
        <v>95</v>
      </c>
      <c r="F98" s="119" t="s">
        <v>481</v>
      </c>
    </row>
    <row r="99" spans="4:6" x14ac:dyDescent="0.3">
      <c r="D99" s="30" t="str">
        <f>SD1_BA!C1640</f>
        <v>Supplies Category 1</v>
      </c>
      <c r="F99" s="33" t="s">
        <v>46</v>
      </c>
    </row>
    <row r="100" spans="4:6" x14ac:dyDescent="0.3">
      <c r="D100" s="30" t="str">
        <f>SD1_BA!C1641</f>
        <v>Supplies Category 2</v>
      </c>
      <c r="F100" s="33" t="s">
        <v>46</v>
      </c>
    </row>
    <row r="101" spans="4:6" x14ac:dyDescent="0.3">
      <c r="D101" s="30" t="str">
        <f>SD1_BA!C1642</f>
        <v>Supplies Category 3</v>
      </c>
      <c r="F101" s="33" t="s">
        <v>46</v>
      </c>
    </row>
    <row r="102" spans="4:6" x14ac:dyDescent="0.3">
      <c r="D102" s="30" t="str">
        <f>SD1_BA!C1643</f>
        <v>Supplies Category 4</v>
      </c>
      <c r="F102" s="33" t="s">
        <v>46</v>
      </c>
    </row>
    <row r="103" spans="4:6" x14ac:dyDescent="0.3">
      <c r="D103" s="30" t="str">
        <f>SD1_BA!C1644</f>
        <v>Supplies Category 5</v>
      </c>
      <c r="F103" s="33" t="s">
        <v>46</v>
      </c>
    </row>
    <row r="104" spans="4:6" x14ac:dyDescent="0.3">
      <c r="D104" s="30" t="str">
        <f>SD1_BA!C1645</f>
        <v>Supplies Category 6</v>
      </c>
      <c r="F104" s="33" t="s">
        <v>46</v>
      </c>
    </row>
    <row r="105" spans="4:6" x14ac:dyDescent="0.3">
      <c r="D105" s="30" t="str">
        <f>SD1_BA!C1646</f>
        <v>Supplies Category 7</v>
      </c>
      <c r="F105" s="33" t="s">
        <v>46</v>
      </c>
    </row>
    <row r="106" spans="4:6" x14ac:dyDescent="0.3">
      <c r="D106" s="30" t="str">
        <f>SD1_BA!C1647</f>
        <v>Supplies Category 8</v>
      </c>
      <c r="F106" s="33" t="s">
        <v>46</v>
      </c>
    </row>
    <row r="107" spans="4:6" x14ac:dyDescent="0.3">
      <c r="D107" s="30" t="str">
        <f>SD1_BA!C1648</f>
        <v>Supplies Category 9</v>
      </c>
      <c r="F107" s="33" t="s">
        <v>46</v>
      </c>
    </row>
    <row r="108" spans="4:6" x14ac:dyDescent="0.3">
      <c r="D108" s="30" t="str">
        <f>SD1_BA!C1649</f>
        <v>Supplies Category 10</v>
      </c>
      <c r="F108" s="33" t="s">
        <v>46</v>
      </c>
    </row>
    <row r="109" spans="4:6" x14ac:dyDescent="0.3">
      <c r="D109" s="30" t="str">
        <f>SD1_BA!C1650</f>
        <v>Supplies Category 11</v>
      </c>
      <c r="F109" s="33" t="s">
        <v>46</v>
      </c>
    </row>
    <row r="110" spans="4:6" x14ac:dyDescent="0.3">
      <c r="D110" s="30" t="str">
        <f>SD1_BA!C1651</f>
        <v>Supplies Category 12</v>
      </c>
      <c r="F110" s="33" t="s">
        <v>46</v>
      </c>
    </row>
    <row r="111" spans="4:6" x14ac:dyDescent="0.3">
      <c r="D111" s="30" t="str">
        <f>SD1_BA!C1652</f>
        <v>Supplies Category 13</v>
      </c>
      <c r="F111" s="33" t="s">
        <v>46</v>
      </c>
    </row>
    <row r="112" spans="4:6" x14ac:dyDescent="0.3">
      <c r="D112" s="30" t="str">
        <f>SD1_BA!C1653</f>
        <v>Supplies Category 14</v>
      </c>
      <c r="F112" s="33" t="s">
        <v>46</v>
      </c>
    </row>
    <row r="113" spans="4:6" x14ac:dyDescent="0.3">
      <c r="D113" s="30" t="str">
        <f>SD1_BA!C1654</f>
        <v>Supplies Category 15</v>
      </c>
      <c r="F113" s="33" t="s">
        <v>46</v>
      </c>
    </row>
    <row r="114" spans="4:6" x14ac:dyDescent="0.3">
      <c r="D114" s="30" t="str">
        <f>SD1_BA!C1655</f>
        <v>Supplies Category 16</v>
      </c>
      <c r="F114" s="33" t="s">
        <v>46</v>
      </c>
    </row>
    <row r="115" spans="4:6" x14ac:dyDescent="0.3">
      <c r="D115" s="282" t="str">
        <f>SD1_BA!C1656</f>
        <v>Supplies Category 17</v>
      </c>
      <c r="F115" s="119"/>
    </row>
    <row r="116" spans="4:6" x14ac:dyDescent="0.3">
      <c r="D116" s="282" t="str">
        <f>SD1_BA!C1657</f>
        <v>Supplies Category 18</v>
      </c>
      <c r="F116" s="119"/>
    </row>
    <row r="117" spans="4:6" x14ac:dyDescent="0.3">
      <c r="D117" s="282" t="str">
        <f>SD1_BA!C1658</f>
        <v>Supplies Category 19</v>
      </c>
      <c r="F117" s="119"/>
    </row>
    <row r="118" spans="4:6" x14ac:dyDescent="0.3">
      <c r="D118" s="282" t="str">
        <f>SD1_BA!C1659</f>
        <v>Supplies Category 20</v>
      </c>
      <c r="F118" s="119"/>
    </row>
    <row r="119" spans="4:6" x14ac:dyDescent="0.3">
      <c r="D119" s="282" t="str">
        <f>SD1_BA!C1660</f>
        <v>Supplies Category 21</v>
      </c>
      <c r="F119" s="119"/>
    </row>
    <row r="120" spans="4:6" x14ac:dyDescent="0.3">
      <c r="D120" s="282" t="str">
        <f>SD1_BA!C1661</f>
        <v>Supplies Category 22</v>
      </c>
      <c r="F120" s="119"/>
    </row>
    <row r="121" spans="4:6" x14ac:dyDescent="0.3">
      <c r="D121" s="282" t="str">
        <f>SD1_BA!C1662</f>
        <v>Supplies Category 23</v>
      </c>
      <c r="F121" s="119"/>
    </row>
    <row r="122" spans="4:6" x14ac:dyDescent="0.3">
      <c r="D122" s="282" t="str">
        <f>SD1_BA!C1663</f>
        <v>Supplies Category 24</v>
      </c>
      <c r="F122" s="119"/>
    </row>
    <row r="123" spans="4:6" x14ac:dyDescent="0.3">
      <c r="D123" s="282" t="str">
        <f>SD1_BA!C1664</f>
        <v>Supplies Category 25</v>
      </c>
      <c r="F123" s="119"/>
    </row>
    <row r="124" spans="4:6" x14ac:dyDescent="0.3">
      <c r="D124" s="282" t="str">
        <f>SD1_BA!C1665</f>
        <v>Supplies Category 26</v>
      </c>
      <c r="F124" s="119"/>
    </row>
    <row r="125" spans="4:6" x14ac:dyDescent="0.3">
      <c r="D125" s="282" t="str">
        <f>SD1_BA!C1666</f>
        <v>Supplies Category 27</v>
      </c>
      <c r="F125" s="119"/>
    </row>
    <row r="126" spans="4:6" x14ac:dyDescent="0.3">
      <c r="D126" s="282" t="str">
        <f>SD1_BA!C1667</f>
        <v>Supplies Category 28</v>
      </c>
      <c r="F126" s="119"/>
    </row>
    <row r="127" spans="4:6" x14ac:dyDescent="0.3">
      <c r="D127" s="282" t="str">
        <f>SD1_BA!C1668</f>
        <v>Supplies Category 29</v>
      </c>
      <c r="F127" s="119"/>
    </row>
    <row r="128" spans="4:6" x14ac:dyDescent="0.3">
      <c r="D128" s="282" t="str">
        <f>SD1_BA!C1669</f>
        <v>Supplies Category 30</v>
      </c>
      <c r="F128" s="119"/>
    </row>
    <row r="129" spans="3:6" x14ac:dyDescent="0.3">
      <c r="D129" s="282" t="str">
        <f>SD1_BA!C1670</f>
        <v>Supplies Category 31</v>
      </c>
      <c r="F129" s="119"/>
    </row>
    <row r="130" spans="3:6" x14ac:dyDescent="0.3">
      <c r="D130" s="282" t="str">
        <f>SD1_BA!C1671</f>
        <v>Supplies Category 32</v>
      </c>
      <c r="F130" s="119"/>
    </row>
    <row r="131" spans="3:6" x14ac:dyDescent="0.3">
      <c r="D131" s="282" t="str">
        <f>SD1_BA!C1672</f>
        <v>Supplies Category 33</v>
      </c>
      <c r="F131" s="119"/>
    </row>
    <row r="132" spans="3:6" x14ac:dyDescent="0.3">
      <c r="D132" s="282" t="str">
        <f>SD1_BA!C1673</f>
        <v>Supplies Category 34</v>
      </c>
      <c r="F132" s="119"/>
    </row>
    <row r="133" spans="3:6" x14ac:dyDescent="0.3">
      <c r="D133" s="282" t="str">
        <f>SD1_BA!C1674</f>
        <v>Supplies Category 35</v>
      </c>
      <c r="F133" s="119"/>
    </row>
    <row r="136" spans="3:6" ht="15.6" x14ac:dyDescent="0.3">
      <c r="C136" s="115" t="s">
        <v>130</v>
      </c>
      <c r="F136" s="115" t="s">
        <v>28</v>
      </c>
    </row>
    <row r="138" spans="3:6" x14ac:dyDescent="0.3">
      <c r="D138" s="116" t="s">
        <v>95</v>
      </c>
      <c r="F138" s="119" t="s">
        <v>482</v>
      </c>
    </row>
    <row r="139" spans="3:6" x14ac:dyDescent="0.3">
      <c r="D139" s="30" t="str">
        <f>SD1_BA!C1677</f>
        <v>Equipment Category 1</v>
      </c>
      <c r="F139" s="33" t="s">
        <v>46</v>
      </c>
    </row>
    <row r="140" spans="3:6" x14ac:dyDescent="0.3">
      <c r="D140" s="30" t="str">
        <f>SD1_BA!C1678</f>
        <v>Equipment Category 2</v>
      </c>
      <c r="F140" s="33" t="s">
        <v>46</v>
      </c>
    </row>
    <row r="141" spans="3:6" x14ac:dyDescent="0.3">
      <c r="D141" s="30" t="str">
        <f>SD1_BA!C1679</f>
        <v>Equipment Category 3</v>
      </c>
      <c r="F141" s="33" t="s">
        <v>46</v>
      </c>
    </row>
    <row r="142" spans="3:6" x14ac:dyDescent="0.3">
      <c r="D142" s="30" t="str">
        <f>SD1_BA!C1680</f>
        <v>Equipment Category 4</v>
      </c>
      <c r="F142" s="33" t="s">
        <v>46</v>
      </c>
    </row>
    <row r="143" spans="3:6" x14ac:dyDescent="0.3">
      <c r="D143" s="30" t="str">
        <f>SD1_BA!C1681</f>
        <v>Equipment Category 5</v>
      </c>
      <c r="F143" s="33" t="s">
        <v>46</v>
      </c>
    </row>
    <row r="144" spans="3:6" x14ac:dyDescent="0.3">
      <c r="D144" s="30" t="str">
        <f>SD1_BA!C1682</f>
        <v>Equipment Category 6</v>
      </c>
      <c r="F144" s="33" t="s">
        <v>46</v>
      </c>
    </row>
    <row r="145" spans="4:6" x14ac:dyDescent="0.3">
      <c r="D145" s="282" t="str">
        <f>SD1_BA!C1683</f>
        <v>Equipment Category 7</v>
      </c>
      <c r="F145" s="119"/>
    </row>
    <row r="146" spans="4:6" x14ac:dyDescent="0.3">
      <c r="D146" s="282" t="str">
        <f>SD1_BA!C1684</f>
        <v>Equipment Category 8</v>
      </c>
      <c r="F146" s="119"/>
    </row>
    <row r="147" spans="4:6" x14ac:dyDescent="0.3">
      <c r="D147" s="282" t="str">
        <f>SD1_BA!C1685</f>
        <v>Equipment Category 9</v>
      </c>
      <c r="F147" s="119"/>
    </row>
    <row r="148" spans="4:6" x14ac:dyDescent="0.3">
      <c r="D148" s="282" t="str">
        <f>SD1_BA!C1686</f>
        <v>Equipment Category 10</v>
      </c>
      <c r="F148" s="119"/>
    </row>
    <row r="149" spans="4:6" x14ac:dyDescent="0.3">
      <c r="D149" s="282" t="str">
        <f>SD1_BA!C1687</f>
        <v>Equipment Category 11</v>
      </c>
      <c r="F149" s="119"/>
    </row>
    <row r="150" spans="4:6" x14ac:dyDescent="0.3">
      <c r="D150" s="282" t="str">
        <f>SD1_BA!C1688</f>
        <v>Equipment Category 12</v>
      </c>
      <c r="F150" s="119"/>
    </row>
    <row r="151" spans="4:6" x14ac:dyDescent="0.3">
      <c r="D151" s="282" t="str">
        <f>SD1_BA!C1689</f>
        <v>Equipment Category 13</v>
      </c>
      <c r="F151" s="119"/>
    </row>
    <row r="152" spans="4:6" x14ac:dyDescent="0.3">
      <c r="D152" s="282" t="str">
        <f>SD1_BA!C1690</f>
        <v>Equipment Category 14</v>
      </c>
      <c r="F152" s="119"/>
    </row>
    <row r="153" spans="4:6" x14ac:dyDescent="0.3">
      <c r="D153" s="282" t="str">
        <f>SD1_BA!C1691</f>
        <v>Equipment Category 15</v>
      </c>
      <c r="F153" s="119"/>
    </row>
    <row r="154" spans="4:6" x14ac:dyDescent="0.3">
      <c r="D154" s="282" t="str">
        <f>SD1_BA!C1692</f>
        <v>Equipment Category 16</v>
      </c>
      <c r="F154" s="119"/>
    </row>
    <row r="155" spans="4:6" x14ac:dyDescent="0.3">
      <c r="D155" s="282" t="str">
        <f>SD1_BA!C1693</f>
        <v>Equipment Category 17</v>
      </c>
      <c r="F155" s="119"/>
    </row>
    <row r="156" spans="4:6" x14ac:dyDescent="0.3">
      <c r="D156" s="282" t="str">
        <f>SD1_BA!C1694</f>
        <v>Equipment Category 18</v>
      </c>
      <c r="F156" s="119"/>
    </row>
    <row r="157" spans="4:6" x14ac:dyDescent="0.3">
      <c r="D157" s="282" t="str">
        <f>SD1_BA!C1695</f>
        <v>Equipment Category 19</v>
      </c>
      <c r="F157" s="119"/>
    </row>
    <row r="158" spans="4:6" x14ac:dyDescent="0.3">
      <c r="D158" s="282" t="str">
        <f>SD1_BA!C1696</f>
        <v>Equipment Category 20</v>
      </c>
      <c r="F158" s="119"/>
    </row>
    <row r="159" spans="4:6" x14ac:dyDescent="0.3">
      <c r="D159" s="282" t="str">
        <f>SD1_BA!C1697</f>
        <v>Equipment Category 21</v>
      </c>
      <c r="F159" s="119"/>
    </row>
    <row r="160" spans="4:6" x14ac:dyDescent="0.3">
      <c r="D160" s="282" t="str">
        <f>SD1_BA!C1698</f>
        <v>Equipment Category 22</v>
      </c>
      <c r="F160" s="119"/>
    </row>
    <row r="161" spans="3:6" x14ac:dyDescent="0.3">
      <c r="D161" s="282" t="str">
        <f>SD1_BA!C1699</f>
        <v>Equipment Category 23</v>
      </c>
      <c r="F161" s="119"/>
    </row>
    <row r="162" spans="3:6" x14ac:dyDescent="0.3">
      <c r="D162" s="282" t="str">
        <f>SD1_BA!C1700</f>
        <v>Equipment Category 24</v>
      </c>
      <c r="F162" s="119"/>
    </row>
    <row r="163" spans="3:6" x14ac:dyDescent="0.3">
      <c r="D163" s="282" t="str">
        <f>SD1_BA!C1701</f>
        <v>Equipment Category 25</v>
      </c>
      <c r="F163" s="119"/>
    </row>
    <row r="164" spans="3:6" x14ac:dyDescent="0.3">
      <c r="D164" s="282" t="str">
        <f>SD1_BA!C1702</f>
        <v>Equipment Category 26</v>
      </c>
      <c r="F164" s="119"/>
    </row>
    <row r="165" spans="3:6" x14ac:dyDescent="0.3">
      <c r="D165" s="282" t="str">
        <f>SD1_BA!C1703</f>
        <v>Equipment Category 27</v>
      </c>
      <c r="F165" s="119"/>
    </row>
    <row r="166" spans="3:6" x14ac:dyDescent="0.3">
      <c r="D166" s="282" t="str">
        <f>SD1_BA!C1704</f>
        <v>Equipment Category 28</v>
      </c>
      <c r="F166" s="119"/>
    </row>
    <row r="167" spans="3:6" x14ac:dyDescent="0.3">
      <c r="D167" s="282" t="str">
        <f>SD1_BA!C1705</f>
        <v>Equipment Category 29</v>
      </c>
      <c r="F167" s="119"/>
    </row>
    <row r="168" spans="3:6" x14ac:dyDescent="0.3">
      <c r="D168" s="282" t="str">
        <f>SD1_BA!C1706</f>
        <v>Equipment Category 30</v>
      </c>
      <c r="F168" s="119"/>
    </row>
    <row r="169" spans="3:6" x14ac:dyDescent="0.3">
      <c r="D169" s="282" t="str">
        <f>SD1_BA!C1707</f>
        <v>Equipment Category 31</v>
      </c>
      <c r="F169" s="119"/>
    </row>
    <row r="170" spans="3:6" x14ac:dyDescent="0.3">
      <c r="D170" s="282" t="str">
        <f>SD1_BA!C1708</f>
        <v>Equipment Category 32</v>
      </c>
      <c r="F170" s="119"/>
    </row>
    <row r="171" spans="3:6" x14ac:dyDescent="0.3">
      <c r="D171" s="282" t="str">
        <f>SD1_BA!C1709</f>
        <v>Equipment Category 33</v>
      </c>
      <c r="F171" s="119"/>
    </row>
    <row r="172" spans="3:6" x14ac:dyDescent="0.3">
      <c r="D172" s="282" t="str">
        <f>SD1_BA!C1710</f>
        <v>Equipment Category 34</v>
      </c>
      <c r="F172" s="119"/>
    </row>
    <row r="173" spans="3:6" x14ac:dyDescent="0.3">
      <c r="D173" s="282" t="str">
        <f>SD1_BA!C1711</f>
        <v>Equipment Category 35</v>
      </c>
      <c r="F173" s="119"/>
    </row>
    <row r="175" spans="3:6" ht="15.6" x14ac:dyDescent="0.3">
      <c r="C175" s="115" t="s">
        <v>89</v>
      </c>
      <c r="F175" s="115" t="s">
        <v>28</v>
      </c>
    </row>
    <row r="177" spans="4:6" x14ac:dyDescent="0.3">
      <c r="D177" s="116" t="s">
        <v>95</v>
      </c>
      <c r="F177" s="119" t="s">
        <v>483</v>
      </c>
    </row>
    <row r="178" spans="4:6" x14ac:dyDescent="0.3">
      <c r="D178" s="30" t="str">
        <f>SD1_BA!C1715</f>
        <v>Other Direct Costs Category 1</v>
      </c>
      <c r="F178" s="33" t="s">
        <v>46</v>
      </c>
    </row>
    <row r="179" spans="4:6" x14ac:dyDescent="0.3">
      <c r="D179" s="30" t="str">
        <f>SD1_BA!C1716</f>
        <v>Other Direct Costs Category 2</v>
      </c>
      <c r="F179" s="33" t="s">
        <v>46</v>
      </c>
    </row>
    <row r="180" spans="4:6" x14ac:dyDescent="0.3">
      <c r="D180" s="30" t="str">
        <f>SD1_BA!C1717</f>
        <v>Other Direct Costs Category 3</v>
      </c>
      <c r="F180" s="33" t="s">
        <v>46</v>
      </c>
    </row>
    <row r="181" spans="4:6" x14ac:dyDescent="0.3">
      <c r="D181" s="282" t="str">
        <f>SD1_BA!C1718</f>
        <v>Other Direct Costs Category 4</v>
      </c>
      <c r="F181" s="119"/>
    </row>
    <row r="182" spans="4:6" x14ac:dyDescent="0.3">
      <c r="D182" s="282" t="str">
        <f>SD1_BA!C1719</f>
        <v>Other Direct Costs Category 5</v>
      </c>
      <c r="F182" s="119"/>
    </row>
    <row r="183" spans="4:6" x14ac:dyDescent="0.3">
      <c r="D183" s="282" t="str">
        <f>SD1_BA!C1720</f>
        <v>Other Direct Costs Category 6</v>
      </c>
      <c r="F183" s="119"/>
    </row>
    <row r="184" spans="4:6" x14ac:dyDescent="0.3">
      <c r="D184" s="282" t="str">
        <f>SD1_BA!C1721</f>
        <v>Other Direct Costs Category 7</v>
      </c>
      <c r="F184" s="119"/>
    </row>
    <row r="185" spans="4:6" x14ac:dyDescent="0.3">
      <c r="D185" s="282" t="str">
        <f>SD1_BA!C1722</f>
        <v>Other Direct Costs Category 8</v>
      </c>
      <c r="F185" s="119"/>
    </row>
    <row r="186" spans="4:6" x14ac:dyDescent="0.3">
      <c r="D186" s="282" t="str">
        <f>SD1_BA!C1723</f>
        <v>Other Direct Costs Category 9</v>
      </c>
      <c r="F186" s="119"/>
    </row>
    <row r="187" spans="4:6" x14ac:dyDescent="0.3">
      <c r="D187" s="282" t="str">
        <f>SD1_BA!C1724</f>
        <v>Other Direct Costs Category 10</v>
      </c>
      <c r="F187" s="119"/>
    </row>
    <row r="188" spans="4:6" x14ac:dyDescent="0.3">
      <c r="D188" s="282" t="str">
        <f>SD1_BA!C1725</f>
        <v>Other Direct Costs Category 11</v>
      </c>
      <c r="F188" s="119"/>
    </row>
    <row r="189" spans="4:6" x14ac:dyDescent="0.3">
      <c r="D189" s="282" t="str">
        <f>SD1_BA!C1726</f>
        <v>Other Direct Costs Category 12</v>
      </c>
      <c r="F189" s="119"/>
    </row>
    <row r="190" spans="4:6" x14ac:dyDescent="0.3">
      <c r="D190" s="282" t="str">
        <f>SD1_BA!C1727</f>
        <v>Other Direct Costs Category 13</v>
      </c>
      <c r="F190" s="119"/>
    </row>
    <row r="191" spans="4:6" x14ac:dyDescent="0.3">
      <c r="D191" s="282" t="str">
        <f>SD1_BA!C1728</f>
        <v>Other Direct Costs Category 14</v>
      </c>
      <c r="F191" s="119"/>
    </row>
    <row r="192" spans="4:6" x14ac:dyDescent="0.3">
      <c r="D192" s="282" t="str">
        <f>SD1_BA!C1729</f>
        <v>Other Direct Costs Category 15</v>
      </c>
      <c r="F192" s="119"/>
    </row>
    <row r="193" spans="4:6" x14ac:dyDescent="0.3">
      <c r="D193" s="282" t="str">
        <f>SD1_BA!C1730</f>
        <v>Other Direct Costs Category 16</v>
      </c>
      <c r="F193" s="119"/>
    </row>
    <row r="194" spans="4:6" x14ac:dyDescent="0.3">
      <c r="D194" s="282" t="str">
        <f>SD1_BA!C1731</f>
        <v>Other Direct Costs Category 17</v>
      </c>
      <c r="F194" s="119"/>
    </row>
    <row r="195" spans="4:6" x14ac:dyDescent="0.3">
      <c r="D195" s="282" t="str">
        <f>SD1_BA!C1732</f>
        <v>Other Direct Costs Category 18</v>
      </c>
      <c r="F195" s="119"/>
    </row>
    <row r="196" spans="4:6" x14ac:dyDescent="0.3">
      <c r="D196" s="282" t="str">
        <f>SD1_BA!C1733</f>
        <v>Other Direct Costs Category 19</v>
      </c>
      <c r="F196" s="119"/>
    </row>
    <row r="197" spans="4:6" x14ac:dyDescent="0.3">
      <c r="D197" s="282" t="str">
        <f>SD1_BA!C1734</f>
        <v>Other Direct Costs Category 20</v>
      </c>
      <c r="F197" s="119"/>
    </row>
    <row r="198" spans="4:6" x14ac:dyDescent="0.3">
      <c r="D198" s="282" t="str">
        <f>SD1_BA!C1735</f>
        <v>Other Direct Costs Category 21</v>
      </c>
      <c r="F198" s="119"/>
    </row>
    <row r="199" spans="4:6" x14ac:dyDescent="0.3">
      <c r="D199" s="282" t="str">
        <f>SD1_BA!C1736</f>
        <v>Other Direct Costs Category 22</v>
      </c>
      <c r="F199" s="119"/>
    </row>
    <row r="200" spans="4:6" x14ac:dyDescent="0.3">
      <c r="D200" s="282" t="str">
        <f>SD1_BA!C1737</f>
        <v>Other Direct Costs Category 23</v>
      </c>
      <c r="F200" s="119"/>
    </row>
    <row r="201" spans="4:6" x14ac:dyDescent="0.3">
      <c r="D201" s="282" t="str">
        <f>SD1_BA!C1738</f>
        <v>Other Direct Costs Category 24</v>
      </c>
      <c r="F201" s="119"/>
    </row>
    <row r="202" spans="4:6" x14ac:dyDescent="0.3">
      <c r="D202" s="282" t="str">
        <f>SD1_BA!C1739</f>
        <v>Other Direct Costs Category 25</v>
      </c>
      <c r="F202" s="119"/>
    </row>
    <row r="203" spans="4:6" x14ac:dyDescent="0.3">
      <c r="D203" s="282" t="str">
        <f>SD1_BA!C1740</f>
        <v>Other Direct Costs Category 26</v>
      </c>
      <c r="F203" s="119"/>
    </row>
    <row r="204" spans="4:6" x14ac:dyDescent="0.3">
      <c r="D204" s="282" t="str">
        <f>SD1_BA!C1741</f>
        <v>Other Direct Costs Category 27</v>
      </c>
      <c r="F204" s="119"/>
    </row>
    <row r="205" spans="4:6" x14ac:dyDescent="0.3">
      <c r="D205" s="282" t="str">
        <f>SD1_BA!C1742</f>
        <v>Other Direct Costs Category 28</v>
      </c>
      <c r="F205" s="119"/>
    </row>
    <row r="206" spans="4:6" x14ac:dyDescent="0.3">
      <c r="D206" s="282" t="str">
        <f>SD1_BA!C1743</f>
        <v>Other Direct Costs Category 29</v>
      </c>
      <c r="F206" s="119"/>
    </row>
    <row r="207" spans="4:6" x14ac:dyDescent="0.3">
      <c r="D207" s="282" t="str">
        <f>SD1_BA!C1744</f>
        <v>Other Direct Costs Category 30</v>
      </c>
      <c r="F207" s="119"/>
    </row>
    <row r="208" spans="4:6" x14ac:dyDescent="0.3">
      <c r="D208" s="282" t="str">
        <f>SD1_BA!C1745</f>
        <v>Other Direct Costs Category 31</v>
      </c>
      <c r="F208" s="119"/>
    </row>
    <row r="209" spans="4:6" x14ac:dyDescent="0.3">
      <c r="D209" s="282" t="str">
        <f>SD1_BA!C1746</f>
        <v>Other Direct Costs Category 32</v>
      </c>
      <c r="F209" s="119"/>
    </row>
    <row r="210" spans="4:6" x14ac:dyDescent="0.3">
      <c r="D210" s="282" t="str">
        <f>SD1_BA!C1747</f>
        <v>Other Direct Costs Category 33</v>
      </c>
      <c r="F210" s="119"/>
    </row>
    <row r="211" spans="4:6" x14ac:dyDescent="0.3">
      <c r="D211" s="282" t="str">
        <f>SD1_BA!C1748</f>
        <v>Other Direct Costs Category 34</v>
      </c>
      <c r="F211" s="119"/>
    </row>
    <row r="212" spans="4:6" x14ac:dyDescent="0.3">
      <c r="D212" s="282" t="str">
        <f>SD1_BA!C1749</f>
        <v>Other Direct Costs Category 35</v>
      </c>
      <c r="F212" s="119"/>
    </row>
  </sheetData>
  <sheetProtection algorithmName="SHA-512" hashValue="8q4eZGyHo2tuT3qfT7YvPvMabD6FNkJs3mOlbvPXW4sQ6/TemM+pu9MkQTAz9BZqZdTa5IhmC8JeTcCZs9mH0w==" saltValue="aMWa9RBvwfGSMugXLbLk1Q==" spinCount="100000" sheet="1" objects="1" scenarios="1" formatColumns="0" formatRows="0"/>
  <mergeCells count="1">
    <mergeCell ref="B3:D3"/>
  </mergeCells>
  <hyperlinks>
    <hyperlink ref="A4" location="$B$5" tooltip="Go to Top of Sheet" display="$B$5" xr:uid="{00000000-0004-0000-3300-000000000000}"/>
    <hyperlink ref="B4" location="HL_Sheet_Main_29" tooltip="Go to Previous Sheet" display="HL_Sheet_Main_29" xr:uid="{00000000-0004-0000-3300-000001000000}"/>
    <hyperlink ref="C4" location="HL_Sheet_Main_30" tooltip="Go to Next Sheet" display="HL_Sheet_Main_30" xr:uid="{00000000-0004-0000-3300-000002000000}"/>
    <hyperlink ref="B3" location="HL_Home" tooltip="Go to Table of Contents" display="HL_Home" xr:uid="{00000000-0004-0000-33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663</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665</v>
      </c>
    </row>
    <row r="9" spans="1:6" ht="15.6" x14ac:dyDescent="0.3">
      <c r="C9" s="115" t="s">
        <v>93</v>
      </c>
    </row>
    <row r="11" spans="1:6" ht="15.6" x14ac:dyDescent="0.3">
      <c r="C11" s="115" t="s">
        <v>93</v>
      </c>
      <c r="F11" s="115" t="s">
        <v>28</v>
      </c>
    </row>
    <row r="13" spans="1:6" x14ac:dyDescent="0.3">
      <c r="D13" s="116" t="s">
        <v>95</v>
      </c>
      <c r="F13" s="119" t="s">
        <v>294</v>
      </c>
    </row>
    <row r="14" spans="1:6" x14ac:dyDescent="0.3">
      <c r="D14" s="30" t="str">
        <f>SD2_BA!D163</f>
        <v>USD</v>
      </c>
      <c r="F14" s="33" t="s">
        <v>46</v>
      </c>
    </row>
    <row r="15" spans="1:6" x14ac:dyDescent="0.3">
      <c r="D15" s="30" t="str">
        <f>SD2_BA!D164</f>
        <v>GOZ</v>
      </c>
      <c r="F15" s="33" t="s">
        <v>46</v>
      </c>
    </row>
    <row r="17" spans="3:6" ht="15.6" x14ac:dyDescent="0.3">
      <c r="C17" s="115" t="s">
        <v>77</v>
      </c>
      <c r="F17" s="115" t="s">
        <v>28</v>
      </c>
    </row>
    <row r="19" spans="3:6" x14ac:dyDescent="0.3">
      <c r="D19" s="116" t="s">
        <v>95</v>
      </c>
      <c r="F19" s="119" t="s">
        <v>295</v>
      </c>
    </row>
    <row r="20" spans="3:6" x14ac:dyDescent="0.3">
      <c r="D20" s="30" t="str">
        <f>SD2_BA!C169</f>
        <v>Personnel Cadre - Other 1</v>
      </c>
      <c r="F20" s="33" t="s">
        <v>46</v>
      </c>
    </row>
    <row r="21" spans="3:6" x14ac:dyDescent="0.3">
      <c r="D21" s="30" t="str">
        <f>SD2_BA!C170</f>
        <v>Personnel Cadre - Other 2</v>
      </c>
      <c r="F21" s="33" t="s">
        <v>46</v>
      </c>
    </row>
    <row r="22" spans="3:6" x14ac:dyDescent="0.3">
      <c r="D22" s="30" t="str">
        <f>SD2_BA!C171</f>
        <v>Personnel Cadre - Other 3</v>
      </c>
      <c r="F22" s="33" t="s">
        <v>46</v>
      </c>
    </row>
    <row r="23" spans="3:6" x14ac:dyDescent="0.3">
      <c r="D23" s="30" t="str">
        <f>SD2_BA!C172</f>
        <v>Personnel Cadre - Other 4</v>
      </c>
      <c r="F23" s="33" t="s">
        <v>46</v>
      </c>
    </row>
    <row r="24" spans="3:6" x14ac:dyDescent="0.3">
      <c r="D24" s="30" t="str">
        <f>SD2_BA!C173</f>
        <v>Personnel Cadre - Other 5</v>
      </c>
      <c r="F24" s="33" t="s">
        <v>46</v>
      </c>
    </row>
    <row r="25" spans="3:6" x14ac:dyDescent="0.3">
      <c r="D25" s="30" t="str">
        <f>SD2_BA!C174</f>
        <v>Personnel Cadre - Other 6</v>
      </c>
      <c r="F25" s="33" t="s">
        <v>46</v>
      </c>
    </row>
    <row r="26" spans="3:6" x14ac:dyDescent="0.3">
      <c r="D26" s="30" t="str">
        <f>SD2_BA!C175</f>
        <v>Personnel Cadre - Other 7</v>
      </c>
      <c r="F26" s="33" t="s">
        <v>46</v>
      </c>
    </row>
    <row r="27" spans="3:6" x14ac:dyDescent="0.3">
      <c r="D27" s="30" t="str">
        <f>SD2_BA!C176</f>
        <v>Personnel Cadre - Other 8</v>
      </c>
      <c r="F27" s="33" t="s">
        <v>46</v>
      </c>
    </row>
    <row r="28" spans="3:6" x14ac:dyDescent="0.3">
      <c r="D28" s="30" t="str">
        <f>SD2_BA!C177</f>
        <v>Personnel Cadre - Other 9</v>
      </c>
      <c r="F28" s="33" t="s">
        <v>46</v>
      </c>
    </row>
    <row r="29" spans="3:6" x14ac:dyDescent="0.3">
      <c r="D29" s="30" t="str">
        <f>SD2_BA!C178</f>
        <v>Personnel Cadre - Other 10</v>
      </c>
      <c r="F29" s="33" t="s">
        <v>46</v>
      </c>
    </row>
    <row r="30" spans="3:6" x14ac:dyDescent="0.3">
      <c r="D30" s="30" t="str">
        <f>SD2_BA!C179</f>
        <v>Personnel Cadre - Other 11</v>
      </c>
      <c r="F30" s="33" t="s">
        <v>46</v>
      </c>
    </row>
    <row r="31" spans="3:6" x14ac:dyDescent="0.3">
      <c r="D31" s="30" t="str">
        <f>SD2_BA!C180</f>
        <v>Personnel Cadre - Other 12</v>
      </c>
      <c r="F31" s="33" t="s">
        <v>46</v>
      </c>
    </row>
    <row r="32" spans="3:6" x14ac:dyDescent="0.3">
      <c r="D32" s="30" t="str">
        <f>SD2_BA!C181</f>
        <v>Personnel Cadre - Other 13</v>
      </c>
      <c r="F32" s="33" t="s">
        <v>46</v>
      </c>
    </row>
    <row r="33" spans="4:6" x14ac:dyDescent="0.3">
      <c r="D33" s="30" t="str">
        <f>SD2_BA!C182</f>
        <v>Personnel Cadre - Other 14</v>
      </c>
      <c r="F33" s="33" t="s">
        <v>46</v>
      </c>
    </row>
    <row r="34" spans="4:6" x14ac:dyDescent="0.3">
      <c r="D34" s="30" t="str">
        <f>SD2_BA!C183</f>
        <v>Personnel Cadre - Other 15</v>
      </c>
      <c r="F34" s="33" t="s">
        <v>46</v>
      </c>
    </row>
    <row r="35" spans="4:6" x14ac:dyDescent="0.3">
      <c r="D35" s="282" t="str">
        <f>SD2_BA!C184</f>
        <v>Personnel Cadre - Other 16</v>
      </c>
      <c r="F35" s="119"/>
    </row>
    <row r="36" spans="4:6" x14ac:dyDescent="0.3">
      <c r="D36" s="282" t="str">
        <f>SD2_BA!C185</f>
        <v>Personnel Cadre - Other 17</v>
      </c>
      <c r="F36" s="119"/>
    </row>
    <row r="37" spans="4:6" x14ac:dyDescent="0.3">
      <c r="D37" s="282" t="str">
        <f>SD2_BA!C186</f>
        <v>Personnel Cadre - Other 18</v>
      </c>
      <c r="F37" s="119"/>
    </row>
    <row r="38" spans="4:6" x14ac:dyDescent="0.3">
      <c r="D38" s="282" t="str">
        <f>SD2_BA!C187</f>
        <v>Personnel Cadre - Other 19</v>
      </c>
      <c r="F38" s="119"/>
    </row>
    <row r="39" spans="4:6" x14ac:dyDescent="0.3">
      <c r="D39" s="282" t="str">
        <f>SD2_BA!C188</f>
        <v>Personnel Cadre - Other 20</v>
      </c>
      <c r="F39" s="119"/>
    </row>
    <row r="40" spans="4:6" x14ac:dyDescent="0.3">
      <c r="D40" s="282" t="str">
        <f>SD2_BA!C189</f>
        <v>Personnel Cadre - Other 21</v>
      </c>
      <c r="F40" s="119"/>
    </row>
    <row r="41" spans="4:6" x14ac:dyDescent="0.3">
      <c r="D41" s="282" t="str">
        <f>SD2_BA!C190</f>
        <v>Personnel Cadre - Other 22</v>
      </c>
      <c r="F41" s="119"/>
    </row>
    <row r="42" spans="4:6" x14ac:dyDescent="0.3">
      <c r="D42" s="282" t="str">
        <f>SD2_BA!C191</f>
        <v>Personnel Cadre - Other 23</v>
      </c>
      <c r="F42" s="119"/>
    </row>
    <row r="43" spans="4:6" x14ac:dyDescent="0.3">
      <c r="D43" s="282" t="str">
        <f>SD2_BA!C192</f>
        <v>Personnel Cadre - Other 24</v>
      </c>
      <c r="F43" s="119"/>
    </row>
    <row r="44" spans="4:6" x14ac:dyDescent="0.3">
      <c r="D44" s="282" t="str">
        <f>SD2_BA!C193</f>
        <v>Personnel Cadre - Other 25</v>
      </c>
      <c r="F44" s="119"/>
    </row>
    <row r="45" spans="4:6" x14ac:dyDescent="0.3">
      <c r="D45" s="282" t="str">
        <f>SD2_BA!C194</f>
        <v>Personnel Cadre - Other 26</v>
      </c>
      <c r="F45" s="119"/>
    </row>
    <row r="46" spans="4:6" x14ac:dyDescent="0.3">
      <c r="D46" s="282" t="str">
        <f>SD2_BA!C195</f>
        <v>Personnel Cadre - Other 27</v>
      </c>
      <c r="F46" s="119"/>
    </row>
    <row r="47" spans="4:6" x14ac:dyDescent="0.3">
      <c r="D47" s="282" t="str">
        <f>SD2_BA!C196</f>
        <v>Personnel Cadre - Other 28</v>
      </c>
      <c r="F47" s="119"/>
    </row>
    <row r="48" spans="4:6" x14ac:dyDescent="0.3">
      <c r="D48" s="282" t="str">
        <f>SD2_BA!C197</f>
        <v>Personnel Cadre - Other 29</v>
      </c>
      <c r="F48" s="119"/>
    </row>
    <row r="49" spans="3:6" x14ac:dyDescent="0.3">
      <c r="D49" s="282" t="str">
        <f>SD2_BA!C198</f>
        <v>Personnel Cadre - Other 30</v>
      </c>
      <c r="F49" s="119"/>
    </row>
    <row r="50" spans="3:6" x14ac:dyDescent="0.3">
      <c r="D50" s="282" t="str">
        <f>SD2_BA!C199</f>
        <v>Personnel Cadre - Other 31</v>
      </c>
      <c r="F50" s="119"/>
    </row>
    <row r="51" spans="3:6" x14ac:dyDescent="0.3">
      <c r="D51" s="282" t="str">
        <f>SD2_BA!C200</f>
        <v>Personnel Cadre - Other 32</v>
      </c>
      <c r="F51" s="119"/>
    </row>
    <row r="52" spans="3:6" x14ac:dyDescent="0.3">
      <c r="D52" s="282" t="str">
        <f>SD2_BA!C201</f>
        <v>Personnel Cadre - Other 33</v>
      </c>
      <c r="F52" s="119"/>
    </row>
    <row r="53" spans="3:6" x14ac:dyDescent="0.3">
      <c r="D53" s="282" t="str">
        <f>SD2_BA!C202</f>
        <v>Personnel Cadre - Other 34</v>
      </c>
      <c r="F53" s="119"/>
    </row>
    <row r="54" spans="3:6" x14ac:dyDescent="0.3">
      <c r="D54" s="282" t="str">
        <f>SD2_BA!C203</f>
        <v>Personnel Cadre - Other 35</v>
      </c>
      <c r="F54" s="119"/>
    </row>
    <row r="56" spans="3:6" ht="15.6" x14ac:dyDescent="0.3">
      <c r="C56" s="115" t="s">
        <v>94</v>
      </c>
      <c r="F56" s="115" t="s">
        <v>28</v>
      </c>
    </row>
    <row r="58" spans="3:6" x14ac:dyDescent="0.3">
      <c r="D58" s="116" t="s">
        <v>95</v>
      </c>
      <c r="F58" s="119" t="s">
        <v>296</v>
      </c>
    </row>
    <row r="59" spans="3:6" x14ac:dyDescent="0.3">
      <c r="D59" s="30" t="str">
        <f>SD2_BA!C206</f>
        <v>Allowances Category 1</v>
      </c>
      <c r="F59" s="33" t="s">
        <v>46</v>
      </c>
    </row>
    <row r="60" spans="3:6" x14ac:dyDescent="0.3">
      <c r="D60" s="30" t="str">
        <f>SD2_BA!C207</f>
        <v>Allowances Category 2</v>
      </c>
      <c r="F60" s="33" t="s">
        <v>46</v>
      </c>
    </row>
    <row r="61" spans="3:6" x14ac:dyDescent="0.3">
      <c r="D61" s="30" t="str">
        <f>SD2_BA!C208</f>
        <v>Allowances Category 3</v>
      </c>
      <c r="F61" s="33" t="s">
        <v>46</v>
      </c>
    </row>
    <row r="62" spans="3:6" x14ac:dyDescent="0.3">
      <c r="D62" s="30" t="str">
        <f>SD2_BA!C209</f>
        <v>Allowances Category 4</v>
      </c>
      <c r="F62" s="33" t="s">
        <v>46</v>
      </c>
    </row>
    <row r="63" spans="3:6" x14ac:dyDescent="0.3">
      <c r="D63" s="30" t="str">
        <f>SD2_BA!C210</f>
        <v>Allowances Category 5</v>
      </c>
      <c r="F63" s="33" t="s">
        <v>46</v>
      </c>
    </row>
    <row r="64" spans="3:6" x14ac:dyDescent="0.3">
      <c r="D64" s="282" t="str">
        <f>SD2_BA!C211</f>
        <v>Allowances Category 6</v>
      </c>
      <c r="F64" s="119"/>
    </row>
    <row r="65" spans="4:6" x14ac:dyDescent="0.3">
      <c r="D65" s="282" t="str">
        <f>SD2_BA!C212</f>
        <v>Allowances Category 7</v>
      </c>
      <c r="F65" s="119"/>
    </row>
    <row r="66" spans="4:6" x14ac:dyDescent="0.3">
      <c r="D66" s="282" t="str">
        <f>SD2_BA!C213</f>
        <v>Allowances Category 8</v>
      </c>
      <c r="F66" s="119"/>
    </row>
    <row r="67" spans="4:6" x14ac:dyDescent="0.3">
      <c r="D67" s="282" t="str">
        <f>SD2_BA!C214</f>
        <v>Allowances Category 9</v>
      </c>
      <c r="F67" s="119"/>
    </row>
    <row r="68" spans="4:6" x14ac:dyDescent="0.3">
      <c r="D68" s="282" t="str">
        <f>SD2_BA!C215</f>
        <v>Allowances Category 10</v>
      </c>
      <c r="F68" s="119"/>
    </row>
    <row r="69" spans="4:6" x14ac:dyDescent="0.3">
      <c r="D69" s="282" t="str">
        <f>SD2_BA!C216</f>
        <v>Allowances Category 11</v>
      </c>
      <c r="F69" s="119"/>
    </row>
    <row r="70" spans="4:6" x14ac:dyDescent="0.3">
      <c r="D70" s="282" t="str">
        <f>SD2_BA!C217</f>
        <v>Allowances Category 12</v>
      </c>
      <c r="F70" s="119"/>
    </row>
    <row r="71" spans="4:6" x14ac:dyDescent="0.3">
      <c r="D71" s="282" t="str">
        <f>SD2_BA!C218</f>
        <v>Allowances Category 13</v>
      </c>
      <c r="F71" s="119"/>
    </row>
    <row r="72" spans="4:6" x14ac:dyDescent="0.3">
      <c r="D72" s="282" t="str">
        <f>SD2_BA!C219</f>
        <v>Allowances Category 14</v>
      </c>
      <c r="F72" s="119"/>
    </row>
    <row r="73" spans="4:6" x14ac:dyDescent="0.3">
      <c r="D73" s="282" t="str">
        <f>SD2_BA!C220</f>
        <v>Allowances Category 15</v>
      </c>
      <c r="F73" s="119"/>
    </row>
    <row r="74" spans="4:6" x14ac:dyDescent="0.3">
      <c r="D74" s="282" t="str">
        <f>SD2_BA!C221</f>
        <v>Allowances Category 16</v>
      </c>
      <c r="F74" s="119"/>
    </row>
    <row r="75" spans="4:6" x14ac:dyDescent="0.3">
      <c r="D75" s="30" t="str">
        <f>SD2_BA!C222</f>
        <v>Allowances Category 17</v>
      </c>
      <c r="F75" s="33" t="s">
        <v>46</v>
      </c>
    </row>
    <row r="76" spans="4:6" x14ac:dyDescent="0.3">
      <c r="D76" s="30" t="str">
        <f>SD2_BA!C223</f>
        <v>Allowances Category 18</v>
      </c>
      <c r="F76" s="33" t="s">
        <v>46</v>
      </c>
    </row>
    <row r="77" spans="4:6" x14ac:dyDescent="0.3">
      <c r="D77" s="30" t="str">
        <f>SD2_BA!C224</f>
        <v>Allowances Category 19</v>
      </c>
      <c r="F77" s="33" t="s">
        <v>46</v>
      </c>
    </row>
    <row r="78" spans="4:6" x14ac:dyDescent="0.3">
      <c r="D78" s="30" t="str">
        <f>SD2_BA!C225</f>
        <v>Allowances Category 20</v>
      </c>
      <c r="F78" s="33" t="s">
        <v>46</v>
      </c>
    </row>
    <row r="79" spans="4:6" x14ac:dyDescent="0.3">
      <c r="D79" s="30" t="str">
        <f>SD2_BA!C226</f>
        <v>Allowances Category 21</v>
      </c>
      <c r="F79" s="33" t="s">
        <v>46</v>
      </c>
    </row>
    <row r="80" spans="4:6" x14ac:dyDescent="0.3">
      <c r="D80" s="30" t="str">
        <f>SD2_BA!C227</f>
        <v>Allowances Category 22</v>
      </c>
      <c r="F80" s="33" t="s">
        <v>46</v>
      </c>
    </row>
    <row r="81" spans="3:6" x14ac:dyDescent="0.3">
      <c r="D81" s="30" t="str">
        <f>SD2_BA!C228</f>
        <v>Allowances Category 23</v>
      </c>
      <c r="F81" s="33" t="s">
        <v>46</v>
      </c>
    </row>
    <row r="82" spans="3:6" x14ac:dyDescent="0.3">
      <c r="D82" s="282" t="str">
        <f>SD2_BA!C229</f>
        <v>Allowances Category 24</v>
      </c>
      <c r="F82" s="119"/>
    </row>
    <row r="83" spans="3:6" x14ac:dyDescent="0.3">
      <c r="D83" s="282" t="str">
        <f>SD2_BA!C230</f>
        <v>Allowances Category 25</v>
      </c>
      <c r="F83" s="119"/>
    </row>
    <row r="84" spans="3:6" x14ac:dyDescent="0.3">
      <c r="D84" s="282" t="str">
        <f>SD2_BA!C231</f>
        <v>Allowances Category 26</v>
      </c>
      <c r="F84" s="119"/>
    </row>
    <row r="85" spans="3:6" x14ac:dyDescent="0.3">
      <c r="D85" s="282" t="str">
        <f>SD2_BA!C232</f>
        <v>Allowances Category 27</v>
      </c>
      <c r="F85" s="119"/>
    </row>
    <row r="86" spans="3:6" x14ac:dyDescent="0.3">
      <c r="D86" s="282" t="str">
        <f>SD2_BA!C233</f>
        <v>Allowances Category 28</v>
      </c>
      <c r="F86" s="119"/>
    </row>
    <row r="87" spans="3:6" x14ac:dyDescent="0.3">
      <c r="D87" s="282" t="str">
        <f>SD2_BA!C234</f>
        <v>Allowances Category 29</v>
      </c>
      <c r="F87" s="119"/>
    </row>
    <row r="88" spans="3:6" x14ac:dyDescent="0.3">
      <c r="D88" s="282" t="str">
        <f>SD2_BA!C235</f>
        <v>Allowances Category 30</v>
      </c>
      <c r="F88" s="119"/>
    </row>
    <row r="89" spans="3:6" x14ac:dyDescent="0.3">
      <c r="D89" s="30" t="str">
        <f>SD2_BA!C236</f>
        <v>Allowances Category 31</v>
      </c>
      <c r="F89" s="33" t="s">
        <v>46</v>
      </c>
    </row>
    <row r="90" spans="3:6" x14ac:dyDescent="0.3">
      <c r="D90" s="30" t="str">
        <f>SD2_BA!C237</f>
        <v>Allowances Category 32</v>
      </c>
      <c r="F90" s="33" t="s">
        <v>46</v>
      </c>
    </row>
    <row r="91" spans="3:6" x14ac:dyDescent="0.3">
      <c r="D91" s="30" t="str">
        <f>SD2_BA!C238</f>
        <v>Allowances Category 33</v>
      </c>
      <c r="F91" s="33" t="s">
        <v>46</v>
      </c>
    </row>
    <row r="92" spans="3:6" x14ac:dyDescent="0.3">
      <c r="D92" s="30" t="str">
        <f>SD2_BA!C239</f>
        <v>Allowances Category 34</v>
      </c>
      <c r="F92" s="33" t="s">
        <v>46</v>
      </c>
    </row>
    <row r="93" spans="3:6" x14ac:dyDescent="0.3">
      <c r="D93" s="30" t="str">
        <f>SD2_BA!C240</f>
        <v>Allowances Category 35</v>
      </c>
      <c r="F93" s="33" t="s">
        <v>46</v>
      </c>
    </row>
    <row r="96" spans="3:6" ht="15.6" x14ac:dyDescent="0.3">
      <c r="C96" s="115" t="s">
        <v>132</v>
      </c>
      <c r="F96" s="115" t="s">
        <v>28</v>
      </c>
    </row>
    <row r="98" spans="4:6" x14ac:dyDescent="0.3">
      <c r="D98" s="116" t="s">
        <v>95</v>
      </c>
      <c r="F98" s="119" t="s">
        <v>297</v>
      </c>
    </row>
    <row r="99" spans="4:6" x14ac:dyDescent="0.3">
      <c r="D99" s="30" t="str">
        <f>SD2_BA!C244</f>
        <v>Supplies Category 1</v>
      </c>
      <c r="F99" s="33" t="s">
        <v>46</v>
      </c>
    </row>
    <row r="100" spans="4:6" x14ac:dyDescent="0.3">
      <c r="D100" s="30" t="str">
        <f>SD2_BA!C245</f>
        <v>Supplies Category 2</v>
      </c>
      <c r="F100" s="33" t="s">
        <v>46</v>
      </c>
    </row>
    <row r="101" spans="4:6" x14ac:dyDescent="0.3">
      <c r="D101" s="30" t="str">
        <f>SD2_BA!C246</f>
        <v>Supplies Category 3</v>
      </c>
      <c r="F101" s="33" t="s">
        <v>46</v>
      </c>
    </row>
    <row r="102" spans="4:6" x14ac:dyDescent="0.3">
      <c r="D102" s="30" t="str">
        <f>SD2_BA!C247</f>
        <v>Supplies Category 4</v>
      </c>
      <c r="F102" s="33" t="s">
        <v>46</v>
      </c>
    </row>
    <row r="103" spans="4:6" x14ac:dyDescent="0.3">
      <c r="D103" s="30" t="str">
        <f>SD2_BA!C248</f>
        <v>Supplies Category 5</v>
      </c>
      <c r="F103" s="33" t="s">
        <v>46</v>
      </c>
    </row>
    <row r="104" spans="4:6" x14ac:dyDescent="0.3">
      <c r="D104" s="30" t="str">
        <f>SD2_BA!C249</f>
        <v>Supplies Category 6</v>
      </c>
      <c r="F104" s="33" t="s">
        <v>46</v>
      </c>
    </row>
    <row r="105" spans="4:6" x14ac:dyDescent="0.3">
      <c r="D105" s="30" t="str">
        <f>SD2_BA!C250</f>
        <v>Supplies Category 7</v>
      </c>
      <c r="F105" s="33" t="s">
        <v>46</v>
      </c>
    </row>
    <row r="106" spans="4:6" x14ac:dyDescent="0.3">
      <c r="D106" s="30" t="str">
        <f>SD2_BA!C251</f>
        <v>Supplies Category 8</v>
      </c>
      <c r="F106" s="33" t="s">
        <v>46</v>
      </c>
    </row>
    <row r="107" spans="4:6" x14ac:dyDescent="0.3">
      <c r="D107" s="30" t="str">
        <f>SD2_BA!C252</f>
        <v>Supplies Category 9</v>
      </c>
      <c r="F107" s="33" t="s">
        <v>46</v>
      </c>
    </row>
    <row r="108" spans="4:6" x14ac:dyDescent="0.3">
      <c r="D108" s="30" t="str">
        <f>SD2_BA!C253</f>
        <v>Supplies Category 10</v>
      </c>
      <c r="F108" s="33" t="s">
        <v>46</v>
      </c>
    </row>
    <row r="109" spans="4:6" x14ac:dyDescent="0.3">
      <c r="D109" s="30" t="str">
        <f>SD2_BA!C254</f>
        <v>Supplies Category 11</v>
      </c>
      <c r="F109" s="33" t="s">
        <v>46</v>
      </c>
    </row>
    <row r="110" spans="4:6" x14ac:dyDescent="0.3">
      <c r="D110" s="30" t="str">
        <f>SD2_BA!C255</f>
        <v>Supplies Category 12</v>
      </c>
      <c r="F110" s="33" t="s">
        <v>46</v>
      </c>
    </row>
    <row r="111" spans="4:6" x14ac:dyDescent="0.3">
      <c r="D111" s="30" t="str">
        <f>SD2_BA!C256</f>
        <v>Supplies Category 13</v>
      </c>
      <c r="F111" s="33" t="s">
        <v>46</v>
      </c>
    </row>
    <row r="112" spans="4:6" x14ac:dyDescent="0.3">
      <c r="D112" s="30" t="str">
        <f>SD2_BA!C257</f>
        <v>Supplies Category 14</v>
      </c>
      <c r="F112" s="33" t="s">
        <v>46</v>
      </c>
    </row>
    <row r="113" spans="4:6" x14ac:dyDescent="0.3">
      <c r="D113" s="30" t="str">
        <f>SD2_BA!C258</f>
        <v>Supplies Category 15</v>
      </c>
      <c r="F113" s="33" t="s">
        <v>46</v>
      </c>
    </row>
    <row r="114" spans="4:6" x14ac:dyDescent="0.3">
      <c r="D114" s="30" t="str">
        <f>SD2_BA!C259</f>
        <v>Supplies Category 16</v>
      </c>
      <c r="F114" s="33" t="s">
        <v>46</v>
      </c>
    </row>
    <row r="115" spans="4:6" x14ac:dyDescent="0.3">
      <c r="D115" s="282" t="str">
        <f>SD2_BA!C260</f>
        <v>Supplies Category 17</v>
      </c>
      <c r="F115" s="119"/>
    </row>
    <row r="116" spans="4:6" x14ac:dyDescent="0.3">
      <c r="D116" s="282" t="str">
        <f>SD2_BA!C261</f>
        <v>Supplies Category 18</v>
      </c>
      <c r="F116" s="119"/>
    </row>
    <row r="117" spans="4:6" x14ac:dyDescent="0.3">
      <c r="D117" s="282" t="str">
        <f>SD2_BA!C262</f>
        <v>Supplies Category 19</v>
      </c>
      <c r="F117" s="119"/>
    </row>
    <row r="118" spans="4:6" x14ac:dyDescent="0.3">
      <c r="D118" s="282" t="str">
        <f>SD2_BA!C263</f>
        <v>Supplies Category 20</v>
      </c>
      <c r="F118" s="119"/>
    </row>
    <row r="119" spans="4:6" x14ac:dyDescent="0.3">
      <c r="D119" s="282" t="str">
        <f>SD2_BA!C264</f>
        <v>Supplies Category 21</v>
      </c>
      <c r="F119" s="119"/>
    </row>
    <row r="120" spans="4:6" x14ac:dyDescent="0.3">
      <c r="D120" s="282" t="str">
        <f>SD2_BA!C265</f>
        <v>Supplies Category 22</v>
      </c>
      <c r="F120" s="119"/>
    </row>
    <row r="121" spans="4:6" x14ac:dyDescent="0.3">
      <c r="D121" s="282" t="str">
        <f>SD2_BA!C266</f>
        <v>Supplies Category 23</v>
      </c>
      <c r="F121" s="119"/>
    </row>
    <row r="122" spans="4:6" x14ac:dyDescent="0.3">
      <c r="D122" s="282" t="str">
        <f>SD2_BA!C267</f>
        <v>Supplies Category 24</v>
      </c>
      <c r="F122" s="119"/>
    </row>
    <row r="123" spans="4:6" x14ac:dyDescent="0.3">
      <c r="D123" s="282" t="str">
        <f>SD2_BA!C268</f>
        <v>Supplies Category 25</v>
      </c>
      <c r="F123" s="119"/>
    </row>
    <row r="124" spans="4:6" x14ac:dyDescent="0.3">
      <c r="D124" s="282" t="str">
        <f>SD2_BA!C269</f>
        <v>Supplies Category 26</v>
      </c>
      <c r="F124" s="119"/>
    </row>
    <row r="125" spans="4:6" x14ac:dyDescent="0.3">
      <c r="D125" s="282" t="str">
        <f>SD2_BA!C270</f>
        <v>Supplies Category 27</v>
      </c>
      <c r="F125" s="119"/>
    </row>
    <row r="126" spans="4:6" x14ac:dyDescent="0.3">
      <c r="D126" s="282" t="str">
        <f>SD2_BA!C271</f>
        <v>Supplies Category 28</v>
      </c>
      <c r="F126" s="119"/>
    </row>
    <row r="127" spans="4:6" x14ac:dyDescent="0.3">
      <c r="D127" s="282" t="str">
        <f>SD2_BA!C272</f>
        <v>Supplies Category 29</v>
      </c>
      <c r="F127" s="119"/>
    </row>
    <row r="128" spans="4:6" x14ac:dyDescent="0.3">
      <c r="D128" s="282" t="str">
        <f>SD2_BA!C273</f>
        <v>Supplies Category 30</v>
      </c>
      <c r="F128" s="119"/>
    </row>
    <row r="129" spans="3:6" x14ac:dyDescent="0.3">
      <c r="D129" s="282" t="str">
        <f>SD2_BA!C274</f>
        <v>Supplies Category 31</v>
      </c>
      <c r="F129" s="119"/>
    </row>
    <row r="130" spans="3:6" x14ac:dyDescent="0.3">
      <c r="D130" s="282" t="str">
        <f>SD2_BA!C275</f>
        <v>Supplies Category 32</v>
      </c>
      <c r="F130" s="119"/>
    </row>
    <row r="131" spans="3:6" x14ac:dyDescent="0.3">
      <c r="D131" s="282" t="str">
        <f>SD2_BA!C276</f>
        <v>Supplies Category 33</v>
      </c>
      <c r="F131" s="119"/>
    </row>
    <row r="132" spans="3:6" x14ac:dyDescent="0.3">
      <c r="D132" s="282" t="str">
        <f>SD2_BA!C277</f>
        <v>Supplies Category 34</v>
      </c>
      <c r="F132" s="119"/>
    </row>
    <row r="133" spans="3:6" x14ac:dyDescent="0.3">
      <c r="D133" s="282" t="str">
        <f>SD2_BA!C278</f>
        <v>Supplies Category 35</v>
      </c>
      <c r="F133" s="119"/>
    </row>
    <row r="136" spans="3:6" ht="15.6" x14ac:dyDescent="0.3">
      <c r="C136" s="115" t="s">
        <v>130</v>
      </c>
      <c r="F136" s="115" t="s">
        <v>28</v>
      </c>
    </row>
    <row r="138" spans="3:6" x14ac:dyDescent="0.3">
      <c r="D138" s="116" t="s">
        <v>95</v>
      </c>
      <c r="F138" s="119" t="s">
        <v>298</v>
      </c>
    </row>
    <row r="139" spans="3:6" x14ac:dyDescent="0.3">
      <c r="D139" s="30" t="str">
        <f>SD2_BA!C281</f>
        <v>Equipment Category 1</v>
      </c>
      <c r="F139" s="33" t="s">
        <v>46</v>
      </c>
    </row>
    <row r="140" spans="3:6" x14ac:dyDescent="0.3">
      <c r="D140" s="30" t="str">
        <f>SD2_BA!C282</f>
        <v>Equipment Category 2</v>
      </c>
      <c r="F140" s="33" t="s">
        <v>46</v>
      </c>
    </row>
    <row r="141" spans="3:6" x14ac:dyDescent="0.3">
      <c r="D141" s="30" t="str">
        <f>SD2_BA!C283</f>
        <v>Equipment Category 3</v>
      </c>
      <c r="F141" s="33" t="s">
        <v>46</v>
      </c>
    </row>
    <row r="142" spans="3:6" x14ac:dyDescent="0.3">
      <c r="D142" s="30" t="str">
        <f>SD2_BA!C284</f>
        <v>Equipment Category 4</v>
      </c>
      <c r="F142" s="33" t="s">
        <v>46</v>
      </c>
    </row>
    <row r="143" spans="3:6" x14ac:dyDescent="0.3">
      <c r="D143" s="30" t="str">
        <f>SD2_BA!C285</f>
        <v>Equipment Category 5</v>
      </c>
      <c r="F143" s="33" t="s">
        <v>46</v>
      </c>
    </row>
    <row r="144" spans="3:6" x14ac:dyDescent="0.3">
      <c r="D144" s="30" t="str">
        <f>SD2_BA!C286</f>
        <v>Equipment Category 6</v>
      </c>
      <c r="F144" s="33" t="s">
        <v>46</v>
      </c>
    </row>
    <row r="145" spans="4:6" x14ac:dyDescent="0.3">
      <c r="D145" s="282" t="str">
        <f>SD2_BA!C287</f>
        <v>Equipment Category 7</v>
      </c>
      <c r="F145" s="119"/>
    </row>
    <row r="146" spans="4:6" x14ac:dyDescent="0.3">
      <c r="D146" s="282" t="str">
        <f>SD2_BA!C288</f>
        <v>Equipment Category 8</v>
      </c>
      <c r="F146" s="119"/>
    </row>
    <row r="147" spans="4:6" x14ac:dyDescent="0.3">
      <c r="D147" s="282" t="str">
        <f>SD2_BA!C289</f>
        <v>Equipment Category 9</v>
      </c>
      <c r="F147" s="119"/>
    </row>
    <row r="148" spans="4:6" x14ac:dyDescent="0.3">
      <c r="D148" s="282" t="str">
        <f>SD2_BA!C290</f>
        <v>Equipment Category 10</v>
      </c>
      <c r="F148" s="119"/>
    </row>
    <row r="149" spans="4:6" x14ac:dyDescent="0.3">
      <c r="D149" s="282" t="str">
        <f>SD2_BA!C291</f>
        <v>Equipment Category 11</v>
      </c>
      <c r="F149" s="119"/>
    </row>
    <row r="150" spans="4:6" x14ac:dyDescent="0.3">
      <c r="D150" s="282" t="str">
        <f>SD2_BA!C292</f>
        <v>Equipment Category 12</v>
      </c>
      <c r="F150" s="119"/>
    </row>
    <row r="151" spans="4:6" x14ac:dyDescent="0.3">
      <c r="D151" s="282" t="str">
        <f>SD2_BA!C293</f>
        <v>Equipment Category 13</v>
      </c>
      <c r="F151" s="119"/>
    </row>
    <row r="152" spans="4:6" x14ac:dyDescent="0.3">
      <c r="D152" s="282" t="str">
        <f>SD2_BA!C294</f>
        <v>Equipment Category 14</v>
      </c>
      <c r="F152" s="119"/>
    </row>
    <row r="153" spans="4:6" x14ac:dyDescent="0.3">
      <c r="D153" s="282" t="str">
        <f>SD2_BA!C295</f>
        <v>Equipment Category 15</v>
      </c>
      <c r="F153" s="119"/>
    </row>
    <row r="154" spans="4:6" x14ac:dyDescent="0.3">
      <c r="D154" s="282" t="str">
        <f>SD2_BA!C296</f>
        <v>Equipment Category 16</v>
      </c>
      <c r="F154" s="119"/>
    </row>
    <row r="155" spans="4:6" x14ac:dyDescent="0.3">
      <c r="D155" s="282" t="str">
        <f>SD2_BA!C297</f>
        <v>Equipment Category 17</v>
      </c>
      <c r="F155" s="119"/>
    </row>
    <row r="156" spans="4:6" x14ac:dyDescent="0.3">
      <c r="D156" s="282" t="str">
        <f>SD2_BA!C298</f>
        <v>Equipment Category 18</v>
      </c>
      <c r="F156" s="119"/>
    </row>
    <row r="157" spans="4:6" x14ac:dyDescent="0.3">
      <c r="D157" s="282" t="str">
        <f>SD2_BA!C299</f>
        <v>Equipment Category 19</v>
      </c>
      <c r="F157" s="119"/>
    </row>
    <row r="158" spans="4:6" x14ac:dyDescent="0.3">
      <c r="D158" s="282" t="str">
        <f>SD2_BA!C300</f>
        <v>Equipment Category 20</v>
      </c>
      <c r="F158" s="119"/>
    </row>
    <row r="159" spans="4:6" x14ac:dyDescent="0.3">
      <c r="D159" s="282" t="str">
        <f>SD2_BA!C301</f>
        <v>Equipment Category 21</v>
      </c>
      <c r="F159" s="119"/>
    </row>
    <row r="160" spans="4:6" x14ac:dyDescent="0.3">
      <c r="D160" s="282" t="str">
        <f>SD2_BA!C302</f>
        <v>Equipment Category 22</v>
      </c>
      <c r="F160" s="119"/>
    </row>
    <row r="161" spans="3:6" x14ac:dyDescent="0.3">
      <c r="D161" s="282" t="str">
        <f>SD2_BA!C303</f>
        <v>Equipment Category 23</v>
      </c>
      <c r="F161" s="119"/>
    </row>
    <row r="162" spans="3:6" x14ac:dyDescent="0.3">
      <c r="D162" s="282" t="str">
        <f>SD2_BA!C304</f>
        <v>Equipment Category 24</v>
      </c>
      <c r="F162" s="119"/>
    </row>
    <row r="163" spans="3:6" x14ac:dyDescent="0.3">
      <c r="D163" s="282" t="str">
        <f>SD2_BA!C305</f>
        <v>Equipment Category 25</v>
      </c>
      <c r="F163" s="119"/>
    </row>
    <row r="164" spans="3:6" x14ac:dyDescent="0.3">
      <c r="D164" s="282" t="str">
        <f>SD2_BA!C306</f>
        <v>Equipment Category 26</v>
      </c>
      <c r="F164" s="119"/>
    </row>
    <row r="165" spans="3:6" x14ac:dyDescent="0.3">
      <c r="D165" s="282" t="str">
        <f>SD2_BA!C307</f>
        <v>Equipment Category 27</v>
      </c>
      <c r="F165" s="119"/>
    </row>
    <row r="166" spans="3:6" x14ac:dyDescent="0.3">
      <c r="D166" s="282" t="str">
        <f>SD2_BA!C308</f>
        <v>Equipment Category 28</v>
      </c>
      <c r="F166" s="119"/>
    </row>
    <row r="167" spans="3:6" x14ac:dyDescent="0.3">
      <c r="D167" s="282" t="str">
        <f>SD2_BA!C309</f>
        <v>Equipment Category 29</v>
      </c>
      <c r="F167" s="119"/>
    </row>
    <row r="168" spans="3:6" x14ac:dyDescent="0.3">
      <c r="D168" s="282" t="str">
        <f>SD2_BA!C310</f>
        <v>Equipment Category 30</v>
      </c>
      <c r="F168" s="119"/>
    </row>
    <row r="169" spans="3:6" x14ac:dyDescent="0.3">
      <c r="D169" s="282" t="str">
        <f>SD2_BA!C311</f>
        <v>Equipment Category 31</v>
      </c>
      <c r="F169" s="119"/>
    </row>
    <row r="170" spans="3:6" x14ac:dyDescent="0.3">
      <c r="D170" s="282" t="str">
        <f>SD2_BA!C312</f>
        <v>Equipment Category 32</v>
      </c>
      <c r="F170" s="119"/>
    </row>
    <row r="171" spans="3:6" x14ac:dyDescent="0.3">
      <c r="D171" s="282" t="str">
        <f>SD2_BA!C313</f>
        <v>Equipment Category 33</v>
      </c>
      <c r="F171" s="119"/>
    </row>
    <row r="172" spans="3:6" x14ac:dyDescent="0.3">
      <c r="D172" s="282" t="str">
        <f>SD2_BA!C314</f>
        <v>Equipment Category 34</v>
      </c>
      <c r="F172" s="119"/>
    </row>
    <row r="173" spans="3:6" x14ac:dyDescent="0.3">
      <c r="D173" s="282" t="str">
        <f>SD2_BA!C315</f>
        <v>Equipment Category 35</v>
      </c>
      <c r="F173" s="119"/>
    </row>
    <row r="175" spans="3:6" ht="15.6" x14ac:dyDescent="0.3">
      <c r="C175" s="115" t="s">
        <v>89</v>
      </c>
      <c r="F175" s="115" t="s">
        <v>28</v>
      </c>
    </row>
    <row r="177" spans="4:6" x14ac:dyDescent="0.3">
      <c r="D177" s="116" t="s">
        <v>95</v>
      </c>
      <c r="F177" s="119" t="s">
        <v>299</v>
      </c>
    </row>
    <row r="178" spans="4:6" x14ac:dyDescent="0.3">
      <c r="D178" s="30" t="str">
        <f>SD2_BA!C319</f>
        <v>Other Direct Costs Category 1</v>
      </c>
      <c r="F178" s="33" t="s">
        <v>46</v>
      </c>
    </row>
    <row r="179" spans="4:6" x14ac:dyDescent="0.3">
      <c r="D179" s="30" t="str">
        <f>SD2_BA!C320</f>
        <v>Other Direct Costs Category 2</v>
      </c>
      <c r="F179" s="33" t="s">
        <v>46</v>
      </c>
    </row>
    <row r="180" spans="4:6" x14ac:dyDescent="0.3">
      <c r="D180" s="30" t="str">
        <f>SD2_BA!C321</f>
        <v>Other Direct Costs Category 3</v>
      </c>
      <c r="F180" s="33" t="s">
        <v>46</v>
      </c>
    </row>
    <row r="181" spans="4:6" x14ac:dyDescent="0.3">
      <c r="D181" s="282" t="str">
        <f>SD2_BA!C322</f>
        <v>Other Direct Costs Category 4</v>
      </c>
      <c r="F181" s="119"/>
    </row>
    <row r="182" spans="4:6" x14ac:dyDescent="0.3">
      <c r="D182" s="282" t="str">
        <f>SD2_BA!C323</f>
        <v>Other Direct Costs Category 5</v>
      </c>
      <c r="F182" s="119"/>
    </row>
    <row r="183" spans="4:6" x14ac:dyDescent="0.3">
      <c r="D183" s="282" t="str">
        <f>SD2_BA!C324</f>
        <v>Other Direct Costs Category 6</v>
      </c>
      <c r="F183" s="119"/>
    </row>
    <row r="184" spans="4:6" x14ac:dyDescent="0.3">
      <c r="D184" s="282" t="str">
        <f>SD2_BA!C325</f>
        <v>Other Direct Costs Category 7</v>
      </c>
      <c r="F184" s="119"/>
    </row>
    <row r="185" spans="4:6" x14ac:dyDescent="0.3">
      <c r="D185" s="282" t="str">
        <f>SD2_BA!C326</f>
        <v>Other Direct Costs Category 8</v>
      </c>
      <c r="F185" s="119"/>
    </row>
    <row r="186" spans="4:6" x14ac:dyDescent="0.3">
      <c r="D186" s="282" t="str">
        <f>SD2_BA!C327</f>
        <v>Other Direct Costs Category 9</v>
      </c>
      <c r="F186" s="119"/>
    </row>
    <row r="187" spans="4:6" x14ac:dyDescent="0.3">
      <c r="D187" s="282" t="str">
        <f>SD2_BA!C328</f>
        <v>Other Direct Costs Category 10</v>
      </c>
      <c r="F187" s="119"/>
    </row>
    <row r="188" spans="4:6" x14ac:dyDescent="0.3">
      <c r="D188" s="282" t="str">
        <f>SD2_BA!C329</f>
        <v>Other Direct Costs Category 11</v>
      </c>
      <c r="F188" s="119"/>
    </row>
    <row r="189" spans="4:6" x14ac:dyDescent="0.3">
      <c r="D189" s="282" t="str">
        <f>SD2_BA!C330</f>
        <v>Other Direct Costs Category 12</v>
      </c>
      <c r="F189" s="119"/>
    </row>
    <row r="190" spans="4:6" x14ac:dyDescent="0.3">
      <c r="D190" s="282" t="str">
        <f>SD2_BA!C331</f>
        <v>Other Direct Costs Category 13</v>
      </c>
      <c r="F190" s="119"/>
    </row>
    <row r="191" spans="4:6" x14ac:dyDescent="0.3">
      <c r="D191" s="282" t="str">
        <f>SD2_BA!C332</f>
        <v>Other Direct Costs Category 14</v>
      </c>
      <c r="F191" s="119"/>
    </row>
    <row r="192" spans="4:6" x14ac:dyDescent="0.3">
      <c r="D192" s="282" t="str">
        <f>SD2_BA!C333</f>
        <v>Other Direct Costs Category 15</v>
      </c>
      <c r="F192" s="119"/>
    </row>
    <row r="193" spans="4:6" x14ac:dyDescent="0.3">
      <c r="D193" s="282" t="str">
        <f>SD2_BA!C334</f>
        <v>Other Direct Costs Category 16</v>
      </c>
      <c r="F193" s="119"/>
    </row>
    <row r="194" spans="4:6" x14ac:dyDescent="0.3">
      <c r="D194" s="282" t="str">
        <f>SD2_BA!C335</f>
        <v>Other Direct Costs Category 17</v>
      </c>
      <c r="F194" s="119"/>
    </row>
    <row r="195" spans="4:6" x14ac:dyDescent="0.3">
      <c r="D195" s="282" t="str">
        <f>SD2_BA!C336</f>
        <v>Other Direct Costs Category 18</v>
      </c>
      <c r="F195" s="119"/>
    </row>
    <row r="196" spans="4:6" x14ac:dyDescent="0.3">
      <c r="D196" s="282" t="str">
        <f>SD2_BA!C337</f>
        <v>Other Direct Costs Category 19</v>
      </c>
      <c r="F196" s="119"/>
    </row>
    <row r="197" spans="4:6" x14ac:dyDescent="0.3">
      <c r="D197" s="282" t="str">
        <f>SD2_BA!C338</f>
        <v>Other Direct Costs Category 20</v>
      </c>
      <c r="F197" s="119"/>
    </row>
    <row r="198" spans="4:6" x14ac:dyDescent="0.3">
      <c r="D198" s="282" t="str">
        <f>SD2_BA!C339</f>
        <v>Other Direct Costs Category 21</v>
      </c>
      <c r="F198" s="119"/>
    </row>
    <row r="199" spans="4:6" x14ac:dyDescent="0.3">
      <c r="D199" s="282" t="str">
        <f>SD2_BA!C340</f>
        <v>Other Direct Costs Category 22</v>
      </c>
      <c r="F199" s="119"/>
    </row>
    <row r="200" spans="4:6" x14ac:dyDescent="0.3">
      <c r="D200" s="282" t="str">
        <f>SD2_BA!C341</f>
        <v>Other Direct Costs Category 23</v>
      </c>
      <c r="F200" s="119"/>
    </row>
    <row r="201" spans="4:6" x14ac:dyDescent="0.3">
      <c r="D201" s="282" t="str">
        <f>SD2_BA!C342</f>
        <v>Other Direct Costs Category 24</v>
      </c>
      <c r="F201" s="119"/>
    </row>
    <row r="202" spans="4:6" x14ac:dyDescent="0.3">
      <c r="D202" s="282" t="str">
        <f>SD2_BA!C343</f>
        <v>Other Direct Costs Category 25</v>
      </c>
      <c r="F202" s="119"/>
    </row>
    <row r="203" spans="4:6" x14ac:dyDescent="0.3">
      <c r="D203" s="282" t="str">
        <f>SD2_BA!C344</f>
        <v>Other Direct Costs Category 26</v>
      </c>
      <c r="F203" s="119"/>
    </row>
    <row r="204" spans="4:6" x14ac:dyDescent="0.3">
      <c r="D204" s="282" t="str">
        <f>SD2_BA!C345</f>
        <v>Other Direct Costs Category 27</v>
      </c>
      <c r="F204" s="119"/>
    </row>
    <row r="205" spans="4:6" x14ac:dyDescent="0.3">
      <c r="D205" s="282" t="str">
        <f>SD2_BA!C346</f>
        <v>Other Direct Costs Category 28</v>
      </c>
      <c r="F205" s="119"/>
    </row>
    <row r="206" spans="4:6" x14ac:dyDescent="0.3">
      <c r="D206" s="282" t="str">
        <f>SD2_BA!C347</f>
        <v>Other Direct Costs Category 29</v>
      </c>
      <c r="F206" s="119"/>
    </row>
    <row r="207" spans="4:6" x14ac:dyDescent="0.3">
      <c r="D207" s="282" t="str">
        <f>SD2_BA!C348</f>
        <v>Other Direct Costs Category 30</v>
      </c>
      <c r="F207" s="119"/>
    </row>
    <row r="208" spans="4:6" x14ac:dyDescent="0.3">
      <c r="D208" s="282" t="str">
        <f>SD2_BA!C349</f>
        <v>Other Direct Costs Category 31</v>
      </c>
      <c r="F208" s="119"/>
    </row>
    <row r="209" spans="4:6" x14ac:dyDescent="0.3">
      <c r="D209" s="282" t="str">
        <f>SD2_BA!C350</f>
        <v>Other Direct Costs Category 32</v>
      </c>
      <c r="F209" s="119"/>
    </row>
    <row r="210" spans="4:6" x14ac:dyDescent="0.3">
      <c r="D210" s="282" t="str">
        <f>SD2_BA!C351</f>
        <v>Other Direct Costs Category 33</v>
      </c>
      <c r="F210" s="119"/>
    </row>
    <row r="211" spans="4:6" x14ac:dyDescent="0.3">
      <c r="D211" s="282" t="str">
        <f>SD2_BA!C352</f>
        <v>Other Direct Costs Category 34</v>
      </c>
      <c r="F211" s="119"/>
    </row>
    <row r="212" spans="4:6" x14ac:dyDescent="0.3">
      <c r="D212" s="282" t="str">
        <f>SD2_BA!C353</f>
        <v>Other Direct Costs Category 35</v>
      </c>
      <c r="F212" s="119"/>
    </row>
  </sheetData>
  <sheetProtection algorithmName="SHA-512" hashValue="HAakL/I9YEx0gUkXBqopkqvCQXQq3/p8N0jXAOiJ0yNll+TrjaqrgnHpf8bpLlJd+v/l0VjYqKtQNL7ijr6Ksw==" saltValue="rFOaRMq6wSqittwAwu+3zA==" spinCount="100000" sheet="1" objects="1" scenarios="1" formatColumns="0" formatRows="0"/>
  <mergeCells count="1">
    <mergeCell ref="B3:D3"/>
  </mergeCells>
  <hyperlinks>
    <hyperlink ref="A4" location="$B$5" tooltip="Go to Top of Sheet" display="$B$5" xr:uid="{00000000-0004-0000-3400-000000000000}"/>
    <hyperlink ref="C4" location="HL_Sheet_Main_31" tooltip="Go to Next Sheet" display="HL_Sheet_Main_31" xr:uid="{00000000-0004-0000-3400-000001000000}"/>
    <hyperlink ref="B4" location="HL_Sheet_Main_56" tooltip="Go to Previous Sheet" display="HL_Sheet_Main_56" xr:uid="{00000000-0004-0000-3400-000002000000}"/>
    <hyperlink ref="B3" location="HL_Home" tooltip="Go to Table of Contents" display="HL_Home" xr:uid="{00000000-0004-0000-34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7">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672</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674</v>
      </c>
    </row>
    <row r="9" spans="1:6" ht="15.6" x14ac:dyDescent="0.3">
      <c r="C9" s="115" t="s">
        <v>93</v>
      </c>
    </row>
    <row r="11" spans="1:6" ht="15.6" x14ac:dyDescent="0.3">
      <c r="C11" s="115" t="s">
        <v>93</v>
      </c>
      <c r="F11" s="115" t="s">
        <v>28</v>
      </c>
    </row>
    <row r="13" spans="1:6" x14ac:dyDescent="0.3">
      <c r="D13" s="116" t="s">
        <v>95</v>
      </c>
      <c r="F13" s="119" t="s">
        <v>300</v>
      </c>
    </row>
    <row r="14" spans="1:6" x14ac:dyDescent="0.3">
      <c r="D14" s="30" t="str">
        <f>SD2_BA!D512</f>
        <v>USD</v>
      </c>
      <c r="F14" s="33" t="s">
        <v>46</v>
      </c>
    </row>
    <row r="15" spans="1:6" x14ac:dyDescent="0.3">
      <c r="D15" s="30" t="str">
        <f>SD2_BA!D513</f>
        <v>GOZ</v>
      </c>
      <c r="F15" s="33" t="s">
        <v>46</v>
      </c>
    </row>
    <row r="17" spans="3:6" ht="15.6" x14ac:dyDescent="0.3">
      <c r="C17" s="115" t="s">
        <v>77</v>
      </c>
      <c r="F17" s="115" t="s">
        <v>28</v>
      </c>
    </row>
    <row r="19" spans="3:6" x14ac:dyDescent="0.3">
      <c r="D19" s="116" t="s">
        <v>95</v>
      </c>
      <c r="F19" s="119" t="s">
        <v>301</v>
      </c>
    </row>
    <row r="20" spans="3:6" x14ac:dyDescent="0.3">
      <c r="D20" s="30" t="str">
        <f>SD2_BA!C518</f>
        <v>Personnel Cadre - Other 1</v>
      </c>
      <c r="F20" s="33" t="s">
        <v>46</v>
      </c>
    </row>
    <row r="21" spans="3:6" x14ac:dyDescent="0.3">
      <c r="D21" s="30" t="str">
        <f>SD2_BA!C519</f>
        <v>Personnel Cadre - Other 2</v>
      </c>
      <c r="F21" s="33" t="s">
        <v>46</v>
      </c>
    </row>
    <row r="22" spans="3:6" x14ac:dyDescent="0.3">
      <c r="D22" s="30" t="str">
        <f>SD2_BA!C520</f>
        <v>Personnel Cadre - Other 3</v>
      </c>
      <c r="F22" s="33" t="s">
        <v>46</v>
      </c>
    </row>
    <row r="23" spans="3:6" x14ac:dyDescent="0.3">
      <c r="D23" s="30" t="str">
        <f>SD2_BA!C521</f>
        <v>Personnel Cadre - Other 4</v>
      </c>
      <c r="F23" s="33" t="s">
        <v>46</v>
      </c>
    </row>
    <row r="24" spans="3:6" x14ac:dyDescent="0.3">
      <c r="D24" s="30" t="str">
        <f>SD2_BA!C522</f>
        <v>Personnel Cadre - Other 5</v>
      </c>
      <c r="F24" s="33" t="s">
        <v>46</v>
      </c>
    </row>
    <row r="25" spans="3:6" x14ac:dyDescent="0.3">
      <c r="D25" s="30" t="str">
        <f>SD2_BA!C523</f>
        <v>Personnel Cadre - Other 6</v>
      </c>
      <c r="F25" s="33" t="s">
        <v>46</v>
      </c>
    </row>
    <row r="26" spans="3:6" x14ac:dyDescent="0.3">
      <c r="D26" s="30" t="str">
        <f>SD2_BA!C524</f>
        <v>Personnel Cadre - Other 7</v>
      </c>
      <c r="F26" s="33" t="s">
        <v>46</v>
      </c>
    </row>
    <row r="27" spans="3:6" x14ac:dyDescent="0.3">
      <c r="D27" s="30" t="str">
        <f>SD2_BA!C525</f>
        <v>Personnel Cadre - Other 8</v>
      </c>
      <c r="F27" s="33" t="s">
        <v>46</v>
      </c>
    </row>
    <row r="28" spans="3:6" x14ac:dyDescent="0.3">
      <c r="D28" s="30" t="str">
        <f>SD2_BA!C526</f>
        <v>Personnel Cadre - Other 9</v>
      </c>
      <c r="F28" s="33" t="s">
        <v>46</v>
      </c>
    </row>
    <row r="29" spans="3:6" x14ac:dyDescent="0.3">
      <c r="D29" s="30" t="str">
        <f>SD2_BA!C527</f>
        <v>Personnel Cadre - Other 10</v>
      </c>
      <c r="F29" s="33" t="s">
        <v>46</v>
      </c>
    </row>
    <row r="30" spans="3:6" x14ac:dyDescent="0.3">
      <c r="D30" s="30" t="str">
        <f>SD2_BA!C528</f>
        <v>Personnel Cadre - Other 11</v>
      </c>
      <c r="F30" s="33" t="s">
        <v>46</v>
      </c>
    </row>
    <row r="31" spans="3:6" x14ac:dyDescent="0.3">
      <c r="D31" s="30" t="str">
        <f>SD2_BA!C529</f>
        <v>Personnel Cadre - Other 12</v>
      </c>
      <c r="F31" s="33" t="s">
        <v>46</v>
      </c>
    </row>
    <row r="32" spans="3:6" x14ac:dyDescent="0.3">
      <c r="D32" s="30" t="str">
        <f>SD2_BA!C530</f>
        <v>Personnel Cadre - Other 13</v>
      </c>
      <c r="F32" s="33" t="s">
        <v>46</v>
      </c>
    </row>
    <row r="33" spans="4:6" x14ac:dyDescent="0.3">
      <c r="D33" s="30" t="str">
        <f>SD2_BA!C531</f>
        <v>Personnel Cadre - Other 14</v>
      </c>
      <c r="F33" s="33" t="s">
        <v>46</v>
      </c>
    </row>
    <row r="34" spans="4:6" x14ac:dyDescent="0.3">
      <c r="D34" s="30" t="str">
        <f>SD2_BA!C532</f>
        <v>Personnel Cadre - Other 15</v>
      </c>
      <c r="F34" s="33" t="s">
        <v>46</v>
      </c>
    </row>
    <row r="35" spans="4:6" x14ac:dyDescent="0.3">
      <c r="D35" s="282" t="str">
        <f>SD2_BA!C533</f>
        <v>Personnel Cadre - Other 16</v>
      </c>
      <c r="F35" s="119"/>
    </row>
    <row r="36" spans="4:6" x14ac:dyDescent="0.3">
      <c r="D36" s="282" t="str">
        <f>SD2_BA!C534</f>
        <v>Personnel Cadre - Other 17</v>
      </c>
      <c r="F36" s="119"/>
    </row>
    <row r="37" spans="4:6" x14ac:dyDescent="0.3">
      <c r="D37" s="282" t="str">
        <f>SD2_BA!C535</f>
        <v>Personnel Cadre - Other 18</v>
      </c>
      <c r="F37" s="119"/>
    </row>
    <row r="38" spans="4:6" x14ac:dyDescent="0.3">
      <c r="D38" s="282" t="str">
        <f>SD2_BA!C536</f>
        <v>Personnel Cadre - Other 19</v>
      </c>
      <c r="F38" s="119"/>
    </row>
    <row r="39" spans="4:6" x14ac:dyDescent="0.3">
      <c r="D39" s="282" t="str">
        <f>SD2_BA!C537</f>
        <v>Personnel Cadre - Other 20</v>
      </c>
      <c r="F39" s="119"/>
    </row>
    <row r="40" spans="4:6" x14ac:dyDescent="0.3">
      <c r="D40" s="282" t="str">
        <f>SD2_BA!C538</f>
        <v>Personnel Cadre - Other 21</v>
      </c>
      <c r="F40" s="119"/>
    </row>
    <row r="41" spans="4:6" x14ac:dyDescent="0.3">
      <c r="D41" s="282" t="str">
        <f>SD2_BA!C539</f>
        <v>Personnel Cadre - Other 22</v>
      </c>
      <c r="F41" s="119"/>
    </row>
    <row r="42" spans="4:6" x14ac:dyDescent="0.3">
      <c r="D42" s="282" t="str">
        <f>SD2_BA!C540</f>
        <v>Personnel Cadre - Other 23</v>
      </c>
      <c r="F42" s="119"/>
    </row>
    <row r="43" spans="4:6" x14ac:dyDescent="0.3">
      <c r="D43" s="282" t="str">
        <f>SD2_BA!C541</f>
        <v>Personnel Cadre - Other 24</v>
      </c>
      <c r="F43" s="119"/>
    </row>
    <row r="44" spans="4:6" x14ac:dyDescent="0.3">
      <c r="D44" s="282" t="str">
        <f>SD2_BA!C542</f>
        <v>Personnel Cadre - Other 25</v>
      </c>
      <c r="F44" s="119"/>
    </row>
    <row r="45" spans="4:6" x14ac:dyDescent="0.3">
      <c r="D45" s="282" t="str">
        <f>SD2_BA!C543</f>
        <v>Personnel Cadre - Other 26</v>
      </c>
      <c r="F45" s="119"/>
    </row>
    <row r="46" spans="4:6" x14ac:dyDescent="0.3">
      <c r="D46" s="282" t="str">
        <f>SD2_BA!C544</f>
        <v>Personnel Cadre - Other 27</v>
      </c>
      <c r="F46" s="119"/>
    </row>
    <row r="47" spans="4:6" x14ac:dyDescent="0.3">
      <c r="D47" s="282" t="str">
        <f>SD2_BA!C545</f>
        <v>Personnel Cadre - Other 28</v>
      </c>
      <c r="F47" s="119"/>
    </row>
    <row r="48" spans="4:6" x14ac:dyDescent="0.3">
      <c r="D48" s="282" t="str">
        <f>SD2_BA!C546</f>
        <v>Personnel Cadre - Other 29</v>
      </c>
      <c r="F48" s="119"/>
    </row>
    <row r="49" spans="3:6" x14ac:dyDescent="0.3">
      <c r="D49" s="282" t="str">
        <f>SD2_BA!C547</f>
        <v>Personnel Cadre - Other 30</v>
      </c>
      <c r="F49" s="119"/>
    </row>
    <row r="50" spans="3:6" x14ac:dyDescent="0.3">
      <c r="D50" s="282" t="str">
        <f>SD2_BA!C548</f>
        <v>Personnel Cadre - Other 31</v>
      </c>
      <c r="F50" s="119"/>
    </row>
    <row r="51" spans="3:6" x14ac:dyDescent="0.3">
      <c r="D51" s="282" t="str">
        <f>SD2_BA!C549</f>
        <v>Personnel Cadre - Other 32</v>
      </c>
      <c r="F51" s="119"/>
    </row>
    <row r="52" spans="3:6" x14ac:dyDescent="0.3">
      <c r="D52" s="282" t="str">
        <f>SD2_BA!C550</f>
        <v>Personnel Cadre - Other 33</v>
      </c>
      <c r="F52" s="119"/>
    </row>
    <row r="53" spans="3:6" x14ac:dyDescent="0.3">
      <c r="D53" s="282" t="str">
        <f>SD2_BA!C551</f>
        <v>Personnel Cadre - Other 34</v>
      </c>
      <c r="F53" s="119"/>
    </row>
    <row r="54" spans="3:6" x14ac:dyDescent="0.3">
      <c r="D54" s="282" t="str">
        <f>SD2_BA!C552</f>
        <v>Personnel Cadre - Other 35</v>
      </c>
      <c r="F54" s="119"/>
    </row>
    <row r="56" spans="3:6" ht="15.6" x14ac:dyDescent="0.3">
      <c r="C56" s="115" t="s">
        <v>94</v>
      </c>
      <c r="F56" s="115" t="s">
        <v>28</v>
      </c>
    </row>
    <row r="58" spans="3:6" x14ac:dyDescent="0.3">
      <c r="D58" s="116" t="s">
        <v>95</v>
      </c>
      <c r="F58" s="119" t="s">
        <v>302</v>
      </c>
    </row>
    <row r="59" spans="3:6" x14ac:dyDescent="0.3">
      <c r="D59" s="30" t="str">
        <f>SD2_BA!C555</f>
        <v>Allowances Category 1</v>
      </c>
      <c r="F59" s="33" t="s">
        <v>46</v>
      </c>
    </row>
    <row r="60" spans="3:6" x14ac:dyDescent="0.3">
      <c r="D60" s="30" t="str">
        <f>SD2_BA!C556</f>
        <v>Allowances Category 2</v>
      </c>
      <c r="F60" s="33" t="s">
        <v>46</v>
      </c>
    </row>
    <row r="61" spans="3:6" x14ac:dyDescent="0.3">
      <c r="D61" s="30" t="str">
        <f>SD2_BA!C557</f>
        <v>Allowances Category 3</v>
      </c>
      <c r="F61" s="33" t="s">
        <v>46</v>
      </c>
    </row>
    <row r="62" spans="3:6" x14ac:dyDescent="0.3">
      <c r="D62" s="30" t="str">
        <f>SD2_BA!C558</f>
        <v>Allowances Category 4</v>
      </c>
      <c r="F62" s="33" t="s">
        <v>46</v>
      </c>
    </row>
    <row r="63" spans="3:6" x14ac:dyDescent="0.3">
      <c r="D63" s="30" t="str">
        <f>SD2_BA!C559</f>
        <v>Allowances Category 5</v>
      </c>
      <c r="F63" s="33" t="s">
        <v>46</v>
      </c>
    </row>
    <row r="64" spans="3:6" x14ac:dyDescent="0.3">
      <c r="D64" s="282" t="str">
        <f>SD2_BA!C560</f>
        <v>Allowances Category 6</v>
      </c>
      <c r="F64" s="119"/>
    </row>
    <row r="65" spans="4:6" x14ac:dyDescent="0.3">
      <c r="D65" s="282" t="str">
        <f>SD2_BA!C561</f>
        <v>Allowances Category 7</v>
      </c>
      <c r="F65" s="119"/>
    </row>
    <row r="66" spans="4:6" x14ac:dyDescent="0.3">
      <c r="D66" s="282" t="str">
        <f>SD2_BA!C562</f>
        <v>Allowances Category 8</v>
      </c>
      <c r="F66" s="119"/>
    </row>
    <row r="67" spans="4:6" x14ac:dyDescent="0.3">
      <c r="D67" s="282" t="str">
        <f>SD2_BA!C563</f>
        <v>Allowances Category 9</v>
      </c>
      <c r="F67" s="119"/>
    </row>
    <row r="68" spans="4:6" x14ac:dyDescent="0.3">
      <c r="D68" s="282" t="str">
        <f>SD2_BA!C564</f>
        <v>Allowances Category 10</v>
      </c>
      <c r="F68" s="119"/>
    </row>
    <row r="69" spans="4:6" x14ac:dyDescent="0.3">
      <c r="D69" s="282" t="str">
        <f>SD2_BA!C565</f>
        <v>Allowances Category 11</v>
      </c>
      <c r="F69" s="119"/>
    </row>
    <row r="70" spans="4:6" x14ac:dyDescent="0.3">
      <c r="D70" s="282" t="str">
        <f>SD2_BA!C566</f>
        <v>Allowances Category 12</v>
      </c>
      <c r="F70" s="119"/>
    </row>
    <row r="71" spans="4:6" x14ac:dyDescent="0.3">
      <c r="D71" s="282" t="str">
        <f>SD2_BA!C567</f>
        <v>Allowances Category 13</v>
      </c>
      <c r="F71" s="119"/>
    </row>
    <row r="72" spans="4:6" x14ac:dyDescent="0.3">
      <c r="D72" s="282" t="str">
        <f>SD2_BA!C568</f>
        <v>Allowances Category 14</v>
      </c>
      <c r="F72" s="119"/>
    </row>
    <row r="73" spans="4:6" x14ac:dyDescent="0.3">
      <c r="D73" s="282" t="str">
        <f>SD2_BA!C569</f>
        <v>Allowances Category 15</v>
      </c>
      <c r="F73" s="119"/>
    </row>
    <row r="74" spans="4:6" x14ac:dyDescent="0.3">
      <c r="D74" s="282" t="str">
        <f>SD2_BA!C570</f>
        <v>Allowances Category 16</v>
      </c>
      <c r="F74" s="119"/>
    </row>
    <row r="75" spans="4:6" x14ac:dyDescent="0.3">
      <c r="D75" s="30" t="str">
        <f>SD2_BA!C571</f>
        <v>Allowances Category 17</v>
      </c>
      <c r="F75" s="33" t="s">
        <v>46</v>
      </c>
    </row>
    <row r="76" spans="4:6" x14ac:dyDescent="0.3">
      <c r="D76" s="30" t="str">
        <f>SD2_BA!C572</f>
        <v>Allowances Category 18</v>
      </c>
      <c r="F76" s="33" t="s">
        <v>46</v>
      </c>
    </row>
    <row r="77" spans="4:6" x14ac:dyDescent="0.3">
      <c r="D77" s="30" t="str">
        <f>SD2_BA!C573</f>
        <v>Allowances Category 19</v>
      </c>
      <c r="F77" s="33" t="s">
        <v>46</v>
      </c>
    </row>
    <row r="78" spans="4:6" x14ac:dyDescent="0.3">
      <c r="D78" s="30" t="str">
        <f>SD2_BA!C574</f>
        <v>Allowances Category 20</v>
      </c>
      <c r="F78" s="33" t="s">
        <v>46</v>
      </c>
    </row>
    <row r="79" spans="4:6" x14ac:dyDescent="0.3">
      <c r="D79" s="30" t="str">
        <f>SD2_BA!C575</f>
        <v>Allowances Category 21</v>
      </c>
      <c r="F79" s="33" t="s">
        <v>46</v>
      </c>
    </row>
    <row r="80" spans="4:6" x14ac:dyDescent="0.3">
      <c r="D80" s="30" t="str">
        <f>SD2_BA!C576</f>
        <v>Allowances Category 22</v>
      </c>
      <c r="F80" s="33" t="s">
        <v>46</v>
      </c>
    </row>
    <row r="81" spans="3:6" x14ac:dyDescent="0.3">
      <c r="D81" s="30" t="str">
        <f>SD2_BA!C577</f>
        <v>Allowances Category 23</v>
      </c>
      <c r="F81" s="33" t="s">
        <v>46</v>
      </c>
    </row>
    <row r="82" spans="3:6" x14ac:dyDescent="0.3">
      <c r="D82" s="282" t="str">
        <f>SD2_BA!C578</f>
        <v>Allowances Category 24</v>
      </c>
      <c r="F82" s="119"/>
    </row>
    <row r="83" spans="3:6" x14ac:dyDescent="0.3">
      <c r="D83" s="282" t="str">
        <f>SD2_BA!C579</f>
        <v>Allowances Category 25</v>
      </c>
      <c r="F83" s="119"/>
    </row>
    <row r="84" spans="3:6" x14ac:dyDescent="0.3">
      <c r="D84" s="282" t="str">
        <f>SD2_BA!C580</f>
        <v>Allowances Category 26</v>
      </c>
      <c r="F84" s="119"/>
    </row>
    <row r="85" spans="3:6" x14ac:dyDescent="0.3">
      <c r="D85" s="282" t="str">
        <f>SD2_BA!C581</f>
        <v>Allowances Category 27</v>
      </c>
      <c r="F85" s="119"/>
    </row>
    <row r="86" spans="3:6" x14ac:dyDescent="0.3">
      <c r="D86" s="282" t="str">
        <f>SD2_BA!C582</f>
        <v>Allowances Category 28</v>
      </c>
      <c r="F86" s="119"/>
    </row>
    <row r="87" spans="3:6" x14ac:dyDescent="0.3">
      <c r="D87" s="282" t="str">
        <f>SD2_BA!C583</f>
        <v>Allowances Category 29</v>
      </c>
      <c r="F87" s="119"/>
    </row>
    <row r="88" spans="3:6" x14ac:dyDescent="0.3">
      <c r="D88" s="282" t="str">
        <f>SD2_BA!C584</f>
        <v>Allowances Category 30</v>
      </c>
      <c r="F88" s="119"/>
    </row>
    <row r="89" spans="3:6" x14ac:dyDescent="0.3">
      <c r="D89" s="30" t="str">
        <f>SD2_BA!C585</f>
        <v>Allowances Category 31</v>
      </c>
      <c r="F89" s="33" t="s">
        <v>46</v>
      </c>
    </row>
    <row r="90" spans="3:6" x14ac:dyDescent="0.3">
      <c r="D90" s="30" t="str">
        <f>SD2_BA!C586</f>
        <v>Allowances Category 32</v>
      </c>
      <c r="F90" s="33" t="s">
        <v>46</v>
      </c>
    </row>
    <row r="91" spans="3:6" x14ac:dyDescent="0.3">
      <c r="D91" s="30" t="str">
        <f>SD2_BA!C587</f>
        <v>Allowances Category 33</v>
      </c>
      <c r="F91" s="33" t="s">
        <v>46</v>
      </c>
    </row>
    <row r="92" spans="3:6" x14ac:dyDescent="0.3">
      <c r="D92" s="30" t="str">
        <f>SD2_BA!C588</f>
        <v>Allowances Category 34</v>
      </c>
      <c r="F92" s="33" t="s">
        <v>46</v>
      </c>
    </row>
    <row r="93" spans="3:6" x14ac:dyDescent="0.3">
      <c r="D93" s="30" t="str">
        <f>SD2_BA!C589</f>
        <v>Allowances Category 35</v>
      </c>
      <c r="F93" s="33" t="s">
        <v>46</v>
      </c>
    </row>
    <row r="96" spans="3:6" ht="15.6" x14ac:dyDescent="0.3">
      <c r="C96" s="115" t="s">
        <v>132</v>
      </c>
      <c r="F96" s="115" t="s">
        <v>28</v>
      </c>
    </row>
    <row r="98" spans="4:6" x14ac:dyDescent="0.3">
      <c r="D98" s="116" t="s">
        <v>95</v>
      </c>
      <c r="F98" s="119" t="s">
        <v>303</v>
      </c>
    </row>
    <row r="99" spans="4:6" x14ac:dyDescent="0.3">
      <c r="D99" s="30" t="str">
        <f>SD2_BA!C593</f>
        <v>Supplies Category 1</v>
      </c>
      <c r="F99" s="33" t="s">
        <v>46</v>
      </c>
    </row>
    <row r="100" spans="4:6" x14ac:dyDescent="0.3">
      <c r="D100" s="30" t="str">
        <f>SD2_BA!C594</f>
        <v>Supplies Category 2</v>
      </c>
      <c r="F100" s="33" t="s">
        <v>46</v>
      </c>
    </row>
    <row r="101" spans="4:6" x14ac:dyDescent="0.3">
      <c r="D101" s="30" t="str">
        <f>SD2_BA!C595</f>
        <v>Supplies Category 3</v>
      </c>
      <c r="F101" s="33" t="s">
        <v>46</v>
      </c>
    </row>
    <row r="102" spans="4:6" x14ac:dyDescent="0.3">
      <c r="D102" s="30" t="str">
        <f>SD2_BA!C596</f>
        <v>Supplies Category 4</v>
      </c>
      <c r="F102" s="33" t="s">
        <v>46</v>
      </c>
    </row>
    <row r="103" spans="4:6" x14ac:dyDescent="0.3">
      <c r="D103" s="30" t="str">
        <f>SD2_BA!C597</f>
        <v>Supplies Category 5</v>
      </c>
      <c r="F103" s="33" t="s">
        <v>46</v>
      </c>
    </row>
    <row r="104" spans="4:6" x14ac:dyDescent="0.3">
      <c r="D104" s="30" t="str">
        <f>SD2_BA!C598</f>
        <v>Supplies Category 6</v>
      </c>
      <c r="F104" s="33" t="s">
        <v>46</v>
      </c>
    </row>
    <row r="105" spans="4:6" x14ac:dyDescent="0.3">
      <c r="D105" s="30" t="str">
        <f>SD2_BA!C599</f>
        <v>Supplies Category 7</v>
      </c>
      <c r="F105" s="33" t="s">
        <v>46</v>
      </c>
    </row>
    <row r="106" spans="4:6" x14ac:dyDescent="0.3">
      <c r="D106" s="30" t="str">
        <f>SD2_BA!C600</f>
        <v>Supplies Category 8</v>
      </c>
      <c r="F106" s="33" t="s">
        <v>46</v>
      </c>
    </row>
    <row r="107" spans="4:6" x14ac:dyDescent="0.3">
      <c r="D107" s="30" t="str">
        <f>SD2_BA!C601</f>
        <v>Supplies Category 9</v>
      </c>
      <c r="F107" s="33" t="s">
        <v>46</v>
      </c>
    </row>
    <row r="108" spans="4:6" x14ac:dyDescent="0.3">
      <c r="D108" s="30" t="str">
        <f>SD2_BA!C602</f>
        <v>Supplies Category 10</v>
      </c>
      <c r="F108" s="33" t="s">
        <v>46</v>
      </c>
    </row>
    <row r="109" spans="4:6" x14ac:dyDescent="0.3">
      <c r="D109" s="30" t="str">
        <f>SD2_BA!C603</f>
        <v>Supplies Category 11</v>
      </c>
      <c r="F109" s="33" t="s">
        <v>46</v>
      </c>
    </row>
    <row r="110" spans="4:6" x14ac:dyDescent="0.3">
      <c r="D110" s="30" t="str">
        <f>SD2_BA!C604</f>
        <v>Supplies Category 12</v>
      </c>
      <c r="F110" s="33" t="s">
        <v>46</v>
      </c>
    </row>
    <row r="111" spans="4:6" x14ac:dyDescent="0.3">
      <c r="D111" s="30" t="str">
        <f>SD2_BA!C605</f>
        <v>Supplies Category 13</v>
      </c>
      <c r="F111" s="33" t="s">
        <v>46</v>
      </c>
    </row>
    <row r="112" spans="4:6" x14ac:dyDescent="0.3">
      <c r="D112" s="30" t="str">
        <f>SD2_BA!C606</f>
        <v>Supplies Category 14</v>
      </c>
      <c r="F112" s="33" t="s">
        <v>46</v>
      </c>
    </row>
    <row r="113" spans="4:6" x14ac:dyDescent="0.3">
      <c r="D113" s="30" t="str">
        <f>SD2_BA!C607</f>
        <v>Supplies Category 15</v>
      </c>
      <c r="F113" s="33" t="s">
        <v>46</v>
      </c>
    </row>
    <row r="114" spans="4:6" x14ac:dyDescent="0.3">
      <c r="D114" s="30" t="str">
        <f>SD2_BA!C608</f>
        <v>Supplies Category 16</v>
      </c>
      <c r="F114" s="33" t="s">
        <v>46</v>
      </c>
    </row>
    <row r="115" spans="4:6" x14ac:dyDescent="0.3">
      <c r="D115" s="282" t="str">
        <f>SD2_BA!C609</f>
        <v>Supplies Category 17</v>
      </c>
      <c r="F115" s="119"/>
    </row>
    <row r="116" spans="4:6" x14ac:dyDescent="0.3">
      <c r="D116" s="282" t="str">
        <f>SD2_BA!C610</f>
        <v>Supplies Category 18</v>
      </c>
      <c r="F116" s="119"/>
    </row>
    <row r="117" spans="4:6" x14ac:dyDescent="0.3">
      <c r="D117" s="282" t="str">
        <f>SD2_BA!C611</f>
        <v>Supplies Category 19</v>
      </c>
      <c r="F117" s="119"/>
    </row>
    <row r="118" spans="4:6" x14ac:dyDescent="0.3">
      <c r="D118" s="282" t="str">
        <f>SD2_BA!C612</f>
        <v>Supplies Category 20</v>
      </c>
      <c r="F118" s="119"/>
    </row>
    <row r="119" spans="4:6" x14ac:dyDescent="0.3">
      <c r="D119" s="282" t="str">
        <f>SD2_BA!C613</f>
        <v>Supplies Category 21</v>
      </c>
      <c r="F119" s="119"/>
    </row>
    <row r="120" spans="4:6" x14ac:dyDescent="0.3">
      <c r="D120" s="282" t="str">
        <f>SD2_BA!C614</f>
        <v>Supplies Category 22</v>
      </c>
      <c r="F120" s="119"/>
    </row>
    <row r="121" spans="4:6" x14ac:dyDescent="0.3">
      <c r="D121" s="282" t="str">
        <f>SD2_BA!C615</f>
        <v>Supplies Category 23</v>
      </c>
      <c r="F121" s="119"/>
    </row>
    <row r="122" spans="4:6" x14ac:dyDescent="0.3">
      <c r="D122" s="282" t="str">
        <f>SD2_BA!C616</f>
        <v>Supplies Category 24</v>
      </c>
      <c r="F122" s="119"/>
    </row>
    <row r="123" spans="4:6" x14ac:dyDescent="0.3">
      <c r="D123" s="282" t="str">
        <f>SD2_BA!C617</f>
        <v>Supplies Category 25</v>
      </c>
      <c r="F123" s="119"/>
    </row>
    <row r="124" spans="4:6" x14ac:dyDescent="0.3">
      <c r="D124" s="282" t="str">
        <f>SD2_BA!C618</f>
        <v>Supplies Category 26</v>
      </c>
      <c r="F124" s="119"/>
    </row>
    <row r="125" spans="4:6" x14ac:dyDescent="0.3">
      <c r="D125" s="282" t="str">
        <f>SD2_BA!C619</f>
        <v>Supplies Category 27</v>
      </c>
      <c r="F125" s="119"/>
    </row>
    <row r="126" spans="4:6" x14ac:dyDescent="0.3">
      <c r="D126" s="282" t="str">
        <f>SD2_BA!C620</f>
        <v>Supplies Category 28</v>
      </c>
      <c r="F126" s="119"/>
    </row>
    <row r="127" spans="4:6" x14ac:dyDescent="0.3">
      <c r="D127" s="282" t="str">
        <f>SD2_BA!C621</f>
        <v>Supplies Category 29</v>
      </c>
      <c r="F127" s="119"/>
    </row>
    <row r="128" spans="4:6" x14ac:dyDescent="0.3">
      <c r="D128" s="282" t="str">
        <f>SD2_BA!C622</f>
        <v>Supplies Category 30</v>
      </c>
      <c r="F128" s="119"/>
    </row>
    <row r="129" spans="3:6" x14ac:dyDescent="0.3">
      <c r="D129" s="282" t="str">
        <f>SD2_BA!C623</f>
        <v>Supplies Category 31</v>
      </c>
      <c r="F129" s="119"/>
    </row>
    <row r="130" spans="3:6" x14ac:dyDescent="0.3">
      <c r="D130" s="282" t="str">
        <f>SD2_BA!C624</f>
        <v>Supplies Category 32</v>
      </c>
      <c r="F130" s="119"/>
    </row>
    <row r="131" spans="3:6" x14ac:dyDescent="0.3">
      <c r="D131" s="282" t="str">
        <f>SD2_BA!C625</f>
        <v>Supplies Category 33</v>
      </c>
      <c r="F131" s="119"/>
    </row>
    <row r="132" spans="3:6" x14ac:dyDescent="0.3">
      <c r="D132" s="282" t="str">
        <f>SD2_BA!C626</f>
        <v>Supplies Category 34</v>
      </c>
      <c r="F132" s="119"/>
    </row>
    <row r="133" spans="3:6" x14ac:dyDescent="0.3">
      <c r="D133" s="282" t="str">
        <f>SD2_BA!C627</f>
        <v>Supplies Category 35</v>
      </c>
      <c r="F133" s="119"/>
    </row>
    <row r="136" spans="3:6" ht="15.6" x14ac:dyDescent="0.3">
      <c r="C136" s="115" t="s">
        <v>130</v>
      </c>
      <c r="F136" s="115" t="s">
        <v>28</v>
      </c>
    </row>
    <row r="138" spans="3:6" x14ac:dyDescent="0.3">
      <c r="D138" s="116" t="s">
        <v>95</v>
      </c>
      <c r="F138" s="119" t="s">
        <v>304</v>
      </c>
    </row>
    <row r="139" spans="3:6" x14ac:dyDescent="0.3">
      <c r="D139" s="30" t="str">
        <f>SD2_BA!C630</f>
        <v>Equipment Category 1</v>
      </c>
      <c r="F139" s="33" t="s">
        <v>46</v>
      </c>
    </row>
    <row r="140" spans="3:6" x14ac:dyDescent="0.3">
      <c r="D140" s="30" t="str">
        <f>SD2_BA!C631</f>
        <v>Equipment Category 2</v>
      </c>
      <c r="F140" s="33" t="s">
        <v>46</v>
      </c>
    </row>
    <row r="141" spans="3:6" x14ac:dyDescent="0.3">
      <c r="D141" s="30" t="str">
        <f>SD2_BA!C632</f>
        <v>Equipment Category 3</v>
      </c>
      <c r="F141" s="33" t="s">
        <v>46</v>
      </c>
    </row>
    <row r="142" spans="3:6" x14ac:dyDescent="0.3">
      <c r="D142" s="30" t="str">
        <f>SD2_BA!C633</f>
        <v>Equipment Category 4</v>
      </c>
      <c r="F142" s="33" t="s">
        <v>46</v>
      </c>
    </row>
    <row r="143" spans="3:6" x14ac:dyDescent="0.3">
      <c r="D143" s="30" t="str">
        <f>SD2_BA!C634</f>
        <v>Equipment Category 5</v>
      </c>
      <c r="F143" s="33" t="s">
        <v>46</v>
      </c>
    </row>
    <row r="144" spans="3:6" x14ac:dyDescent="0.3">
      <c r="D144" s="30" t="str">
        <f>SD2_BA!C635</f>
        <v>Equipment Category 6</v>
      </c>
      <c r="F144" s="33" t="s">
        <v>46</v>
      </c>
    </row>
    <row r="145" spans="4:6" x14ac:dyDescent="0.3">
      <c r="D145" s="282" t="str">
        <f>SD2_BA!C636</f>
        <v>Equipment Category 7</v>
      </c>
      <c r="F145" s="119"/>
    </row>
    <row r="146" spans="4:6" x14ac:dyDescent="0.3">
      <c r="D146" s="282" t="str">
        <f>SD2_BA!C637</f>
        <v>Equipment Category 8</v>
      </c>
      <c r="F146" s="119"/>
    </row>
    <row r="147" spans="4:6" x14ac:dyDescent="0.3">
      <c r="D147" s="282" t="str">
        <f>SD2_BA!C638</f>
        <v>Equipment Category 9</v>
      </c>
      <c r="F147" s="119"/>
    </row>
    <row r="148" spans="4:6" x14ac:dyDescent="0.3">
      <c r="D148" s="282" t="str">
        <f>SD2_BA!C639</f>
        <v>Equipment Category 10</v>
      </c>
      <c r="F148" s="119"/>
    </row>
    <row r="149" spans="4:6" x14ac:dyDescent="0.3">
      <c r="D149" s="282" t="str">
        <f>SD2_BA!C640</f>
        <v>Equipment Category 11</v>
      </c>
      <c r="F149" s="119"/>
    </row>
    <row r="150" spans="4:6" x14ac:dyDescent="0.3">
      <c r="D150" s="282" t="str">
        <f>SD2_BA!C641</f>
        <v>Equipment Category 12</v>
      </c>
      <c r="F150" s="119"/>
    </row>
    <row r="151" spans="4:6" x14ac:dyDescent="0.3">
      <c r="D151" s="282" t="str">
        <f>SD2_BA!C642</f>
        <v>Equipment Category 13</v>
      </c>
      <c r="F151" s="119"/>
    </row>
    <row r="152" spans="4:6" x14ac:dyDescent="0.3">
      <c r="D152" s="282" t="str">
        <f>SD2_BA!C643</f>
        <v>Equipment Category 14</v>
      </c>
      <c r="F152" s="119"/>
    </row>
    <row r="153" spans="4:6" x14ac:dyDescent="0.3">
      <c r="D153" s="282" t="str">
        <f>SD2_BA!C644</f>
        <v>Equipment Category 15</v>
      </c>
      <c r="F153" s="119"/>
    </row>
    <row r="154" spans="4:6" x14ac:dyDescent="0.3">
      <c r="D154" s="282" t="str">
        <f>SD2_BA!C645</f>
        <v>Equipment Category 16</v>
      </c>
      <c r="F154" s="119"/>
    </row>
    <row r="155" spans="4:6" x14ac:dyDescent="0.3">
      <c r="D155" s="282" t="str">
        <f>SD2_BA!C646</f>
        <v>Equipment Category 17</v>
      </c>
      <c r="F155" s="119"/>
    </row>
    <row r="156" spans="4:6" x14ac:dyDescent="0.3">
      <c r="D156" s="282" t="str">
        <f>SD2_BA!C647</f>
        <v>Equipment Category 18</v>
      </c>
      <c r="F156" s="119"/>
    </row>
    <row r="157" spans="4:6" x14ac:dyDescent="0.3">
      <c r="D157" s="282" t="str">
        <f>SD2_BA!C648</f>
        <v>Equipment Category 19</v>
      </c>
      <c r="F157" s="119"/>
    </row>
    <row r="158" spans="4:6" x14ac:dyDescent="0.3">
      <c r="D158" s="282" t="str">
        <f>SD2_BA!C649</f>
        <v>Equipment Category 20</v>
      </c>
      <c r="F158" s="119"/>
    </row>
    <row r="159" spans="4:6" x14ac:dyDescent="0.3">
      <c r="D159" s="282" t="str">
        <f>SD2_BA!C650</f>
        <v>Equipment Category 21</v>
      </c>
      <c r="F159" s="119"/>
    </row>
    <row r="160" spans="4:6" x14ac:dyDescent="0.3">
      <c r="D160" s="282" t="str">
        <f>SD2_BA!C651</f>
        <v>Equipment Category 22</v>
      </c>
      <c r="F160" s="119"/>
    </row>
    <row r="161" spans="3:6" x14ac:dyDescent="0.3">
      <c r="D161" s="282" t="str">
        <f>SD2_BA!C652</f>
        <v>Equipment Category 23</v>
      </c>
      <c r="F161" s="119"/>
    </row>
    <row r="162" spans="3:6" x14ac:dyDescent="0.3">
      <c r="D162" s="282" t="str">
        <f>SD2_BA!C653</f>
        <v>Equipment Category 24</v>
      </c>
      <c r="F162" s="119"/>
    </row>
    <row r="163" spans="3:6" x14ac:dyDescent="0.3">
      <c r="D163" s="282" t="str">
        <f>SD2_BA!C654</f>
        <v>Equipment Category 25</v>
      </c>
      <c r="F163" s="119"/>
    </row>
    <row r="164" spans="3:6" x14ac:dyDescent="0.3">
      <c r="D164" s="282" t="str">
        <f>SD2_BA!C655</f>
        <v>Equipment Category 26</v>
      </c>
      <c r="F164" s="119"/>
    </row>
    <row r="165" spans="3:6" x14ac:dyDescent="0.3">
      <c r="D165" s="282" t="str">
        <f>SD2_BA!C656</f>
        <v>Equipment Category 27</v>
      </c>
      <c r="F165" s="119"/>
    </row>
    <row r="166" spans="3:6" x14ac:dyDescent="0.3">
      <c r="D166" s="282" t="str">
        <f>SD2_BA!C657</f>
        <v>Equipment Category 28</v>
      </c>
      <c r="F166" s="119"/>
    </row>
    <row r="167" spans="3:6" x14ac:dyDescent="0.3">
      <c r="D167" s="282" t="str">
        <f>SD2_BA!C658</f>
        <v>Equipment Category 29</v>
      </c>
      <c r="F167" s="119"/>
    </row>
    <row r="168" spans="3:6" x14ac:dyDescent="0.3">
      <c r="D168" s="282" t="str">
        <f>SD2_BA!C659</f>
        <v>Equipment Category 30</v>
      </c>
      <c r="F168" s="119"/>
    </row>
    <row r="169" spans="3:6" x14ac:dyDescent="0.3">
      <c r="D169" s="282" t="str">
        <f>SD2_BA!C660</f>
        <v>Equipment Category 31</v>
      </c>
      <c r="F169" s="119"/>
    </row>
    <row r="170" spans="3:6" x14ac:dyDescent="0.3">
      <c r="D170" s="282" t="str">
        <f>SD2_BA!C661</f>
        <v>Equipment Category 32</v>
      </c>
      <c r="F170" s="119"/>
    </row>
    <row r="171" spans="3:6" x14ac:dyDescent="0.3">
      <c r="D171" s="282" t="str">
        <f>SD2_BA!C662</f>
        <v>Equipment Category 33</v>
      </c>
      <c r="F171" s="119"/>
    </row>
    <row r="172" spans="3:6" x14ac:dyDescent="0.3">
      <c r="D172" s="282" t="str">
        <f>SD2_BA!C663</f>
        <v>Equipment Category 34</v>
      </c>
      <c r="F172" s="119"/>
    </row>
    <row r="173" spans="3:6" x14ac:dyDescent="0.3">
      <c r="D173" s="282" t="str">
        <f>SD2_BA!C664</f>
        <v>Equipment Category 35</v>
      </c>
      <c r="F173" s="119"/>
    </row>
    <row r="175" spans="3:6" ht="15.6" x14ac:dyDescent="0.3">
      <c r="C175" s="115" t="s">
        <v>89</v>
      </c>
      <c r="F175" s="115" t="s">
        <v>28</v>
      </c>
    </row>
    <row r="177" spans="4:6" x14ac:dyDescent="0.3">
      <c r="D177" s="116" t="s">
        <v>95</v>
      </c>
      <c r="F177" s="119" t="s">
        <v>305</v>
      </c>
    </row>
    <row r="178" spans="4:6" x14ac:dyDescent="0.3">
      <c r="D178" s="30" t="str">
        <f>SD2_BA!C668</f>
        <v>Other Direct Costs Category 1</v>
      </c>
      <c r="F178" s="33" t="s">
        <v>46</v>
      </c>
    </row>
    <row r="179" spans="4:6" x14ac:dyDescent="0.3">
      <c r="D179" s="30" t="str">
        <f>SD2_BA!C669</f>
        <v>Other Direct Costs Category 2</v>
      </c>
      <c r="F179" s="33" t="s">
        <v>46</v>
      </c>
    </row>
    <row r="180" spans="4:6" x14ac:dyDescent="0.3">
      <c r="D180" s="30" t="str">
        <f>SD2_BA!C670</f>
        <v>Other Direct Costs Category 3</v>
      </c>
      <c r="F180" s="33" t="s">
        <v>46</v>
      </c>
    </row>
    <row r="181" spans="4:6" x14ac:dyDescent="0.3">
      <c r="D181" s="282" t="str">
        <f>SD2_BA!C671</f>
        <v>Other Direct Costs Category 4</v>
      </c>
      <c r="F181" s="119"/>
    </row>
    <row r="182" spans="4:6" x14ac:dyDescent="0.3">
      <c r="D182" s="282" t="str">
        <f>SD2_BA!C672</f>
        <v>Other Direct Costs Category 5</v>
      </c>
      <c r="F182" s="119"/>
    </row>
    <row r="183" spans="4:6" x14ac:dyDescent="0.3">
      <c r="D183" s="282" t="str">
        <f>SD2_BA!C673</f>
        <v>Other Direct Costs Category 6</v>
      </c>
      <c r="F183" s="119"/>
    </row>
    <row r="184" spans="4:6" x14ac:dyDescent="0.3">
      <c r="D184" s="282" t="str">
        <f>SD2_BA!C674</f>
        <v>Other Direct Costs Category 7</v>
      </c>
      <c r="F184" s="119"/>
    </row>
    <row r="185" spans="4:6" x14ac:dyDescent="0.3">
      <c r="D185" s="282" t="str">
        <f>SD2_BA!C675</f>
        <v>Other Direct Costs Category 8</v>
      </c>
      <c r="F185" s="119"/>
    </row>
    <row r="186" spans="4:6" x14ac:dyDescent="0.3">
      <c r="D186" s="282" t="str">
        <f>SD2_BA!C676</f>
        <v>Other Direct Costs Category 9</v>
      </c>
      <c r="F186" s="119"/>
    </row>
    <row r="187" spans="4:6" x14ac:dyDescent="0.3">
      <c r="D187" s="282" t="str">
        <f>SD2_BA!C677</f>
        <v>Other Direct Costs Category 10</v>
      </c>
      <c r="F187" s="119"/>
    </row>
    <row r="188" spans="4:6" x14ac:dyDescent="0.3">
      <c r="D188" s="282" t="str">
        <f>SD2_BA!C678</f>
        <v>Other Direct Costs Category 11</v>
      </c>
      <c r="F188" s="119"/>
    </row>
    <row r="189" spans="4:6" x14ac:dyDescent="0.3">
      <c r="D189" s="282" t="str">
        <f>SD2_BA!C679</f>
        <v>Other Direct Costs Category 12</v>
      </c>
      <c r="F189" s="119"/>
    </row>
    <row r="190" spans="4:6" x14ac:dyDescent="0.3">
      <c r="D190" s="282" t="str">
        <f>SD2_BA!C680</f>
        <v>Other Direct Costs Category 13</v>
      </c>
      <c r="F190" s="119"/>
    </row>
    <row r="191" spans="4:6" x14ac:dyDescent="0.3">
      <c r="D191" s="282" t="str">
        <f>SD2_BA!C681</f>
        <v>Other Direct Costs Category 14</v>
      </c>
      <c r="F191" s="119"/>
    </row>
    <row r="192" spans="4:6" x14ac:dyDescent="0.3">
      <c r="D192" s="282" t="str">
        <f>SD2_BA!C682</f>
        <v>Other Direct Costs Category 15</v>
      </c>
      <c r="F192" s="119"/>
    </row>
    <row r="193" spans="4:6" x14ac:dyDescent="0.3">
      <c r="D193" s="282" t="str">
        <f>SD2_BA!C683</f>
        <v>Other Direct Costs Category 16</v>
      </c>
      <c r="F193" s="119"/>
    </row>
    <row r="194" spans="4:6" x14ac:dyDescent="0.3">
      <c r="D194" s="282" t="str">
        <f>SD2_BA!C684</f>
        <v>Other Direct Costs Category 17</v>
      </c>
      <c r="F194" s="119"/>
    </row>
    <row r="195" spans="4:6" x14ac:dyDescent="0.3">
      <c r="D195" s="282" t="str">
        <f>SD2_BA!C685</f>
        <v>Other Direct Costs Category 18</v>
      </c>
      <c r="F195" s="119"/>
    </row>
    <row r="196" spans="4:6" x14ac:dyDescent="0.3">
      <c r="D196" s="282" t="str">
        <f>SD2_BA!C686</f>
        <v>Other Direct Costs Category 19</v>
      </c>
      <c r="F196" s="119"/>
    </row>
    <row r="197" spans="4:6" x14ac:dyDescent="0.3">
      <c r="D197" s="282" t="str">
        <f>SD2_BA!C687</f>
        <v>Other Direct Costs Category 20</v>
      </c>
      <c r="F197" s="119"/>
    </row>
    <row r="198" spans="4:6" x14ac:dyDescent="0.3">
      <c r="D198" s="282" t="str">
        <f>SD2_BA!C688</f>
        <v>Other Direct Costs Category 21</v>
      </c>
      <c r="F198" s="119"/>
    </row>
    <row r="199" spans="4:6" x14ac:dyDescent="0.3">
      <c r="D199" s="282" t="str">
        <f>SD2_BA!C689</f>
        <v>Other Direct Costs Category 22</v>
      </c>
      <c r="F199" s="119"/>
    </row>
    <row r="200" spans="4:6" x14ac:dyDescent="0.3">
      <c r="D200" s="282" t="str">
        <f>SD2_BA!C690</f>
        <v>Other Direct Costs Category 23</v>
      </c>
      <c r="F200" s="119"/>
    </row>
    <row r="201" spans="4:6" x14ac:dyDescent="0.3">
      <c r="D201" s="282" t="str">
        <f>SD2_BA!C691</f>
        <v>Other Direct Costs Category 24</v>
      </c>
      <c r="F201" s="119"/>
    </row>
    <row r="202" spans="4:6" x14ac:dyDescent="0.3">
      <c r="D202" s="282" t="str">
        <f>SD2_BA!C692</f>
        <v>Other Direct Costs Category 25</v>
      </c>
      <c r="F202" s="119"/>
    </row>
    <row r="203" spans="4:6" x14ac:dyDescent="0.3">
      <c r="D203" s="282" t="str">
        <f>SD2_BA!C693</f>
        <v>Other Direct Costs Category 26</v>
      </c>
      <c r="F203" s="119"/>
    </row>
    <row r="204" spans="4:6" x14ac:dyDescent="0.3">
      <c r="D204" s="282" t="str">
        <f>SD2_BA!C694</f>
        <v>Other Direct Costs Category 27</v>
      </c>
      <c r="F204" s="119"/>
    </row>
    <row r="205" spans="4:6" x14ac:dyDescent="0.3">
      <c r="D205" s="282" t="str">
        <f>SD2_BA!C695</f>
        <v>Other Direct Costs Category 28</v>
      </c>
      <c r="F205" s="119"/>
    </row>
    <row r="206" spans="4:6" x14ac:dyDescent="0.3">
      <c r="D206" s="282" t="str">
        <f>SD2_BA!C696</f>
        <v>Other Direct Costs Category 29</v>
      </c>
      <c r="F206" s="119"/>
    </row>
    <row r="207" spans="4:6" x14ac:dyDescent="0.3">
      <c r="D207" s="282" t="str">
        <f>SD2_BA!C697</f>
        <v>Other Direct Costs Category 30</v>
      </c>
      <c r="F207" s="119"/>
    </row>
    <row r="208" spans="4:6" x14ac:dyDescent="0.3">
      <c r="D208" s="282" t="str">
        <f>SD2_BA!C698</f>
        <v>Other Direct Costs Category 31</v>
      </c>
      <c r="F208" s="119"/>
    </row>
    <row r="209" spans="4:6" x14ac:dyDescent="0.3">
      <c r="D209" s="282" t="str">
        <f>SD2_BA!C699</f>
        <v>Other Direct Costs Category 32</v>
      </c>
      <c r="F209" s="119"/>
    </row>
    <row r="210" spans="4:6" x14ac:dyDescent="0.3">
      <c r="D210" s="282" t="str">
        <f>SD2_BA!C700</f>
        <v>Other Direct Costs Category 33</v>
      </c>
      <c r="F210" s="119"/>
    </row>
    <row r="211" spans="4:6" x14ac:dyDescent="0.3">
      <c r="D211" s="282" t="str">
        <f>SD2_BA!C701</f>
        <v>Other Direct Costs Category 34</v>
      </c>
      <c r="F211" s="119"/>
    </row>
    <row r="212" spans="4:6" x14ac:dyDescent="0.3">
      <c r="D212" s="282" t="str">
        <f>SD2_BA!C702</f>
        <v>Other Direct Costs Category 35</v>
      </c>
      <c r="F212" s="119"/>
    </row>
  </sheetData>
  <sheetProtection algorithmName="SHA-512" hashValue="2f76OPVO570cKthGmGztBtyiRsprnmeFvqJhZU/nhCrM+Sa7K5ggW+4z5UMbot0iOkbbIG6IMntAnF0BpVbH3w==" saltValue="5jB+PF5OUTgqJE6XOdbDew==" spinCount="100000" sheet="1" objects="1" scenarios="1" formatColumns="0" formatRows="0"/>
  <mergeCells count="1">
    <mergeCell ref="B3:D3"/>
  </mergeCells>
  <hyperlinks>
    <hyperlink ref="A4" location="$B$5" tooltip="Go to Top of Sheet" display="$B$5" xr:uid="{00000000-0004-0000-3500-000000000000}"/>
    <hyperlink ref="B4" location="HL_Sheet_Main_30" tooltip="Go to Previous Sheet" display="HL_Sheet_Main_30" xr:uid="{00000000-0004-0000-3500-000001000000}"/>
    <hyperlink ref="C4" location="HL_Sheet_Main_32" tooltip="Go to Next Sheet" display="HL_Sheet_Main_32" xr:uid="{00000000-0004-0000-3500-000002000000}"/>
    <hyperlink ref="B3" location="HL_Home" tooltip="Go to Table of Contents" display="HL_Home" xr:uid="{00000000-0004-0000-35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678</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680</v>
      </c>
    </row>
    <row r="9" spans="1:6" ht="15.6" x14ac:dyDescent="0.3">
      <c r="C9" s="115" t="s">
        <v>93</v>
      </c>
    </row>
    <row r="11" spans="1:6" ht="15.6" x14ac:dyDescent="0.3">
      <c r="C11" s="115" t="s">
        <v>93</v>
      </c>
      <c r="F11" s="115" t="s">
        <v>28</v>
      </c>
    </row>
    <row r="13" spans="1:6" x14ac:dyDescent="0.3">
      <c r="D13" s="116" t="s">
        <v>95</v>
      </c>
      <c r="F13" s="119" t="s">
        <v>306</v>
      </c>
    </row>
    <row r="14" spans="1:6" x14ac:dyDescent="0.3">
      <c r="D14" s="30" t="str">
        <f>SD2_BA!D861</f>
        <v>USD</v>
      </c>
      <c r="F14" s="33" t="s">
        <v>46</v>
      </c>
    </row>
    <row r="15" spans="1:6" x14ac:dyDescent="0.3">
      <c r="D15" s="30" t="str">
        <f>SD2_BA!D862</f>
        <v>GOZ</v>
      </c>
      <c r="F15" s="33" t="s">
        <v>46</v>
      </c>
    </row>
    <row r="17" spans="3:6" ht="15.6" x14ac:dyDescent="0.3">
      <c r="C17" s="115" t="s">
        <v>77</v>
      </c>
      <c r="F17" s="115" t="s">
        <v>28</v>
      </c>
    </row>
    <row r="19" spans="3:6" x14ac:dyDescent="0.3">
      <c r="D19" s="116" t="s">
        <v>95</v>
      </c>
      <c r="F19" s="119" t="s">
        <v>307</v>
      </c>
    </row>
    <row r="20" spans="3:6" x14ac:dyDescent="0.3">
      <c r="D20" s="30" t="str">
        <f>SD2_BA!C867</f>
        <v>Personnel Cadre - Other 1</v>
      </c>
      <c r="F20" s="33" t="s">
        <v>46</v>
      </c>
    </row>
    <row r="21" spans="3:6" x14ac:dyDescent="0.3">
      <c r="D21" s="30" t="str">
        <f>SD2_BA!C868</f>
        <v>Personnel Cadre - Other 2</v>
      </c>
      <c r="F21" s="33" t="s">
        <v>46</v>
      </c>
    </row>
    <row r="22" spans="3:6" x14ac:dyDescent="0.3">
      <c r="D22" s="30" t="str">
        <f>SD2_BA!C869</f>
        <v>Personnel Cadre - Other 3</v>
      </c>
      <c r="F22" s="33" t="s">
        <v>46</v>
      </c>
    </row>
    <row r="23" spans="3:6" x14ac:dyDescent="0.3">
      <c r="D23" s="30" t="str">
        <f>SD2_BA!C870</f>
        <v>Personnel Cadre - Other 4</v>
      </c>
      <c r="F23" s="33" t="s">
        <v>46</v>
      </c>
    </row>
    <row r="24" spans="3:6" x14ac:dyDescent="0.3">
      <c r="D24" s="30" t="str">
        <f>SD2_BA!C871</f>
        <v>Personnel Cadre - Other 5</v>
      </c>
      <c r="F24" s="33" t="s">
        <v>46</v>
      </c>
    </row>
    <row r="25" spans="3:6" x14ac:dyDescent="0.3">
      <c r="D25" s="30" t="str">
        <f>SD2_BA!C872</f>
        <v>Personnel Cadre - Other 6</v>
      </c>
      <c r="F25" s="33" t="s">
        <v>46</v>
      </c>
    </row>
    <row r="26" spans="3:6" x14ac:dyDescent="0.3">
      <c r="D26" s="30" t="str">
        <f>SD2_BA!C873</f>
        <v>Personnel Cadre - Other 7</v>
      </c>
      <c r="F26" s="33" t="s">
        <v>46</v>
      </c>
    </row>
    <row r="27" spans="3:6" x14ac:dyDescent="0.3">
      <c r="D27" s="30" t="str">
        <f>SD2_BA!C874</f>
        <v>Personnel Cadre - Other 8</v>
      </c>
      <c r="F27" s="33" t="s">
        <v>46</v>
      </c>
    </row>
    <row r="28" spans="3:6" x14ac:dyDescent="0.3">
      <c r="D28" s="30" t="str">
        <f>SD2_BA!C875</f>
        <v>Personnel Cadre - Other 9</v>
      </c>
      <c r="F28" s="33" t="s">
        <v>46</v>
      </c>
    </row>
    <row r="29" spans="3:6" x14ac:dyDescent="0.3">
      <c r="D29" s="30" t="str">
        <f>SD2_BA!C876</f>
        <v>Personnel Cadre - Other 10</v>
      </c>
      <c r="F29" s="33" t="s">
        <v>46</v>
      </c>
    </row>
    <row r="30" spans="3:6" x14ac:dyDescent="0.3">
      <c r="D30" s="30" t="str">
        <f>SD2_BA!C877</f>
        <v>Personnel Cadre - Other 11</v>
      </c>
      <c r="F30" s="33" t="s">
        <v>46</v>
      </c>
    </row>
    <row r="31" spans="3:6" x14ac:dyDescent="0.3">
      <c r="D31" s="30" t="str">
        <f>SD2_BA!C878</f>
        <v>Personnel Cadre - Other 12</v>
      </c>
      <c r="F31" s="33" t="s">
        <v>46</v>
      </c>
    </row>
    <row r="32" spans="3:6" x14ac:dyDescent="0.3">
      <c r="D32" s="30" t="str">
        <f>SD2_BA!C879</f>
        <v>Personnel Cadre - Other 13</v>
      </c>
      <c r="F32" s="33" t="s">
        <v>46</v>
      </c>
    </row>
    <row r="33" spans="4:6" x14ac:dyDescent="0.3">
      <c r="D33" s="30" t="str">
        <f>SD2_BA!C880</f>
        <v>Personnel Cadre - Other 14</v>
      </c>
      <c r="F33" s="33" t="s">
        <v>46</v>
      </c>
    </row>
    <row r="34" spans="4:6" x14ac:dyDescent="0.3">
      <c r="D34" s="30" t="str">
        <f>SD2_BA!C881</f>
        <v>Personnel Cadre - Other 15</v>
      </c>
      <c r="F34" s="33" t="s">
        <v>46</v>
      </c>
    </row>
    <row r="35" spans="4:6" x14ac:dyDescent="0.3">
      <c r="D35" s="282" t="str">
        <f>SD2_BA!C882</f>
        <v>Personnel Cadre - Other 16</v>
      </c>
      <c r="F35" s="119"/>
    </row>
    <row r="36" spans="4:6" x14ac:dyDescent="0.3">
      <c r="D36" s="282" t="str">
        <f>SD2_BA!C883</f>
        <v>Personnel Cadre - Other 17</v>
      </c>
      <c r="F36" s="119"/>
    </row>
    <row r="37" spans="4:6" x14ac:dyDescent="0.3">
      <c r="D37" s="282" t="str">
        <f>SD2_BA!C884</f>
        <v>Personnel Cadre - Other 18</v>
      </c>
      <c r="F37" s="119"/>
    </row>
    <row r="38" spans="4:6" x14ac:dyDescent="0.3">
      <c r="D38" s="282" t="str">
        <f>SD2_BA!C885</f>
        <v>Personnel Cadre - Other 19</v>
      </c>
      <c r="F38" s="119"/>
    </row>
    <row r="39" spans="4:6" x14ac:dyDescent="0.3">
      <c r="D39" s="282" t="str">
        <f>SD2_BA!C886</f>
        <v>Personnel Cadre - Other 20</v>
      </c>
      <c r="F39" s="119"/>
    </row>
    <row r="40" spans="4:6" x14ac:dyDescent="0.3">
      <c r="D40" s="282" t="str">
        <f>SD2_BA!C887</f>
        <v>Personnel Cadre - Other 21</v>
      </c>
      <c r="F40" s="119"/>
    </row>
    <row r="41" spans="4:6" x14ac:dyDescent="0.3">
      <c r="D41" s="282" t="str">
        <f>SD2_BA!C888</f>
        <v>Personnel Cadre - Other 22</v>
      </c>
      <c r="F41" s="119"/>
    </row>
    <row r="42" spans="4:6" x14ac:dyDescent="0.3">
      <c r="D42" s="282" t="str">
        <f>SD2_BA!C889</f>
        <v>Personnel Cadre - Other 23</v>
      </c>
      <c r="F42" s="119"/>
    </row>
    <row r="43" spans="4:6" x14ac:dyDescent="0.3">
      <c r="D43" s="282" t="str">
        <f>SD2_BA!C890</f>
        <v>Personnel Cadre - Other 24</v>
      </c>
      <c r="F43" s="119"/>
    </row>
    <row r="44" spans="4:6" x14ac:dyDescent="0.3">
      <c r="D44" s="282" t="str">
        <f>SD2_BA!C891</f>
        <v>Personnel Cadre - Other 25</v>
      </c>
      <c r="F44" s="119"/>
    </row>
    <row r="45" spans="4:6" x14ac:dyDescent="0.3">
      <c r="D45" s="282" t="str">
        <f>SD2_BA!C892</f>
        <v>Personnel Cadre - Other 26</v>
      </c>
      <c r="F45" s="119"/>
    </row>
    <row r="46" spans="4:6" x14ac:dyDescent="0.3">
      <c r="D46" s="282" t="str">
        <f>SD2_BA!C893</f>
        <v>Personnel Cadre - Other 27</v>
      </c>
      <c r="F46" s="119"/>
    </row>
    <row r="47" spans="4:6" x14ac:dyDescent="0.3">
      <c r="D47" s="282" t="str">
        <f>SD2_BA!C894</f>
        <v>Personnel Cadre - Other 28</v>
      </c>
      <c r="F47" s="119"/>
    </row>
    <row r="48" spans="4:6" x14ac:dyDescent="0.3">
      <c r="D48" s="282" t="str">
        <f>SD2_BA!C895</f>
        <v>Personnel Cadre - Other 29</v>
      </c>
      <c r="F48" s="119"/>
    </row>
    <row r="49" spans="3:6" x14ac:dyDescent="0.3">
      <c r="D49" s="282" t="str">
        <f>SD2_BA!C896</f>
        <v>Personnel Cadre - Other 30</v>
      </c>
      <c r="F49" s="119"/>
    </row>
    <row r="50" spans="3:6" x14ac:dyDescent="0.3">
      <c r="D50" s="282" t="str">
        <f>SD2_BA!C897</f>
        <v>Personnel Cadre - Other 31</v>
      </c>
      <c r="F50" s="119"/>
    </row>
    <row r="51" spans="3:6" x14ac:dyDescent="0.3">
      <c r="D51" s="282" t="str">
        <f>SD2_BA!C898</f>
        <v>Personnel Cadre - Other 32</v>
      </c>
      <c r="F51" s="119"/>
    </row>
    <row r="52" spans="3:6" x14ac:dyDescent="0.3">
      <c r="D52" s="282" t="str">
        <f>SD2_BA!C899</f>
        <v>Personnel Cadre - Other 33</v>
      </c>
      <c r="F52" s="119"/>
    </row>
    <row r="53" spans="3:6" x14ac:dyDescent="0.3">
      <c r="D53" s="282" t="str">
        <f>SD2_BA!C900</f>
        <v>Personnel Cadre - Other 34</v>
      </c>
      <c r="F53" s="119"/>
    </row>
    <row r="54" spans="3:6" x14ac:dyDescent="0.3">
      <c r="D54" s="282" t="str">
        <f>SD2_BA!C901</f>
        <v>Personnel Cadre - Other 35</v>
      </c>
      <c r="F54" s="119"/>
    </row>
    <row r="56" spans="3:6" ht="15.6" x14ac:dyDescent="0.3">
      <c r="C56" s="115" t="s">
        <v>94</v>
      </c>
      <c r="F56" s="115" t="s">
        <v>28</v>
      </c>
    </row>
    <row r="58" spans="3:6" x14ac:dyDescent="0.3">
      <c r="D58" s="116" t="s">
        <v>95</v>
      </c>
      <c r="F58" s="119" t="s">
        <v>308</v>
      </c>
    </row>
    <row r="59" spans="3:6" x14ac:dyDescent="0.3">
      <c r="D59" s="30" t="str">
        <f>SD2_BA!C904</f>
        <v>Allowances Category 1</v>
      </c>
      <c r="F59" s="33" t="s">
        <v>46</v>
      </c>
    </row>
    <row r="60" spans="3:6" x14ac:dyDescent="0.3">
      <c r="D60" s="30" t="str">
        <f>SD2_BA!C905</f>
        <v>Allowances Category 2</v>
      </c>
      <c r="F60" s="33" t="s">
        <v>46</v>
      </c>
    </row>
    <row r="61" spans="3:6" x14ac:dyDescent="0.3">
      <c r="D61" s="30" t="str">
        <f>SD2_BA!C906</f>
        <v>Allowances Category 3</v>
      </c>
      <c r="F61" s="33" t="s">
        <v>46</v>
      </c>
    </row>
    <row r="62" spans="3:6" x14ac:dyDescent="0.3">
      <c r="D62" s="30" t="str">
        <f>SD2_BA!C907</f>
        <v>Allowances Category 4</v>
      </c>
      <c r="F62" s="33" t="s">
        <v>46</v>
      </c>
    </row>
    <row r="63" spans="3:6" x14ac:dyDescent="0.3">
      <c r="D63" s="30" t="str">
        <f>SD2_BA!C908</f>
        <v>Allowances Category 5</v>
      </c>
      <c r="F63" s="33" t="s">
        <v>46</v>
      </c>
    </row>
    <row r="64" spans="3:6" x14ac:dyDescent="0.3">
      <c r="D64" s="282" t="str">
        <f>SD2_BA!C909</f>
        <v>Allowances Category 6</v>
      </c>
      <c r="F64" s="119"/>
    </row>
    <row r="65" spans="4:6" x14ac:dyDescent="0.3">
      <c r="D65" s="282" t="str">
        <f>SD2_BA!C910</f>
        <v>Allowances Category 7</v>
      </c>
      <c r="F65" s="119"/>
    </row>
    <row r="66" spans="4:6" x14ac:dyDescent="0.3">
      <c r="D66" s="282" t="str">
        <f>SD2_BA!C911</f>
        <v>Allowances Category 8</v>
      </c>
      <c r="F66" s="119"/>
    </row>
    <row r="67" spans="4:6" x14ac:dyDescent="0.3">
      <c r="D67" s="282" t="str">
        <f>SD2_BA!C912</f>
        <v>Allowances Category 9</v>
      </c>
      <c r="F67" s="119"/>
    </row>
    <row r="68" spans="4:6" x14ac:dyDescent="0.3">
      <c r="D68" s="282" t="str">
        <f>SD2_BA!C913</f>
        <v>Allowances Category 10</v>
      </c>
      <c r="F68" s="119"/>
    </row>
    <row r="69" spans="4:6" x14ac:dyDescent="0.3">
      <c r="D69" s="282" t="str">
        <f>SD2_BA!C914</f>
        <v>Allowances Category 11</v>
      </c>
      <c r="F69" s="119"/>
    </row>
    <row r="70" spans="4:6" x14ac:dyDescent="0.3">
      <c r="D70" s="282" t="str">
        <f>SD2_BA!C915</f>
        <v>Allowances Category 12</v>
      </c>
      <c r="F70" s="119"/>
    </row>
    <row r="71" spans="4:6" x14ac:dyDescent="0.3">
      <c r="D71" s="282" t="str">
        <f>SD2_BA!C916</f>
        <v>Allowances Category 13</v>
      </c>
      <c r="F71" s="119"/>
    </row>
    <row r="72" spans="4:6" x14ac:dyDescent="0.3">
      <c r="D72" s="282" t="str">
        <f>SD2_BA!C917</f>
        <v>Allowances Category 14</v>
      </c>
      <c r="F72" s="119"/>
    </row>
    <row r="73" spans="4:6" x14ac:dyDescent="0.3">
      <c r="D73" s="282" t="str">
        <f>SD2_BA!C918</f>
        <v>Allowances Category 15</v>
      </c>
      <c r="F73" s="119"/>
    </row>
    <row r="74" spans="4:6" x14ac:dyDescent="0.3">
      <c r="D74" s="282" t="str">
        <f>SD2_BA!C919</f>
        <v>Allowances Category 16</v>
      </c>
      <c r="F74" s="119"/>
    </row>
    <row r="75" spans="4:6" x14ac:dyDescent="0.3">
      <c r="D75" s="30" t="str">
        <f>SD2_BA!C920</f>
        <v>Allowances Category 17</v>
      </c>
      <c r="F75" s="33" t="s">
        <v>46</v>
      </c>
    </row>
    <row r="76" spans="4:6" x14ac:dyDescent="0.3">
      <c r="D76" s="30" t="str">
        <f>SD2_BA!C921</f>
        <v>Allowances Category 18</v>
      </c>
      <c r="F76" s="33" t="s">
        <v>46</v>
      </c>
    </row>
    <row r="77" spans="4:6" x14ac:dyDescent="0.3">
      <c r="D77" s="30" t="str">
        <f>SD2_BA!C922</f>
        <v>Allowances Category 19</v>
      </c>
      <c r="F77" s="33" t="s">
        <v>46</v>
      </c>
    </row>
    <row r="78" spans="4:6" x14ac:dyDescent="0.3">
      <c r="D78" s="30" t="str">
        <f>SD2_BA!C923</f>
        <v>Allowances Category 20</v>
      </c>
      <c r="F78" s="33" t="s">
        <v>46</v>
      </c>
    </row>
    <row r="79" spans="4:6" x14ac:dyDescent="0.3">
      <c r="D79" s="30" t="str">
        <f>SD2_BA!C924</f>
        <v>Allowances Category 21</v>
      </c>
      <c r="F79" s="33" t="s">
        <v>46</v>
      </c>
    </row>
    <row r="80" spans="4:6" x14ac:dyDescent="0.3">
      <c r="D80" s="30" t="str">
        <f>SD2_BA!C925</f>
        <v>Allowances Category 22</v>
      </c>
      <c r="F80" s="33" t="s">
        <v>46</v>
      </c>
    </row>
    <row r="81" spans="3:6" x14ac:dyDescent="0.3">
      <c r="D81" s="30" t="str">
        <f>SD2_BA!C926</f>
        <v>Allowances Category 23</v>
      </c>
      <c r="F81" s="33" t="s">
        <v>46</v>
      </c>
    </row>
    <row r="82" spans="3:6" x14ac:dyDescent="0.3">
      <c r="D82" s="282" t="str">
        <f>SD2_BA!C927</f>
        <v>Allowances Category 24</v>
      </c>
      <c r="F82" s="119"/>
    </row>
    <row r="83" spans="3:6" x14ac:dyDescent="0.3">
      <c r="D83" s="282" t="str">
        <f>SD2_BA!C928</f>
        <v>Allowances Category 25</v>
      </c>
      <c r="F83" s="119"/>
    </row>
    <row r="84" spans="3:6" x14ac:dyDescent="0.3">
      <c r="D84" s="282" t="str">
        <f>SD2_BA!C929</f>
        <v>Allowances Category 26</v>
      </c>
      <c r="F84" s="119"/>
    </row>
    <row r="85" spans="3:6" x14ac:dyDescent="0.3">
      <c r="D85" s="282" t="str">
        <f>SD2_BA!C930</f>
        <v>Allowances Category 27</v>
      </c>
      <c r="F85" s="119"/>
    </row>
    <row r="86" spans="3:6" x14ac:dyDescent="0.3">
      <c r="D86" s="282" t="str">
        <f>SD2_BA!C931</f>
        <v>Allowances Category 28</v>
      </c>
      <c r="F86" s="119"/>
    </row>
    <row r="87" spans="3:6" x14ac:dyDescent="0.3">
      <c r="D87" s="282" t="str">
        <f>SD2_BA!C932</f>
        <v>Allowances Category 29</v>
      </c>
      <c r="F87" s="119"/>
    </row>
    <row r="88" spans="3:6" x14ac:dyDescent="0.3">
      <c r="D88" s="282" t="str">
        <f>SD2_BA!C933</f>
        <v>Allowances Category 30</v>
      </c>
      <c r="F88" s="119"/>
    </row>
    <row r="89" spans="3:6" x14ac:dyDescent="0.3">
      <c r="D89" s="30" t="str">
        <f>SD2_BA!C934</f>
        <v>Allowances Category 31</v>
      </c>
      <c r="F89" s="33" t="s">
        <v>46</v>
      </c>
    </row>
    <row r="90" spans="3:6" x14ac:dyDescent="0.3">
      <c r="D90" s="30" t="str">
        <f>SD2_BA!C935</f>
        <v>Allowances Category 32</v>
      </c>
      <c r="F90" s="33" t="s">
        <v>46</v>
      </c>
    </row>
    <row r="91" spans="3:6" x14ac:dyDescent="0.3">
      <c r="D91" s="30" t="str">
        <f>SD2_BA!C936</f>
        <v>Allowances Category 33</v>
      </c>
      <c r="F91" s="33" t="s">
        <v>46</v>
      </c>
    </row>
    <row r="92" spans="3:6" x14ac:dyDescent="0.3">
      <c r="D92" s="30" t="str">
        <f>SD2_BA!C937</f>
        <v>Allowances Category 34</v>
      </c>
      <c r="F92" s="33" t="s">
        <v>46</v>
      </c>
    </row>
    <row r="93" spans="3:6" x14ac:dyDescent="0.3">
      <c r="D93" s="30" t="str">
        <f>SD2_BA!C938</f>
        <v>Allowances Category 35</v>
      </c>
      <c r="F93" s="33" t="s">
        <v>46</v>
      </c>
    </row>
    <row r="96" spans="3:6" ht="15.6" x14ac:dyDescent="0.3">
      <c r="C96" s="115" t="s">
        <v>132</v>
      </c>
      <c r="F96" s="115" t="s">
        <v>28</v>
      </c>
    </row>
    <row r="98" spans="4:6" x14ac:dyDescent="0.3">
      <c r="D98" s="116" t="s">
        <v>95</v>
      </c>
      <c r="F98" s="119" t="s">
        <v>309</v>
      </c>
    </row>
    <row r="99" spans="4:6" x14ac:dyDescent="0.3">
      <c r="D99" s="30" t="str">
        <f>SD2_BA!C942</f>
        <v>Supplies Category 1</v>
      </c>
      <c r="F99" s="33" t="s">
        <v>46</v>
      </c>
    </row>
    <row r="100" spans="4:6" x14ac:dyDescent="0.3">
      <c r="D100" s="30" t="str">
        <f>SD2_BA!C943</f>
        <v>Supplies Category 2</v>
      </c>
      <c r="F100" s="33" t="s">
        <v>46</v>
      </c>
    </row>
    <row r="101" spans="4:6" x14ac:dyDescent="0.3">
      <c r="D101" s="30" t="str">
        <f>SD2_BA!C944</f>
        <v>Supplies Category 3</v>
      </c>
      <c r="F101" s="33" t="s">
        <v>46</v>
      </c>
    </row>
    <row r="102" spans="4:6" x14ac:dyDescent="0.3">
      <c r="D102" s="30" t="str">
        <f>SD2_BA!C945</f>
        <v>Supplies Category 4</v>
      </c>
      <c r="F102" s="33" t="s">
        <v>46</v>
      </c>
    </row>
    <row r="103" spans="4:6" x14ac:dyDescent="0.3">
      <c r="D103" s="30" t="str">
        <f>SD2_BA!C946</f>
        <v>Supplies Category 5</v>
      </c>
      <c r="F103" s="33" t="s">
        <v>46</v>
      </c>
    </row>
    <row r="104" spans="4:6" x14ac:dyDescent="0.3">
      <c r="D104" s="30" t="str">
        <f>SD2_BA!C947</f>
        <v>Supplies Category 6</v>
      </c>
      <c r="F104" s="33" t="s">
        <v>46</v>
      </c>
    </row>
    <row r="105" spans="4:6" x14ac:dyDescent="0.3">
      <c r="D105" s="30" t="str">
        <f>SD2_BA!C948</f>
        <v>Supplies Category 7</v>
      </c>
      <c r="F105" s="33" t="s">
        <v>46</v>
      </c>
    </row>
    <row r="106" spans="4:6" x14ac:dyDescent="0.3">
      <c r="D106" s="30" t="str">
        <f>SD2_BA!C949</f>
        <v>Supplies Category 8</v>
      </c>
      <c r="F106" s="33" t="s">
        <v>46</v>
      </c>
    </row>
    <row r="107" spans="4:6" x14ac:dyDescent="0.3">
      <c r="D107" s="30" t="str">
        <f>SD2_BA!C950</f>
        <v>Supplies Category 9</v>
      </c>
      <c r="F107" s="33" t="s">
        <v>46</v>
      </c>
    </row>
    <row r="108" spans="4:6" x14ac:dyDescent="0.3">
      <c r="D108" s="30" t="str">
        <f>SD2_BA!C951</f>
        <v>Supplies Category 10</v>
      </c>
      <c r="F108" s="33" t="s">
        <v>46</v>
      </c>
    </row>
    <row r="109" spans="4:6" x14ac:dyDescent="0.3">
      <c r="D109" s="30" t="str">
        <f>SD2_BA!C952</f>
        <v>Supplies Category 11</v>
      </c>
      <c r="F109" s="33" t="s">
        <v>46</v>
      </c>
    </row>
    <row r="110" spans="4:6" x14ac:dyDescent="0.3">
      <c r="D110" s="30" t="str">
        <f>SD2_BA!C953</f>
        <v>Supplies Category 12</v>
      </c>
      <c r="F110" s="33" t="s">
        <v>46</v>
      </c>
    </row>
    <row r="111" spans="4:6" x14ac:dyDescent="0.3">
      <c r="D111" s="30" t="str">
        <f>SD2_BA!C954</f>
        <v>Supplies Category 13</v>
      </c>
      <c r="F111" s="33" t="s">
        <v>46</v>
      </c>
    </row>
    <row r="112" spans="4:6" x14ac:dyDescent="0.3">
      <c r="D112" s="30" t="str">
        <f>SD2_BA!C955</f>
        <v>Supplies Category 14</v>
      </c>
      <c r="F112" s="33" t="s">
        <v>46</v>
      </c>
    </row>
    <row r="113" spans="4:6" x14ac:dyDescent="0.3">
      <c r="D113" s="30" t="str">
        <f>SD2_BA!C956</f>
        <v>Supplies Category 15</v>
      </c>
      <c r="F113" s="33" t="s">
        <v>46</v>
      </c>
    </row>
    <row r="114" spans="4:6" x14ac:dyDescent="0.3">
      <c r="D114" s="30" t="str">
        <f>SD2_BA!C957</f>
        <v>Supplies Category 16</v>
      </c>
      <c r="F114" s="33" t="s">
        <v>46</v>
      </c>
    </row>
    <row r="115" spans="4:6" x14ac:dyDescent="0.3">
      <c r="D115" s="282" t="str">
        <f>SD2_BA!C958</f>
        <v>Supplies Category 17</v>
      </c>
      <c r="F115" s="119"/>
    </row>
    <row r="116" spans="4:6" x14ac:dyDescent="0.3">
      <c r="D116" s="282" t="str">
        <f>SD2_BA!C959</f>
        <v>Supplies Category 18</v>
      </c>
      <c r="F116" s="119"/>
    </row>
    <row r="117" spans="4:6" x14ac:dyDescent="0.3">
      <c r="D117" s="282" t="str">
        <f>SD2_BA!C960</f>
        <v>Supplies Category 19</v>
      </c>
      <c r="F117" s="119"/>
    </row>
    <row r="118" spans="4:6" x14ac:dyDescent="0.3">
      <c r="D118" s="282" t="str">
        <f>SD2_BA!C961</f>
        <v>Supplies Category 20</v>
      </c>
      <c r="F118" s="119"/>
    </row>
    <row r="119" spans="4:6" x14ac:dyDescent="0.3">
      <c r="D119" s="282" t="str">
        <f>SD2_BA!C962</f>
        <v>Supplies Category 21</v>
      </c>
      <c r="F119" s="119"/>
    </row>
    <row r="120" spans="4:6" x14ac:dyDescent="0.3">
      <c r="D120" s="282" t="str">
        <f>SD2_BA!C963</f>
        <v>Supplies Category 22</v>
      </c>
      <c r="F120" s="119"/>
    </row>
    <row r="121" spans="4:6" x14ac:dyDescent="0.3">
      <c r="D121" s="282" t="str">
        <f>SD2_BA!C964</f>
        <v>Supplies Category 23</v>
      </c>
      <c r="F121" s="119"/>
    </row>
    <row r="122" spans="4:6" x14ac:dyDescent="0.3">
      <c r="D122" s="282" t="str">
        <f>SD2_BA!C965</f>
        <v>Supplies Category 24</v>
      </c>
      <c r="F122" s="119"/>
    </row>
    <row r="123" spans="4:6" x14ac:dyDescent="0.3">
      <c r="D123" s="282" t="str">
        <f>SD2_BA!C966</f>
        <v>Supplies Category 25</v>
      </c>
      <c r="F123" s="119"/>
    </row>
    <row r="124" spans="4:6" x14ac:dyDescent="0.3">
      <c r="D124" s="282" t="str">
        <f>SD2_BA!C967</f>
        <v>Supplies Category 26</v>
      </c>
      <c r="F124" s="119"/>
    </row>
    <row r="125" spans="4:6" x14ac:dyDescent="0.3">
      <c r="D125" s="282" t="str">
        <f>SD2_BA!C968</f>
        <v>Supplies Category 27</v>
      </c>
      <c r="F125" s="119"/>
    </row>
    <row r="126" spans="4:6" x14ac:dyDescent="0.3">
      <c r="D126" s="282" t="str">
        <f>SD2_BA!C969</f>
        <v>Supplies Category 28</v>
      </c>
      <c r="F126" s="119"/>
    </row>
    <row r="127" spans="4:6" x14ac:dyDescent="0.3">
      <c r="D127" s="282" t="str">
        <f>SD2_BA!C970</f>
        <v>Supplies Category 29</v>
      </c>
      <c r="F127" s="119"/>
    </row>
    <row r="128" spans="4:6" x14ac:dyDescent="0.3">
      <c r="D128" s="282" t="str">
        <f>SD2_BA!C971</f>
        <v>Supplies Category 30</v>
      </c>
      <c r="F128" s="119"/>
    </row>
    <row r="129" spans="3:6" x14ac:dyDescent="0.3">
      <c r="D129" s="282" t="str">
        <f>SD2_BA!C972</f>
        <v>Supplies Category 31</v>
      </c>
      <c r="F129" s="119"/>
    </row>
    <row r="130" spans="3:6" x14ac:dyDescent="0.3">
      <c r="D130" s="282" t="str">
        <f>SD2_BA!C973</f>
        <v>Supplies Category 32</v>
      </c>
      <c r="F130" s="119"/>
    </row>
    <row r="131" spans="3:6" x14ac:dyDescent="0.3">
      <c r="D131" s="282" t="str">
        <f>SD2_BA!C974</f>
        <v>Supplies Category 33</v>
      </c>
      <c r="F131" s="119"/>
    </row>
    <row r="132" spans="3:6" x14ac:dyDescent="0.3">
      <c r="D132" s="282" t="str">
        <f>SD2_BA!C975</f>
        <v>Supplies Category 34</v>
      </c>
      <c r="F132" s="119"/>
    </row>
    <row r="133" spans="3:6" x14ac:dyDescent="0.3">
      <c r="D133" s="282" t="str">
        <f>SD2_BA!C976</f>
        <v>Supplies Category 35</v>
      </c>
      <c r="F133" s="119"/>
    </row>
    <row r="136" spans="3:6" ht="15.6" x14ac:dyDescent="0.3">
      <c r="C136" s="115" t="s">
        <v>130</v>
      </c>
      <c r="F136" s="115" t="s">
        <v>28</v>
      </c>
    </row>
    <row r="138" spans="3:6" x14ac:dyDescent="0.3">
      <c r="D138" s="116" t="s">
        <v>95</v>
      </c>
      <c r="F138" s="119" t="s">
        <v>310</v>
      </c>
    </row>
    <row r="139" spans="3:6" x14ac:dyDescent="0.3">
      <c r="D139" s="30" t="str">
        <f>SD2_BA!C979</f>
        <v>Equipment Category 1</v>
      </c>
      <c r="F139" s="33" t="s">
        <v>46</v>
      </c>
    </row>
    <row r="140" spans="3:6" x14ac:dyDescent="0.3">
      <c r="D140" s="30" t="str">
        <f>SD2_BA!C980</f>
        <v>Equipment Category 2</v>
      </c>
      <c r="F140" s="33" t="s">
        <v>46</v>
      </c>
    </row>
    <row r="141" spans="3:6" x14ac:dyDescent="0.3">
      <c r="D141" s="30" t="str">
        <f>SD2_BA!C981</f>
        <v>Equipment Category 3</v>
      </c>
      <c r="F141" s="33" t="s">
        <v>46</v>
      </c>
    </row>
    <row r="142" spans="3:6" x14ac:dyDescent="0.3">
      <c r="D142" s="30" t="str">
        <f>SD2_BA!C982</f>
        <v>Equipment Category 4</v>
      </c>
      <c r="F142" s="33" t="s">
        <v>46</v>
      </c>
    </row>
    <row r="143" spans="3:6" x14ac:dyDescent="0.3">
      <c r="D143" s="30" t="str">
        <f>SD2_BA!C983</f>
        <v>Equipment Category 5</v>
      </c>
      <c r="F143" s="33" t="s">
        <v>46</v>
      </c>
    </row>
    <row r="144" spans="3:6" x14ac:dyDescent="0.3">
      <c r="D144" s="30" t="str">
        <f>SD2_BA!C984</f>
        <v>Equipment Category 6</v>
      </c>
      <c r="F144" s="33" t="s">
        <v>46</v>
      </c>
    </row>
    <row r="145" spans="4:6" x14ac:dyDescent="0.3">
      <c r="D145" s="282" t="str">
        <f>SD2_BA!C985</f>
        <v>Equipment Category 7</v>
      </c>
      <c r="F145" s="119"/>
    </row>
    <row r="146" spans="4:6" x14ac:dyDescent="0.3">
      <c r="D146" s="282" t="str">
        <f>SD2_BA!C986</f>
        <v>Equipment Category 8</v>
      </c>
      <c r="F146" s="119"/>
    </row>
    <row r="147" spans="4:6" x14ac:dyDescent="0.3">
      <c r="D147" s="282" t="str">
        <f>SD2_BA!C987</f>
        <v>Equipment Category 9</v>
      </c>
      <c r="F147" s="119"/>
    </row>
    <row r="148" spans="4:6" x14ac:dyDescent="0.3">
      <c r="D148" s="282" t="str">
        <f>SD2_BA!C988</f>
        <v>Equipment Category 10</v>
      </c>
      <c r="F148" s="119"/>
    </row>
    <row r="149" spans="4:6" x14ac:dyDescent="0.3">
      <c r="D149" s="282" t="str">
        <f>SD2_BA!C989</f>
        <v>Equipment Category 11</v>
      </c>
      <c r="F149" s="119"/>
    </row>
    <row r="150" spans="4:6" x14ac:dyDescent="0.3">
      <c r="D150" s="282" t="str">
        <f>SD2_BA!C990</f>
        <v>Equipment Category 12</v>
      </c>
      <c r="F150" s="119"/>
    </row>
    <row r="151" spans="4:6" x14ac:dyDescent="0.3">
      <c r="D151" s="282" t="str">
        <f>SD2_BA!C991</f>
        <v>Equipment Category 13</v>
      </c>
      <c r="F151" s="119"/>
    </row>
    <row r="152" spans="4:6" x14ac:dyDescent="0.3">
      <c r="D152" s="282" t="str">
        <f>SD2_BA!C992</f>
        <v>Equipment Category 14</v>
      </c>
      <c r="F152" s="119"/>
    </row>
    <row r="153" spans="4:6" x14ac:dyDescent="0.3">
      <c r="D153" s="282" t="str">
        <f>SD2_BA!C993</f>
        <v>Equipment Category 15</v>
      </c>
      <c r="F153" s="119"/>
    </row>
    <row r="154" spans="4:6" x14ac:dyDescent="0.3">
      <c r="D154" s="282" t="str">
        <f>SD2_BA!C994</f>
        <v>Equipment Category 16</v>
      </c>
      <c r="F154" s="119"/>
    </row>
    <row r="155" spans="4:6" x14ac:dyDescent="0.3">
      <c r="D155" s="282" t="str">
        <f>SD2_BA!C995</f>
        <v>Equipment Category 17</v>
      </c>
      <c r="F155" s="119"/>
    </row>
    <row r="156" spans="4:6" x14ac:dyDescent="0.3">
      <c r="D156" s="282" t="str">
        <f>SD2_BA!C996</f>
        <v>Equipment Category 18</v>
      </c>
      <c r="F156" s="119"/>
    </row>
    <row r="157" spans="4:6" x14ac:dyDescent="0.3">
      <c r="D157" s="282" t="str">
        <f>SD2_BA!C997</f>
        <v>Equipment Category 19</v>
      </c>
      <c r="F157" s="119"/>
    </row>
    <row r="158" spans="4:6" x14ac:dyDescent="0.3">
      <c r="D158" s="282" t="str">
        <f>SD2_BA!C998</f>
        <v>Equipment Category 20</v>
      </c>
      <c r="F158" s="119"/>
    </row>
    <row r="159" spans="4:6" x14ac:dyDescent="0.3">
      <c r="D159" s="282" t="str">
        <f>SD2_BA!C999</f>
        <v>Equipment Category 21</v>
      </c>
      <c r="F159" s="119"/>
    </row>
    <row r="160" spans="4:6" x14ac:dyDescent="0.3">
      <c r="D160" s="282" t="str">
        <f>SD2_BA!C1000</f>
        <v>Equipment Category 22</v>
      </c>
      <c r="F160" s="119"/>
    </row>
    <row r="161" spans="3:6" x14ac:dyDescent="0.3">
      <c r="D161" s="282" t="str">
        <f>SD2_BA!C1001</f>
        <v>Equipment Category 23</v>
      </c>
      <c r="F161" s="119"/>
    </row>
    <row r="162" spans="3:6" x14ac:dyDescent="0.3">
      <c r="D162" s="282" t="str">
        <f>SD2_BA!C1002</f>
        <v>Equipment Category 24</v>
      </c>
      <c r="F162" s="119"/>
    </row>
    <row r="163" spans="3:6" x14ac:dyDescent="0.3">
      <c r="D163" s="282" t="str">
        <f>SD2_BA!C1003</f>
        <v>Equipment Category 25</v>
      </c>
      <c r="F163" s="119"/>
    </row>
    <row r="164" spans="3:6" x14ac:dyDescent="0.3">
      <c r="D164" s="282" t="str">
        <f>SD2_BA!C1004</f>
        <v>Equipment Category 26</v>
      </c>
      <c r="F164" s="119"/>
    </row>
    <row r="165" spans="3:6" x14ac:dyDescent="0.3">
      <c r="D165" s="282" t="str">
        <f>SD2_BA!C1005</f>
        <v>Equipment Category 27</v>
      </c>
      <c r="F165" s="119"/>
    </row>
    <row r="166" spans="3:6" x14ac:dyDescent="0.3">
      <c r="D166" s="282" t="str">
        <f>SD2_BA!C1006</f>
        <v>Equipment Category 28</v>
      </c>
      <c r="F166" s="119"/>
    </row>
    <row r="167" spans="3:6" x14ac:dyDescent="0.3">
      <c r="D167" s="282" t="str">
        <f>SD2_BA!C1007</f>
        <v>Equipment Category 29</v>
      </c>
      <c r="F167" s="119"/>
    </row>
    <row r="168" spans="3:6" x14ac:dyDescent="0.3">
      <c r="D168" s="282" t="str">
        <f>SD2_BA!C1008</f>
        <v>Equipment Category 30</v>
      </c>
      <c r="F168" s="119"/>
    </row>
    <row r="169" spans="3:6" x14ac:dyDescent="0.3">
      <c r="D169" s="282" t="str">
        <f>SD2_BA!C1009</f>
        <v>Equipment Category 31</v>
      </c>
      <c r="F169" s="119"/>
    </row>
    <row r="170" spans="3:6" x14ac:dyDescent="0.3">
      <c r="D170" s="282" t="str">
        <f>SD2_BA!C1010</f>
        <v>Equipment Category 32</v>
      </c>
      <c r="F170" s="119"/>
    </row>
    <row r="171" spans="3:6" x14ac:dyDescent="0.3">
      <c r="D171" s="282" t="str">
        <f>SD2_BA!C1011</f>
        <v>Equipment Category 33</v>
      </c>
      <c r="F171" s="119"/>
    </row>
    <row r="172" spans="3:6" x14ac:dyDescent="0.3">
      <c r="D172" s="282" t="str">
        <f>SD2_BA!C1012</f>
        <v>Equipment Category 34</v>
      </c>
      <c r="F172" s="119"/>
    </row>
    <row r="173" spans="3:6" x14ac:dyDescent="0.3">
      <c r="D173" s="282" t="str">
        <f>SD2_BA!C1013</f>
        <v>Equipment Category 35</v>
      </c>
      <c r="F173" s="119"/>
    </row>
    <row r="175" spans="3:6" ht="15.6" x14ac:dyDescent="0.3">
      <c r="C175" s="115" t="s">
        <v>89</v>
      </c>
      <c r="F175" s="115" t="s">
        <v>28</v>
      </c>
    </row>
    <row r="177" spans="4:6" x14ac:dyDescent="0.3">
      <c r="D177" s="116" t="s">
        <v>95</v>
      </c>
      <c r="F177" s="119" t="s">
        <v>311</v>
      </c>
    </row>
    <row r="178" spans="4:6" x14ac:dyDescent="0.3">
      <c r="D178" s="30" t="str">
        <f>SD2_BA!C1017</f>
        <v>Other Direct Costs Category 1</v>
      </c>
      <c r="F178" s="33" t="s">
        <v>46</v>
      </c>
    </row>
    <row r="179" spans="4:6" x14ac:dyDescent="0.3">
      <c r="D179" s="30" t="str">
        <f>SD2_BA!C1018</f>
        <v>Other Direct Costs Category 2</v>
      </c>
      <c r="F179" s="33" t="s">
        <v>46</v>
      </c>
    </row>
    <row r="180" spans="4:6" x14ac:dyDescent="0.3">
      <c r="D180" s="30" t="str">
        <f>SD2_BA!C1019</f>
        <v>Other Direct Costs Category 3</v>
      </c>
      <c r="F180" s="33" t="s">
        <v>46</v>
      </c>
    </row>
    <row r="181" spans="4:6" x14ac:dyDescent="0.3">
      <c r="D181" s="282" t="str">
        <f>SD2_BA!C1020</f>
        <v>Other Direct Costs Category 4</v>
      </c>
      <c r="F181" s="119"/>
    </row>
    <row r="182" spans="4:6" x14ac:dyDescent="0.3">
      <c r="D182" s="282" t="str">
        <f>SD2_BA!C1021</f>
        <v>Other Direct Costs Category 5</v>
      </c>
      <c r="F182" s="119"/>
    </row>
    <row r="183" spans="4:6" x14ac:dyDescent="0.3">
      <c r="D183" s="282" t="str">
        <f>SD2_BA!C1022</f>
        <v>Other Direct Costs Category 6</v>
      </c>
      <c r="F183" s="119"/>
    </row>
    <row r="184" spans="4:6" x14ac:dyDescent="0.3">
      <c r="D184" s="282" t="str">
        <f>SD2_BA!C1023</f>
        <v>Other Direct Costs Category 7</v>
      </c>
      <c r="F184" s="119"/>
    </row>
    <row r="185" spans="4:6" x14ac:dyDescent="0.3">
      <c r="D185" s="282" t="str">
        <f>SD2_BA!C1024</f>
        <v>Other Direct Costs Category 8</v>
      </c>
      <c r="F185" s="119"/>
    </row>
    <row r="186" spans="4:6" x14ac:dyDescent="0.3">
      <c r="D186" s="282" t="str">
        <f>SD2_BA!C1025</f>
        <v>Other Direct Costs Category 9</v>
      </c>
      <c r="F186" s="119"/>
    </row>
    <row r="187" spans="4:6" x14ac:dyDescent="0.3">
      <c r="D187" s="282" t="str">
        <f>SD2_BA!C1026</f>
        <v>Other Direct Costs Category 10</v>
      </c>
      <c r="F187" s="119"/>
    </row>
    <row r="188" spans="4:6" x14ac:dyDescent="0.3">
      <c r="D188" s="282" t="str">
        <f>SD2_BA!C1027</f>
        <v>Other Direct Costs Category 11</v>
      </c>
      <c r="F188" s="119"/>
    </row>
    <row r="189" spans="4:6" x14ac:dyDescent="0.3">
      <c r="D189" s="282" t="str">
        <f>SD2_BA!C1028</f>
        <v>Other Direct Costs Category 12</v>
      </c>
      <c r="F189" s="119"/>
    </row>
    <row r="190" spans="4:6" x14ac:dyDescent="0.3">
      <c r="D190" s="282" t="str">
        <f>SD2_BA!C1029</f>
        <v>Other Direct Costs Category 13</v>
      </c>
      <c r="F190" s="119"/>
    </row>
    <row r="191" spans="4:6" x14ac:dyDescent="0.3">
      <c r="D191" s="282" t="str">
        <f>SD2_BA!C1030</f>
        <v>Other Direct Costs Category 14</v>
      </c>
      <c r="F191" s="119"/>
    </row>
    <row r="192" spans="4:6" x14ac:dyDescent="0.3">
      <c r="D192" s="282" t="str">
        <f>SD2_BA!C1031</f>
        <v>Other Direct Costs Category 15</v>
      </c>
      <c r="F192" s="119"/>
    </row>
    <row r="193" spans="4:6" x14ac:dyDescent="0.3">
      <c r="D193" s="282" t="str">
        <f>SD2_BA!C1032</f>
        <v>Other Direct Costs Category 16</v>
      </c>
      <c r="F193" s="119"/>
    </row>
    <row r="194" spans="4:6" x14ac:dyDescent="0.3">
      <c r="D194" s="282" t="str">
        <f>SD2_BA!C1033</f>
        <v>Other Direct Costs Category 17</v>
      </c>
      <c r="F194" s="119"/>
    </row>
    <row r="195" spans="4:6" x14ac:dyDescent="0.3">
      <c r="D195" s="282" t="str">
        <f>SD2_BA!C1034</f>
        <v>Other Direct Costs Category 18</v>
      </c>
      <c r="F195" s="119"/>
    </row>
    <row r="196" spans="4:6" x14ac:dyDescent="0.3">
      <c r="D196" s="282" t="str">
        <f>SD2_BA!C1035</f>
        <v>Other Direct Costs Category 19</v>
      </c>
      <c r="F196" s="119"/>
    </row>
    <row r="197" spans="4:6" x14ac:dyDescent="0.3">
      <c r="D197" s="282" t="str">
        <f>SD2_BA!C1036</f>
        <v>Other Direct Costs Category 20</v>
      </c>
      <c r="F197" s="119"/>
    </row>
    <row r="198" spans="4:6" x14ac:dyDescent="0.3">
      <c r="D198" s="282" t="str">
        <f>SD2_BA!C1037</f>
        <v>Other Direct Costs Category 21</v>
      </c>
      <c r="F198" s="119"/>
    </row>
    <row r="199" spans="4:6" x14ac:dyDescent="0.3">
      <c r="D199" s="282" t="str">
        <f>SD2_BA!C1038</f>
        <v>Other Direct Costs Category 22</v>
      </c>
      <c r="F199" s="119"/>
    </row>
    <row r="200" spans="4:6" x14ac:dyDescent="0.3">
      <c r="D200" s="282" t="str">
        <f>SD2_BA!C1039</f>
        <v>Other Direct Costs Category 23</v>
      </c>
      <c r="F200" s="119"/>
    </row>
    <row r="201" spans="4:6" x14ac:dyDescent="0.3">
      <c r="D201" s="282" t="str">
        <f>SD2_BA!C1040</f>
        <v>Other Direct Costs Category 24</v>
      </c>
      <c r="F201" s="119"/>
    </row>
    <row r="202" spans="4:6" x14ac:dyDescent="0.3">
      <c r="D202" s="282" t="str">
        <f>SD2_BA!C1041</f>
        <v>Other Direct Costs Category 25</v>
      </c>
      <c r="F202" s="119"/>
    </row>
    <row r="203" spans="4:6" x14ac:dyDescent="0.3">
      <c r="D203" s="282" t="str">
        <f>SD2_BA!C1042</f>
        <v>Other Direct Costs Category 26</v>
      </c>
      <c r="F203" s="119"/>
    </row>
    <row r="204" spans="4:6" x14ac:dyDescent="0.3">
      <c r="D204" s="282" t="str">
        <f>SD2_BA!C1043</f>
        <v>Other Direct Costs Category 27</v>
      </c>
      <c r="F204" s="119"/>
    </row>
    <row r="205" spans="4:6" x14ac:dyDescent="0.3">
      <c r="D205" s="282" t="str">
        <f>SD2_BA!C1044</f>
        <v>Other Direct Costs Category 28</v>
      </c>
      <c r="F205" s="119"/>
    </row>
    <row r="206" spans="4:6" x14ac:dyDescent="0.3">
      <c r="D206" s="282" t="str">
        <f>SD2_BA!C1045</f>
        <v>Other Direct Costs Category 29</v>
      </c>
      <c r="F206" s="119"/>
    </row>
    <row r="207" spans="4:6" x14ac:dyDescent="0.3">
      <c r="D207" s="282" t="str">
        <f>SD2_BA!C1046</f>
        <v>Other Direct Costs Category 30</v>
      </c>
      <c r="F207" s="119"/>
    </row>
    <row r="208" spans="4:6" x14ac:dyDescent="0.3">
      <c r="D208" s="282" t="str">
        <f>SD2_BA!C1047</f>
        <v>Other Direct Costs Category 31</v>
      </c>
      <c r="F208" s="119"/>
    </row>
    <row r="209" spans="4:6" x14ac:dyDescent="0.3">
      <c r="D209" s="282" t="str">
        <f>SD2_BA!C1048</f>
        <v>Other Direct Costs Category 32</v>
      </c>
      <c r="F209" s="119"/>
    </row>
    <row r="210" spans="4:6" x14ac:dyDescent="0.3">
      <c r="D210" s="282" t="str">
        <f>SD2_BA!C1049</f>
        <v>Other Direct Costs Category 33</v>
      </c>
      <c r="F210" s="119"/>
    </row>
    <row r="211" spans="4:6" x14ac:dyDescent="0.3">
      <c r="D211" s="282" t="str">
        <f>SD2_BA!C1050</f>
        <v>Other Direct Costs Category 34</v>
      </c>
      <c r="F211" s="119"/>
    </row>
    <row r="212" spans="4:6" x14ac:dyDescent="0.3">
      <c r="D212" s="282" t="str">
        <f>SD2_BA!C1051</f>
        <v>Other Direct Costs Category 35</v>
      </c>
      <c r="F212" s="119"/>
    </row>
  </sheetData>
  <sheetProtection algorithmName="SHA-512" hashValue="PHaVnYtyCEppqUXkvqOEOzKETvWlTs7Dnmcr0Cc/ZB9hrhYRdKeJ6Jf+7oTG75XjCB988Bdpw3/OLJbIuzbtQg==" saltValue="CQWmJgCGeDBzXr7nRShxpg==" spinCount="100000" sheet="1" objects="1" scenarios="1" formatColumns="0" formatRows="0"/>
  <mergeCells count="1">
    <mergeCell ref="B3:D3"/>
  </mergeCells>
  <hyperlinks>
    <hyperlink ref="A4" location="$B$5" tooltip="Go to Top of Sheet" display="$B$5" xr:uid="{00000000-0004-0000-3600-000000000000}"/>
    <hyperlink ref="B4" location="HL_Sheet_Main_31" tooltip="Go to Previous Sheet" display="HL_Sheet_Main_31" xr:uid="{00000000-0004-0000-3600-000001000000}"/>
    <hyperlink ref="C4" location="HL_Sheet_Main_57" tooltip="Go to Next Sheet" display="HL_Sheet_Main_57" xr:uid="{00000000-0004-0000-3600-000002000000}"/>
    <hyperlink ref="B3" location="HL_Home" tooltip="Go to Table of Contents" display="HL_Home" xr:uid="{00000000-0004-0000-36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74" t="s">
        <v>684</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686</v>
      </c>
    </row>
    <row r="9" spans="1:6" ht="15.6" x14ac:dyDescent="0.3">
      <c r="C9" s="115" t="s">
        <v>93</v>
      </c>
    </row>
    <row r="11" spans="1:6" ht="15.6" x14ac:dyDescent="0.3">
      <c r="C11" s="115" t="s">
        <v>93</v>
      </c>
      <c r="F11" s="115" t="s">
        <v>28</v>
      </c>
    </row>
    <row r="13" spans="1:6" x14ac:dyDescent="0.3">
      <c r="D13" s="116" t="s">
        <v>95</v>
      </c>
      <c r="F13" s="119" t="s">
        <v>484</v>
      </c>
    </row>
    <row r="14" spans="1:6" x14ac:dyDescent="0.3">
      <c r="D14" s="30" t="str">
        <f>SD2_BA!D1210</f>
        <v>USD</v>
      </c>
      <c r="F14" s="33" t="s">
        <v>46</v>
      </c>
    </row>
    <row r="15" spans="1:6" x14ac:dyDescent="0.3">
      <c r="D15" s="30" t="str">
        <f>SD2_BA!D1211</f>
        <v>GOZ</v>
      </c>
      <c r="F15" s="33" t="s">
        <v>46</v>
      </c>
    </row>
    <row r="17" spans="3:6" ht="15.6" x14ac:dyDescent="0.3">
      <c r="C17" s="115" t="s">
        <v>77</v>
      </c>
      <c r="F17" s="115" t="s">
        <v>28</v>
      </c>
    </row>
    <row r="19" spans="3:6" x14ac:dyDescent="0.3">
      <c r="D19" s="116" t="s">
        <v>95</v>
      </c>
      <c r="F19" s="119" t="s">
        <v>485</v>
      </c>
    </row>
    <row r="20" spans="3:6" x14ac:dyDescent="0.3">
      <c r="D20" s="30" t="str">
        <f>SD2_BA!C1216</f>
        <v>Personnel Cadre - Other 1</v>
      </c>
      <c r="F20" s="33" t="s">
        <v>46</v>
      </c>
    </row>
    <row r="21" spans="3:6" x14ac:dyDescent="0.3">
      <c r="D21" s="30" t="str">
        <f>SD2_BA!C1217</f>
        <v>Personnel Cadre - Other 2</v>
      </c>
      <c r="F21" s="33" t="s">
        <v>46</v>
      </c>
    </row>
    <row r="22" spans="3:6" x14ac:dyDescent="0.3">
      <c r="D22" s="30" t="str">
        <f>SD2_BA!C1218</f>
        <v>Personnel Cadre - Other 3</v>
      </c>
      <c r="F22" s="33" t="s">
        <v>46</v>
      </c>
    </row>
    <row r="23" spans="3:6" x14ac:dyDescent="0.3">
      <c r="D23" s="30" t="str">
        <f>SD2_BA!C1219</f>
        <v>Personnel Cadre - Other 4</v>
      </c>
      <c r="F23" s="33" t="s">
        <v>46</v>
      </c>
    </row>
    <row r="24" spans="3:6" x14ac:dyDescent="0.3">
      <c r="D24" s="30" t="str">
        <f>SD2_BA!C1220</f>
        <v>Personnel Cadre - Other 5</v>
      </c>
      <c r="F24" s="33" t="s">
        <v>46</v>
      </c>
    </row>
    <row r="25" spans="3:6" x14ac:dyDescent="0.3">
      <c r="D25" s="30" t="str">
        <f>SD2_BA!C1221</f>
        <v>Personnel Cadre - Other 6</v>
      </c>
      <c r="F25" s="33" t="s">
        <v>46</v>
      </c>
    </row>
    <row r="26" spans="3:6" x14ac:dyDescent="0.3">
      <c r="D26" s="30" t="str">
        <f>SD2_BA!C1222</f>
        <v>Personnel Cadre - Other 7</v>
      </c>
      <c r="F26" s="33" t="s">
        <v>46</v>
      </c>
    </row>
    <row r="27" spans="3:6" x14ac:dyDescent="0.3">
      <c r="D27" s="30" t="str">
        <f>SD2_BA!C1223</f>
        <v>Personnel Cadre - Other 8</v>
      </c>
      <c r="F27" s="33" t="s">
        <v>46</v>
      </c>
    </row>
    <row r="28" spans="3:6" x14ac:dyDescent="0.3">
      <c r="D28" s="30" t="str">
        <f>SD2_BA!C1224</f>
        <v>Personnel Cadre - Other 9</v>
      </c>
      <c r="F28" s="33" t="s">
        <v>46</v>
      </c>
    </row>
    <row r="29" spans="3:6" x14ac:dyDescent="0.3">
      <c r="D29" s="30" t="str">
        <f>SD2_BA!C1225</f>
        <v>Personnel Cadre - Other 10</v>
      </c>
      <c r="F29" s="33" t="s">
        <v>46</v>
      </c>
    </row>
    <row r="30" spans="3:6" x14ac:dyDescent="0.3">
      <c r="D30" s="30" t="str">
        <f>SD2_BA!C1226</f>
        <v>Personnel Cadre - Other 11</v>
      </c>
      <c r="F30" s="33" t="s">
        <v>46</v>
      </c>
    </row>
    <row r="31" spans="3:6" x14ac:dyDescent="0.3">
      <c r="D31" s="30" t="str">
        <f>SD2_BA!C1227</f>
        <v>Personnel Cadre - Other 12</v>
      </c>
      <c r="F31" s="33" t="s">
        <v>46</v>
      </c>
    </row>
    <row r="32" spans="3:6" x14ac:dyDescent="0.3">
      <c r="D32" s="30" t="str">
        <f>SD2_BA!C1228</f>
        <v>Personnel Cadre - Other 13</v>
      </c>
      <c r="F32" s="33" t="s">
        <v>46</v>
      </c>
    </row>
    <row r="33" spans="4:6" x14ac:dyDescent="0.3">
      <c r="D33" s="30" t="str">
        <f>SD2_BA!C1229</f>
        <v>Personnel Cadre - Other 14</v>
      </c>
      <c r="F33" s="33" t="s">
        <v>46</v>
      </c>
    </row>
    <row r="34" spans="4:6" x14ac:dyDescent="0.3">
      <c r="D34" s="30" t="str">
        <f>SD2_BA!C1230</f>
        <v>Personnel Cadre - Other 15</v>
      </c>
      <c r="F34" s="33" t="s">
        <v>46</v>
      </c>
    </row>
    <row r="35" spans="4:6" x14ac:dyDescent="0.3">
      <c r="D35" s="282" t="str">
        <f>SD2_BA!C1231</f>
        <v>Personnel Cadre - Other 16</v>
      </c>
      <c r="F35" s="119"/>
    </row>
    <row r="36" spans="4:6" x14ac:dyDescent="0.3">
      <c r="D36" s="282" t="str">
        <f>SD2_BA!C1232</f>
        <v>Personnel Cadre - Other 17</v>
      </c>
      <c r="F36" s="119"/>
    </row>
    <row r="37" spans="4:6" x14ac:dyDescent="0.3">
      <c r="D37" s="282" t="str">
        <f>SD2_BA!C1233</f>
        <v>Personnel Cadre - Other 18</v>
      </c>
      <c r="F37" s="119"/>
    </row>
    <row r="38" spans="4:6" x14ac:dyDescent="0.3">
      <c r="D38" s="282" t="str">
        <f>SD2_BA!C1234</f>
        <v>Personnel Cadre - Other 19</v>
      </c>
      <c r="F38" s="119"/>
    </row>
    <row r="39" spans="4:6" x14ac:dyDescent="0.3">
      <c r="D39" s="282" t="str">
        <f>SD2_BA!C1235</f>
        <v>Personnel Cadre - Other 20</v>
      </c>
      <c r="F39" s="119"/>
    </row>
    <row r="40" spans="4:6" x14ac:dyDescent="0.3">
      <c r="D40" s="282" t="str">
        <f>SD2_BA!C1236</f>
        <v>Personnel Cadre - Other 21</v>
      </c>
      <c r="F40" s="119"/>
    </row>
    <row r="41" spans="4:6" x14ac:dyDescent="0.3">
      <c r="D41" s="282" t="str">
        <f>SD2_BA!C1237</f>
        <v>Personnel Cadre - Other 22</v>
      </c>
      <c r="F41" s="119"/>
    </row>
    <row r="42" spans="4:6" x14ac:dyDescent="0.3">
      <c r="D42" s="282" t="str">
        <f>SD2_BA!C1238</f>
        <v>Personnel Cadre - Other 23</v>
      </c>
      <c r="F42" s="119"/>
    </row>
    <row r="43" spans="4:6" x14ac:dyDescent="0.3">
      <c r="D43" s="282" t="str">
        <f>SD2_BA!C1239</f>
        <v>Personnel Cadre - Other 24</v>
      </c>
      <c r="F43" s="119"/>
    </row>
    <row r="44" spans="4:6" x14ac:dyDescent="0.3">
      <c r="D44" s="282" t="str">
        <f>SD2_BA!C1240</f>
        <v>Personnel Cadre - Other 25</v>
      </c>
      <c r="F44" s="119"/>
    </row>
    <row r="45" spans="4:6" x14ac:dyDescent="0.3">
      <c r="D45" s="282" t="str">
        <f>SD2_BA!C1241</f>
        <v>Personnel Cadre - Other 26</v>
      </c>
      <c r="F45" s="119"/>
    </row>
    <row r="46" spans="4:6" x14ac:dyDescent="0.3">
      <c r="D46" s="282" t="str">
        <f>SD2_BA!C1242</f>
        <v>Personnel Cadre - Other 27</v>
      </c>
      <c r="F46" s="119"/>
    </row>
    <row r="47" spans="4:6" x14ac:dyDescent="0.3">
      <c r="D47" s="282" t="str">
        <f>SD2_BA!C1243</f>
        <v>Personnel Cadre - Other 28</v>
      </c>
      <c r="F47" s="119"/>
    </row>
    <row r="48" spans="4:6" x14ac:dyDescent="0.3">
      <c r="D48" s="282" t="str">
        <f>SD2_BA!C1244</f>
        <v>Personnel Cadre - Other 29</v>
      </c>
      <c r="F48" s="119"/>
    </row>
    <row r="49" spans="3:6" x14ac:dyDescent="0.3">
      <c r="D49" s="282" t="str">
        <f>SD2_BA!C1245</f>
        <v>Personnel Cadre - Other 30</v>
      </c>
      <c r="F49" s="119"/>
    </row>
    <row r="50" spans="3:6" x14ac:dyDescent="0.3">
      <c r="D50" s="282" t="str">
        <f>SD2_BA!C1246</f>
        <v>Personnel Cadre - Other 31</v>
      </c>
      <c r="F50" s="119"/>
    </row>
    <row r="51" spans="3:6" x14ac:dyDescent="0.3">
      <c r="D51" s="282" t="str">
        <f>SD2_BA!C1247</f>
        <v>Personnel Cadre - Other 32</v>
      </c>
      <c r="F51" s="119"/>
    </row>
    <row r="52" spans="3:6" x14ac:dyDescent="0.3">
      <c r="D52" s="282" t="str">
        <f>SD2_BA!C1248</f>
        <v>Personnel Cadre - Other 33</v>
      </c>
      <c r="F52" s="119"/>
    </row>
    <row r="53" spans="3:6" x14ac:dyDescent="0.3">
      <c r="D53" s="282" t="str">
        <f>SD2_BA!C1249</f>
        <v>Personnel Cadre - Other 34</v>
      </c>
      <c r="F53" s="119"/>
    </row>
    <row r="54" spans="3:6" x14ac:dyDescent="0.3">
      <c r="D54" s="282" t="str">
        <f>SD2_BA!C1250</f>
        <v>Personnel Cadre - Other 35</v>
      </c>
      <c r="F54" s="119"/>
    </row>
    <row r="56" spans="3:6" ht="15.6" x14ac:dyDescent="0.3">
      <c r="C56" s="115" t="s">
        <v>94</v>
      </c>
      <c r="F56" s="115" t="s">
        <v>28</v>
      </c>
    </row>
    <row r="58" spans="3:6" x14ac:dyDescent="0.3">
      <c r="D58" s="116" t="s">
        <v>95</v>
      </c>
      <c r="F58" s="119" t="s">
        <v>486</v>
      </c>
    </row>
    <row r="59" spans="3:6" x14ac:dyDescent="0.3">
      <c r="D59" s="30" t="str">
        <f>SD2_BA!C1253</f>
        <v>Allowances Category 1</v>
      </c>
      <c r="F59" s="33" t="s">
        <v>46</v>
      </c>
    </row>
    <row r="60" spans="3:6" x14ac:dyDescent="0.3">
      <c r="D60" s="30" t="str">
        <f>SD2_BA!C1254</f>
        <v>Allowances Category 2</v>
      </c>
      <c r="F60" s="33" t="s">
        <v>46</v>
      </c>
    </row>
    <row r="61" spans="3:6" x14ac:dyDescent="0.3">
      <c r="D61" s="30" t="str">
        <f>SD2_BA!C1255</f>
        <v>Allowances Category 3</v>
      </c>
      <c r="F61" s="33" t="s">
        <v>46</v>
      </c>
    </row>
    <row r="62" spans="3:6" x14ac:dyDescent="0.3">
      <c r="D62" s="30" t="str">
        <f>SD2_BA!C1256</f>
        <v>Allowances Category 4</v>
      </c>
      <c r="F62" s="33" t="s">
        <v>46</v>
      </c>
    </row>
    <row r="63" spans="3:6" x14ac:dyDescent="0.3">
      <c r="D63" s="30" t="str">
        <f>SD2_BA!C1257</f>
        <v>Allowances Category 5</v>
      </c>
      <c r="F63" s="33" t="s">
        <v>46</v>
      </c>
    </row>
    <row r="64" spans="3:6" x14ac:dyDescent="0.3">
      <c r="D64" s="282" t="str">
        <f>SD2_BA!C1258</f>
        <v>Allowances Category 6</v>
      </c>
      <c r="F64" s="119"/>
    </row>
    <row r="65" spans="4:6" x14ac:dyDescent="0.3">
      <c r="D65" s="282" t="str">
        <f>SD2_BA!C1259</f>
        <v>Allowances Category 7</v>
      </c>
      <c r="F65" s="119"/>
    </row>
    <row r="66" spans="4:6" x14ac:dyDescent="0.3">
      <c r="D66" s="282" t="str">
        <f>SD2_BA!C1260</f>
        <v>Allowances Category 8</v>
      </c>
      <c r="F66" s="119"/>
    </row>
    <row r="67" spans="4:6" x14ac:dyDescent="0.3">
      <c r="D67" s="282" t="str">
        <f>SD2_BA!C1261</f>
        <v>Allowances Category 9</v>
      </c>
      <c r="F67" s="119"/>
    </row>
    <row r="68" spans="4:6" x14ac:dyDescent="0.3">
      <c r="D68" s="282" t="str">
        <f>SD2_BA!C1262</f>
        <v>Allowances Category 10</v>
      </c>
      <c r="F68" s="119"/>
    </row>
    <row r="69" spans="4:6" x14ac:dyDescent="0.3">
      <c r="D69" s="282" t="str">
        <f>SD2_BA!C1263</f>
        <v>Allowances Category 11</v>
      </c>
      <c r="F69" s="119"/>
    </row>
    <row r="70" spans="4:6" x14ac:dyDescent="0.3">
      <c r="D70" s="282" t="str">
        <f>SD2_BA!C1264</f>
        <v>Allowances Category 12</v>
      </c>
      <c r="F70" s="119"/>
    </row>
    <row r="71" spans="4:6" x14ac:dyDescent="0.3">
      <c r="D71" s="282" t="str">
        <f>SD2_BA!C1265</f>
        <v>Allowances Category 13</v>
      </c>
      <c r="F71" s="119"/>
    </row>
    <row r="72" spans="4:6" x14ac:dyDescent="0.3">
      <c r="D72" s="282" t="str">
        <f>SD2_BA!C1266</f>
        <v>Allowances Category 14</v>
      </c>
      <c r="F72" s="119"/>
    </row>
    <row r="73" spans="4:6" x14ac:dyDescent="0.3">
      <c r="D73" s="282" t="str">
        <f>SD2_BA!C1267</f>
        <v>Allowances Category 15</v>
      </c>
      <c r="F73" s="119"/>
    </row>
    <row r="74" spans="4:6" x14ac:dyDescent="0.3">
      <c r="D74" s="282" t="str">
        <f>SD2_BA!C1268</f>
        <v>Allowances Category 16</v>
      </c>
      <c r="F74" s="119"/>
    </row>
    <row r="75" spans="4:6" x14ac:dyDescent="0.3">
      <c r="D75" s="30" t="str">
        <f>SD2_BA!C1269</f>
        <v>Allowances Category 17</v>
      </c>
      <c r="F75" s="33" t="s">
        <v>46</v>
      </c>
    </row>
    <row r="76" spans="4:6" x14ac:dyDescent="0.3">
      <c r="D76" s="30" t="str">
        <f>SD2_BA!C1270</f>
        <v>Allowances Category 18</v>
      </c>
      <c r="F76" s="33" t="s">
        <v>46</v>
      </c>
    </row>
    <row r="77" spans="4:6" x14ac:dyDescent="0.3">
      <c r="D77" s="30" t="str">
        <f>SD2_BA!C1271</f>
        <v>Allowances Category 19</v>
      </c>
      <c r="F77" s="33" t="s">
        <v>46</v>
      </c>
    </row>
    <row r="78" spans="4:6" x14ac:dyDescent="0.3">
      <c r="D78" s="30" t="str">
        <f>SD2_BA!C1272</f>
        <v>Allowances Category 20</v>
      </c>
      <c r="F78" s="33" t="s">
        <v>46</v>
      </c>
    </row>
    <row r="79" spans="4:6" x14ac:dyDescent="0.3">
      <c r="D79" s="30" t="str">
        <f>SD2_BA!C1273</f>
        <v>Allowances Category 21</v>
      </c>
      <c r="F79" s="33" t="s">
        <v>46</v>
      </c>
    </row>
    <row r="80" spans="4:6" x14ac:dyDescent="0.3">
      <c r="D80" s="30" t="str">
        <f>SD2_BA!C1274</f>
        <v>Allowances Category 22</v>
      </c>
      <c r="F80" s="33" t="s">
        <v>46</v>
      </c>
    </row>
    <row r="81" spans="3:6" x14ac:dyDescent="0.3">
      <c r="D81" s="30" t="str">
        <f>SD2_BA!C1275</f>
        <v>Allowances Category 23</v>
      </c>
      <c r="F81" s="33" t="s">
        <v>46</v>
      </c>
    </row>
    <row r="82" spans="3:6" x14ac:dyDescent="0.3">
      <c r="D82" s="282" t="str">
        <f>SD2_BA!C1276</f>
        <v>Allowances Category 24</v>
      </c>
      <c r="F82" s="119"/>
    </row>
    <row r="83" spans="3:6" x14ac:dyDescent="0.3">
      <c r="D83" s="282" t="str">
        <f>SD2_BA!C1277</f>
        <v>Allowances Category 25</v>
      </c>
      <c r="F83" s="119"/>
    </row>
    <row r="84" spans="3:6" x14ac:dyDescent="0.3">
      <c r="D84" s="282" t="str">
        <f>SD2_BA!C1278</f>
        <v>Allowances Category 26</v>
      </c>
      <c r="F84" s="119"/>
    </row>
    <row r="85" spans="3:6" x14ac:dyDescent="0.3">
      <c r="D85" s="282" t="str">
        <f>SD2_BA!C1279</f>
        <v>Allowances Category 27</v>
      </c>
      <c r="F85" s="119"/>
    </row>
    <row r="86" spans="3:6" x14ac:dyDescent="0.3">
      <c r="D86" s="282" t="str">
        <f>SD2_BA!C1280</f>
        <v>Allowances Category 28</v>
      </c>
      <c r="F86" s="119"/>
    </row>
    <row r="87" spans="3:6" x14ac:dyDescent="0.3">
      <c r="D87" s="282" t="str">
        <f>SD2_BA!C1281</f>
        <v>Allowances Category 29</v>
      </c>
      <c r="F87" s="119"/>
    </row>
    <row r="88" spans="3:6" x14ac:dyDescent="0.3">
      <c r="D88" s="282" t="str">
        <f>SD2_BA!C1282</f>
        <v>Allowances Category 30</v>
      </c>
      <c r="F88" s="119"/>
    </row>
    <row r="89" spans="3:6" x14ac:dyDescent="0.3">
      <c r="D89" s="30" t="str">
        <f>SD2_BA!C1283</f>
        <v>Allowances Category 31</v>
      </c>
      <c r="F89" s="33" t="s">
        <v>46</v>
      </c>
    </row>
    <row r="90" spans="3:6" x14ac:dyDescent="0.3">
      <c r="D90" s="30" t="str">
        <f>SD2_BA!C1284</f>
        <v>Allowances Category 32</v>
      </c>
      <c r="F90" s="33" t="s">
        <v>46</v>
      </c>
    </row>
    <row r="91" spans="3:6" x14ac:dyDescent="0.3">
      <c r="D91" s="30" t="str">
        <f>SD2_BA!C1285</f>
        <v>Allowances Category 33</v>
      </c>
      <c r="F91" s="33" t="s">
        <v>46</v>
      </c>
    </row>
    <row r="92" spans="3:6" x14ac:dyDescent="0.3">
      <c r="D92" s="30" t="str">
        <f>SD2_BA!C1286</f>
        <v>Allowances Category 34</v>
      </c>
      <c r="F92" s="33" t="s">
        <v>46</v>
      </c>
    </row>
    <row r="93" spans="3:6" x14ac:dyDescent="0.3">
      <c r="D93" s="30" t="str">
        <f>SD2_BA!C1287</f>
        <v>Allowances Category 35</v>
      </c>
      <c r="F93" s="33" t="s">
        <v>46</v>
      </c>
    </row>
    <row r="96" spans="3:6" ht="15.6" x14ac:dyDescent="0.3">
      <c r="C96" s="115" t="s">
        <v>132</v>
      </c>
      <c r="F96" s="115" t="s">
        <v>28</v>
      </c>
    </row>
    <row r="98" spans="4:6" x14ac:dyDescent="0.3">
      <c r="D98" s="116" t="s">
        <v>95</v>
      </c>
      <c r="F98" s="119" t="s">
        <v>487</v>
      </c>
    </row>
    <row r="99" spans="4:6" x14ac:dyDescent="0.3">
      <c r="D99" s="30" t="str">
        <f>SD2_BA!C1291</f>
        <v>Supplies Category 1</v>
      </c>
      <c r="F99" s="33" t="s">
        <v>46</v>
      </c>
    </row>
    <row r="100" spans="4:6" x14ac:dyDescent="0.3">
      <c r="D100" s="30" t="str">
        <f>SD2_BA!C1292</f>
        <v>Supplies Category 2</v>
      </c>
      <c r="F100" s="33" t="s">
        <v>46</v>
      </c>
    </row>
    <row r="101" spans="4:6" x14ac:dyDescent="0.3">
      <c r="D101" s="30" t="str">
        <f>SD2_BA!C1293</f>
        <v>Supplies Category 3</v>
      </c>
      <c r="F101" s="33" t="s">
        <v>46</v>
      </c>
    </row>
    <row r="102" spans="4:6" x14ac:dyDescent="0.3">
      <c r="D102" s="30" t="str">
        <f>SD2_BA!C1294</f>
        <v>Supplies Category 4</v>
      </c>
      <c r="F102" s="33" t="s">
        <v>46</v>
      </c>
    </row>
    <row r="103" spans="4:6" x14ac:dyDescent="0.3">
      <c r="D103" s="30" t="str">
        <f>SD2_BA!C1295</f>
        <v>Supplies Category 5</v>
      </c>
      <c r="F103" s="33" t="s">
        <v>46</v>
      </c>
    </row>
    <row r="104" spans="4:6" x14ac:dyDescent="0.3">
      <c r="D104" s="30" t="str">
        <f>SD2_BA!C1296</f>
        <v>Supplies Category 6</v>
      </c>
      <c r="F104" s="33" t="s">
        <v>46</v>
      </c>
    </row>
    <row r="105" spans="4:6" x14ac:dyDescent="0.3">
      <c r="D105" s="30" t="str">
        <f>SD2_BA!C1297</f>
        <v>Supplies Category 7</v>
      </c>
      <c r="F105" s="33" t="s">
        <v>46</v>
      </c>
    </row>
    <row r="106" spans="4:6" x14ac:dyDescent="0.3">
      <c r="D106" s="30" t="str">
        <f>SD2_BA!C1298</f>
        <v>Supplies Category 8</v>
      </c>
      <c r="F106" s="33" t="s">
        <v>46</v>
      </c>
    </row>
    <row r="107" spans="4:6" x14ac:dyDescent="0.3">
      <c r="D107" s="30" t="str">
        <f>SD2_BA!C1299</f>
        <v>Supplies Category 9</v>
      </c>
      <c r="F107" s="33" t="s">
        <v>46</v>
      </c>
    </row>
    <row r="108" spans="4:6" x14ac:dyDescent="0.3">
      <c r="D108" s="30" t="str">
        <f>SD2_BA!C1300</f>
        <v>Supplies Category 10</v>
      </c>
      <c r="F108" s="33" t="s">
        <v>46</v>
      </c>
    </row>
    <row r="109" spans="4:6" x14ac:dyDescent="0.3">
      <c r="D109" s="30" t="str">
        <f>SD2_BA!C1301</f>
        <v>Supplies Category 11</v>
      </c>
      <c r="F109" s="33" t="s">
        <v>46</v>
      </c>
    </row>
    <row r="110" spans="4:6" x14ac:dyDescent="0.3">
      <c r="D110" s="30" t="str">
        <f>SD2_BA!C1302</f>
        <v>Supplies Category 12</v>
      </c>
      <c r="F110" s="33" t="s">
        <v>46</v>
      </c>
    </row>
    <row r="111" spans="4:6" x14ac:dyDescent="0.3">
      <c r="D111" s="30" t="str">
        <f>SD2_BA!C1303</f>
        <v>Supplies Category 13</v>
      </c>
      <c r="F111" s="33" t="s">
        <v>46</v>
      </c>
    </row>
    <row r="112" spans="4:6" x14ac:dyDescent="0.3">
      <c r="D112" s="30" t="str">
        <f>SD2_BA!C1304</f>
        <v>Supplies Category 14</v>
      </c>
      <c r="F112" s="33" t="s">
        <v>46</v>
      </c>
    </row>
    <row r="113" spans="4:6" x14ac:dyDescent="0.3">
      <c r="D113" s="30" t="str">
        <f>SD2_BA!C1305</f>
        <v>Supplies Category 15</v>
      </c>
      <c r="F113" s="33" t="s">
        <v>46</v>
      </c>
    </row>
    <row r="114" spans="4:6" x14ac:dyDescent="0.3">
      <c r="D114" s="30" t="str">
        <f>SD2_BA!C1306</f>
        <v>Supplies Category 16</v>
      </c>
      <c r="F114" s="33" t="s">
        <v>46</v>
      </c>
    </row>
    <row r="115" spans="4:6" x14ac:dyDescent="0.3">
      <c r="D115" s="282" t="str">
        <f>SD2_BA!C1307</f>
        <v>Supplies Category 17</v>
      </c>
      <c r="F115" s="119"/>
    </row>
    <row r="116" spans="4:6" x14ac:dyDescent="0.3">
      <c r="D116" s="282" t="str">
        <f>SD2_BA!C1308</f>
        <v>Supplies Category 18</v>
      </c>
      <c r="F116" s="119"/>
    </row>
    <row r="117" spans="4:6" x14ac:dyDescent="0.3">
      <c r="D117" s="282" t="str">
        <f>SD2_BA!C1309</f>
        <v>Supplies Category 19</v>
      </c>
      <c r="F117" s="119"/>
    </row>
    <row r="118" spans="4:6" x14ac:dyDescent="0.3">
      <c r="D118" s="282" t="str">
        <f>SD2_BA!C1310</f>
        <v>Supplies Category 20</v>
      </c>
      <c r="F118" s="119"/>
    </row>
    <row r="119" spans="4:6" x14ac:dyDescent="0.3">
      <c r="D119" s="282" t="str">
        <f>SD2_BA!C1311</f>
        <v>Supplies Category 21</v>
      </c>
      <c r="F119" s="119"/>
    </row>
    <row r="120" spans="4:6" x14ac:dyDescent="0.3">
      <c r="D120" s="282" t="str">
        <f>SD2_BA!C1312</f>
        <v>Supplies Category 22</v>
      </c>
      <c r="F120" s="119"/>
    </row>
    <row r="121" spans="4:6" x14ac:dyDescent="0.3">
      <c r="D121" s="282" t="str">
        <f>SD2_BA!C1313</f>
        <v>Supplies Category 23</v>
      </c>
      <c r="F121" s="119"/>
    </row>
    <row r="122" spans="4:6" x14ac:dyDescent="0.3">
      <c r="D122" s="282" t="str">
        <f>SD2_BA!C1314</f>
        <v>Supplies Category 24</v>
      </c>
      <c r="F122" s="119"/>
    </row>
    <row r="123" spans="4:6" x14ac:dyDescent="0.3">
      <c r="D123" s="282" t="str">
        <f>SD2_BA!C1315</f>
        <v>Supplies Category 25</v>
      </c>
      <c r="F123" s="119"/>
    </row>
    <row r="124" spans="4:6" x14ac:dyDescent="0.3">
      <c r="D124" s="282" t="str">
        <f>SD2_BA!C1316</f>
        <v>Supplies Category 26</v>
      </c>
      <c r="F124" s="119"/>
    </row>
    <row r="125" spans="4:6" x14ac:dyDescent="0.3">
      <c r="D125" s="282" t="str">
        <f>SD2_BA!C1317</f>
        <v>Supplies Category 27</v>
      </c>
      <c r="F125" s="119"/>
    </row>
    <row r="126" spans="4:6" x14ac:dyDescent="0.3">
      <c r="D126" s="282" t="str">
        <f>SD2_BA!C1318</f>
        <v>Supplies Category 28</v>
      </c>
      <c r="F126" s="119"/>
    </row>
    <row r="127" spans="4:6" x14ac:dyDescent="0.3">
      <c r="D127" s="282" t="str">
        <f>SD2_BA!C1319</f>
        <v>Supplies Category 29</v>
      </c>
      <c r="F127" s="119"/>
    </row>
    <row r="128" spans="4:6" x14ac:dyDescent="0.3">
      <c r="D128" s="282" t="str">
        <f>SD2_BA!C1320</f>
        <v>Supplies Category 30</v>
      </c>
      <c r="F128" s="119"/>
    </row>
    <row r="129" spans="3:6" x14ac:dyDescent="0.3">
      <c r="D129" s="282" t="str">
        <f>SD2_BA!C1321</f>
        <v>Supplies Category 31</v>
      </c>
      <c r="F129" s="119"/>
    </row>
    <row r="130" spans="3:6" x14ac:dyDescent="0.3">
      <c r="D130" s="282" t="str">
        <f>SD2_BA!C1322</f>
        <v>Supplies Category 32</v>
      </c>
      <c r="F130" s="119"/>
    </row>
    <row r="131" spans="3:6" x14ac:dyDescent="0.3">
      <c r="D131" s="282" t="str">
        <f>SD2_BA!C1323</f>
        <v>Supplies Category 33</v>
      </c>
      <c r="F131" s="119"/>
    </row>
    <row r="132" spans="3:6" x14ac:dyDescent="0.3">
      <c r="D132" s="282" t="str">
        <f>SD2_BA!C1324</f>
        <v>Supplies Category 34</v>
      </c>
      <c r="F132" s="119"/>
    </row>
    <row r="133" spans="3:6" x14ac:dyDescent="0.3">
      <c r="D133" s="282" t="str">
        <f>SD2_BA!C1325</f>
        <v>Supplies Category 35</v>
      </c>
      <c r="F133" s="119"/>
    </row>
    <row r="136" spans="3:6" ht="15.6" x14ac:dyDescent="0.3">
      <c r="C136" s="115" t="s">
        <v>130</v>
      </c>
      <c r="F136" s="115" t="s">
        <v>28</v>
      </c>
    </row>
    <row r="138" spans="3:6" x14ac:dyDescent="0.3">
      <c r="D138" s="116" t="s">
        <v>95</v>
      </c>
      <c r="F138" s="119" t="s">
        <v>488</v>
      </c>
    </row>
    <row r="139" spans="3:6" x14ac:dyDescent="0.3">
      <c r="D139" s="30" t="str">
        <f>SD2_BA!C1328</f>
        <v>Equipment Category 1</v>
      </c>
      <c r="F139" s="33" t="s">
        <v>46</v>
      </c>
    </row>
    <row r="140" spans="3:6" x14ac:dyDescent="0.3">
      <c r="D140" s="30" t="str">
        <f>SD2_BA!C1329</f>
        <v>Equipment Category 2</v>
      </c>
      <c r="F140" s="33" t="s">
        <v>46</v>
      </c>
    </row>
    <row r="141" spans="3:6" x14ac:dyDescent="0.3">
      <c r="D141" s="30" t="str">
        <f>SD2_BA!C1330</f>
        <v>Equipment Category 3</v>
      </c>
      <c r="F141" s="33" t="s">
        <v>46</v>
      </c>
    </row>
    <row r="142" spans="3:6" x14ac:dyDescent="0.3">
      <c r="D142" s="30" t="str">
        <f>SD2_BA!C1331</f>
        <v>Equipment Category 4</v>
      </c>
      <c r="F142" s="33" t="s">
        <v>46</v>
      </c>
    </row>
    <row r="143" spans="3:6" x14ac:dyDescent="0.3">
      <c r="D143" s="30" t="str">
        <f>SD2_BA!C1332</f>
        <v>Equipment Category 5</v>
      </c>
      <c r="F143" s="33" t="s">
        <v>46</v>
      </c>
    </row>
    <row r="144" spans="3:6" x14ac:dyDescent="0.3">
      <c r="D144" s="30" t="str">
        <f>SD2_BA!C1333</f>
        <v>Equipment Category 6</v>
      </c>
      <c r="F144" s="33" t="s">
        <v>46</v>
      </c>
    </row>
    <row r="145" spans="4:6" x14ac:dyDescent="0.3">
      <c r="D145" s="282" t="str">
        <f>SD2_BA!C1334</f>
        <v>Equipment Category 7</v>
      </c>
      <c r="F145" s="119"/>
    </row>
    <row r="146" spans="4:6" x14ac:dyDescent="0.3">
      <c r="D146" s="282" t="str">
        <f>SD2_BA!C1335</f>
        <v>Equipment Category 8</v>
      </c>
      <c r="F146" s="119"/>
    </row>
    <row r="147" spans="4:6" x14ac:dyDescent="0.3">
      <c r="D147" s="282" t="str">
        <f>SD2_BA!C1336</f>
        <v>Equipment Category 9</v>
      </c>
      <c r="F147" s="119"/>
    </row>
    <row r="148" spans="4:6" x14ac:dyDescent="0.3">
      <c r="D148" s="282" t="str">
        <f>SD2_BA!C1337</f>
        <v>Equipment Category 10</v>
      </c>
      <c r="F148" s="119"/>
    </row>
    <row r="149" spans="4:6" x14ac:dyDescent="0.3">
      <c r="D149" s="282" t="str">
        <f>SD2_BA!C1338</f>
        <v>Equipment Category 11</v>
      </c>
      <c r="F149" s="119"/>
    </row>
    <row r="150" spans="4:6" x14ac:dyDescent="0.3">
      <c r="D150" s="282" t="str">
        <f>SD2_BA!C1339</f>
        <v>Equipment Category 12</v>
      </c>
      <c r="F150" s="119"/>
    </row>
    <row r="151" spans="4:6" x14ac:dyDescent="0.3">
      <c r="D151" s="282" t="str">
        <f>SD2_BA!C1340</f>
        <v>Equipment Category 13</v>
      </c>
      <c r="F151" s="119"/>
    </row>
    <row r="152" spans="4:6" x14ac:dyDescent="0.3">
      <c r="D152" s="282" t="str">
        <f>SD2_BA!C1341</f>
        <v>Equipment Category 14</v>
      </c>
      <c r="F152" s="119"/>
    </row>
    <row r="153" spans="4:6" x14ac:dyDescent="0.3">
      <c r="D153" s="282" t="str">
        <f>SD2_BA!C1342</f>
        <v>Equipment Category 15</v>
      </c>
      <c r="F153" s="119"/>
    </row>
    <row r="154" spans="4:6" x14ac:dyDescent="0.3">
      <c r="D154" s="282" t="str">
        <f>SD2_BA!C1343</f>
        <v>Equipment Category 16</v>
      </c>
      <c r="F154" s="119"/>
    </row>
    <row r="155" spans="4:6" x14ac:dyDescent="0.3">
      <c r="D155" s="282" t="str">
        <f>SD2_BA!C1344</f>
        <v>Equipment Category 17</v>
      </c>
      <c r="F155" s="119"/>
    </row>
    <row r="156" spans="4:6" x14ac:dyDescent="0.3">
      <c r="D156" s="282" t="str">
        <f>SD2_BA!C1345</f>
        <v>Equipment Category 18</v>
      </c>
      <c r="F156" s="119"/>
    </row>
    <row r="157" spans="4:6" x14ac:dyDescent="0.3">
      <c r="D157" s="282" t="str">
        <f>SD2_BA!C1346</f>
        <v>Equipment Category 19</v>
      </c>
      <c r="F157" s="119"/>
    </row>
    <row r="158" spans="4:6" x14ac:dyDescent="0.3">
      <c r="D158" s="282" t="str">
        <f>SD2_BA!C1347</f>
        <v>Equipment Category 20</v>
      </c>
      <c r="F158" s="119"/>
    </row>
    <row r="159" spans="4:6" x14ac:dyDescent="0.3">
      <c r="D159" s="282" t="str">
        <f>SD2_BA!C1348</f>
        <v>Equipment Category 21</v>
      </c>
      <c r="F159" s="119"/>
    </row>
    <row r="160" spans="4:6" x14ac:dyDescent="0.3">
      <c r="D160" s="282" t="str">
        <f>SD2_BA!C1349</f>
        <v>Equipment Category 22</v>
      </c>
      <c r="F160" s="119"/>
    </row>
    <row r="161" spans="3:6" x14ac:dyDescent="0.3">
      <c r="D161" s="282" t="str">
        <f>SD2_BA!C1350</f>
        <v>Equipment Category 23</v>
      </c>
      <c r="F161" s="119"/>
    </row>
    <row r="162" spans="3:6" x14ac:dyDescent="0.3">
      <c r="D162" s="282" t="str">
        <f>SD2_BA!C1351</f>
        <v>Equipment Category 24</v>
      </c>
      <c r="F162" s="119"/>
    </row>
    <row r="163" spans="3:6" x14ac:dyDescent="0.3">
      <c r="D163" s="282" t="str">
        <f>SD2_BA!C1352</f>
        <v>Equipment Category 25</v>
      </c>
      <c r="F163" s="119"/>
    </row>
    <row r="164" spans="3:6" x14ac:dyDescent="0.3">
      <c r="D164" s="282" t="str">
        <f>SD2_BA!C1353</f>
        <v>Equipment Category 26</v>
      </c>
      <c r="F164" s="119"/>
    </row>
    <row r="165" spans="3:6" x14ac:dyDescent="0.3">
      <c r="D165" s="282" t="str">
        <f>SD2_BA!C1354</f>
        <v>Equipment Category 27</v>
      </c>
      <c r="F165" s="119"/>
    </row>
    <row r="166" spans="3:6" x14ac:dyDescent="0.3">
      <c r="D166" s="282" t="str">
        <f>SD2_BA!C1355</f>
        <v>Equipment Category 28</v>
      </c>
      <c r="F166" s="119"/>
    </row>
    <row r="167" spans="3:6" x14ac:dyDescent="0.3">
      <c r="D167" s="282" t="str">
        <f>SD2_BA!C1356</f>
        <v>Equipment Category 29</v>
      </c>
      <c r="F167" s="119"/>
    </row>
    <row r="168" spans="3:6" x14ac:dyDescent="0.3">
      <c r="D168" s="282" t="str">
        <f>SD2_BA!C1357</f>
        <v>Equipment Category 30</v>
      </c>
      <c r="F168" s="119"/>
    </row>
    <row r="169" spans="3:6" x14ac:dyDescent="0.3">
      <c r="D169" s="282" t="str">
        <f>SD2_BA!C1358</f>
        <v>Equipment Category 31</v>
      </c>
      <c r="F169" s="119"/>
    </row>
    <row r="170" spans="3:6" x14ac:dyDescent="0.3">
      <c r="D170" s="282" t="str">
        <f>SD2_BA!C1359</f>
        <v>Equipment Category 32</v>
      </c>
      <c r="F170" s="119"/>
    </row>
    <row r="171" spans="3:6" x14ac:dyDescent="0.3">
      <c r="D171" s="282" t="str">
        <f>SD2_BA!C1360</f>
        <v>Equipment Category 33</v>
      </c>
      <c r="F171" s="119"/>
    </row>
    <row r="172" spans="3:6" x14ac:dyDescent="0.3">
      <c r="D172" s="282" t="str">
        <f>SD2_BA!C1361</f>
        <v>Equipment Category 34</v>
      </c>
      <c r="F172" s="119"/>
    </row>
    <row r="173" spans="3:6" x14ac:dyDescent="0.3">
      <c r="D173" s="282" t="str">
        <f>SD2_BA!C1362</f>
        <v>Equipment Category 35</v>
      </c>
      <c r="F173" s="119"/>
    </row>
    <row r="175" spans="3:6" ht="15.6" x14ac:dyDescent="0.3">
      <c r="C175" s="115" t="s">
        <v>89</v>
      </c>
      <c r="F175" s="115" t="s">
        <v>28</v>
      </c>
    </row>
    <row r="177" spans="4:6" x14ac:dyDescent="0.3">
      <c r="D177" s="116" t="s">
        <v>95</v>
      </c>
      <c r="F177" s="119" t="s">
        <v>489</v>
      </c>
    </row>
    <row r="178" spans="4:6" x14ac:dyDescent="0.3">
      <c r="D178" s="30" t="str">
        <f>SD2_BA!C1366</f>
        <v>Other Direct Costs Category 1</v>
      </c>
      <c r="F178" s="33" t="s">
        <v>46</v>
      </c>
    </row>
    <row r="179" spans="4:6" x14ac:dyDescent="0.3">
      <c r="D179" s="30" t="str">
        <f>SD2_BA!C1367</f>
        <v>Other Direct Costs Category 2</v>
      </c>
      <c r="F179" s="33" t="s">
        <v>46</v>
      </c>
    </row>
    <row r="180" spans="4:6" x14ac:dyDescent="0.3">
      <c r="D180" s="30" t="str">
        <f>SD2_BA!C1368</f>
        <v>Other Direct Costs Category 3</v>
      </c>
      <c r="F180" s="33" t="s">
        <v>46</v>
      </c>
    </row>
    <row r="181" spans="4:6" x14ac:dyDescent="0.3">
      <c r="D181" s="282" t="str">
        <f>SD2_BA!C1369</f>
        <v>Other Direct Costs Category 4</v>
      </c>
      <c r="F181" s="119"/>
    </row>
    <row r="182" spans="4:6" x14ac:dyDescent="0.3">
      <c r="D182" s="282" t="str">
        <f>SD2_BA!C1370</f>
        <v>Other Direct Costs Category 5</v>
      </c>
      <c r="F182" s="119"/>
    </row>
    <row r="183" spans="4:6" x14ac:dyDescent="0.3">
      <c r="D183" s="282" t="str">
        <f>SD2_BA!C1371</f>
        <v>Other Direct Costs Category 6</v>
      </c>
      <c r="F183" s="119"/>
    </row>
    <row r="184" spans="4:6" x14ac:dyDescent="0.3">
      <c r="D184" s="282" t="str">
        <f>SD2_BA!C1372</f>
        <v>Other Direct Costs Category 7</v>
      </c>
      <c r="F184" s="119"/>
    </row>
    <row r="185" spans="4:6" x14ac:dyDescent="0.3">
      <c r="D185" s="282" t="str">
        <f>SD2_BA!C1373</f>
        <v>Other Direct Costs Category 8</v>
      </c>
      <c r="F185" s="119"/>
    </row>
    <row r="186" spans="4:6" x14ac:dyDescent="0.3">
      <c r="D186" s="282" t="str">
        <f>SD2_BA!C1374</f>
        <v>Other Direct Costs Category 9</v>
      </c>
      <c r="F186" s="119"/>
    </row>
    <row r="187" spans="4:6" x14ac:dyDescent="0.3">
      <c r="D187" s="282" t="str">
        <f>SD2_BA!C1375</f>
        <v>Other Direct Costs Category 10</v>
      </c>
      <c r="F187" s="119"/>
    </row>
    <row r="188" spans="4:6" x14ac:dyDescent="0.3">
      <c r="D188" s="282" t="str">
        <f>SD2_BA!C1376</f>
        <v>Other Direct Costs Category 11</v>
      </c>
      <c r="F188" s="119"/>
    </row>
    <row r="189" spans="4:6" x14ac:dyDescent="0.3">
      <c r="D189" s="282" t="str">
        <f>SD2_BA!C1377</f>
        <v>Other Direct Costs Category 12</v>
      </c>
      <c r="F189" s="119"/>
    </row>
    <row r="190" spans="4:6" x14ac:dyDescent="0.3">
      <c r="D190" s="282" t="str">
        <f>SD2_BA!C1378</f>
        <v>Other Direct Costs Category 13</v>
      </c>
      <c r="F190" s="119"/>
    </row>
    <row r="191" spans="4:6" x14ac:dyDescent="0.3">
      <c r="D191" s="282" t="str">
        <f>SD2_BA!C1379</f>
        <v>Other Direct Costs Category 14</v>
      </c>
      <c r="F191" s="119"/>
    </row>
    <row r="192" spans="4:6" x14ac:dyDescent="0.3">
      <c r="D192" s="282" t="str">
        <f>SD2_BA!C1380</f>
        <v>Other Direct Costs Category 15</v>
      </c>
      <c r="F192" s="119"/>
    </row>
    <row r="193" spans="4:6" x14ac:dyDescent="0.3">
      <c r="D193" s="282" t="str">
        <f>SD2_BA!C1381</f>
        <v>Other Direct Costs Category 16</v>
      </c>
      <c r="F193" s="119"/>
    </row>
    <row r="194" spans="4:6" x14ac:dyDescent="0.3">
      <c r="D194" s="282" t="str">
        <f>SD2_BA!C1382</f>
        <v>Other Direct Costs Category 17</v>
      </c>
      <c r="F194" s="119"/>
    </row>
    <row r="195" spans="4:6" x14ac:dyDescent="0.3">
      <c r="D195" s="282" t="str">
        <f>SD2_BA!C1383</f>
        <v>Other Direct Costs Category 18</v>
      </c>
      <c r="F195" s="119"/>
    </row>
    <row r="196" spans="4:6" x14ac:dyDescent="0.3">
      <c r="D196" s="282" t="str">
        <f>SD2_BA!C1384</f>
        <v>Other Direct Costs Category 19</v>
      </c>
      <c r="F196" s="119"/>
    </row>
    <row r="197" spans="4:6" x14ac:dyDescent="0.3">
      <c r="D197" s="282" t="str">
        <f>SD2_BA!C1385</f>
        <v>Other Direct Costs Category 20</v>
      </c>
      <c r="F197" s="119"/>
    </row>
    <row r="198" spans="4:6" x14ac:dyDescent="0.3">
      <c r="D198" s="282" t="str">
        <f>SD2_BA!C1386</f>
        <v>Other Direct Costs Category 21</v>
      </c>
      <c r="F198" s="119"/>
    </row>
    <row r="199" spans="4:6" x14ac:dyDescent="0.3">
      <c r="D199" s="282" t="str">
        <f>SD2_BA!C1387</f>
        <v>Other Direct Costs Category 22</v>
      </c>
      <c r="F199" s="119"/>
    </row>
    <row r="200" spans="4:6" x14ac:dyDescent="0.3">
      <c r="D200" s="282" t="str">
        <f>SD2_BA!C1388</f>
        <v>Other Direct Costs Category 23</v>
      </c>
      <c r="F200" s="119"/>
    </row>
    <row r="201" spans="4:6" x14ac:dyDescent="0.3">
      <c r="D201" s="282" t="str">
        <f>SD2_BA!C1389</f>
        <v>Other Direct Costs Category 24</v>
      </c>
      <c r="F201" s="119"/>
    </row>
    <row r="202" spans="4:6" x14ac:dyDescent="0.3">
      <c r="D202" s="282" t="str">
        <f>SD2_BA!C1390</f>
        <v>Other Direct Costs Category 25</v>
      </c>
      <c r="F202" s="119"/>
    </row>
    <row r="203" spans="4:6" x14ac:dyDescent="0.3">
      <c r="D203" s="282" t="str">
        <f>SD2_BA!C1391</f>
        <v>Other Direct Costs Category 26</v>
      </c>
      <c r="F203" s="119"/>
    </row>
    <row r="204" spans="4:6" x14ac:dyDescent="0.3">
      <c r="D204" s="282" t="str">
        <f>SD2_BA!C1392</f>
        <v>Other Direct Costs Category 27</v>
      </c>
      <c r="F204" s="119"/>
    </row>
    <row r="205" spans="4:6" x14ac:dyDescent="0.3">
      <c r="D205" s="282" t="str">
        <f>SD2_BA!C1393</f>
        <v>Other Direct Costs Category 28</v>
      </c>
      <c r="F205" s="119"/>
    </row>
    <row r="206" spans="4:6" x14ac:dyDescent="0.3">
      <c r="D206" s="282" t="str">
        <f>SD2_BA!C1394</f>
        <v>Other Direct Costs Category 29</v>
      </c>
      <c r="F206" s="119"/>
    </row>
    <row r="207" spans="4:6" x14ac:dyDescent="0.3">
      <c r="D207" s="282" t="str">
        <f>SD2_BA!C1395</f>
        <v>Other Direct Costs Category 30</v>
      </c>
      <c r="F207" s="119"/>
    </row>
    <row r="208" spans="4:6" x14ac:dyDescent="0.3">
      <c r="D208" s="282" t="str">
        <f>SD2_BA!C1396</f>
        <v>Other Direct Costs Category 31</v>
      </c>
      <c r="F208" s="119"/>
    </row>
    <row r="209" spans="4:6" x14ac:dyDescent="0.3">
      <c r="D209" s="282" t="str">
        <f>SD2_BA!C1397</f>
        <v>Other Direct Costs Category 32</v>
      </c>
      <c r="F209" s="119"/>
    </row>
    <row r="210" spans="4:6" x14ac:dyDescent="0.3">
      <c r="D210" s="282" t="str">
        <f>SD2_BA!C1398</f>
        <v>Other Direct Costs Category 33</v>
      </c>
      <c r="F210" s="119"/>
    </row>
    <row r="211" spans="4:6" x14ac:dyDescent="0.3">
      <c r="D211" s="282" t="str">
        <f>SD2_BA!C1399</f>
        <v>Other Direct Costs Category 34</v>
      </c>
      <c r="F211" s="119"/>
    </row>
    <row r="212" spans="4:6" x14ac:dyDescent="0.3">
      <c r="D212" s="282" t="str">
        <f>SD2_BA!C1400</f>
        <v>Other Direct Costs Category 35</v>
      </c>
      <c r="F212" s="119"/>
    </row>
  </sheetData>
  <sheetProtection algorithmName="SHA-512" hashValue="XUorSsu47mMLIlJAk2j1bIzfgPsI2tb1NnhnKHpzfX9a778Cmu1jID8AVSfFK5eDeMzKyAbAtelPGQ6WNCzXDA==" saltValue="+WVt1FBnLdITEJ4gO0zjkA==" spinCount="100000" sheet="1" objects="1" scenarios="1" formatColumns="0" formatRows="0"/>
  <mergeCells count="1">
    <mergeCell ref="B3:D3"/>
  </mergeCells>
  <hyperlinks>
    <hyperlink ref="A4" location="$B$5" tooltip="Go to Top of Sheet" display="$B$5" xr:uid="{00000000-0004-0000-3700-000000000000}"/>
    <hyperlink ref="B4" location="HL_Sheet_Main_32" tooltip="Go to Previous Sheet" display="HL_Sheet_Main_32" xr:uid="{00000000-0004-0000-3700-000001000000}"/>
    <hyperlink ref="C4" location="HL_Sheet_Main_53" tooltip="Go to Next Sheet" display="HL_Sheet_Main_53" xr:uid="{00000000-0004-0000-3700-000002000000}"/>
    <hyperlink ref="B3" location="HL_Home" tooltip="Go to Table of Contents" display="HL_Home" xr:uid="{00000000-0004-0000-37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7">
    <pageSetUpPr autoPageBreaks="0"/>
  </sheetPr>
  <dimension ref="A1:I22"/>
  <sheetViews>
    <sheetView showGridLines="0" zoomScaleNormal="100" workbookViewId="0">
      <pane xSplit="1" ySplit="4" topLeftCell="B5" activePane="bottomRight" state="frozen"/>
      <selection pane="topRight" activeCell="B1" sqref="B1"/>
      <selection pane="bottomLeft" activeCell="A5" sqref="A5"/>
      <selection pane="bottomRight" activeCell="B1" sqref="B1"/>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4" ht="23.4" x14ac:dyDescent="0.3">
      <c r="B1" s="2" t="s">
        <v>370</v>
      </c>
    </row>
    <row r="2" spans="1:4" ht="18" x14ac:dyDescent="0.3">
      <c r="B2" s="6" t="str">
        <f>Model_Name</f>
        <v>Oral Cholera Vaccine Activity-Based Costing</v>
      </c>
    </row>
    <row r="3" spans="1:4" x14ac:dyDescent="0.3">
      <c r="B3" s="331" t="s">
        <v>2</v>
      </c>
      <c r="C3" s="331"/>
      <c r="D3" s="331"/>
    </row>
    <row r="4" spans="1:4" x14ac:dyDescent="0.3">
      <c r="A4" s="7" t="s">
        <v>5</v>
      </c>
      <c r="B4" s="8" t="s">
        <v>10</v>
      </c>
      <c r="C4" s="9" t="s">
        <v>11</v>
      </c>
    </row>
    <row r="7" spans="1:4" ht="18" x14ac:dyDescent="0.3">
      <c r="B7" s="121" t="s">
        <v>378</v>
      </c>
    </row>
    <row r="19" spans="3:9" x14ac:dyDescent="0.3">
      <c r="C19" s="436" t="str">
        <f>"Go to "&amp;HL_Count_Ass</f>
        <v>Go to Counts - Assumptions</v>
      </c>
      <c r="D19" s="331"/>
      <c r="E19" s="331"/>
      <c r="F19" s="331"/>
      <c r="G19" s="331"/>
      <c r="H19" s="331"/>
      <c r="I19" s="331"/>
    </row>
    <row r="20" spans="3:9" x14ac:dyDescent="0.3">
      <c r="C20" s="436" t="str">
        <f>"Go to "&amp;HL_Count_Ass_A</f>
        <v>Go to Counts - Assumptions</v>
      </c>
      <c r="D20" s="331"/>
      <c r="E20" s="331"/>
      <c r="F20" s="331"/>
      <c r="G20" s="331"/>
      <c r="H20" s="331"/>
      <c r="I20" s="331"/>
    </row>
    <row r="21" spans="3:9" x14ac:dyDescent="0.3">
      <c r="C21" s="436" t="str">
        <f>"Go to "&amp;HL_Count_Out</f>
        <v>Go to Vaccination Counts - Prospective by Rates</v>
      </c>
      <c r="D21" s="331"/>
      <c r="E21" s="331"/>
      <c r="F21" s="331"/>
      <c r="G21" s="331"/>
      <c r="H21" s="331"/>
      <c r="I21" s="331"/>
    </row>
    <row r="22" spans="3:9" x14ac:dyDescent="0.3">
      <c r="C22" s="436" t="str">
        <f>"Go to "&amp;HL_Count_Out_A</f>
        <v>Go to Counts - Outputs</v>
      </c>
      <c r="D22" s="331"/>
      <c r="E22" s="331"/>
      <c r="F22" s="331"/>
      <c r="G22" s="331"/>
      <c r="H22" s="331"/>
      <c r="I22" s="331"/>
    </row>
  </sheetData>
  <sheetProtection algorithmName="SHA-512" hashValue="TWSyl7PlW4ytFLH1YTmG9wOOQPAYH3bRAENL76H+90VyOBbzyLaUwP9FaN1lzMNq5uGOKRUWQoOeDeg6iwwCyA==" saltValue="u6AwMvwG9OTy8m1qP1jALQ==" spinCount="100000" sheet="1" objects="1" scenarios="1" formatColumns="0" formatRows="0"/>
  <mergeCells count="5">
    <mergeCell ref="B3:D3"/>
    <mergeCell ref="C19:I19"/>
    <mergeCell ref="C20:I20"/>
    <mergeCell ref="C21:I21"/>
    <mergeCell ref="C22:I22"/>
  </mergeCells>
  <hyperlinks>
    <hyperlink ref="B3" location="HL_Home" tooltip="Go to Table of Contents" display="HL_Home" xr:uid="{00000000-0004-0000-3800-000000000000}"/>
    <hyperlink ref="A4" location="$B$5" tooltip="Go to Top of Sheet" display="$B$5" xr:uid="{00000000-0004-0000-3800-000001000000}"/>
    <hyperlink ref="B4" location="HL_Sheet_Main_32" tooltip="Go to Previous Sheet" display="HL_Sheet_Main_32" xr:uid="{00000000-0004-0000-3800-000002000000}"/>
    <hyperlink ref="C4" location="HL_Sheet_Main_37" tooltip="Go to Next Sheet" display="HL_Sheet_Main_37" xr:uid="{00000000-0004-0000-3800-000003000000}"/>
    <hyperlink ref="C19:I19" location="HL_Count_Ass" tooltip="Click to follow hyperlink." display="HL_Count_Ass" xr:uid="{00000000-0004-0000-3800-000004000000}"/>
    <hyperlink ref="C20:I20" location="HL_Count_Ass_A" tooltip="Click to follow hyperlink." display="HL_Count_Ass_A" xr:uid="{00000000-0004-0000-3800-000005000000}"/>
    <hyperlink ref="C21:I21" location="HL_Count_Out" tooltip="Click to follow hyperlink." display="HL_Count_Out" xr:uid="{00000000-0004-0000-3800-000006000000}"/>
    <hyperlink ref="C22:I22" location="HL_Count_Out_A" tooltip="Click to follow hyperlink." display="HL_Count_Out_A" xr:uid="{00000000-0004-0000-3800-000007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autoPageBreaks="0"/>
  </sheetPr>
  <dimension ref="A1:I33"/>
  <sheetViews>
    <sheetView showGridLines="0" zoomScaleNormal="100" workbookViewId="0">
      <pane xSplit="1" ySplit="4" topLeftCell="B5" activePane="bottomRight" state="frozen"/>
      <selection pane="topRight" activeCell="B1" sqref="B1"/>
      <selection pane="bottomLeft" activeCell="A5" sqref="A5"/>
      <selection pane="bottomRight" activeCell="D18" sqref="D18"/>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398</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401</v>
      </c>
    </row>
    <row r="9" spans="1:6" ht="15.6" x14ac:dyDescent="0.3">
      <c r="C9" s="115" t="s">
        <v>94</v>
      </c>
      <c r="F9" s="115" t="s">
        <v>28</v>
      </c>
    </row>
    <row r="11" spans="1:6" x14ac:dyDescent="0.3">
      <c r="D11" s="116" t="s">
        <v>95</v>
      </c>
      <c r="F11" s="59" t="s">
        <v>403</v>
      </c>
    </row>
    <row r="12" spans="1:6" x14ac:dyDescent="0.3">
      <c r="D12" s="113" t="s">
        <v>404</v>
      </c>
      <c r="F12" s="61" t="s">
        <v>46</v>
      </c>
    </row>
    <row r="13" spans="1:6" x14ac:dyDescent="0.3">
      <c r="D13" s="113" t="s">
        <v>405</v>
      </c>
      <c r="F13" s="61" t="s">
        <v>46</v>
      </c>
    </row>
    <row r="15" spans="1:6" ht="15.6" x14ac:dyDescent="0.3">
      <c r="C15" s="115" t="s">
        <v>128</v>
      </c>
      <c r="F15" s="115" t="s">
        <v>28</v>
      </c>
    </row>
    <row r="17" spans="3:9" x14ac:dyDescent="0.3">
      <c r="D17" s="116" t="s">
        <v>128</v>
      </c>
      <c r="F17" s="59" t="s">
        <v>419</v>
      </c>
    </row>
    <row r="18" spans="3:9" x14ac:dyDescent="0.3">
      <c r="D18" s="30" t="str">
        <f>VACC_BA!D111</f>
        <v>USD</v>
      </c>
      <c r="F18" s="61" t="s">
        <v>46</v>
      </c>
    </row>
    <row r="19" spans="3:9" x14ac:dyDescent="0.3">
      <c r="D19" s="30" t="str">
        <f>VACC_BA!D112</f>
        <v>GOZ</v>
      </c>
      <c r="F19" s="61" t="s">
        <v>46</v>
      </c>
    </row>
    <row r="30" spans="3:9" x14ac:dyDescent="0.3">
      <c r="C30" s="436" t="str">
        <f>"Go to "&amp;HL_Vacc_Ass</f>
        <v>Go to Vaccine - Assumptions</v>
      </c>
      <c r="D30" s="331"/>
      <c r="E30" s="331"/>
      <c r="F30" s="331"/>
      <c r="G30" s="331"/>
      <c r="H30" s="331"/>
      <c r="I30" s="331"/>
    </row>
    <row r="31" spans="3:9" x14ac:dyDescent="0.3">
      <c r="C31" s="436" t="str">
        <f>"Go to "&amp;HL_Vacc_Ass_A</f>
        <v>Go to Vaccine - Assumptions</v>
      </c>
      <c r="D31" s="331"/>
      <c r="E31" s="331"/>
      <c r="F31" s="331"/>
      <c r="G31" s="331"/>
      <c r="H31" s="331"/>
      <c r="I31" s="331"/>
    </row>
    <row r="32" spans="3:9" x14ac:dyDescent="0.3">
      <c r="C32" s="436" t="str">
        <f>"Go to "&amp;HL_Vacc_Out</f>
        <v>Go to Vaccine Procurement and Shipment</v>
      </c>
      <c r="D32" s="331"/>
      <c r="E32" s="331"/>
      <c r="F32" s="331"/>
      <c r="G32" s="331"/>
      <c r="H32" s="331"/>
      <c r="I32" s="331"/>
    </row>
    <row r="33" spans="3:9" x14ac:dyDescent="0.3">
      <c r="C33" s="436" t="str">
        <f>"Go to "&amp;HL_Vacc_Out_A</f>
        <v>Go to Vaccine - Outputs</v>
      </c>
      <c r="D33" s="331"/>
      <c r="E33" s="331"/>
      <c r="F33" s="331"/>
      <c r="G33" s="331"/>
      <c r="H33" s="331"/>
      <c r="I33" s="331"/>
    </row>
  </sheetData>
  <sheetProtection algorithmName="SHA-512" hashValue="mrTgCXRCVYFHANYeI47SOnB+JkuDvtxwgYNetr4rf/eLKQ3Z42MmPRDXPcsr7/CiEvfcHFWXFWjsPhtkdRcdYQ==" saltValue="tZcnt+Ew2eVzpQUraMZRNA==" spinCount="100000" sheet="1" objects="1" scenarios="1" formatColumns="0" formatRows="0"/>
  <mergeCells count="5">
    <mergeCell ref="B3:D3"/>
    <mergeCell ref="C30:I30"/>
    <mergeCell ref="C31:I31"/>
    <mergeCell ref="C32:I32"/>
    <mergeCell ref="C33:I33"/>
  </mergeCells>
  <hyperlinks>
    <hyperlink ref="A4" location="$B$5" tooltip="Go to Top of Sheet" display="$B$5" xr:uid="{00000000-0004-0000-3900-000000000000}"/>
    <hyperlink ref="C30:I30" location="HL_Vacc_Ass" tooltip="Click to follow hyperlink." display="HL_Vacc_Ass" xr:uid="{00000000-0004-0000-3900-000001000000}"/>
    <hyperlink ref="C31:I31" location="HL_Vacc_Ass_A" tooltip="Click to follow hyperlink." display="HL_Vacc_Ass_A" xr:uid="{00000000-0004-0000-3900-000002000000}"/>
    <hyperlink ref="C32:I32" location="HL_Vacc_Out" tooltip="Click to follow hyperlink." display="HL_Vacc_Out" xr:uid="{00000000-0004-0000-3900-000003000000}"/>
    <hyperlink ref="C33:I33" location="HL_Vacc_Out_A" tooltip="Click to follow hyperlink." display="HL_Vacc_Out_A" xr:uid="{00000000-0004-0000-3900-000004000000}"/>
    <hyperlink ref="C4" location="HL_Sheet_Main_66" tooltip="Go to Next Sheet" display="HL_Sheet_Main_66" xr:uid="{00000000-0004-0000-3900-000005000000}"/>
    <hyperlink ref="B4" location="HL_Sheet_Main_63" tooltip="Go to Previous Sheet" display="HL_Sheet_Main_63" xr:uid="{00000000-0004-0000-3900-000006000000}"/>
    <hyperlink ref="B3" location="HL_Home" tooltip="Go to Table of Contents" display="HL_Home" xr:uid="{00000000-0004-0000-3900-000007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9">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349</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351</v>
      </c>
    </row>
    <row r="9" spans="1:6" ht="15.6" x14ac:dyDescent="0.3">
      <c r="C9" s="115" t="s">
        <v>93</v>
      </c>
    </row>
    <row r="11" spans="1:6" ht="15.6" x14ac:dyDescent="0.3">
      <c r="C11" s="115" t="s">
        <v>93</v>
      </c>
      <c r="F11" s="115" t="s">
        <v>28</v>
      </c>
    </row>
    <row r="13" spans="1:6" x14ac:dyDescent="0.3">
      <c r="D13" s="116" t="s">
        <v>95</v>
      </c>
      <c r="F13" s="119" t="s">
        <v>325</v>
      </c>
    </row>
    <row r="14" spans="1:6" x14ac:dyDescent="0.3">
      <c r="D14" s="30" t="str">
        <f>TRAIN_BA!D164</f>
        <v>USD</v>
      </c>
      <c r="F14" s="33" t="s">
        <v>46</v>
      </c>
    </row>
    <row r="15" spans="1:6" x14ac:dyDescent="0.3">
      <c r="D15" s="30" t="str">
        <f>TRAIN_BA!D165</f>
        <v>GOZ</v>
      </c>
      <c r="F15" s="33" t="s">
        <v>46</v>
      </c>
    </row>
    <row r="17" spans="3:6" ht="15.6" x14ac:dyDescent="0.3">
      <c r="C17" s="115" t="s">
        <v>77</v>
      </c>
      <c r="F17" s="115" t="s">
        <v>28</v>
      </c>
    </row>
    <row r="19" spans="3:6" x14ac:dyDescent="0.3">
      <c r="D19" s="116" t="s">
        <v>95</v>
      </c>
      <c r="F19" s="119" t="s">
        <v>326</v>
      </c>
    </row>
    <row r="20" spans="3:6" x14ac:dyDescent="0.3">
      <c r="D20" s="30" t="str">
        <f>TRAIN_BA!C170</f>
        <v>Personnel Cadre - Other 1</v>
      </c>
      <c r="F20" s="33" t="s">
        <v>46</v>
      </c>
    </row>
    <row r="21" spans="3:6" x14ac:dyDescent="0.3">
      <c r="D21" s="30" t="str">
        <f>TRAIN_BA!C171</f>
        <v>Personnel Cadre - Other 2</v>
      </c>
      <c r="F21" s="33" t="s">
        <v>46</v>
      </c>
    </row>
    <row r="22" spans="3:6" x14ac:dyDescent="0.3">
      <c r="D22" s="30" t="str">
        <f>TRAIN_BA!C172</f>
        <v>Personnel Cadre - Other 3</v>
      </c>
      <c r="F22" s="33" t="s">
        <v>46</v>
      </c>
    </row>
    <row r="23" spans="3:6" x14ac:dyDescent="0.3">
      <c r="D23" s="30" t="str">
        <f>TRAIN_BA!C173</f>
        <v>Personnel Cadre - Other 4</v>
      </c>
      <c r="F23" s="33" t="s">
        <v>46</v>
      </c>
    </row>
    <row r="24" spans="3:6" x14ac:dyDescent="0.3">
      <c r="D24" s="30" t="str">
        <f>TRAIN_BA!C174</f>
        <v>Personnel Cadre - Other 5</v>
      </c>
      <c r="F24" s="33" t="s">
        <v>46</v>
      </c>
    </row>
    <row r="25" spans="3:6" x14ac:dyDescent="0.3">
      <c r="D25" s="30" t="str">
        <f>TRAIN_BA!C175</f>
        <v>Personnel Cadre - Other 6</v>
      </c>
      <c r="F25" s="33" t="s">
        <v>46</v>
      </c>
    </row>
    <row r="26" spans="3:6" x14ac:dyDescent="0.3">
      <c r="D26" s="30" t="str">
        <f>TRAIN_BA!C176</f>
        <v>Personnel Cadre - Other 7</v>
      </c>
      <c r="F26" s="33" t="s">
        <v>46</v>
      </c>
    </row>
    <row r="27" spans="3:6" x14ac:dyDescent="0.3">
      <c r="D27" s="30" t="str">
        <f>TRAIN_BA!C177</f>
        <v>Personnel Cadre - Other 8</v>
      </c>
      <c r="F27" s="33" t="s">
        <v>46</v>
      </c>
    </row>
    <row r="28" spans="3:6" x14ac:dyDescent="0.3">
      <c r="D28" s="30" t="str">
        <f>TRAIN_BA!C178</f>
        <v>Personnel Cadre - Other 9</v>
      </c>
      <c r="F28" s="33" t="s">
        <v>46</v>
      </c>
    </row>
    <row r="29" spans="3:6" x14ac:dyDescent="0.3">
      <c r="D29" s="30" t="str">
        <f>TRAIN_BA!C179</f>
        <v>Personnel Cadre - Other 10</v>
      </c>
      <c r="F29" s="33" t="s">
        <v>46</v>
      </c>
    </row>
    <row r="30" spans="3:6" x14ac:dyDescent="0.3">
      <c r="D30" s="30" t="str">
        <f>TRAIN_BA!C180</f>
        <v>Personnel Cadre - Other 11</v>
      </c>
      <c r="F30" s="33" t="s">
        <v>46</v>
      </c>
    </row>
    <row r="31" spans="3:6" x14ac:dyDescent="0.3">
      <c r="D31" s="30" t="str">
        <f>TRAIN_BA!C181</f>
        <v>Personnel Cadre - Other 12</v>
      </c>
      <c r="F31" s="33" t="s">
        <v>46</v>
      </c>
    </row>
    <row r="32" spans="3:6" x14ac:dyDescent="0.3">
      <c r="D32" s="30" t="str">
        <f>TRAIN_BA!C182</f>
        <v>Personnel Cadre - Other 13</v>
      </c>
      <c r="F32" s="33" t="s">
        <v>46</v>
      </c>
    </row>
    <row r="33" spans="4:6" x14ac:dyDescent="0.3">
      <c r="D33" s="30" t="str">
        <f>TRAIN_BA!C183</f>
        <v>Personnel Cadre - Other 14</v>
      </c>
      <c r="F33" s="33" t="s">
        <v>46</v>
      </c>
    </row>
    <row r="34" spans="4:6" x14ac:dyDescent="0.3">
      <c r="D34" s="30" t="str">
        <f>TRAIN_BA!C184</f>
        <v>Personnel Cadre - Other 15</v>
      </c>
      <c r="F34" s="33" t="s">
        <v>46</v>
      </c>
    </row>
    <row r="35" spans="4:6" x14ac:dyDescent="0.3">
      <c r="D35" s="282" t="str">
        <f>TRAIN_BA!C185</f>
        <v>Personnel Cadre - Other 16</v>
      </c>
      <c r="F35" s="119"/>
    </row>
    <row r="36" spans="4:6" x14ac:dyDescent="0.3">
      <c r="D36" s="282" t="str">
        <f>TRAIN_BA!C186</f>
        <v>Personnel Cadre - Other 17</v>
      </c>
      <c r="F36" s="119"/>
    </row>
    <row r="37" spans="4:6" x14ac:dyDescent="0.3">
      <c r="D37" s="282" t="str">
        <f>TRAIN_BA!C187</f>
        <v>Personnel Cadre - Other 18</v>
      </c>
      <c r="F37" s="119"/>
    </row>
    <row r="38" spans="4:6" x14ac:dyDescent="0.3">
      <c r="D38" s="282" t="str">
        <f>TRAIN_BA!C188</f>
        <v>Personnel Cadre - Other 19</v>
      </c>
      <c r="F38" s="119"/>
    </row>
    <row r="39" spans="4:6" x14ac:dyDescent="0.3">
      <c r="D39" s="282" t="str">
        <f>TRAIN_BA!C189</f>
        <v>Personnel Cadre - Other 20</v>
      </c>
      <c r="F39" s="119"/>
    </row>
    <row r="40" spans="4:6" x14ac:dyDescent="0.3">
      <c r="D40" s="282" t="str">
        <f>TRAIN_BA!C190</f>
        <v>Personnel Cadre - Other 21</v>
      </c>
      <c r="F40" s="119"/>
    </row>
    <row r="41" spans="4:6" x14ac:dyDescent="0.3">
      <c r="D41" s="282" t="str">
        <f>TRAIN_BA!C191</f>
        <v>Personnel Cadre - Other 22</v>
      </c>
      <c r="F41" s="119"/>
    </row>
    <row r="42" spans="4:6" x14ac:dyDescent="0.3">
      <c r="D42" s="282" t="str">
        <f>TRAIN_BA!C192</f>
        <v>Personnel Cadre - Other 23</v>
      </c>
      <c r="F42" s="119"/>
    </row>
    <row r="43" spans="4:6" x14ac:dyDescent="0.3">
      <c r="D43" s="282" t="str">
        <f>TRAIN_BA!C193</f>
        <v>Personnel Cadre - Other 24</v>
      </c>
      <c r="F43" s="119"/>
    </row>
    <row r="44" spans="4:6" x14ac:dyDescent="0.3">
      <c r="D44" s="282" t="str">
        <f>TRAIN_BA!C194</f>
        <v>Personnel Cadre - Other 25</v>
      </c>
      <c r="F44" s="119"/>
    </row>
    <row r="45" spans="4:6" x14ac:dyDescent="0.3">
      <c r="D45" s="282" t="str">
        <f>TRAIN_BA!C195</f>
        <v>Personnel Cadre - Other 26</v>
      </c>
      <c r="F45" s="119"/>
    </row>
    <row r="46" spans="4:6" x14ac:dyDescent="0.3">
      <c r="D46" s="282" t="str">
        <f>TRAIN_BA!C196</f>
        <v>Personnel Cadre - Other 27</v>
      </c>
      <c r="F46" s="119"/>
    </row>
    <row r="47" spans="4:6" x14ac:dyDescent="0.3">
      <c r="D47" s="282" t="str">
        <f>TRAIN_BA!C197</f>
        <v>Personnel Cadre - Other 28</v>
      </c>
      <c r="F47" s="119"/>
    </row>
    <row r="48" spans="4:6" x14ac:dyDescent="0.3">
      <c r="D48" s="282" t="str">
        <f>TRAIN_BA!C198</f>
        <v>Personnel Cadre - Other 29</v>
      </c>
      <c r="F48" s="119"/>
    </row>
    <row r="49" spans="3:6" x14ac:dyDescent="0.3">
      <c r="D49" s="282" t="str">
        <f>TRAIN_BA!C199</f>
        <v>Personnel Cadre - Other 30</v>
      </c>
      <c r="F49" s="119"/>
    </row>
    <row r="50" spans="3:6" x14ac:dyDescent="0.3">
      <c r="D50" s="282" t="str">
        <f>TRAIN_BA!C200</f>
        <v>Personnel Cadre - Other 31</v>
      </c>
      <c r="F50" s="119"/>
    </row>
    <row r="51" spans="3:6" x14ac:dyDescent="0.3">
      <c r="D51" s="282" t="str">
        <f>TRAIN_BA!C201</f>
        <v>Personnel Cadre - Other 32</v>
      </c>
      <c r="F51" s="119"/>
    </row>
    <row r="52" spans="3:6" x14ac:dyDescent="0.3">
      <c r="D52" s="282" t="str">
        <f>TRAIN_BA!C202</f>
        <v>Personnel Cadre - Other 33</v>
      </c>
      <c r="F52" s="119"/>
    </row>
    <row r="53" spans="3:6" x14ac:dyDescent="0.3">
      <c r="D53" s="282" t="str">
        <f>TRAIN_BA!C203</f>
        <v>Personnel Cadre - Other 34</v>
      </c>
      <c r="F53" s="119"/>
    </row>
    <row r="54" spans="3:6" x14ac:dyDescent="0.3">
      <c r="D54" s="282" t="str">
        <f>TRAIN_BA!C204</f>
        <v>Personnel Cadre - Other 35</v>
      </c>
      <c r="F54" s="119"/>
    </row>
    <row r="56" spans="3:6" ht="15.6" x14ac:dyDescent="0.3">
      <c r="C56" s="115" t="s">
        <v>94</v>
      </c>
      <c r="F56" s="115" t="s">
        <v>28</v>
      </c>
    </row>
    <row r="58" spans="3:6" x14ac:dyDescent="0.3">
      <c r="D58" s="116" t="s">
        <v>95</v>
      </c>
      <c r="F58" s="119" t="s">
        <v>327</v>
      </c>
    </row>
    <row r="59" spans="3:6" x14ac:dyDescent="0.3">
      <c r="D59" s="30" t="str">
        <f>TRAIN_BA!C207</f>
        <v>Allowances Category 1</v>
      </c>
      <c r="F59" s="33" t="s">
        <v>46</v>
      </c>
    </row>
    <row r="60" spans="3:6" x14ac:dyDescent="0.3">
      <c r="D60" s="30" t="str">
        <f>TRAIN_BA!C208</f>
        <v>Allowances Category 2</v>
      </c>
      <c r="F60" s="33" t="s">
        <v>46</v>
      </c>
    </row>
    <row r="61" spans="3:6" x14ac:dyDescent="0.3">
      <c r="D61" s="30" t="str">
        <f>TRAIN_BA!C209</f>
        <v>Allowances Category 3</v>
      </c>
      <c r="F61" s="33" t="s">
        <v>46</v>
      </c>
    </row>
    <row r="62" spans="3:6" x14ac:dyDescent="0.3">
      <c r="D62" s="30" t="str">
        <f>TRAIN_BA!C210</f>
        <v>Allowances Category 4</v>
      </c>
      <c r="F62" s="33" t="s">
        <v>46</v>
      </c>
    </row>
    <row r="63" spans="3:6" x14ac:dyDescent="0.3">
      <c r="D63" s="30" t="str">
        <f>TRAIN_BA!C211</f>
        <v>Allowances Category 5</v>
      </c>
      <c r="F63" s="33" t="s">
        <v>46</v>
      </c>
    </row>
    <row r="64" spans="3:6" x14ac:dyDescent="0.3">
      <c r="D64" s="282" t="str">
        <f>TRAIN_BA!C212</f>
        <v>Allowances Category 6</v>
      </c>
      <c r="F64" s="119"/>
    </row>
    <row r="65" spans="4:6" x14ac:dyDescent="0.3">
      <c r="D65" s="282" t="str">
        <f>TRAIN_BA!C213</f>
        <v>Allowances Category 7</v>
      </c>
      <c r="F65" s="119"/>
    </row>
    <row r="66" spans="4:6" x14ac:dyDescent="0.3">
      <c r="D66" s="282" t="str">
        <f>TRAIN_BA!C214</f>
        <v>Allowances Category 8</v>
      </c>
      <c r="F66" s="119"/>
    </row>
    <row r="67" spans="4:6" x14ac:dyDescent="0.3">
      <c r="D67" s="282" t="str">
        <f>TRAIN_BA!C215</f>
        <v>Allowances Category 9</v>
      </c>
      <c r="F67" s="119"/>
    </row>
    <row r="68" spans="4:6" x14ac:dyDescent="0.3">
      <c r="D68" s="282" t="str">
        <f>TRAIN_BA!C216</f>
        <v>Allowances Category 10</v>
      </c>
      <c r="F68" s="119"/>
    </row>
    <row r="69" spans="4:6" x14ac:dyDescent="0.3">
      <c r="D69" s="282" t="str">
        <f>TRAIN_BA!C217</f>
        <v>Allowances Category 11</v>
      </c>
      <c r="F69" s="119"/>
    </row>
    <row r="70" spans="4:6" x14ac:dyDescent="0.3">
      <c r="D70" s="282" t="str">
        <f>TRAIN_BA!C218</f>
        <v>Allowances Category 12</v>
      </c>
      <c r="F70" s="119"/>
    </row>
    <row r="71" spans="4:6" x14ac:dyDescent="0.3">
      <c r="D71" s="282" t="str">
        <f>TRAIN_BA!C219</f>
        <v>Allowances Category 13</v>
      </c>
      <c r="F71" s="119"/>
    </row>
    <row r="72" spans="4:6" x14ac:dyDescent="0.3">
      <c r="D72" s="282" t="str">
        <f>TRAIN_BA!C220</f>
        <v>Allowances Category 14</v>
      </c>
      <c r="F72" s="119"/>
    </row>
    <row r="73" spans="4:6" x14ac:dyDescent="0.3">
      <c r="D73" s="282" t="str">
        <f>TRAIN_BA!C221</f>
        <v>Allowances Category 15</v>
      </c>
      <c r="F73" s="119"/>
    </row>
    <row r="74" spans="4:6" x14ac:dyDescent="0.3">
      <c r="D74" s="282" t="str">
        <f>TRAIN_BA!C222</f>
        <v>Allowances Category 16</v>
      </c>
      <c r="F74" s="119"/>
    </row>
    <row r="75" spans="4:6" x14ac:dyDescent="0.3">
      <c r="D75" s="30" t="str">
        <f>TRAIN_BA!C223</f>
        <v>Allowances Category 17</v>
      </c>
      <c r="F75" s="33" t="s">
        <v>46</v>
      </c>
    </row>
    <row r="76" spans="4:6" x14ac:dyDescent="0.3">
      <c r="D76" s="30" t="str">
        <f>TRAIN_BA!C224</f>
        <v>Allowances Category 18</v>
      </c>
      <c r="F76" s="33" t="s">
        <v>46</v>
      </c>
    </row>
    <row r="77" spans="4:6" x14ac:dyDescent="0.3">
      <c r="D77" s="30" t="str">
        <f>TRAIN_BA!C225</f>
        <v>Allowances Category 19</v>
      </c>
      <c r="F77" s="33" t="s">
        <v>46</v>
      </c>
    </row>
    <row r="78" spans="4:6" x14ac:dyDescent="0.3">
      <c r="D78" s="30" t="str">
        <f>TRAIN_BA!C226</f>
        <v>Allowances Category 20</v>
      </c>
      <c r="F78" s="33" t="s">
        <v>46</v>
      </c>
    </row>
    <row r="79" spans="4:6" x14ac:dyDescent="0.3">
      <c r="D79" s="30" t="str">
        <f>TRAIN_BA!C227</f>
        <v>Allowances Category 21</v>
      </c>
      <c r="F79" s="33" t="s">
        <v>46</v>
      </c>
    </row>
    <row r="80" spans="4:6" x14ac:dyDescent="0.3">
      <c r="D80" s="30" t="str">
        <f>TRAIN_BA!C228</f>
        <v>Allowances Category 22</v>
      </c>
      <c r="F80" s="33" t="s">
        <v>46</v>
      </c>
    </row>
    <row r="81" spans="3:6" x14ac:dyDescent="0.3">
      <c r="D81" s="30" t="str">
        <f>TRAIN_BA!C229</f>
        <v>Allowances Category 23</v>
      </c>
      <c r="F81" s="33" t="s">
        <v>46</v>
      </c>
    </row>
    <row r="82" spans="3:6" x14ac:dyDescent="0.3">
      <c r="D82" s="282" t="str">
        <f>TRAIN_BA!C230</f>
        <v>Allowances Category 24</v>
      </c>
      <c r="F82" s="119"/>
    </row>
    <row r="83" spans="3:6" x14ac:dyDescent="0.3">
      <c r="D83" s="282" t="str">
        <f>TRAIN_BA!C231</f>
        <v>Allowances Category 25</v>
      </c>
      <c r="F83" s="119"/>
    </row>
    <row r="84" spans="3:6" x14ac:dyDescent="0.3">
      <c r="D84" s="282" t="str">
        <f>TRAIN_BA!C232</f>
        <v>Allowances Category 26</v>
      </c>
      <c r="F84" s="119"/>
    </row>
    <row r="85" spans="3:6" x14ac:dyDescent="0.3">
      <c r="D85" s="282" t="str">
        <f>TRAIN_BA!C233</f>
        <v>Allowances Category 27</v>
      </c>
      <c r="F85" s="119"/>
    </row>
    <row r="86" spans="3:6" x14ac:dyDescent="0.3">
      <c r="D86" s="282" t="str">
        <f>TRAIN_BA!C234</f>
        <v>Allowances Category 28</v>
      </c>
      <c r="F86" s="119"/>
    </row>
    <row r="87" spans="3:6" x14ac:dyDescent="0.3">
      <c r="D87" s="282" t="str">
        <f>TRAIN_BA!C235</f>
        <v>Allowances Category 29</v>
      </c>
      <c r="F87" s="119"/>
    </row>
    <row r="88" spans="3:6" x14ac:dyDescent="0.3">
      <c r="D88" s="282" t="str">
        <f>TRAIN_BA!C236</f>
        <v>Allowances Category 30</v>
      </c>
      <c r="F88" s="119"/>
    </row>
    <row r="89" spans="3:6" x14ac:dyDescent="0.3">
      <c r="D89" s="30" t="str">
        <f>TRAIN_BA!C237</f>
        <v>Allowances Category 31</v>
      </c>
      <c r="F89" s="33" t="s">
        <v>46</v>
      </c>
    </row>
    <row r="90" spans="3:6" x14ac:dyDescent="0.3">
      <c r="D90" s="30" t="str">
        <f>TRAIN_BA!C238</f>
        <v>Allowances Category 32</v>
      </c>
      <c r="F90" s="33" t="s">
        <v>46</v>
      </c>
    </row>
    <row r="91" spans="3:6" x14ac:dyDescent="0.3">
      <c r="D91" s="30" t="str">
        <f>TRAIN_BA!C239</f>
        <v>Allowances Category 33</v>
      </c>
      <c r="F91" s="33" t="s">
        <v>46</v>
      </c>
    </row>
    <row r="92" spans="3:6" x14ac:dyDescent="0.3">
      <c r="D92" s="30" t="str">
        <f>TRAIN_BA!C240</f>
        <v>Allowances Category 34</v>
      </c>
      <c r="F92" s="33" t="s">
        <v>46</v>
      </c>
    </row>
    <row r="93" spans="3:6" x14ac:dyDescent="0.3">
      <c r="D93" s="30" t="str">
        <f>TRAIN_BA!C241</f>
        <v>Allowances Category 35</v>
      </c>
      <c r="F93" s="33" t="s">
        <v>46</v>
      </c>
    </row>
    <row r="96" spans="3:6" ht="15.6" x14ac:dyDescent="0.3">
      <c r="C96" s="115" t="s">
        <v>132</v>
      </c>
      <c r="F96" s="115" t="s">
        <v>28</v>
      </c>
    </row>
    <row r="98" spans="4:6" x14ac:dyDescent="0.3">
      <c r="D98" s="116" t="s">
        <v>95</v>
      </c>
      <c r="F98" s="119" t="s">
        <v>328</v>
      </c>
    </row>
    <row r="99" spans="4:6" x14ac:dyDescent="0.3">
      <c r="D99" s="30" t="str">
        <f>TRAIN_BA!C245</f>
        <v>Supplies Category 1</v>
      </c>
      <c r="F99" s="33" t="s">
        <v>46</v>
      </c>
    </row>
    <row r="100" spans="4:6" x14ac:dyDescent="0.3">
      <c r="D100" s="30" t="str">
        <f>TRAIN_BA!C246</f>
        <v>Supplies Category 2</v>
      </c>
      <c r="F100" s="33" t="s">
        <v>46</v>
      </c>
    </row>
    <row r="101" spans="4:6" x14ac:dyDescent="0.3">
      <c r="D101" s="30" t="str">
        <f>TRAIN_BA!C247</f>
        <v>Supplies Category 3</v>
      </c>
      <c r="F101" s="33" t="s">
        <v>46</v>
      </c>
    </row>
    <row r="102" spans="4:6" x14ac:dyDescent="0.3">
      <c r="D102" s="30" t="str">
        <f>TRAIN_BA!C248</f>
        <v>Supplies Category 4</v>
      </c>
      <c r="F102" s="33" t="s">
        <v>46</v>
      </c>
    </row>
    <row r="103" spans="4:6" x14ac:dyDescent="0.3">
      <c r="D103" s="30" t="str">
        <f>TRAIN_BA!C249</f>
        <v>Supplies Category 5</v>
      </c>
      <c r="F103" s="33" t="s">
        <v>46</v>
      </c>
    </row>
    <row r="104" spans="4:6" x14ac:dyDescent="0.3">
      <c r="D104" s="30" t="str">
        <f>TRAIN_BA!C250</f>
        <v>Supplies Category 6</v>
      </c>
      <c r="F104" s="33" t="s">
        <v>46</v>
      </c>
    </row>
    <row r="105" spans="4:6" x14ac:dyDescent="0.3">
      <c r="D105" s="30" t="str">
        <f>TRAIN_BA!C251</f>
        <v>Supplies Category 7</v>
      </c>
      <c r="F105" s="33" t="s">
        <v>46</v>
      </c>
    </row>
    <row r="106" spans="4:6" x14ac:dyDescent="0.3">
      <c r="D106" s="30" t="str">
        <f>TRAIN_BA!C252</f>
        <v>Supplies Category 8</v>
      </c>
      <c r="F106" s="33" t="s">
        <v>46</v>
      </c>
    </row>
    <row r="107" spans="4:6" x14ac:dyDescent="0.3">
      <c r="D107" s="30" t="str">
        <f>TRAIN_BA!C253</f>
        <v>Supplies Category 9</v>
      </c>
      <c r="F107" s="33" t="s">
        <v>46</v>
      </c>
    </row>
    <row r="108" spans="4:6" x14ac:dyDescent="0.3">
      <c r="D108" s="30" t="str">
        <f>TRAIN_BA!C254</f>
        <v>Supplies Category 10</v>
      </c>
      <c r="F108" s="33" t="s">
        <v>46</v>
      </c>
    </row>
    <row r="109" spans="4:6" x14ac:dyDescent="0.3">
      <c r="D109" s="30" t="str">
        <f>TRAIN_BA!C255</f>
        <v>Supplies Category 11</v>
      </c>
      <c r="F109" s="33" t="s">
        <v>46</v>
      </c>
    </row>
    <row r="110" spans="4:6" x14ac:dyDescent="0.3">
      <c r="D110" s="30" t="str">
        <f>TRAIN_BA!C256</f>
        <v>Supplies Category 12</v>
      </c>
      <c r="F110" s="33" t="s">
        <v>46</v>
      </c>
    </row>
    <row r="111" spans="4:6" x14ac:dyDescent="0.3">
      <c r="D111" s="30" t="str">
        <f>TRAIN_BA!C257</f>
        <v>Supplies Category 13</v>
      </c>
      <c r="F111" s="33" t="s">
        <v>46</v>
      </c>
    </row>
    <row r="112" spans="4:6" x14ac:dyDescent="0.3">
      <c r="D112" s="30" t="str">
        <f>TRAIN_BA!C258</f>
        <v>Supplies Category 14</v>
      </c>
      <c r="F112" s="33" t="s">
        <v>46</v>
      </c>
    </row>
    <row r="113" spans="4:6" x14ac:dyDescent="0.3">
      <c r="D113" s="30" t="str">
        <f>TRAIN_BA!C259</f>
        <v>Supplies Category 15</v>
      </c>
      <c r="F113" s="33" t="s">
        <v>46</v>
      </c>
    </row>
    <row r="114" spans="4:6" x14ac:dyDescent="0.3">
      <c r="D114" s="30" t="str">
        <f>TRAIN_BA!C260</f>
        <v>Supplies Category 16</v>
      </c>
      <c r="F114" s="33" t="s">
        <v>46</v>
      </c>
    </row>
    <row r="115" spans="4:6" x14ac:dyDescent="0.3">
      <c r="D115" s="282" t="str">
        <f>TRAIN_BA!C261</f>
        <v>Supplies Category 17</v>
      </c>
      <c r="F115" s="119"/>
    </row>
    <row r="116" spans="4:6" x14ac:dyDescent="0.3">
      <c r="D116" s="282" t="str">
        <f>TRAIN_BA!C262</f>
        <v>Supplies Category 18</v>
      </c>
      <c r="F116" s="119"/>
    </row>
    <row r="117" spans="4:6" x14ac:dyDescent="0.3">
      <c r="D117" s="282" t="str">
        <f>TRAIN_BA!C263</f>
        <v>Supplies Category 19</v>
      </c>
      <c r="F117" s="119"/>
    </row>
    <row r="118" spans="4:6" x14ac:dyDescent="0.3">
      <c r="D118" s="282" t="str">
        <f>TRAIN_BA!C264</f>
        <v>Supplies Category 20</v>
      </c>
      <c r="F118" s="119"/>
    </row>
    <row r="119" spans="4:6" x14ac:dyDescent="0.3">
      <c r="D119" s="282" t="str">
        <f>TRAIN_BA!C265</f>
        <v>Supplies Category 21</v>
      </c>
      <c r="F119" s="119"/>
    </row>
    <row r="120" spans="4:6" x14ac:dyDescent="0.3">
      <c r="D120" s="282" t="str">
        <f>TRAIN_BA!C266</f>
        <v>Supplies Category 22</v>
      </c>
      <c r="F120" s="119"/>
    </row>
    <row r="121" spans="4:6" x14ac:dyDescent="0.3">
      <c r="D121" s="282" t="str">
        <f>TRAIN_BA!C267</f>
        <v>Supplies Category 23</v>
      </c>
      <c r="F121" s="119"/>
    </row>
    <row r="122" spans="4:6" x14ac:dyDescent="0.3">
      <c r="D122" s="282" t="str">
        <f>TRAIN_BA!C268</f>
        <v>Supplies Category 24</v>
      </c>
      <c r="F122" s="119"/>
    </row>
    <row r="123" spans="4:6" x14ac:dyDescent="0.3">
      <c r="D123" s="282" t="str">
        <f>TRAIN_BA!C269</f>
        <v>Supplies Category 25</v>
      </c>
      <c r="F123" s="119"/>
    </row>
    <row r="124" spans="4:6" x14ac:dyDescent="0.3">
      <c r="D124" s="282" t="str">
        <f>TRAIN_BA!C270</f>
        <v>Supplies Category 26</v>
      </c>
      <c r="F124" s="119"/>
    </row>
    <row r="125" spans="4:6" x14ac:dyDescent="0.3">
      <c r="D125" s="282" t="str">
        <f>TRAIN_BA!C271</f>
        <v>Supplies Category 27</v>
      </c>
      <c r="F125" s="119"/>
    </row>
    <row r="126" spans="4:6" x14ac:dyDescent="0.3">
      <c r="D126" s="282" t="str">
        <f>TRAIN_BA!C272</f>
        <v>Supplies Category 28</v>
      </c>
      <c r="F126" s="119"/>
    </row>
    <row r="127" spans="4:6" x14ac:dyDescent="0.3">
      <c r="D127" s="282" t="str">
        <f>TRAIN_BA!C273</f>
        <v>Supplies Category 29</v>
      </c>
      <c r="F127" s="119"/>
    </row>
    <row r="128" spans="4:6" x14ac:dyDescent="0.3">
      <c r="D128" s="282" t="str">
        <f>TRAIN_BA!C274</f>
        <v>Supplies Category 30</v>
      </c>
      <c r="F128" s="119"/>
    </row>
    <row r="129" spans="3:6" x14ac:dyDescent="0.3">
      <c r="D129" s="282" t="str">
        <f>TRAIN_BA!C275</f>
        <v>Supplies Category 31</v>
      </c>
      <c r="F129" s="119"/>
    </row>
    <row r="130" spans="3:6" x14ac:dyDescent="0.3">
      <c r="D130" s="282" t="str">
        <f>TRAIN_BA!C276</f>
        <v>Supplies Category 32</v>
      </c>
      <c r="F130" s="119"/>
    </row>
    <row r="131" spans="3:6" x14ac:dyDescent="0.3">
      <c r="D131" s="282" t="str">
        <f>TRAIN_BA!C277</f>
        <v>Supplies Category 33</v>
      </c>
      <c r="F131" s="119"/>
    </row>
    <row r="132" spans="3:6" x14ac:dyDescent="0.3">
      <c r="D132" s="282" t="str">
        <f>TRAIN_BA!C278</f>
        <v>Supplies Category 34</v>
      </c>
      <c r="F132" s="119"/>
    </row>
    <row r="133" spans="3:6" x14ac:dyDescent="0.3">
      <c r="D133" s="282" t="str">
        <f>TRAIN_BA!C279</f>
        <v>Supplies Category 35</v>
      </c>
      <c r="F133" s="119"/>
    </row>
    <row r="136" spans="3:6" ht="15.6" x14ac:dyDescent="0.3">
      <c r="C136" s="115" t="s">
        <v>130</v>
      </c>
      <c r="F136" s="115" t="s">
        <v>28</v>
      </c>
    </row>
    <row r="138" spans="3:6" x14ac:dyDescent="0.3">
      <c r="D138" s="116" t="s">
        <v>95</v>
      </c>
      <c r="F138" s="119" t="s">
        <v>329</v>
      </c>
    </row>
    <row r="139" spans="3:6" x14ac:dyDescent="0.3">
      <c r="D139" s="30" t="str">
        <f>TRAIN_BA!C282</f>
        <v>Equipment Category 1</v>
      </c>
      <c r="F139" s="33" t="s">
        <v>46</v>
      </c>
    </row>
    <row r="140" spans="3:6" x14ac:dyDescent="0.3">
      <c r="D140" s="30" t="str">
        <f>TRAIN_BA!C283</f>
        <v>Equipment Category 2</v>
      </c>
      <c r="F140" s="33" t="s">
        <v>46</v>
      </c>
    </row>
    <row r="141" spans="3:6" x14ac:dyDescent="0.3">
      <c r="D141" s="30" t="str">
        <f>TRAIN_BA!C284</f>
        <v>Equipment Category 3</v>
      </c>
      <c r="F141" s="33" t="s">
        <v>46</v>
      </c>
    </row>
    <row r="142" spans="3:6" x14ac:dyDescent="0.3">
      <c r="D142" s="30" t="str">
        <f>TRAIN_BA!C285</f>
        <v>Equipment Category 4</v>
      </c>
      <c r="F142" s="33" t="s">
        <v>46</v>
      </c>
    </row>
    <row r="143" spans="3:6" x14ac:dyDescent="0.3">
      <c r="D143" s="30" t="str">
        <f>TRAIN_BA!C286</f>
        <v>Equipment Category 5</v>
      </c>
      <c r="F143" s="33" t="s">
        <v>46</v>
      </c>
    </row>
    <row r="144" spans="3:6" x14ac:dyDescent="0.3">
      <c r="D144" s="30" t="str">
        <f>TRAIN_BA!C287</f>
        <v>Equipment Category 6</v>
      </c>
      <c r="F144" s="33" t="s">
        <v>46</v>
      </c>
    </row>
    <row r="145" spans="4:6" x14ac:dyDescent="0.3">
      <c r="D145" s="282" t="str">
        <f>TRAIN_BA!C288</f>
        <v>Equipment Category 7</v>
      </c>
      <c r="F145" s="119"/>
    </row>
    <row r="146" spans="4:6" x14ac:dyDescent="0.3">
      <c r="D146" s="282" t="str">
        <f>TRAIN_BA!C289</f>
        <v>Equipment Category 8</v>
      </c>
      <c r="F146" s="119"/>
    </row>
    <row r="147" spans="4:6" x14ac:dyDescent="0.3">
      <c r="D147" s="282" t="str">
        <f>TRAIN_BA!C290</f>
        <v>Equipment Category 9</v>
      </c>
      <c r="F147" s="119"/>
    </row>
    <row r="148" spans="4:6" x14ac:dyDescent="0.3">
      <c r="D148" s="282" t="str">
        <f>TRAIN_BA!C291</f>
        <v>Equipment Category 10</v>
      </c>
      <c r="F148" s="119"/>
    </row>
    <row r="149" spans="4:6" x14ac:dyDescent="0.3">
      <c r="D149" s="282" t="str">
        <f>TRAIN_BA!C292</f>
        <v>Equipment Category 11</v>
      </c>
      <c r="F149" s="119"/>
    </row>
    <row r="150" spans="4:6" x14ac:dyDescent="0.3">
      <c r="D150" s="282" t="str">
        <f>TRAIN_BA!C293</f>
        <v>Equipment Category 12</v>
      </c>
      <c r="F150" s="119"/>
    </row>
    <row r="151" spans="4:6" x14ac:dyDescent="0.3">
      <c r="D151" s="282" t="str">
        <f>TRAIN_BA!C294</f>
        <v>Equipment Category 13</v>
      </c>
      <c r="F151" s="119"/>
    </row>
    <row r="152" spans="4:6" x14ac:dyDescent="0.3">
      <c r="D152" s="282" t="str">
        <f>TRAIN_BA!C295</f>
        <v>Equipment Category 14</v>
      </c>
      <c r="F152" s="119"/>
    </row>
    <row r="153" spans="4:6" x14ac:dyDescent="0.3">
      <c r="D153" s="282" t="str">
        <f>TRAIN_BA!C296</f>
        <v>Equipment Category 15</v>
      </c>
      <c r="F153" s="119"/>
    </row>
    <row r="154" spans="4:6" x14ac:dyDescent="0.3">
      <c r="D154" s="282" t="str">
        <f>TRAIN_BA!C297</f>
        <v>Equipment Category 16</v>
      </c>
      <c r="F154" s="119"/>
    </row>
    <row r="155" spans="4:6" x14ac:dyDescent="0.3">
      <c r="D155" s="282" t="str">
        <f>TRAIN_BA!C298</f>
        <v>Equipment Category 17</v>
      </c>
      <c r="F155" s="119"/>
    </row>
    <row r="156" spans="4:6" x14ac:dyDescent="0.3">
      <c r="D156" s="282" t="str">
        <f>TRAIN_BA!C299</f>
        <v>Equipment Category 18</v>
      </c>
      <c r="F156" s="119"/>
    </row>
    <row r="157" spans="4:6" x14ac:dyDescent="0.3">
      <c r="D157" s="282" t="str">
        <f>TRAIN_BA!C300</f>
        <v>Equipment Category 19</v>
      </c>
      <c r="F157" s="119"/>
    </row>
    <row r="158" spans="4:6" x14ac:dyDescent="0.3">
      <c r="D158" s="282" t="str">
        <f>TRAIN_BA!C301</f>
        <v>Equipment Category 20</v>
      </c>
      <c r="F158" s="119"/>
    </row>
    <row r="159" spans="4:6" x14ac:dyDescent="0.3">
      <c r="D159" s="282" t="str">
        <f>TRAIN_BA!C302</f>
        <v>Equipment Category 21</v>
      </c>
      <c r="F159" s="119"/>
    </row>
    <row r="160" spans="4:6" x14ac:dyDescent="0.3">
      <c r="D160" s="282" t="str">
        <f>TRAIN_BA!C303</f>
        <v>Equipment Category 22</v>
      </c>
      <c r="F160" s="119"/>
    </row>
    <row r="161" spans="3:6" x14ac:dyDescent="0.3">
      <c r="D161" s="282" t="str">
        <f>TRAIN_BA!C304</f>
        <v>Equipment Category 23</v>
      </c>
      <c r="F161" s="119"/>
    </row>
    <row r="162" spans="3:6" x14ac:dyDescent="0.3">
      <c r="D162" s="282" t="str">
        <f>TRAIN_BA!C305</f>
        <v>Equipment Category 24</v>
      </c>
      <c r="F162" s="119"/>
    </row>
    <row r="163" spans="3:6" x14ac:dyDescent="0.3">
      <c r="D163" s="282" t="str">
        <f>TRAIN_BA!C306</f>
        <v>Equipment Category 25</v>
      </c>
      <c r="F163" s="119"/>
    </row>
    <row r="164" spans="3:6" x14ac:dyDescent="0.3">
      <c r="D164" s="282" t="str">
        <f>TRAIN_BA!C307</f>
        <v>Equipment Category 26</v>
      </c>
      <c r="F164" s="119"/>
    </row>
    <row r="165" spans="3:6" x14ac:dyDescent="0.3">
      <c r="D165" s="282" t="str">
        <f>TRAIN_BA!C308</f>
        <v>Equipment Category 27</v>
      </c>
      <c r="F165" s="119"/>
    </row>
    <row r="166" spans="3:6" x14ac:dyDescent="0.3">
      <c r="D166" s="282" t="str">
        <f>TRAIN_BA!C309</f>
        <v>Equipment Category 28</v>
      </c>
      <c r="F166" s="119"/>
    </row>
    <row r="167" spans="3:6" x14ac:dyDescent="0.3">
      <c r="D167" s="282" t="str">
        <f>TRAIN_BA!C310</f>
        <v>Equipment Category 29</v>
      </c>
      <c r="F167" s="119"/>
    </row>
    <row r="168" spans="3:6" x14ac:dyDescent="0.3">
      <c r="D168" s="282" t="str">
        <f>TRAIN_BA!C311</f>
        <v>Equipment Category 30</v>
      </c>
      <c r="F168" s="119"/>
    </row>
    <row r="169" spans="3:6" x14ac:dyDescent="0.3">
      <c r="D169" s="282" t="str">
        <f>TRAIN_BA!C312</f>
        <v>Equipment Category 31</v>
      </c>
      <c r="F169" s="119"/>
    </row>
    <row r="170" spans="3:6" x14ac:dyDescent="0.3">
      <c r="D170" s="282" t="str">
        <f>TRAIN_BA!C313</f>
        <v>Equipment Category 32</v>
      </c>
      <c r="F170" s="119"/>
    </row>
    <row r="171" spans="3:6" x14ac:dyDescent="0.3">
      <c r="D171" s="282" t="str">
        <f>TRAIN_BA!C314</f>
        <v>Equipment Category 33</v>
      </c>
      <c r="F171" s="119"/>
    </row>
    <row r="172" spans="3:6" x14ac:dyDescent="0.3">
      <c r="D172" s="282" t="str">
        <f>TRAIN_BA!C315</f>
        <v>Equipment Category 34</v>
      </c>
      <c r="F172" s="119"/>
    </row>
    <row r="173" spans="3:6" x14ac:dyDescent="0.3">
      <c r="D173" s="282" t="str">
        <f>TRAIN_BA!C316</f>
        <v>Equipment Category 35</v>
      </c>
      <c r="F173" s="119"/>
    </row>
    <row r="175" spans="3:6" ht="15.6" x14ac:dyDescent="0.3">
      <c r="C175" s="115" t="s">
        <v>89</v>
      </c>
      <c r="F175" s="115" t="s">
        <v>28</v>
      </c>
    </row>
    <row r="177" spans="4:6" x14ac:dyDescent="0.3">
      <c r="D177" s="116" t="s">
        <v>95</v>
      </c>
      <c r="F177" s="119" t="s">
        <v>330</v>
      </c>
    </row>
    <row r="178" spans="4:6" x14ac:dyDescent="0.3">
      <c r="D178" s="30" t="str">
        <f>TRAIN_BA!C320</f>
        <v>Other Direct Costs Category 1</v>
      </c>
      <c r="F178" s="33" t="s">
        <v>46</v>
      </c>
    </row>
    <row r="179" spans="4:6" x14ac:dyDescent="0.3">
      <c r="D179" s="30" t="str">
        <f>TRAIN_BA!C321</f>
        <v>Other Direct Costs Category 2</v>
      </c>
      <c r="F179" s="33" t="s">
        <v>46</v>
      </c>
    </row>
    <row r="180" spans="4:6" x14ac:dyDescent="0.3">
      <c r="D180" s="30" t="str">
        <f>TRAIN_BA!C322</f>
        <v>Other Direct Costs Category 3</v>
      </c>
      <c r="F180" s="33" t="s">
        <v>46</v>
      </c>
    </row>
    <row r="181" spans="4:6" x14ac:dyDescent="0.3">
      <c r="D181" s="282" t="str">
        <f>TRAIN_BA!C323</f>
        <v>Other Direct Costs Category 4</v>
      </c>
      <c r="F181" s="119"/>
    </row>
    <row r="182" spans="4:6" x14ac:dyDescent="0.3">
      <c r="D182" s="282" t="str">
        <f>TRAIN_BA!C324</f>
        <v>Other Direct Costs Category 5</v>
      </c>
      <c r="F182" s="119"/>
    </row>
    <row r="183" spans="4:6" x14ac:dyDescent="0.3">
      <c r="D183" s="282" t="str">
        <f>TRAIN_BA!C325</f>
        <v>Other Direct Costs Category 6</v>
      </c>
      <c r="F183" s="119"/>
    </row>
    <row r="184" spans="4:6" x14ac:dyDescent="0.3">
      <c r="D184" s="282" t="str">
        <f>TRAIN_BA!C326</f>
        <v>Other Direct Costs Category 7</v>
      </c>
      <c r="F184" s="119"/>
    </row>
    <row r="185" spans="4:6" x14ac:dyDescent="0.3">
      <c r="D185" s="282" t="str">
        <f>TRAIN_BA!C327</f>
        <v>Other Direct Costs Category 8</v>
      </c>
      <c r="F185" s="119"/>
    </row>
    <row r="186" spans="4:6" x14ac:dyDescent="0.3">
      <c r="D186" s="282" t="str">
        <f>TRAIN_BA!C328</f>
        <v>Other Direct Costs Category 9</v>
      </c>
      <c r="F186" s="119"/>
    </row>
    <row r="187" spans="4:6" x14ac:dyDescent="0.3">
      <c r="D187" s="282" t="str">
        <f>TRAIN_BA!C329</f>
        <v>Other Direct Costs Category 10</v>
      </c>
      <c r="F187" s="119"/>
    </row>
    <row r="188" spans="4:6" x14ac:dyDescent="0.3">
      <c r="D188" s="282" t="str">
        <f>TRAIN_BA!C330</f>
        <v>Other Direct Costs Category 11</v>
      </c>
      <c r="F188" s="119"/>
    </row>
    <row r="189" spans="4:6" x14ac:dyDescent="0.3">
      <c r="D189" s="282" t="str">
        <f>TRAIN_BA!C331</f>
        <v>Other Direct Costs Category 12</v>
      </c>
      <c r="F189" s="119"/>
    </row>
    <row r="190" spans="4:6" x14ac:dyDescent="0.3">
      <c r="D190" s="282" t="str">
        <f>TRAIN_BA!C332</f>
        <v>Other Direct Costs Category 13</v>
      </c>
      <c r="F190" s="119"/>
    </row>
    <row r="191" spans="4:6" x14ac:dyDescent="0.3">
      <c r="D191" s="282" t="str">
        <f>TRAIN_BA!C333</f>
        <v>Other Direct Costs Category 14</v>
      </c>
      <c r="F191" s="119"/>
    </row>
    <row r="192" spans="4:6" x14ac:dyDescent="0.3">
      <c r="D192" s="282" t="str">
        <f>TRAIN_BA!C334</f>
        <v>Other Direct Costs Category 15</v>
      </c>
      <c r="F192" s="119"/>
    </row>
    <row r="193" spans="4:6" x14ac:dyDescent="0.3">
      <c r="D193" s="282" t="str">
        <f>TRAIN_BA!C335</f>
        <v>Other Direct Costs Category 16</v>
      </c>
      <c r="F193" s="119"/>
    </row>
    <row r="194" spans="4:6" x14ac:dyDescent="0.3">
      <c r="D194" s="282" t="str">
        <f>TRAIN_BA!C336</f>
        <v>Other Direct Costs Category 17</v>
      </c>
      <c r="F194" s="119"/>
    </row>
    <row r="195" spans="4:6" x14ac:dyDescent="0.3">
      <c r="D195" s="282" t="str">
        <f>TRAIN_BA!C337</f>
        <v>Other Direct Costs Category 18</v>
      </c>
      <c r="F195" s="119"/>
    </row>
    <row r="196" spans="4:6" x14ac:dyDescent="0.3">
      <c r="D196" s="282" t="str">
        <f>TRAIN_BA!C338</f>
        <v>Other Direct Costs Category 19</v>
      </c>
      <c r="F196" s="119"/>
    </row>
    <row r="197" spans="4:6" x14ac:dyDescent="0.3">
      <c r="D197" s="282" t="str">
        <f>TRAIN_BA!C339</f>
        <v>Other Direct Costs Category 20</v>
      </c>
      <c r="F197" s="119"/>
    </row>
    <row r="198" spans="4:6" x14ac:dyDescent="0.3">
      <c r="D198" s="282" t="str">
        <f>TRAIN_BA!C340</f>
        <v>Other Direct Costs Category 21</v>
      </c>
      <c r="F198" s="119"/>
    </row>
    <row r="199" spans="4:6" x14ac:dyDescent="0.3">
      <c r="D199" s="282" t="str">
        <f>TRAIN_BA!C341</f>
        <v>Other Direct Costs Category 22</v>
      </c>
      <c r="F199" s="119"/>
    </row>
    <row r="200" spans="4:6" x14ac:dyDescent="0.3">
      <c r="D200" s="282" t="str">
        <f>TRAIN_BA!C342</f>
        <v>Other Direct Costs Category 23</v>
      </c>
      <c r="F200" s="119"/>
    </row>
    <row r="201" spans="4:6" x14ac:dyDescent="0.3">
      <c r="D201" s="282" t="str">
        <f>TRAIN_BA!C343</f>
        <v>Other Direct Costs Category 24</v>
      </c>
      <c r="F201" s="119"/>
    </row>
    <row r="202" spans="4:6" x14ac:dyDescent="0.3">
      <c r="D202" s="282" t="str">
        <f>TRAIN_BA!C344</f>
        <v>Other Direct Costs Category 25</v>
      </c>
      <c r="F202" s="119"/>
    </row>
    <row r="203" spans="4:6" x14ac:dyDescent="0.3">
      <c r="D203" s="282" t="str">
        <f>TRAIN_BA!C345</f>
        <v>Other Direct Costs Category 26</v>
      </c>
      <c r="F203" s="119"/>
    </row>
    <row r="204" spans="4:6" x14ac:dyDescent="0.3">
      <c r="D204" s="282" t="str">
        <f>TRAIN_BA!C346</f>
        <v>Other Direct Costs Category 27</v>
      </c>
      <c r="F204" s="119"/>
    </row>
    <row r="205" spans="4:6" x14ac:dyDescent="0.3">
      <c r="D205" s="282" t="str">
        <f>TRAIN_BA!C347</f>
        <v>Other Direct Costs Category 28</v>
      </c>
      <c r="F205" s="119"/>
    </row>
    <row r="206" spans="4:6" x14ac:dyDescent="0.3">
      <c r="D206" s="282" t="str">
        <f>TRAIN_BA!C348</f>
        <v>Other Direct Costs Category 29</v>
      </c>
      <c r="F206" s="119"/>
    </row>
    <row r="207" spans="4:6" x14ac:dyDescent="0.3">
      <c r="D207" s="282" t="str">
        <f>TRAIN_BA!C349</f>
        <v>Other Direct Costs Category 30</v>
      </c>
      <c r="F207" s="119"/>
    </row>
    <row r="208" spans="4:6" x14ac:dyDescent="0.3">
      <c r="D208" s="282" t="str">
        <f>TRAIN_BA!C350</f>
        <v>Other Direct Costs Category 31</v>
      </c>
      <c r="F208" s="119"/>
    </row>
    <row r="209" spans="4:6" x14ac:dyDescent="0.3">
      <c r="D209" s="282" t="str">
        <f>TRAIN_BA!C351</f>
        <v>Other Direct Costs Category 32</v>
      </c>
      <c r="F209" s="119"/>
    </row>
    <row r="210" spans="4:6" x14ac:dyDescent="0.3">
      <c r="D210" s="282" t="str">
        <f>TRAIN_BA!C352</f>
        <v>Other Direct Costs Category 33</v>
      </c>
      <c r="F210" s="119"/>
    </row>
    <row r="211" spans="4:6" x14ac:dyDescent="0.3">
      <c r="D211" s="282" t="str">
        <f>TRAIN_BA!C353</f>
        <v>Other Direct Costs Category 34</v>
      </c>
      <c r="F211" s="119"/>
    </row>
    <row r="212" spans="4:6" x14ac:dyDescent="0.3">
      <c r="D212" s="282" t="str">
        <f>TRAIN_BA!C354</f>
        <v>Other Direct Costs Category 35</v>
      </c>
      <c r="F212" s="119"/>
    </row>
  </sheetData>
  <sheetProtection algorithmName="SHA-512" hashValue="j80LE5xntxpevBYfog5KX2XRIX1PbOsd7ZGG755WYgrBN2MMh6ShzyVjftap5IyFG99LY4fI760MeWKVJ5CyGw==" saltValue="oV/aS3NnGkaR4K5zoozQAQ==" spinCount="100000" sheet="1" objects="1" scenarios="1" formatColumns="0" formatRows="0"/>
  <mergeCells count="1">
    <mergeCell ref="B3:D3"/>
  </mergeCells>
  <hyperlinks>
    <hyperlink ref="A4" location="$B$5" tooltip="Go to Top of Sheet" display="$B$5" xr:uid="{00000000-0004-0000-3A00-000000000000}"/>
    <hyperlink ref="C4" location="HL_Sheet_Main_38" tooltip="Go to Next Sheet" display="HL_Sheet_Main_38" xr:uid="{00000000-0004-0000-3A00-000001000000}"/>
    <hyperlink ref="B4" location="HL_Sheet_Main_53" tooltip="Go to Previous Sheet" display="HL_Sheet_Main_53" xr:uid="{00000000-0004-0000-3A00-000002000000}"/>
    <hyperlink ref="B3" location="HL_Home" tooltip="Go to Table of Contents" display="HL_Home" xr:uid="{00000000-0004-0000-3A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3">
    <pageSetUpPr autoPageBreaks="0"/>
  </sheetPr>
  <dimension ref="A1:X50"/>
  <sheetViews>
    <sheetView showGridLines="0" zoomScaleNormal="100" workbookViewId="0">
      <pane xSplit="1" ySplit="4" topLeftCell="B5" activePane="bottomRight" state="frozen"/>
      <selection pane="topRight" activeCell="B1" sqref="B1"/>
      <selection pane="bottomLeft" activeCell="A5" sqref="A5"/>
      <selection pane="bottomRight" activeCell="C50" sqref="C50:I50"/>
    </sheetView>
  </sheetViews>
  <sheetFormatPr defaultColWidth="11.6640625" defaultRowHeight="13.8" outlineLevelRow="1" x14ac:dyDescent="0.3"/>
  <cols>
    <col min="1" max="5" width="3.6640625" style="22" customWidth="1"/>
    <col min="6" max="16384" width="11.6640625" style="22"/>
  </cols>
  <sheetData>
    <row r="1" spans="1:24" ht="23.4" x14ac:dyDescent="0.3">
      <c r="B1" s="24" t="s">
        <v>642</v>
      </c>
    </row>
    <row r="2" spans="1:24" ht="18" x14ac:dyDescent="0.3">
      <c r="B2" s="23" t="str">
        <f>Model_Name</f>
        <v>Oral Cholera Vaccine Activity-Based Costing</v>
      </c>
    </row>
    <row r="3" spans="1:24" x14ac:dyDescent="0.3">
      <c r="B3" s="349" t="s">
        <v>2</v>
      </c>
      <c r="C3" s="349"/>
      <c r="D3" s="349"/>
      <c r="E3" s="349"/>
      <c r="F3" s="349"/>
    </row>
    <row r="4" spans="1:24" x14ac:dyDescent="0.3">
      <c r="A4" s="25" t="s">
        <v>5</v>
      </c>
      <c r="B4" s="26" t="s">
        <v>10</v>
      </c>
      <c r="C4" s="27" t="s">
        <v>11</v>
      </c>
      <c r="D4" s="28" t="s">
        <v>25</v>
      </c>
      <c r="F4" s="29" t="s">
        <v>26</v>
      </c>
    </row>
    <row r="7" spans="1:24" ht="18" x14ac:dyDescent="0.3">
      <c r="B7" s="99" t="s">
        <v>368</v>
      </c>
    </row>
    <row r="8" spans="1:24" x14ac:dyDescent="0.3">
      <c r="B8" s="379" t="s">
        <v>371</v>
      </c>
      <c r="C8" s="380"/>
      <c r="D8" s="381" t="s">
        <v>372</v>
      </c>
      <c r="E8" s="382"/>
      <c r="F8" s="382"/>
      <c r="G8" s="382"/>
      <c r="H8" s="382"/>
      <c r="I8" s="91" t="s">
        <v>373</v>
      </c>
      <c r="K8" s="106" t="str">
        <f>IF(K38=0," ",K38)</f>
        <v>Vac1</v>
      </c>
      <c r="L8" s="106" t="str">
        <f>IF(L38=0,"Not in Use ",L38)</f>
        <v xml:space="preserve">Not in Use </v>
      </c>
      <c r="M8" s="106" t="str">
        <f>IF(M38=0,"Not in Use ",M38)</f>
        <v xml:space="preserve">Not in Use </v>
      </c>
      <c r="O8" s="106" t="str">
        <f t="shared" ref="O8:T8" si="0">IF(K45=0,"Not in Use ",K45)</f>
        <v>Vaccinator</v>
      </c>
      <c r="P8" s="106" t="str">
        <f t="shared" si="0"/>
        <v>Data Recorder</v>
      </c>
      <c r="Q8" s="106" t="str">
        <f t="shared" si="0"/>
        <v>Crowd Controller</v>
      </c>
      <c r="R8" s="106" t="str">
        <f t="shared" si="0"/>
        <v>Social Mobiliser</v>
      </c>
      <c r="S8" s="106" t="str">
        <f t="shared" si="0"/>
        <v xml:space="preserve">Not in Use </v>
      </c>
      <c r="T8" s="106" t="str">
        <f t="shared" si="0"/>
        <v xml:space="preserve">Not in Use </v>
      </c>
      <c r="V8" s="367" t="s">
        <v>553</v>
      </c>
      <c r="W8" s="368"/>
      <c r="X8" s="368"/>
    </row>
    <row r="9" spans="1:24" x14ac:dyDescent="0.3">
      <c r="B9" s="372">
        <f t="shared" ref="B9:B33" si="1">ROW()-8</f>
        <v>1</v>
      </c>
      <c r="C9" s="373"/>
      <c r="D9" s="356" t="s">
        <v>699</v>
      </c>
      <c r="E9" s="356"/>
      <c r="F9" s="356"/>
      <c r="G9" s="356"/>
      <c r="H9" s="356"/>
      <c r="I9" s="48">
        <v>0</v>
      </c>
      <c r="K9" s="48">
        <v>0</v>
      </c>
      <c r="L9" s="48"/>
      <c r="M9" s="48"/>
      <c r="O9" s="48">
        <v>0</v>
      </c>
      <c r="P9" s="48">
        <v>0</v>
      </c>
      <c r="Q9" s="48">
        <v>0</v>
      </c>
      <c r="R9" s="48">
        <v>0</v>
      </c>
      <c r="S9" s="48">
        <v>0</v>
      </c>
      <c r="T9" s="48">
        <v>0</v>
      </c>
      <c r="V9" s="356"/>
      <c r="W9" s="356"/>
      <c r="X9" s="356"/>
    </row>
    <row r="10" spans="1:24" x14ac:dyDescent="0.3">
      <c r="B10" s="372">
        <f t="shared" si="1"/>
        <v>2</v>
      </c>
      <c r="C10" s="373"/>
      <c r="D10" s="356" t="s">
        <v>700</v>
      </c>
      <c r="E10" s="356"/>
      <c r="F10" s="356"/>
      <c r="G10" s="356"/>
      <c r="H10" s="356"/>
      <c r="I10" s="48">
        <v>0</v>
      </c>
      <c r="K10" s="48">
        <v>0</v>
      </c>
      <c r="L10" s="48"/>
      <c r="M10" s="48"/>
      <c r="O10" s="48">
        <v>0</v>
      </c>
      <c r="P10" s="48">
        <v>0</v>
      </c>
      <c r="Q10" s="48">
        <v>0</v>
      </c>
      <c r="R10" s="48">
        <v>0</v>
      </c>
      <c r="S10" s="48">
        <v>0</v>
      </c>
      <c r="T10" s="48">
        <v>0</v>
      </c>
      <c r="V10" s="356"/>
      <c r="W10" s="356"/>
      <c r="X10" s="356"/>
    </row>
    <row r="11" spans="1:24" x14ac:dyDescent="0.3">
      <c r="B11" s="372">
        <f t="shared" si="1"/>
        <v>3</v>
      </c>
      <c r="C11" s="373"/>
      <c r="D11" s="356" t="s">
        <v>701</v>
      </c>
      <c r="E11" s="356"/>
      <c r="F11" s="356"/>
      <c r="G11" s="356"/>
      <c r="H11" s="356"/>
      <c r="I11" s="48">
        <v>0</v>
      </c>
      <c r="K11" s="48">
        <v>0</v>
      </c>
      <c r="L11" s="48"/>
      <c r="M11" s="48"/>
      <c r="O11" s="48">
        <v>0</v>
      </c>
      <c r="P11" s="48">
        <v>0</v>
      </c>
      <c r="Q11" s="48">
        <v>0</v>
      </c>
      <c r="R11" s="48">
        <v>0</v>
      </c>
      <c r="S11" s="48">
        <v>0</v>
      </c>
      <c r="T11" s="48">
        <v>0</v>
      </c>
      <c r="V11" s="356"/>
      <c r="W11" s="356"/>
      <c r="X11" s="356"/>
    </row>
    <row r="12" spans="1:24" x14ac:dyDescent="0.3">
      <c r="B12" s="372">
        <f t="shared" si="1"/>
        <v>4</v>
      </c>
      <c r="C12" s="373"/>
      <c r="D12" s="356" t="s">
        <v>702</v>
      </c>
      <c r="E12" s="356"/>
      <c r="F12" s="356"/>
      <c r="G12" s="356"/>
      <c r="H12" s="356"/>
      <c r="I12" s="48">
        <v>0</v>
      </c>
      <c r="K12" s="48">
        <v>0</v>
      </c>
      <c r="L12" s="48"/>
      <c r="M12" s="48"/>
      <c r="O12" s="48">
        <v>0</v>
      </c>
      <c r="P12" s="48">
        <v>0</v>
      </c>
      <c r="Q12" s="48">
        <v>0</v>
      </c>
      <c r="R12" s="48">
        <v>0</v>
      </c>
      <c r="S12" s="48">
        <v>0</v>
      </c>
      <c r="T12" s="48">
        <v>0</v>
      </c>
      <c r="V12" s="356"/>
      <c r="W12" s="356"/>
      <c r="X12" s="356"/>
    </row>
    <row r="13" spans="1:24" x14ac:dyDescent="0.3">
      <c r="B13" s="372">
        <f t="shared" si="1"/>
        <v>5</v>
      </c>
      <c r="C13" s="373"/>
      <c r="D13" s="356" t="s">
        <v>703</v>
      </c>
      <c r="E13" s="356"/>
      <c r="F13" s="356"/>
      <c r="G13" s="356"/>
      <c r="H13" s="356"/>
      <c r="I13" s="48">
        <v>0</v>
      </c>
      <c r="K13" s="48">
        <v>0</v>
      </c>
      <c r="L13" s="48"/>
      <c r="M13" s="48"/>
      <c r="O13" s="48">
        <v>0</v>
      </c>
      <c r="P13" s="48">
        <v>0</v>
      </c>
      <c r="Q13" s="48">
        <v>0</v>
      </c>
      <c r="R13" s="48">
        <v>0</v>
      </c>
      <c r="S13" s="48">
        <v>0</v>
      </c>
      <c r="T13" s="48">
        <v>0</v>
      </c>
      <c r="V13" s="356"/>
      <c r="W13" s="356"/>
      <c r="X13" s="356"/>
    </row>
    <row r="14" spans="1:24" x14ac:dyDescent="0.3">
      <c r="B14" s="372">
        <f t="shared" si="1"/>
        <v>6</v>
      </c>
      <c r="C14" s="373"/>
      <c r="D14" s="356" t="s">
        <v>704</v>
      </c>
      <c r="E14" s="356"/>
      <c r="F14" s="356"/>
      <c r="G14" s="356"/>
      <c r="H14" s="356"/>
      <c r="I14" s="48">
        <v>0</v>
      </c>
      <c r="K14" s="48">
        <v>0</v>
      </c>
      <c r="L14" s="48"/>
      <c r="M14" s="48"/>
      <c r="O14" s="48">
        <v>0</v>
      </c>
      <c r="P14" s="48">
        <v>0</v>
      </c>
      <c r="Q14" s="48">
        <v>0</v>
      </c>
      <c r="R14" s="48">
        <v>0</v>
      </c>
      <c r="S14" s="48">
        <v>0</v>
      </c>
      <c r="T14" s="48">
        <v>0</v>
      </c>
      <c r="V14" s="356"/>
      <c r="W14" s="356"/>
      <c r="X14" s="356"/>
    </row>
    <row r="15" spans="1:24" x14ac:dyDescent="0.3">
      <c r="B15" s="372">
        <f t="shared" si="1"/>
        <v>7</v>
      </c>
      <c r="C15" s="373"/>
      <c r="D15" s="356" t="s">
        <v>705</v>
      </c>
      <c r="E15" s="356"/>
      <c r="F15" s="356"/>
      <c r="G15" s="356"/>
      <c r="H15" s="356"/>
      <c r="I15" s="48">
        <v>0</v>
      </c>
      <c r="K15" s="48">
        <v>0</v>
      </c>
      <c r="L15" s="48"/>
      <c r="M15" s="48"/>
      <c r="O15" s="48">
        <v>0</v>
      </c>
      <c r="P15" s="48">
        <v>0</v>
      </c>
      <c r="Q15" s="48">
        <v>0</v>
      </c>
      <c r="R15" s="48">
        <v>0</v>
      </c>
      <c r="S15" s="48">
        <v>0</v>
      </c>
      <c r="T15" s="48">
        <v>0</v>
      </c>
      <c r="V15" s="356"/>
      <c r="W15" s="356"/>
      <c r="X15" s="356"/>
    </row>
    <row r="16" spans="1:24" x14ac:dyDescent="0.3">
      <c r="B16" s="372">
        <f t="shared" si="1"/>
        <v>8</v>
      </c>
      <c r="C16" s="373"/>
      <c r="D16" s="356" t="s">
        <v>706</v>
      </c>
      <c r="E16" s="356"/>
      <c r="F16" s="356"/>
      <c r="G16" s="356"/>
      <c r="H16" s="356"/>
      <c r="I16" s="48">
        <v>0</v>
      </c>
      <c r="K16" s="48">
        <v>0</v>
      </c>
      <c r="L16" s="48"/>
      <c r="M16" s="48"/>
      <c r="O16" s="48">
        <v>0</v>
      </c>
      <c r="P16" s="48">
        <v>0</v>
      </c>
      <c r="Q16" s="48">
        <v>0</v>
      </c>
      <c r="R16" s="48">
        <v>0</v>
      </c>
      <c r="S16" s="48">
        <v>0</v>
      </c>
      <c r="T16" s="48">
        <v>0</v>
      </c>
      <c r="V16" s="356"/>
      <c r="W16" s="356"/>
      <c r="X16" s="356"/>
    </row>
    <row r="17" spans="2:24" x14ac:dyDescent="0.3">
      <c r="B17" s="372">
        <f t="shared" si="1"/>
        <v>9</v>
      </c>
      <c r="C17" s="373"/>
      <c r="D17" s="356" t="s">
        <v>707</v>
      </c>
      <c r="E17" s="356"/>
      <c r="F17" s="356"/>
      <c r="G17" s="356"/>
      <c r="H17" s="356"/>
      <c r="I17" s="48">
        <v>0</v>
      </c>
      <c r="K17" s="48">
        <v>0</v>
      </c>
      <c r="L17" s="48"/>
      <c r="M17" s="48"/>
      <c r="O17" s="48">
        <v>0</v>
      </c>
      <c r="P17" s="48">
        <v>0</v>
      </c>
      <c r="Q17" s="48">
        <v>0</v>
      </c>
      <c r="R17" s="48">
        <v>0</v>
      </c>
      <c r="S17" s="48">
        <v>0</v>
      </c>
      <c r="T17" s="48">
        <v>0</v>
      </c>
      <c r="V17" s="356"/>
      <c r="W17" s="356"/>
      <c r="X17" s="356"/>
    </row>
    <row r="18" spans="2:24" x14ac:dyDescent="0.3">
      <c r="B18" s="372">
        <f t="shared" si="1"/>
        <v>10</v>
      </c>
      <c r="C18" s="373"/>
      <c r="D18" s="356" t="s">
        <v>708</v>
      </c>
      <c r="E18" s="356"/>
      <c r="F18" s="356"/>
      <c r="G18" s="356"/>
      <c r="H18" s="356"/>
      <c r="I18" s="48">
        <v>0</v>
      </c>
      <c r="K18" s="48">
        <v>0</v>
      </c>
      <c r="L18" s="48"/>
      <c r="M18" s="48"/>
      <c r="O18" s="48">
        <v>0</v>
      </c>
      <c r="P18" s="48">
        <v>0</v>
      </c>
      <c r="Q18" s="48">
        <v>0</v>
      </c>
      <c r="R18" s="48">
        <v>0</v>
      </c>
      <c r="S18" s="48">
        <v>0</v>
      </c>
      <c r="T18" s="48">
        <v>0</v>
      </c>
      <c r="V18" s="356"/>
      <c r="W18" s="356"/>
      <c r="X18" s="356"/>
    </row>
    <row r="19" spans="2:24" x14ac:dyDescent="0.3">
      <c r="B19" s="372">
        <f t="shared" si="1"/>
        <v>11</v>
      </c>
      <c r="C19" s="377"/>
      <c r="D19" s="356" t="s">
        <v>622</v>
      </c>
      <c r="E19" s="356"/>
      <c r="F19" s="356"/>
      <c r="G19" s="356"/>
      <c r="H19" s="356"/>
      <c r="I19" s="48">
        <v>0</v>
      </c>
      <c r="K19" s="48">
        <v>0</v>
      </c>
      <c r="L19" s="48">
        <v>0</v>
      </c>
      <c r="M19" s="48">
        <v>0</v>
      </c>
      <c r="O19" s="48">
        <v>0</v>
      </c>
      <c r="P19" s="48">
        <v>0</v>
      </c>
      <c r="Q19" s="48">
        <v>0</v>
      </c>
      <c r="R19" s="48">
        <v>0</v>
      </c>
      <c r="S19" s="48">
        <v>0</v>
      </c>
      <c r="T19" s="48">
        <v>0</v>
      </c>
      <c r="V19" s="356"/>
      <c r="W19" s="356"/>
      <c r="X19" s="356"/>
    </row>
    <row r="20" spans="2:24" x14ac:dyDescent="0.3">
      <c r="B20" s="372">
        <f t="shared" si="1"/>
        <v>12</v>
      </c>
      <c r="C20" s="377"/>
      <c r="D20" s="356" t="s">
        <v>623</v>
      </c>
      <c r="E20" s="356"/>
      <c r="F20" s="356"/>
      <c r="G20" s="356"/>
      <c r="H20" s="356"/>
      <c r="I20" s="48">
        <v>0</v>
      </c>
      <c r="K20" s="48">
        <v>0</v>
      </c>
      <c r="L20" s="48">
        <v>0</v>
      </c>
      <c r="M20" s="48">
        <v>0</v>
      </c>
      <c r="O20" s="48">
        <v>0</v>
      </c>
      <c r="P20" s="48">
        <v>0</v>
      </c>
      <c r="Q20" s="48">
        <v>0</v>
      </c>
      <c r="R20" s="48">
        <v>0</v>
      </c>
      <c r="S20" s="48">
        <v>0</v>
      </c>
      <c r="T20" s="48">
        <v>0</v>
      </c>
      <c r="V20" s="356"/>
      <c r="W20" s="356"/>
      <c r="X20" s="356"/>
    </row>
    <row r="21" spans="2:24" x14ac:dyDescent="0.3">
      <c r="B21" s="372">
        <f t="shared" si="1"/>
        <v>13</v>
      </c>
      <c r="C21" s="378"/>
      <c r="D21" s="369" t="s">
        <v>624</v>
      </c>
      <c r="E21" s="370"/>
      <c r="F21" s="370"/>
      <c r="G21" s="370"/>
      <c r="H21" s="371"/>
      <c r="I21" s="48">
        <v>0</v>
      </c>
      <c r="K21" s="48">
        <v>0</v>
      </c>
      <c r="L21" s="48">
        <v>0</v>
      </c>
      <c r="M21" s="48">
        <v>0</v>
      </c>
      <c r="O21" s="48">
        <v>0</v>
      </c>
      <c r="P21" s="48">
        <v>0</v>
      </c>
      <c r="Q21" s="48">
        <v>0</v>
      </c>
      <c r="R21" s="48">
        <v>0</v>
      </c>
      <c r="S21" s="48">
        <v>0</v>
      </c>
      <c r="T21" s="48">
        <v>0</v>
      </c>
      <c r="V21" s="369"/>
      <c r="W21" s="370"/>
      <c r="X21" s="371"/>
    </row>
    <row r="22" spans="2:24" x14ac:dyDescent="0.3">
      <c r="B22" s="372">
        <f t="shared" si="1"/>
        <v>14</v>
      </c>
      <c r="C22" s="378"/>
      <c r="D22" s="369" t="s">
        <v>625</v>
      </c>
      <c r="E22" s="370"/>
      <c r="F22" s="370"/>
      <c r="G22" s="370"/>
      <c r="H22" s="371"/>
      <c r="I22" s="48">
        <v>0</v>
      </c>
      <c r="K22" s="48">
        <v>0</v>
      </c>
      <c r="L22" s="48">
        <v>0</v>
      </c>
      <c r="M22" s="48">
        <v>0</v>
      </c>
      <c r="O22" s="48">
        <v>0</v>
      </c>
      <c r="P22" s="48">
        <v>0</v>
      </c>
      <c r="Q22" s="48">
        <v>0</v>
      </c>
      <c r="R22" s="48">
        <v>0</v>
      </c>
      <c r="S22" s="48">
        <v>0</v>
      </c>
      <c r="T22" s="48">
        <v>0</v>
      </c>
      <c r="V22" s="369"/>
      <c r="W22" s="370"/>
      <c r="X22" s="371"/>
    </row>
    <row r="23" spans="2:24" x14ac:dyDescent="0.3">
      <c r="B23" s="372">
        <f t="shared" si="1"/>
        <v>15</v>
      </c>
      <c r="C23" s="378"/>
      <c r="D23" s="369" t="s">
        <v>626</v>
      </c>
      <c r="E23" s="370"/>
      <c r="F23" s="370"/>
      <c r="G23" s="370"/>
      <c r="H23" s="371"/>
      <c r="I23" s="48">
        <v>0</v>
      </c>
      <c r="K23" s="48">
        <v>0</v>
      </c>
      <c r="L23" s="48">
        <v>0</v>
      </c>
      <c r="M23" s="48">
        <v>0</v>
      </c>
      <c r="O23" s="48">
        <v>0</v>
      </c>
      <c r="P23" s="48">
        <v>0</v>
      </c>
      <c r="Q23" s="48">
        <v>0</v>
      </c>
      <c r="R23" s="48">
        <v>0</v>
      </c>
      <c r="S23" s="48">
        <v>0</v>
      </c>
      <c r="T23" s="48">
        <v>0</v>
      </c>
      <c r="V23" s="369"/>
      <c r="W23" s="370"/>
      <c r="X23" s="371"/>
    </row>
    <row r="24" spans="2:24" x14ac:dyDescent="0.3">
      <c r="B24" s="372">
        <f t="shared" si="1"/>
        <v>16</v>
      </c>
      <c r="C24" s="378"/>
      <c r="D24" s="369" t="s">
        <v>627</v>
      </c>
      <c r="E24" s="370"/>
      <c r="F24" s="370"/>
      <c r="G24" s="370"/>
      <c r="H24" s="371"/>
      <c r="I24" s="48">
        <v>0</v>
      </c>
      <c r="K24" s="48">
        <v>0</v>
      </c>
      <c r="L24" s="48">
        <v>0</v>
      </c>
      <c r="M24" s="48">
        <v>0</v>
      </c>
      <c r="O24" s="48">
        <v>0</v>
      </c>
      <c r="P24" s="48">
        <v>0</v>
      </c>
      <c r="Q24" s="48">
        <v>0</v>
      </c>
      <c r="R24" s="48">
        <v>0</v>
      </c>
      <c r="S24" s="48">
        <v>0</v>
      </c>
      <c r="T24" s="48">
        <v>0</v>
      </c>
      <c r="V24" s="369"/>
      <c r="W24" s="370"/>
      <c r="X24" s="371"/>
    </row>
    <row r="25" spans="2:24" x14ac:dyDescent="0.3">
      <c r="B25" s="372">
        <f t="shared" si="1"/>
        <v>17</v>
      </c>
      <c r="C25" s="378"/>
      <c r="D25" s="369" t="s">
        <v>628</v>
      </c>
      <c r="E25" s="370"/>
      <c r="F25" s="370"/>
      <c r="G25" s="370"/>
      <c r="H25" s="371"/>
      <c r="I25" s="48">
        <v>0</v>
      </c>
      <c r="K25" s="48">
        <v>0</v>
      </c>
      <c r="L25" s="48">
        <v>0</v>
      </c>
      <c r="M25" s="48">
        <v>0</v>
      </c>
      <c r="O25" s="48">
        <v>0</v>
      </c>
      <c r="P25" s="48">
        <v>0</v>
      </c>
      <c r="Q25" s="48">
        <v>0</v>
      </c>
      <c r="R25" s="48">
        <v>0</v>
      </c>
      <c r="S25" s="48">
        <v>0</v>
      </c>
      <c r="T25" s="48">
        <v>0</v>
      </c>
      <c r="V25" s="369"/>
      <c r="W25" s="370"/>
      <c r="X25" s="371"/>
    </row>
    <row r="26" spans="2:24" x14ac:dyDescent="0.3">
      <c r="B26" s="372">
        <f t="shared" si="1"/>
        <v>18</v>
      </c>
      <c r="C26" s="378"/>
      <c r="D26" s="369" t="s">
        <v>629</v>
      </c>
      <c r="E26" s="370"/>
      <c r="F26" s="370"/>
      <c r="G26" s="370"/>
      <c r="H26" s="371"/>
      <c r="I26" s="48">
        <v>0</v>
      </c>
      <c r="K26" s="48">
        <v>0</v>
      </c>
      <c r="L26" s="48">
        <v>0</v>
      </c>
      <c r="M26" s="48">
        <v>0</v>
      </c>
      <c r="O26" s="48">
        <v>0</v>
      </c>
      <c r="P26" s="48">
        <v>0</v>
      </c>
      <c r="Q26" s="48">
        <v>0</v>
      </c>
      <c r="R26" s="48">
        <v>0</v>
      </c>
      <c r="S26" s="48">
        <v>0</v>
      </c>
      <c r="T26" s="48">
        <v>0</v>
      </c>
      <c r="V26" s="369"/>
      <c r="W26" s="370"/>
      <c r="X26" s="371"/>
    </row>
    <row r="27" spans="2:24" x14ac:dyDescent="0.3">
      <c r="B27" s="372">
        <f t="shared" si="1"/>
        <v>19</v>
      </c>
      <c r="C27" s="378"/>
      <c r="D27" s="369" t="s">
        <v>630</v>
      </c>
      <c r="E27" s="370"/>
      <c r="F27" s="370"/>
      <c r="G27" s="370"/>
      <c r="H27" s="371"/>
      <c r="I27" s="48">
        <v>0</v>
      </c>
      <c r="K27" s="48">
        <v>0</v>
      </c>
      <c r="L27" s="48">
        <v>0</v>
      </c>
      <c r="M27" s="48">
        <v>0</v>
      </c>
      <c r="O27" s="48">
        <v>0</v>
      </c>
      <c r="P27" s="48">
        <v>0</v>
      </c>
      <c r="Q27" s="48">
        <v>0</v>
      </c>
      <c r="R27" s="48">
        <v>0</v>
      </c>
      <c r="S27" s="48">
        <v>0</v>
      </c>
      <c r="T27" s="48">
        <v>0</v>
      </c>
      <c r="V27" s="369"/>
      <c r="W27" s="370"/>
      <c r="X27" s="371"/>
    </row>
    <row r="28" spans="2:24" x14ac:dyDescent="0.3">
      <c r="B28" s="372">
        <f t="shared" si="1"/>
        <v>20</v>
      </c>
      <c r="C28" s="378"/>
      <c r="D28" s="369" t="s">
        <v>631</v>
      </c>
      <c r="E28" s="370"/>
      <c r="F28" s="370"/>
      <c r="G28" s="370"/>
      <c r="H28" s="371"/>
      <c r="I28" s="48">
        <v>0</v>
      </c>
      <c r="K28" s="48">
        <v>0</v>
      </c>
      <c r="L28" s="48">
        <v>0</v>
      </c>
      <c r="M28" s="48">
        <v>0</v>
      </c>
      <c r="O28" s="48">
        <v>0</v>
      </c>
      <c r="P28" s="48">
        <v>0</v>
      </c>
      <c r="Q28" s="48">
        <v>0</v>
      </c>
      <c r="R28" s="48">
        <v>0</v>
      </c>
      <c r="S28" s="48">
        <v>0</v>
      </c>
      <c r="T28" s="48">
        <v>0</v>
      </c>
      <c r="V28" s="369"/>
      <c r="W28" s="370"/>
      <c r="X28" s="371"/>
    </row>
    <row r="29" spans="2:24" x14ac:dyDescent="0.3">
      <c r="B29" s="372">
        <f t="shared" si="1"/>
        <v>21</v>
      </c>
      <c r="C29" s="378"/>
      <c r="D29" s="369" t="s">
        <v>632</v>
      </c>
      <c r="E29" s="370"/>
      <c r="F29" s="370"/>
      <c r="G29" s="370"/>
      <c r="H29" s="371"/>
      <c r="I29" s="48">
        <v>0</v>
      </c>
      <c r="K29" s="48">
        <v>0</v>
      </c>
      <c r="L29" s="48">
        <v>0</v>
      </c>
      <c r="M29" s="48">
        <v>0</v>
      </c>
      <c r="O29" s="48">
        <v>0</v>
      </c>
      <c r="P29" s="48">
        <v>0</v>
      </c>
      <c r="Q29" s="48">
        <v>0</v>
      </c>
      <c r="R29" s="48">
        <v>0</v>
      </c>
      <c r="S29" s="48">
        <v>0</v>
      </c>
      <c r="T29" s="48">
        <v>0</v>
      </c>
      <c r="V29" s="369"/>
      <c r="W29" s="370"/>
      <c r="X29" s="371"/>
    </row>
    <row r="30" spans="2:24" x14ac:dyDescent="0.3">
      <c r="B30" s="372">
        <f t="shared" si="1"/>
        <v>22</v>
      </c>
      <c r="C30" s="378"/>
      <c r="D30" s="369" t="s">
        <v>633</v>
      </c>
      <c r="E30" s="370"/>
      <c r="F30" s="370"/>
      <c r="G30" s="370"/>
      <c r="H30" s="371"/>
      <c r="I30" s="48">
        <v>0</v>
      </c>
      <c r="K30" s="48">
        <v>0</v>
      </c>
      <c r="L30" s="48">
        <v>0</v>
      </c>
      <c r="M30" s="48">
        <v>0</v>
      </c>
      <c r="O30" s="48">
        <v>0</v>
      </c>
      <c r="P30" s="48">
        <v>0</v>
      </c>
      <c r="Q30" s="48">
        <v>0</v>
      </c>
      <c r="R30" s="48">
        <v>0</v>
      </c>
      <c r="S30" s="48">
        <v>0</v>
      </c>
      <c r="T30" s="48">
        <v>0</v>
      </c>
      <c r="V30" s="369"/>
      <c r="W30" s="370"/>
      <c r="X30" s="371"/>
    </row>
    <row r="31" spans="2:24" x14ac:dyDescent="0.3">
      <c r="B31" s="372">
        <f t="shared" si="1"/>
        <v>23</v>
      </c>
      <c r="C31" s="378"/>
      <c r="D31" s="369" t="s">
        <v>634</v>
      </c>
      <c r="E31" s="370"/>
      <c r="F31" s="370"/>
      <c r="G31" s="370"/>
      <c r="H31" s="371"/>
      <c r="I31" s="48">
        <v>0</v>
      </c>
      <c r="K31" s="48">
        <v>0</v>
      </c>
      <c r="L31" s="48">
        <v>0</v>
      </c>
      <c r="M31" s="48">
        <v>0</v>
      </c>
      <c r="O31" s="48">
        <v>0</v>
      </c>
      <c r="P31" s="48">
        <v>0</v>
      </c>
      <c r="Q31" s="48">
        <v>0</v>
      </c>
      <c r="R31" s="48">
        <v>0</v>
      </c>
      <c r="S31" s="48">
        <v>0</v>
      </c>
      <c r="T31" s="48">
        <v>0</v>
      </c>
      <c r="V31" s="369"/>
      <c r="W31" s="370"/>
      <c r="X31" s="371"/>
    </row>
    <row r="32" spans="2:24" x14ac:dyDescent="0.3">
      <c r="B32" s="372">
        <f t="shared" si="1"/>
        <v>24</v>
      </c>
      <c r="C32" s="378"/>
      <c r="D32" s="369" t="s">
        <v>635</v>
      </c>
      <c r="E32" s="370"/>
      <c r="F32" s="370"/>
      <c r="G32" s="370"/>
      <c r="H32" s="371"/>
      <c r="I32" s="48">
        <v>0</v>
      </c>
      <c r="K32" s="48">
        <v>0</v>
      </c>
      <c r="L32" s="48">
        <v>0</v>
      </c>
      <c r="M32" s="48">
        <v>0</v>
      </c>
      <c r="O32" s="48">
        <v>0</v>
      </c>
      <c r="P32" s="48">
        <v>0</v>
      </c>
      <c r="Q32" s="48">
        <v>0</v>
      </c>
      <c r="R32" s="48">
        <v>0</v>
      </c>
      <c r="S32" s="48">
        <v>0</v>
      </c>
      <c r="T32" s="48">
        <v>0</v>
      </c>
      <c r="V32" s="369"/>
      <c r="W32" s="370"/>
      <c r="X32" s="371"/>
    </row>
    <row r="33" spans="2:24" x14ac:dyDescent="0.3">
      <c r="B33" s="372">
        <f t="shared" si="1"/>
        <v>25</v>
      </c>
      <c r="C33" s="378"/>
      <c r="D33" s="369" t="s">
        <v>636</v>
      </c>
      <c r="E33" s="370"/>
      <c r="F33" s="370"/>
      <c r="G33" s="370"/>
      <c r="H33" s="371"/>
      <c r="I33" s="48">
        <v>0</v>
      </c>
      <c r="K33" s="48">
        <v>0</v>
      </c>
      <c r="L33" s="48">
        <v>0</v>
      </c>
      <c r="M33" s="48">
        <v>0</v>
      </c>
      <c r="O33" s="48">
        <v>0</v>
      </c>
      <c r="P33" s="48">
        <v>0</v>
      </c>
      <c r="Q33" s="48">
        <v>0</v>
      </c>
      <c r="R33" s="48">
        <v>0</v>
      </c>
      <c r="S33" s="48">
        <v>0</v>
      </c>
      <c r="T33" s="48">
        <v>0</v>
      </c>
      <c r="V33" s="369"/>
      <c r="W33" s="370"/>
      <c r="X33" s="371"/>
    </row>
    <row r="34" spans="2:24" ht="14.4" x14ac:dyDescent="0.3">
      <c r="D34" s="375" t="s">
        <v>388</v>
      </c>
      <c r="E34" s="376"/>
      <c r="F34" s="376"/>
      <c r="G34" s="376"/>
      <c r="H34" s="376"/>
      <c r="I34" s="40">
        <f>SUM(I9:I33)</f>
        <v>0</v>
      </c>
      <c r="K34" s="40">
        <f>SUM(K9:K33)</f>
        <v>0</v>
      </c>
      <c r="L34" s="40">
        <f>SUM(L9:L33)</f>
        <v>0</v>
      </c>
      <c r="M34" s="40">
        <f>SUM(M9:M33)</f>
        <v>0</v>
      </c>
      <c r="O34" s="40">
        <f t="shared" ref="O34:T34" si="2">SUM(O9:O33)</f>
        <v>0</v>
      </c>
      <c r="P34" s="40">
        <f t="shared" si="2"/>
        <v>0</v>
      </c>
      <c r="Q34" s="40">
        <f t="shared" si="2"/>
        <v>0</v>
      </c>
      <c r="R34" s="40">
        <f t="shared" si="2"/>
        <v>0</v>
      </c>
      <c r="S34" s="40">
        <f t="shared" si="2"/>
        <v>0</v>
      </c>
      <c r="T34" s="40">
        <f t="shared" si="2"/>
        <v>0</v>
      </c>
    </row>
    <row r="36" spans="2:24" hidden="1" x14ac:dyDescent="0.3"/>
    <row r="37" spans="2:24" hidden="1" x14ac:dyDescent="0.3">
      <c r="C37" s="91" t="s">
        <v>609</v>
      </c>
    </row>
    <row r="38" spans="2:24" hidden="1" outlineLevel="1" x14ac:dyDescent="0.3">
      <c r="K38" s="89" t="str">
        <f>Lbl_BA!G16</f>
        <v>Vac1</v>
      </c>
      <c r="L38" s="89">
        <f>Lbl_BA!H16</f>
        <v>0</v>
      </c>
      <c r="M38" s="89">
        <f>Lbl_BA!I16</f>
        <v>0</v>
      </c>
    </row>
    <row r="39" spans="2:24" hidden="1" outlineLevel="1" x14ac:dyDescent="0.3"/>
    <row r="40" spans="2:24" hidden="1" collapsed="1" x14ac:dyDescent="0.3">
      <c r="C40" s="91" t="s">
        <v>610</v>
      </c>
    </row>
    <row r="41" spans="2:24" hidden="1" outlineLevel="1" x14ac:dyDescent="0.3">
      <c r="K41" s="365" t="str">
        <f>Lbl_BA!D26</f>
        <v>Persons &gt; 1 yr old and non-Pregnant</v>
      </c>
      <c r="L41" s="366"/>
      <c r="M41" s="366"/>
    </row>
    <row r="42" spans="2:24" hidden="1" outlineLevel="1" x14ac:dyDescent="0.3"/>
    <row r="43" spans="2:24" hidden="1" collapsed="1" x14ac:dyDescent="0.3"/>
    <row r="44" spans="2:24" hidden="1" x14ac:dyDescent="0.3">
      <c r="C44" s="91" t="s">
        <v>611</v>
      </c>
    </row>
    <row r="45" spans="2:24" hidden="1" outlineLevel="1" x14ac:dyDescent="0.3">
      <c r="K45" s="89" t="str">
        <f>Lbl_BA!D22</f>
        <v>Vaccinator</v>
      </c>
      <c r="L45" s="89" t="str">
        <f>Lbl_BA!E22</f>
        <v>Data Recorder</v>
      </c>
      <c r="M45" s="89" t="str">
        <f>Lbl_BA!F22</f>
        <v>Crowd Controller</v>
      </c>
      <c r="N45" s="89" t="str">
        <f>Lbl_BA!G22</f>
        <v>Social Mobiliser</v>
      </c>
      <c r="O45" s="89">
        <f>Lbl_BA!H22</f>
        <v>0</v>
      </c>
      <c r="P45" s="89">
        <f>Lbl_BA!I22</f>
        <v>0</v>
      </c>
    </row>
    <row r="46" spans="2:24" hidden="1" collapsed="1" x14ac:dyDescent="0.3"/>
    <row r="47" spans="2:24" hidden="1" x14ac:dyDescent="0.3"/>
    <row r="48" spans="2:24" x14ac:dyDescent="0.3">
      <c r="C48" s="349" t="str">
        <f>"Go to "&amp;HL_Count_Ass_A</f>
        <v>Go to Counts - Assumptions</v>
      </c>
      <c r="D48" s="374"/>
      <c r="E48" s="374"/>
      <c r="F48" s="374"/>
      <c r="G48" s="374"/>
      <c r="H48" s="374"/>
      <c r="I48" s="374"/>
    </row>
    <row r="49" spans="3:9" x14ac:dyDescent="0.3">
      <c r="C49" s="349" t="str">
        <f>"Go to "&amp;HL_Count_Out</f>
        <v>Go to Vaccination Counts - Prospective by Rates</v>
      </c>
      <c r="D49" s="374"/>
      <c r="E49" s="374"/>
      <c r="F49" s="374"/>
      <c r="G49" s="374"/>
      <c r="H49" s="374"/>
      <c r="I49" s="374"/>
    </row>
    <row r="50" spans="3:9" x14ac:dyDescent="0.3">
      <c r="C50" s="349" t="str">
        <f>"Go to "&amp;HL_Count_Out_A</f>
        <v>Go to Counts - Outputs</v>
      </c>
      <c r="D50" s="374"/>
      <c r="E50" s="374"/>
      <c r="F50" s="374"/>
      <c r="G50" s="374"/>
      <c r="H50" s="374"/>
      <c r="I50" s="374"/>
    </row>
  </sheetData>
  <sheetProtection algorithmName="SHA-512" hashValue="V/MuK+j0eHZLjbO3CPZAg6FxaEyW2fHjhh0DqYhluFMOtCTHQB9PWsLVcLnSFHKwXhoFxmH28GwX22GeJwAHHQ==" saltValue="2l66m8Cj06FttMsp9fozqA==" spinCount="100000" sheet="1" objects="1" scenarios="1" formatColumns="0" formatRows="0"/>
  <mergeCells count="84">
    <mergeCell ref="D24:H24"/>
    <mergeCell ref="B24:C24"/>
    <mergeCell ref="B22:C22"/>
    <mergeCell ref="D22:H22"/>
    <mergeCell ref="V22:X22"/>
    <mergeCell ref="B23:C23"/>
    <mergeCell ref="D23:H23"/>
    <mergeCell ref="V23:X23"/>
    <mergeCell ref="B29:C29"/>
    <mergeCell ref="D29:H29"/>
    <mergeCell ref="V29:X29"/>
    <mergeCell ref="B28:C28"/>
    <mergeCell ref="D28:H28"/>
    <mergeCell ref="V28:X28"/>
    <mergeCell ref="D27:H27"/>
    <mergeCell ref="V27:X27"/>
    <mergeCell ref="B26:C26"/>
    <mergeCell ref="D26:H26"/>
    <mergeCell ref="V26:X26"/>
    <mergeCell ref="B21:C21"/>
    <mergeCell ref="D21:H21"/>
    <mergeCell ref="V21:X21"/>
    <mergeCell ref="B33:C33"/>
    <mergeCell ref="D33:H33"/>
    <mergeCell ref="V33:X33"/>
    <mergeCell ref="B32:C32"/>
    <mergeCell ref="D32:H32"/>
    <mergeCell ref="V32:X32"/>
    <mergeCell ref="B31:C31"/>
    <mergeCell ref="D31:H31"/>
    <mergeCell ref="V31:X31"/>
    <mergeCell ref="B30:C30"/>
    <mergeCell ref="D30:H30"/>
    <mergeCell ref="V30:X30"/>
    <mergeCell ref="B27:C27"/>
    <mergeCell ref="B3:F3"/>
    <mergeCell ref="B8:C8"/>
    <mergeCell ref="D8:H8"/>
    <mergeCell ref="B9:C9"/>
    <mergeCell ref="D9:H9"/>
    <mergeCell ref="B10:C10"/>
    <mergeCell ref="D10:H10"/>
    <mergeCell ref="B11:C11"/>
    <mergeCell ref="D11:H11"/>
    <mergeCell ref="B12:C12"/>
    <mergeCell ref="D12:H12"/>
    <mergeCell ref="B13:C13"/>
    <mergeCell ref="D13:H13"/>
    <mergeCell ref="B14:C14"/>
    <mergeCell ref="D14:H14"/>
    <mergeCell ref="B15:C15"/>
    <mergeCell ref="D15:H15"/>
    <mergeCell ref="B16:C16"/>
    <mergeCell ref="D16:H16"/>
    <mergeCell ref="B17:C17"/>
    <mergeCell ref="D17:H17"/>
    <mergeCell ref="C50:I50"/>
    <mergeCell ref="D34:H34"/>
    <mergeCell ref="B18:C18"/>
    <mergeCell ref="D18:H18"/>
    <mergeCell ref="C48:I48"/>
    <mergeCell ref="C49:I49"/>
    <mergeCell ref="B19:C19"/>
    <mergeCell ref="D19:H19"/>
    <mergeCell ref="B20:C20"/>
    <mergeCell ref="D20:H20"/>
    <mergeCell ref="B25:C25"/>
    <mergeCell ref="D25:H25"/>
    <mergeCell ref="K41:M41"/>
    <mergeCell ref="V8:X8"/>
    <mergeCell ref="V14:X14"/>
    <mergeCell ref="V15:X15"/>
    <mergeCell ref="V16:X16"/>
    <mergeCell ref="V17:X17"/>
    <mergeCell ref="V18:X18"/>
    <mergeCell ref="V9:X9"/>
    <mergeCell ref="V10:X10"/>
    <mergeCell ref="V11:X11"/>
    <mergeCell ref="V12:X12"/>
    <mergeCell ref="V13:X13"/>
    <mergeCell ref="V19:X19"/>
    <mergeCell ref="V20:X20"/>
    <mergeCell ref="V25:X25"/>
    <mergeCell ref="V24:X24"/>
  </mergeCells>
  <hyperlinks>
    <hyperlink ref="A4" location="$B$5" tooltip="Go to Top of Sheet" display="$B$5" xr:uid="{00000000-0004-0000-0500-000000000000}"/>
    <hyperlink ref="C48:I48" location="HL_Count_Ass_A" tooltip="Click to follow hyperlink." display="HL_Count_Ass_A" xr:uid="{00000000-0004-0000-0500-000001000000}"/>
    <hyperlink ref="C49:I49" location="HL_Count_Out" tooltip="Click to follow hyperlink." display="HL_Count_Out" xr:uid="{00000000-0004-0000-0500-000002000000}"/>
    <hyperlink ref="C50:I50" location="HL_Count_Out_A" tooltip="Click to follow hyperlink." display="HL_Count_Out_A" xr:uid="{00000000-0004-0000-0500-000003000000}"/>
    <hyperlink ref="B4" location="HL_Sheet_Main_20" tooltip="Go to Previous Sheet" display="HL_Sheet_Main_20" xr:uid="{00000000-0004-0000-0500-000004000000}"/>
    <hyperlink ref="C4" location="HL_Sheet_Main_18" tooltip="Go to Next Sheet" display="HL_Sheet_Main_18" xr:uid="{00000000-0004-0000-0500-000005000000}"/>
    <hyperlink ref="B3" location="HL_Home" tooltip="Go to Table of Contents" display="HL_Home" xr:uid="{00000000-0004-0000-0500-000006000000}"/>
    <hyperlink ref="D4" location="HL_Err_Chk" tooltip="Go to Error Checks" display="HL_Err_Chk" xr:uid="{00000000-0004-0000-0500-000007000000}"/>
    <hyperlink ref="F4" location="HL_Alt_Chk" tooltip="Go to Alert Checks" display="HL_Alt_Chk" xr:uid="{00000000-0004-0000-0500-000008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0">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352</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354</v>
      </c>
    </row>
    <row r="9" spans="1:6" ht="15.6" x14ac:dyDescent="0.3">
      <c r="C9" s="115" t="s">
        <v>93</v>
      </c>
    </row>
    <row r="11" spans="1:6" ht="15.6" x14ac:dyDescent="0.3">
      <c r="C11" s="115" t="s">
        <v>93</v>
      </c>
      <c r="F11" s="115" t="s">
        <v>28</v>
      </c>
    </row>
    <row r="13" spans="1:6" x14ac:dyDescent="0.3">
      <c r="D13" s="116" t="s">
        <v>95</v>
      </c>
      <c r="F13" s="119" t="s">
        <v>331</v>
      </c>
    </row>
    <row r="14" spans="1:6" x14ac:dyDescent="0.3">
      <c r="D14" s="30" t="str">
        <f>TRAIN_BA!D513</f>
        <v>USD</v>
      </c>
      <c r="F14" s="33" t="s">
        <v>46</v>
      </c>
    </row>
    <row r="15" spans="1:6" x14ac:dyDescent="0.3">
      <c r="D15" s="30" t="str">
        <f>TRAIN_BA!D514</f>
        <v>GOZ</v>
      </c>
      <c r="F15" s="33" t="s">
        <v>46</v>
      </c>
    </row>
    <row r="17" spans="3:6" ht="15.6" x14ac:dyDescent="0.3">
      <c r="C17" s="115" t="s">
        <v>77</v>
      </c>
      <c r="F17" s="115" t="s">
        <v>28</v>
      </c>
    </row>
    <row r="19" spans="3:6" x14ac:dyDescent="0.3">
      <c r="D19" s="116" t="s">
        <v>95</v>
      </c>
      <c r="F19" s="119" t="s">
        <v>332</v>
      </c>
    </row>
    <row r="20" spans="3:6" x14ac:dyDescent="0.3">
      <c r="D20" s="30" t="str">
        <f>TRAIN_BA!C519</f>
        <v>Personnel Cadre - Other 1</v>
      </c>
      <c r="F20" s="33" t="s">
        <v>46</v>
      </c>
    </row>
    <row r="21" spans="3:6" x14ac:dyDescent="0.3">
      <c r="D21" s="30" t="str">
        <f>TRAIN_BA!C520</f>
        <v>Personnel Cadre - Other 2</v>
      </c>
      <c r="F21" s="33" t="s">
        <v>46</v>
      </c>
    </row>
    <row r="22" spans="3:6" x14ac:dyDescent="0.3">
      <c r="D22" s="30" t="str">
        <f>TRAIN_BA!C521</f>
        <v>Personnel Cadre - Other 3</v>
      </c>
      <c r="F22" s="33" t="s">
        <v>46</v>
      </c>
    </row>
    <row r="23" spans="3:6" x14ac:dyDescent="0.3">
      <c r="D23" s="30" t="str">
        <f>TRAIN_BA!C522</f>
        <v>Personnel Cadre - Other 4</v>
      </c>
      <c r="F23" s="33" t="s">
        <v>46</v>
      </c>
    </row>
    <row r="24" spans="3:6" x14ac:dyDescent="0.3">
      <c r="D24" s="30" t="str">
        <f>TRAIN_BA!C523</f>
        <v>Personnel Cadre - Other 5</v>
      </c>
      <c r="F24" s="33" t="s">
        <v>46</v>
      </c>
    </row>
    <row r="25" spans="3:6" x14ac:dyDescent="0.3">
      <c r="D25" s="30" t="str">
        <f>TRAIN_BA!C524</f>
        <v>Personnel Cadre - Other 6</v>
      </c>
      <c r="F25" s="33" t="s">
        <v>46</v>
      </c>
    </row>
    <row r="26" spans="3:6" x14ac:dyDescent="0.3">
      <c r="D26" s="30" t="str">
        <f>TRAIN_BA!C525</f>
        <v>Personnel Cadre - Other 7</v>
      </c>
      <c r="F26" s="33" t="s">
        <v>46</v>
      </c>
    </row>
    <row r="27" spans="3:6" x14ac:dyDescent="0.3">
      <c r="D27" s="30" t="str">
        <f>TRAIN_BA!C526</f>
        <v>Personnel Cadre - Other 8</v>
      </c>
      <c r="F27" s="33" t="s">
        <v>46</v>
      </c>
    </row>
    <row r="28" spans="3:6" x14ac:dyDescent="0.3">
      <c r="D28" s="30" t="str">
        <f>TRAIN_BA!C527</f>
        <v>Personnel Cadre - Other 9</v>
      </c>
      <c r="F28" s="33" t="s">
        <v>46</v>
      </c>
    </row>
    <row r="29" spans="3:6" x14ac:dyDescent="0.3">
      <c r="D29" s="30" t="str">
        <f>TRAIN_BA!C528</f>
        <v>Personnel Cadre - Other 10</v>
      </c>
      <c r="F29" s="33" t="s">
        <v>46</v>
      </c>
    </row>
    <row r="30" spans="3:6" x14ac:dyDescent="0.3">
      <c r="D30" s="30" t="str">
        <f>TRAIN_BA!C529</f>
        <v>Personnel Cadre - Other 11</v>
      </c>
      <c r="F30" s="33" t="s">
        <v>46</v>
      </c>
    </row>
    <row r="31" spans="3:6" x14ac:dyDescent="0.3">
      <c r="D31" s="30" t="str">
        <f>TRAIN_BA!C530</f>
        <v>Personnel Cadre - Other 12</v>
      </c>
      <c r="F31" s="33" t="s">
        <v>46</v>
      </c>
    </row>
    <row r="32" spans="3:6" x14ac:dyDescent="0.3">
      <c r="D32" s="30" t="str">
        <f>TRAIN_BA!C531</f>
        <v>Personnel Cadre - Other 13</v>
      </c>
      <c r="F32" s="33" t="s">
        <v>46</v>
      </c>
    </row>
    <row r="33" spans="4:6" x14ac:dyDescent="0.3">
      <c r="D33" s="30" t="str">
        <f>TRAIN_BA!C532</f>
        <v>Personnel Cadre - Other 14</v>
      </c>
      <c r="F33" s="33" t="s">
        <v>46</v>
      </c>
    </row>
    <row r="34" spans="4:6" x14ac:dyDescent="0.3">
      <c r="D34" s="30" t="str">
        <f>TRAIN_BA!C533</f>
        <v>Personnel Cadre - Other 15</v>
      </c>
      <c r="F34" s="33" t="s">
        <v>46</v>
      </c>
    </row>
    <row r="35" spans="4:6" x14ac:dyDescent="0.3">
      <c r="D35" s="282" t="str">
        <f>TRAIN_BA!C534</f>
        <v>Personnel Cadre - Other 16</v>
      </c>
      <c r="F35" s="119"/>
    </row>
    <row r="36" spans="4:6" x14ac:dyDescent="0.3">
      <c r="D36" s="282" t="str">
        <f>TRAIN_BA!C535</f>
        <v>Personnel Cadre - Other 17</v>
      </c>
      <c r="F36" s="119"/>
    </row>
    <row r="37" spans="4:6" x14ac:dyDescent="0.3">
      <c r="D37" s="282" t="str">
        <f>TRAIN_BA!C536</f>
        <v>Personnel Cadre - Other 18</v>
      </c>
      <c r="F37" s="119"/>
    </row>
    <row r="38" spans="4:6" x14ac:dyDescent="0.3">
      <c r="D38" s="282" t="str">
        <f>TRAIN_BA!C537</f>
        <v>Personnel Cadre - Other 19</v>
      </c>
      <c r="F38" s="119"/>
    </row>
    <row r="39" spans="4:6" x14ac:dyDescent="0.3">
      <c r="D39" s="282" t="str">
        <f>TRAIN_BA!C538</f>
        <v>Personnel Cadre - Other 20</v>
      </c>
      <c r="F39" s="119"/>
    </row>
    <row r="40" spans="4:6" x14ac:dyDescent="0.3">
      <c r="D40" s="282" t="str">
        <f>TRAIN_BA!C539</f>
        <v>Personnel Cadre - Other 21</v>
      </c>
      <c r="F40" s="119"/>
    </row>
    <row r="41" spans="4:6" x14ac:dyDescent="0.3">
      <c r="D41" s="282" t="str">
        <f>TRAIN_BA!C540</f>
        <v>Personnel Cadre - Other 22</v>
      </c>
      <c r="F41" s="119"/>
    </row>
    <row r="42" spans="4:6" x14ac:dyDescent="0.3">
      <c r="D42" s="282" t="str">
        <f>TRAIN_BA!C541</f>
        <v>Personnel Cadre - Other 23</v>
      </c>
      <c r="F42" s="119"/>
    </row>
    <row r="43" spans="4:6" x14ac:dyDescent="0.3">
      <c r="D43" s="282" t="str">
        <f>TRAIN_BA!C542</f>
        <v>Personnel Cadre - Other 24</v>
      </c>
      <c r="F43" s="119"/>
    </row>
    <row r="44" spans="4:6" x14ac:dyDescent="0.3">
      <c r="D44" s="282" t="str">
        <f>TRAIN_BA!C543</f>
        <v>Personnel Cadre - Other 25</v>
      </c>
      <c r="F44" s="119"/>
    </row>
    <row r="45" spans="4:6" x14ac:dyDescent="0.3">
      <c r="D45" s="282" t="str">
        <f>TRAIN_BA!C544</f>
        <v>Personnel Cadre - Other 26</v>
      </c>
      <c r="F45" s="119"/>
    </row>
    <row r="46" spans="4:6" x14ac:dyDescent="0.3">
      <c r="D46" s="282" t="str">
        <f>TRAIN_BA!C545</f>
        <v>Personnel Cadre - Other 27</v>
      </c>
      <c r="F46" s="119"/>
    </row>
    <row r="47" spans="4:6" x14ac:dyDescent="0.3">
      <c r="D47" s="282" t="str">
        <f>TRAIN_BA!C546</f>
        <v>Personnel Cadre - Other 28</v>
      </c>
      <c r="F47" s="119"/>
    </row>
    <row r="48" spans="4:6" x14ac:dyDescent="0.3">
      <c r="D48" s="282" t="str">
        <f>TRAIN_BA!C547</f>
        <v>Personnel Cadre - Other 29</v>
      </c>
      <c r="F48" s="119"/>
    </row>
    <row r="49" spans="3:6" x14ac:dyDescent="0.3">
      <c r="D49" s="282" t="str">
        <f>TRAIN_BA!C548</f>
        <v>Personnel Cadre - Other 30</v>
      </c>
      <c r="F49" s="119"/>
    </row>
    <row r="50" spans="3:6" x14ac:dyDescent="0.3">
      <c r="D50" s="282" t="str">
        <f>TRAIN_BA!C549</f>
        <v>Personnel Cadre - Other 31</v>
      </c>
      <c r="F50" s="119"/>
    </row>
    <row r="51" spans="3:6" x14ac:dyDescent="0.3">
      <c r="D51" s="282" t="str">
        <f>TRAIN_BA!C550</f>
        <v>Personnel Cadre - Other 32</v>
      </c>
      <c r="F51" s="119"/>
    </row>
    <row r="52" spans="3:6" x14ac:dyDescent="0.3">
      <c r="D52" s="282" t="str">
        <f>TRAIN_BA!C551</f>
        <v>Personnel Cadre - Other 33</v>
      </c>
      <c r="F52" s="119"/>
    </row>
    <row r="53" spans="3:6" x14ac:dyDescent="0.3">
      <c r="D53" s="282" t="str">
        <f>TRAIN_BA!C552</f>
        <v>Personnel Cadre - Other 34</v>
      </c>
      <c r="F53" s="119"/>
    </row>
    <row r="54" spans="3:6" x14ac:dyDescent="0.3">
      <c r="D54" s="282" t="str">
        <f>TRAIN_BA!C553</f>
        <v>Personnel Cadre - Other 35</v>
      </c>
      <c r="F54" s="119"/>
    </row>
    <row r="56" spans="3:6" ht="15.6" x14ac:dyDescent="0.3">
      <c r="C56" s="115" t="s">
        <v>94</v>
      </c>
      <c r="F56" s="115" t="s">
        <v>28</v>
      </c>
    </row>
    <row r="58" spans="3:6" x14ac:dyDescent="0.3">
      <c r="D58" s="116" t="s">
        <v>95</v>
      </c>
      <c r="F58" s="119" t="s">
        <v>333</v>
      </c>
    </row>
    <row r="59" spans="3:6" x14ac:dyDescent="0.3">
      <c r="D59" s="30" t="str">
        <f>TRAIN_BA!C556</f>
        <v>Allowances Category 1</v>
      </c>
      <c r="F59" s="33" t="s">
        <v>46</v>
      </c>
    </row>
    <row r="60" spans="3:6" x14ac:dyDescent="0.3">
      <c r="D60" s="30" t="str">
        <f>TRAIN_BA!C557</f>
        <v>Allowances Category 2</v>
      </c>
      <c r="F60" s="33" t="s">
        <v>46</v>
      </c>
    </row>
    <row r="61" spans="3:6" x14ac:dyDescent="0.3">
      <c r="D61" s="30" t="str">
        <f>TRAIN_BA!C558</f>
        <v>Allowances Category 3</v>
      </c>
      <c r="F61" s="33" t="s">
        <v>46</v>
      </c>
    </row>
    <row r="62" spans="3:6" x14ac:dyDescent="0.3">
      <c r="D62" s="30" t="str">
        <f>TRAIN_BA!C559</f>
        <v>Allowances Category 4</v>
      </c>
      <c r="F62" s="33" t="s">
        <v>46</v>
      </c>
    </row>
    <row r="63" spans="3:6" x14ac:dyDescent="0.3">
      <c r="D63" s="30" t="str">
        <f>TRAIN_BA!C560</f>
        <v>Allowances Category 5</v>
      </c>
      <c r="F63" s="33" t="s">
        <v>46</v>
      </c>
    </row>
    <row r="64" spans="3:6" x14ac:dyDescent="0.3">
      <c r="D64" s="282" t="str">
        <f>TRAIN_BA!C561</f>
        <v>Allowances Category 6</v>
      </c>
      <c r="F64" s="119"/>
    </row>
    <row r="65" spans="4:6" x14ac:dyDescent="0.3">
      <c r="D65" s="282" t="str">
        <f>TRAIN_BA!C562</f>
        <v>Allowances Category 7</v>
      </c>
      <c r="F65" s="119"/>
    </row>
    <row r="66" spans="4:6" x14ac:dyDescent="0.3">
      <c r="D66" s="282" t="str">
        <f>TRAIN_BA!C563</f>
        <v>Allowances Category 8</v>
      </c>
      <c r="F66" s="119"/>
    </row>
    <row r="67" spans="4:6" x14ac:dyDescent="0.3">
      <c r="D67" s="282" t="str">
        <f>TRAIN_BA!C564</f>
        <v>Allowances Category 9</v>
      </c>
      <c r="F67" s="119"/>
    </row>
    <row r="68" spans="4:6" x14ac:dyDescent="0.3">
      <c r="D68" s="282" t="str">
        <f>TRAIN_BA!C565</f>
        <v>Allowances Category 10</v>
      </c>
      <c r="F68" s="119"/>
    </row>
    <row r="69" spans="4:6" x14ac:dyDescent="0.3">
      <c r="D69" s="282" t="str">
        <f>TRAIN_BA!C566</f>
        <v>Allowances Category 11</v>
      </c>
      <c r="F69" s="119"/>
    </row>
    <row r="70" spans="4:6" x14ac:dyDescent="0.3">
      <c r="D70" s="282" t="str">
        <f>TRAIN_BA!C567</f>
        <v>Allowances Category 12</v>
      </c>
      <c r="F70" s="119"/>
    </row>
    <row r="71" spans="4:6" x14ac:dyDescent="0.3">
      <c r="D71" s="282" t="str">
        <f>TRAIN_BA!C568</f>
        <v>Allowances Category 13</v>
      </c>
      <c r="F71" s="119"/>
    </row>
    <row r="72" spans="4:6" x14ac:dyDescent="0.3">
      <c r="D72" s="282" t="str">
        <f>TRAIN_BA!C569</f>
        <v>Allowances Category 14</v>
      </c>
      <c r="F72" s="119"/>
    </row>
    <row r="73" spans="4:6" x14ac:dyDescent="0.3">
      <c r="D73" s="282" t="str">
        <f>TRAIN_BA!C570</f>
        <v>Allowances Category 15</v>
      </c>
      <c r="F73" s="119"/>
    </row>
    <row r="74" spans="4:6" x14ac:dyDescent="0.3">
      <c r="D74" s="282" t="str">
        <f>TRAIN_BA!C571</f>
        <v>Allowances Category 16</v>
      </c>
      <c r="F74" s="119"/>
    </row>
    <row r="75" spans="4:6" x14ac:dyDescent="0.3">
      <c r="D75" s="30" t="str">
        <f>TRAIN_BA!C572</f>
        <v>Allowances Category 17</v>
      </c>
      <c r="F75" s="33" t="s">
        <v>46</v>
      </c>
    </row>
    <row r="76" spans="4:6" x14ac:dyDescent="0.3">
      <c r="D76" s="30" t="str">
        <f>TRAIN_BA!C573</f>
        <v>Allowances Category 18</v>
      </c>
      <c r="F76" s="33" t="s">
        <v>46</v>
      </c>
    </row>
    <row r="77" spans="4:6" x14ac:dyDescent="0.3">
      <c r="D77" s="30" t="str">
        <f>TRAIN_BA!C574</f>
        <v>Allowances Category 19</v>
      </c>
      <c r="F77" s="33" t="s">
        <v>46</v>
      </c>
    </row>
    <row r="78" spans="4:6" x14ac:dyDescent="0.3">
      <c r="D78" s="30" t="str">
        <f>TRAIN_BA!C575</f>
        <v>Allowances Category 20</v>
      </c>
      <c r="F78" s="33" t="s">
        <v>46</v>
      </c>
    </row>
    <row r="79" spans="4:6" x14ac:dyDescent="0.3">
      <c r="D79" s="30" t="str">
        <f>TRAIN_BA!C576</f>
        <v>Allowances Category 21</v>
      </c>
      <c r="F79" s="33" t="s">
        <v>46</v>
      </c>
    </row>
    <row r="80" spans="4:6" x14ac:dyDescent="0.3">
      <c r="D80" s="30" t="str">
        <f>TRAIN_BA!C577</f>
        <v>Allowances Category 22</v>
      </c>
      <c r="F80" s="33" t="s">
        <v>46</v>
      </c>
    </row>
    <row r="81" spans="3:6" x14ac:dyDescent="0.3">
      <c r="D81" s="30" t="str">
        <f>TRAIN_BA!C578</f>
        <v>Allowances Category 23</v>
      </c>
      <c r="F81" s="33" t="s">
        <v>46</v>
      </c>
    </row>
    <row r="82" spans="3:6" x14ac:dyDescent="0.3">
      <c r="D82" s="282" t="str">
        <f>TRAIN_BA!C579</f>
        <v>Allowances Category 24</v>
      </c>
      <c r="F82" s="119"/>
    </row>
    <row r="83" spans="3:6" x14ac:dyDescent="0.3">
      <c r="D83" s="282" t="str">
        <f>TRAIN_BA!C580</f>
        <v>Allowances Category 25</v>
      </c>
      <c r="F83" s="119"/>
    </row>
    <row r="84" spans="3:6" x14ac:dyDescent="0.3">
      <c r="D84" s="282" t="str">
        <f>TRAIN_BA!C581</f>
        <v>Allowances Category 26</v>
      </c>
      <c r="F84" s="119"/>
    </row>
    <row r="85" spans="3:6" x14ac:dyDescent="0.3">
      <c r="D85" s="282" t="str">
        <f>TRAIN_BA!C582</f>
        <v>Allowances Category 27</v>
      </c>
      <c r="F85" s="119"/>
    </row>
    <row r="86" spans="3:6" x14ac:dyDescent="0.3">
      <c r="D86" s="282" t="str">
        <f>TRAIN_BA!C583</f>
        <v>Allowances Category 28</v>
      </c>
      <c r="F86" s="119"/>
    </row>
    <row r="87" spans="3:6" x14ac:dyDescent="0.3">
      <c r="D87" s="282" t="str">
        <f>TRAIN_BA!C584</f>
        <v>Allowances Category 29</v>
      </c>
      <c r="F87" s="119"/>
    </row>
    <row r="88" spans="3:6" x14ac:dyDescent="0.3">
      <c r="D88" s="282" t="str">
        <f>TRAIN_BA!C585</f>
        <v>Allowances Category 30</v>
      </c>
      <c r="F88" s="119"/>
    </row>
    <row r="89" spans="3:6" x14ac:dyDescent="0.3">
      <c r="D89" s="30" t="str">
        <f>TRAIN_BA!C586</f>
        <v>Allowances Category 31</v>
      </c>
      <c r="F89" s="33" t="s">
        <v>46</v>
      </c>
    </row>
    <row r="90" spans="3:6" x14ac:dyDescent="0.3">
      <c r="D90" s="30" t="str">
        <f>TRAIN_BA!C587</f>
        <v>Allowances Category 32</v>
      </c>
      <c r="F90" s="33" t="s">
        <v>46</v>
      </c>
    </row>
    <row r="91" spans="3:6" x14ac:dyDescent="0.3">
      <c r="D91" s="30" t="str">
        <f>TRAIN_BA!C588</f>
        <v>Allowances Category 33</v>
      </c>
      <c r="F91" s="33" t="s">
        <v>46</v>
      </c>
    </row>
    <row r="92" spans="3:6" x14ac:dyDescent="0.3">
      <c r="D92" s="30" t="str">
        <f>TRAIN_BA!C589</f>
        <v>Allowances Category 34</v>
      </c>
      <c r="F92" s="33" t="s">
        <v>46</v>
      </c>
    </row>
    <row r="93" spans="3:6" x14ac:dyDescent="0.3">
      <c r="D93" s="30" t="str">
        <f>TRAIN_BA!C590</f>
        <v>Allowances Category 35</v>
      </c>
      <c r="F93" s="33" t="s">
        <v>46</v>
      </c>
    </row>
    <row r="96" spans="3:6" ht="15.6" x14ac:dyDescent="0.3">
      <c r="C96" s="115" t="s">
        <v>132</v>
      </c>
      <c r="F96" s="115" t="s">
        <v>28</v>
      </c>
    </row>
    <row r="98" spans="4:6" x14ac:dyDescent="0.3">
      <c r="D98" s="116" t="s">
        <v>95</v>
      </c>
      <c r="F98" s="119" t="s">
        <v>334</v>
      </c>
    </row>
    <row r="99" spans="4:6" x14ac:dyDescent="0.3">
      <c r="D99" s="30" t="str">
        <f>TRAIN_BA!C594</f>
        <v>Supplies Category 1</v>
      </c>
      <c r="F99" s="33" t="s">
        <v>46</v>
      </c>
    </row>
    <row r="100" spans="4:6" x14ac:dyDescent="0.3">
      <c r="D100" s="30" t="str">
        <f>TRAIN_BA!C595</f>
        <v>Supplies Category 2</v>
      </c>
      <c r="F100" s="33" t="s">
        <v>46</v>
      </c>
    </row>
    <row r="101" spans="4:6" x14ac:dyDescent="0.3">
      <c r="D101" s="30" t="str">
        <f>TRAIN_BA!C596</f>
        <v>Supplies Category 3</v>
      </c>
      <c r="F101" s="33" t="s">
        <v>46</v>
      </c>
    </row>
    <row r="102" spans="4:6" x14ac:dyDescent="0.3">
      <c r="D102" s="30" t="str">
        <f>TRAIN_BA!C597</f>
        <v>Supplies Category 4</v>
      </c>
      <c r="F102" s="33" t="s">
        <v>46</v>
      </c>
    </row>
    <row r="103" spans="4:6" x14ac:dyDescent="0.3">
      <c r="D103" s="30" t="str">
        <f>TRAIN_BA!C598</f>
        <v>Supplies Category 5</v>
      </c>
      <c r="F103" s="33" t="s">
        <v>46</v>
      </c>
    </row>
    <row r="104" spans="4:6" x14ac:dyDescent="0.3">
      <c r="D104" s="30" t="str">
        <f>TRAIN_BA!C599</f>
        <v>Supplies Category 6</v>
      </c>
      <c r="F104" s="33" t="s">
        <v>46</v>
      </c>
    </row>
    <row r="105" spans="4:6" x14ac:dyDescent="0.3">
      <c r="D105" s="30" t="str">
        <f>TRAIN_BA!C600</f>
        <v>Supplies Category 7</v>
      </c>
      <c r="F105" s="33" t="s">
        <v>46</v>
      </c>
    </row>
    <row r="106" spans="4:6" x14ac:dyDescent="0.3">
      <c r="D106" s="30" t="str">
        <f>TRAIN_BA!C601</f>
        <v>Supplies Category 8</v>
      </c>
      <c r="F106" s="33" t="s">
        <v>46</v>
      </c>
    </row>
    <row r="107" spans="4:6" x14ac:dyDescent="0.3">
      <c r="D107" s="30" t="str">
        <f>TRAIN_BA!C602</f>
        <v>Supplies Category 9</v>
      </c>
      <c r="F107" s="33" t="s">
        <v>46</v>
      </c>
    </row>
    <row r="108" spans="4:6" x14ac:dyDescent="0.3">
      <c r="D108" s="30" t="str">
        <f>TRAIN_BA!C603</f>
        <v>Supplies Category 10</v>
      </c>
      <c r="F108" s="33" t="s">
        <v>46</v>
      </c>
    </row>
    <row r="109" spans="4:6" x14ac:dyDescent="0.3">
      <c r="D109" s="30" t="str">
        <f>TRAIN_BA!C604</f>
        <v>Supplies Category 11</v>
      </c>
      <c r="F109" s="33" t="s">
        <v>46</v>
      </c>
    </row>
    <row r="110" spans="4:6" x14ac:dyDescent="0.3">
      <c r="D110" s="30" t="str">
        <f>TRAIN_BA!C605</f>
        <v>Supplies Category 12</v>
      </c>
      <c r="F110" s="33" t="s">
        <v>46</v>
      </c>
    </row>
    <row r="111" spans="4:6" x14ac:dyDescent="0.3">
      <c r="D111" s="30" t="str">
        <f>TRAIN_BA!C606</f>
        <v>Supplies Category 13</v>
      </c>
      <c r="F111" s="33" t="s">
        <v>46</v>
      </c>
    </row>
    <row r="112" spans="4:6" x14ac:dyDescent="0.3">
      <c r="D112" s="30" t="str">
        <f>TRAIN_BA!C607</f>
        <v>Supplies Category 14</v>
      </c>
      <c r="F112" s="33" t="s">
        <v>46</v>
      </c>
    </row>
    <row r="113" spans="4:6" x14ac:dyDescent="0.3">
      <c r="D113" s="30" t="str">
        <f>TRAIN_BA!C608</f>
        <v>Supplies Category 15</v>
      </c>
      <c r="F113" s="33" t="s">
        <v>46</v>
      </c>
    </row>
    <row r="114" spans="4:6" x14ac:dyDescent="0.3">
      <c r="D114" s="30" t="str">
        <f>TRAIN_BA!C609</f>
        <v>Supplies Category 16</v>
      </c>
      <c r="F114" s="33" t="s">
        <v>46</v>
      </c>
    </row>
    <row r="115" spans="4:6" x14ac:dyDescent="0.3">
      <c r="D115" s="282" t="str">
        <f>TRAIN_BA!C610</f>
        <v>Supplies Category 17</v>
      </c>
      <c r="F115" s="119"/>
    </row>
    <row r="116" spans="4:6" x14ac:dyDescent="0.3">
      <c r="D116" s="282" t="str">
        <f>TRAIN_BA!C611</f>
        <v>Supplies Category 18</v>
      </c>
      <c r="F116" s="119"/>
    </row>
    <row r="117" spans="4:6" x14ac:dyDescent="0.3">
      <c r="D117" s="282" t="str">
        <f>TRAIN_BA!C612</f>
        <v>Supplies Category 19</v>
      </c>
      <c r="F117" s="119"/>
    </row>
    <row r="118" spans="4:6" x14ac:dyDescent="0.3">
      <c r="D118" s="282" t="str">
        <f>TRAIN_BA!C613</f>
        <v>Supplies Category 20</v>
      </c>
      <c r="F118" s="119"/>
    </row>
    <row r="119" spans="4:6" x14ac:dyDescent="0.3">
      <c r="D119" s="282" t="str">
        <f>TRAIN_BA!C614</f>
        <v>Supplies Category 21</v>
      </c>
      <c r="F119" s="119"/>
    </row>
    <row r="120" spans="4:6" x14ac:dyDescent="0.3">
      <c r="D120" s="282" t="str">
        <f>TRAIN_BA!C615</f>
        <v>Supplies Category 22</v>
      </c>
      <c r="F120" s="119"/>
    </row>
    <row r="121" spans="4:6" x14ac:dyDescent="0.3">
      <c r="D121" s="282" t="str">
        <f>TRAIN_BA!C616</f>
        <v>Supplies Category 23</v>
      </c>
      <c r="F121" s="119"/>
    </row>
    <row r="122" spans="4:6" x14ac:dyDescent="0.3">
      <c r="D122" s="282" t="str">
        <f>TRAIN_BA!C617</f>
        <v>Supplies Category 24</v>
      </c>
      <c r="F122" s="119"/>
    </row>
    <row r="123" spans="4:6" x14ac:dyDescent="0.3">
      <c r="D123" s="282" t="str">
        <f>TRAIN_BA!C618</f>
        <v>Supplies Category 25</v>
      </c>
      <c r="F123" s="119"/>
    </row>
    <row r="124" spans="4:6" x14ac:dyDescent="0.3">
      <c r="D124" s="282" t="str">
        <f>TRAIN_BA!C619</f>
        <v>Supplies Category 26</v>
      </c>
      <c r="F124" s="119"/>
    </row>
    <row r="125" spans="4:6" x14ac:dyDescent="0.3">
      <c r="D125" s="282" t="str">
        <f>TRAIN_BA!C620</f>
        <v>Supplies Category 27</v>
      </c>
      <c r="F125" s="119"/>
    </row>
    <row r="126" spans="4:6" x14ac:dyDescent="0.3">
      <c r="D126" s="282" t="str">
        <f>TRAIN_BA!C621</f>
        <v>Supplies Category 28</v>
      </c>
      <c r="F126" s="119"/>
    </row>
    <row r="127" spans="4:6" x14ac:dyDescent="0.3">
      <c r="D127" s="282" t="str">
        <f>TRAIN_BA!C622</f>
        <v>Supplies Category 29</v>
      </c>
      <c r="F127" s="119"/>
    </row>
    <row r="128" spans="4:6" x14ac:dyDescent="0.3">
      <c r="D128" s="282" t="str">
        <f>TRAIN_BA!C623</f>
        <v>Supplies Category 30</v>
      </c>
      <c r="F128" s="119"/>
    </row>
    <row r="129" spans="3:6" x14ac:dyDescent="0.3">
      <c r="D129" s="282" t="str">
        <f>TRAIN_BA!C624</f>
        <v>Supplies Category 31</v>
      </c>
      <c r="F129" s="119"/>
    </row>
    <row r="130" spans="3:6" x14ac:dyDescent="0.3">
      <c r="D130" s="282" t="str">
        <f>TRAIN_BA!C625</f>
        <v>Supplies Category 32</v>
      </c>
      <c r="F130" s="119"/>
    </row>
    <row r="131" spans="3:6" x14ac:dyDescent="0.3">
      <c r="D131" s="282" t="str">
        <f>TRAIN_BA!C626</f>
        <v>Supplies Category 33</v>
      </c>
      <c r="F131" s="119"/>
    </row>
    <row r="132" spans="3:6" x14ac:dyDescent="0.3">
      <c r="D132" s="282" t="str">
        <f>TRAIN_BA!C627</f>
        <v>Supplies Category 34</v>
      </c>
      <c r="F132" s="119"/>
    </row>
    <row r="133" spans="3:6" x14ac:dyDescent="0.3">
      <c r="D133" s="282" t="str">
        <f>TRAIN_BA!C628</f>
        <v>Supplies Category 35</v>
      </c>
      <c r="F133" s="119"/>
    </row>
    <row r="136" spans="3:6" ht="15.6" x14ac:dyDescent="0.3">
      <c r="C136" s="115" t="s">
        <v>130</v>
      </c>
      <c r="F136" s="115" t="s">
        <v>28</v>
      </c>
    </row>
    <row r="138" spans="3:6" x14ac:dyDescent="0.3">
      <c r="D138" s="116" t="s">
        <v>95</v>
      </c>
      <c r="F138" s="119" t="s">
        <v>335</v>
      </c>
    </row>
    <row r="139" spans="3:6" x14ac:dyDescent="0.3">
      <c r="D139" s="30" t="str">
        <f>TRAIN_BA!C631</f>
        <v>Equipment Category 1</v>
      </c>
      <c r="F139" s="33" t="s">
        <v>46</v>
      </c>
    </row>
    <row r="140" spans="3:6" x14ac:dyDescent="0.3">
      <c r="D140" s="30" t="str">
        <f>TRAIN_BA!C632</f>
        <v>Equipment Category 2</v>
      </c>
      <c r="F140" s="33" t="s">
        <v>46</v>
      </c>
    </row>
    <row r="141" spans="3:6" x14ac:dyDescent="0.3">
      <c r="D141" s="30" t="str">
        <f>TRAIN_BA!C633</f>
        <v>Equipment Category 3</v>
      </c>
      <c r="F141" s="33" t="s">
        <v>46</v>
      </c>
    </row>
    <row r="142" spans="3:6" x14ac:dyDescent="0.3">
      <c r="D142" s="30" t="str">
        <f>TRAIN_BA!C634</f>
        <v>Equipment Category 4</v>
      </c>
      <c r="F142" s="33" t="s">
        <v>46</v>
      </c>
    </row>
    <row r="143" spans="3:6" x14ac:dyDescent="0.3">
      <c r="D143" s="30" t="str">
        <f>TRAIN_BA!C635</f>
        <v>Equipment Category 5</v>
      </c>
      <c r="F143" s="33" t="s">
        <v>46</v>
      </c>
    </row>
    <row r="144" spans="3:6" x14ac:dyDescent="0.3">
      <c r="D144" s="30" t="str">
        <f>TRAIN_BA!C636</f>
        <v>Equipment Category 6</v>
      </c>
      <c r="F144" s="33" t="s">
        <v>46</v>
      </c>
    </row>
    <row r="145" spans="4:6" x14ac:dyDescent="0.3">
      <c r="D145" s="282" t="str">
        <f>TRAIN_BA!C637</f>
        <v>Equipment Category 7</v>
      </c>
      <c r="F145" s="119"/>
    </row>
    <row r="146" spans="4:6" x14ac:dyDescent="0.3">
      <c r="D146" s="282" t="str">
        <f>TRAIN_BA!C638</f>
        <v>Equipment Category 8</v>
      </c>
      <c r="F146" s="119"/>
    </row>
    <row r="147" spans="4:6" x14ac:dyDescent="0.3">
      <c r="D147" s="282" t="str">
        <f>TRAIN_BA!C639</f>
        <v>Equipment Category 9</v>
      </c>
      <c r="F147" s="119"/>
    </row>
    <row r="148" spans="4:6" x14ac:dyDescent="0.3">
      <c r="D148" s="282" t="str">
        <f>TRAIN_BA!C640</f>
        <v>Equipment Category 10</v>
      </c>
      <c r="F148" s="119"/>
    </row>
    <row r="149" spans="4:6" x14ac:dyDescent="0.3">
      <c r="D149" s="282" t="str">
        <f>TRAIN_BA!C641</f>
        <v>Equipment Category 11</v>
      </c>
      <c r="F149" s="119"/>
    </row>
    <row r="150" spans="4:6" x14ac:dyDescent="0.3">
      <c r="D150" s="282" t="str">
        <f>TRAIN_BA!C642</f>
        <v>Equipment Category 12</v>
      </c>
      <c r="F150" s="119"/>
    </row>
    <row r="151" spans="4:6" x14ac:dyDescent="0.3">
      <c r="D151" s="282" t="str">
        <f>TRAIN_BA!C643</f>
        <v>Equipment Category 13</v>
      </c>
      <c r="F151" s="119"/>
    </row>
    <row r="152" spans="4:6" x14ac:dyDescent="0.3">
      <c r="D152" s="282" t="str">
        <f>TRAIN_BA!C644</f>
        <v>Equipment Category 14</v>
      </c>
      <c r="F152" s="119"/>
    </row>
    <row r="153" spans="4:6" x14ac:dyDescent="0.3">
      <c r="D153" s="282" t="str">
        <f>TRAIN_BA!C645</f>
        <v>Equipment Category 15</v>
      </c>
      <c r="F153" s="119"/>
    </row>
    <row r="154" spans="4:6" x14ac:dyDescent="0.3">
      <c r="D154" s="282" t="str">
        <f>TRAIN_BA!C646</f>
        <v>Equipment Category 16</v>
      </c>
      <c r="F154" s="119"/>
    </row>
    <row r="155" spans="4:6" x14ac:dyDescent="0.3">
      <c r="D155" s="282" t="str">
        <f>TRAIN_BA!C647</f>
        <v>Equipment Category 17</v>
      </c>
      <c r="F155" s="119"/>
    </row>
    <row r="156" spans="4:6" x14ac:dyDescent="0.3">
      <c r="D156" s="282" t="str">
        <f>TRAIN_BA!C648</f>
        <v>Equipment Category 18</v>
      </c>
      <c r="F156" s="119"/>
    </row>
    <row r="157" spans="4:6" x14ac:dyDescent="0.3">
      <c r="D157" s="282" t="str">
        <f>TRAIN_BA!C649</f>
        <v>Equipment Category 19</v>
      </c>
      <c r="F157" s="119"/>
    </row>
    <row r="158" spans="4:6" x14ac:dyDescent="0.3">
      <c r="D158" s="282" t="str">
        <f>TRAIN_BA!C650</f>
        <v>Equipment Category 20</v>
      </c>
      <c r="F158" s="119"/>
    </row>
    <row r="159" spans="4:6" x14ac:dyDescent="0.3">
      <c r="D159" s="282" t="str">
        <f>TRAIN_BA!C651</f>
        <v>Equipment Category 21</v>
      </c>
      <c r="F159" s="119"/>
    </row>
    <row r="160" spans="4:6" x14ac:dyDescent="0.3">
      <c r="D160" s="282" t="str">
        <f>TRAIN_BA!C652</f>
        <v>Equipment Category 22</v>
      </c>
      <c r="F160" s="119"/>
    </row>
    <row r="161" spans="3:6" x14ac:dyDescent="0.3">
      <c r="D161" s="282" t="str">
        <f>TRAIN_BA!C653</f>
        <v>Equipment Category 23</v>
      </c>
      <c r="F161" s="119"/>
    </row>
    <row r="162" spans="3:6" x14ac:dyDescent="0.3">
      <c r="D162" s="282" t="str">
        <f>TRAIN_BA!C654</f>
        <v>Equipment Category 24</v>
      </c>
      <c r="F162" s="119"/>
    </row>
    <row r="163" spans="3:6" x14ac:dyDescent="0.3">
      <c r="D163" s="282" t="str">
        <f>TRAIN_BA!C655</f>
        <v>Equipment Category 25</v>
      </c>
      <c r="F163" s="119"/>
    </row>
    <row r="164" spans="3:6" x14ac:dyDescent="0.3">
      <c r="D164" s="282" t="str">
        <f>TRAIN_BA!C656</f>
        <v>Equipment Category 26</v>
      </c>
      <c r="F164" s="119"/>
    </row>
    <row r="165" spans="3:6" x14ac:dyDescent="0.3">
      <c r="D165" s="282" t="str">
        <f>TRAIN_BA!C657</f>
        <v>Equipment Category 27</v>
      </c>
      <c r="F165" s="119"/>
    </row>
    <row r="166" spans="3:6" x14ac:dyDescent="0.3">
      <c r="D166" s="282" t="str">
        <f>TRAIN_BA!C658</f>
        <v>Equipment Category 28</v>
      </c>
      <c r="F166" s="119"/>
    </row>
    <row r="167" spans="3:6" x14ac:dyDescent="0.3">
      <c r="D167" s="282" t="str">
        <f>TRAIN_BA!C659</f>
        <v>Equipment Category 29</v>
      </c>
      <c r="F167" s="119"/>
    </row>
    <row r="168" spans="3:6" x14ac:dyDescent="0.3">
      <c r="D168" s="282" t="str">
        <f>TRAIN_BA!C660</f>
        <v>Equipment Category 30</v>
      </c>
      <c r="F168" s="119"/>
    </row>
    <row r="169" spans="3:6" x14ac:dyDescent="0.3">
      <c r="D169" s="282" t="str">
        <f>TRAIN_BA!C661</f>
        <v>Equipment Category 31</v>
      </c>
      <c r="F169" s="119"/>
    </row>
    <row r="170" spans="3:6" x14ac:dyDescent="0.3">
      <c r="D170" s="282" t="str">
        <f>TRAIN_BA!C662</f>
        <v>Equipment Category 32</v>
      </c>
      <c r="F170" s="119"/>
    </row>
    <row r="171" spans="3:6" x14ac:dyDescent="0.3">
      <c r="D171" s="282" t="str">
        <f>TRAIN_BA!C663</f>
        <v>Equipment Category 33</v>
      </c>
      <c r="F171" s="119"/>
    </row>
    <row r="172" spans="3:6" x14ac:dyDescent="0.3">
      <c r="D172" s="282" t="str">
        <f>TRAIN_BA!C664</f>
        <v>Equipment Category 34</v>
      </c>
      <c r="F172" s="119"/>
    </row>
    <row r="173" spans="3:6" x14ac:dyDescent="0.3">
      <c r="D173" s="282" t="str">
        <f>TRAIN_BA!C665</f>
        <v>Equipment Category 35</v>
      </c>
      <c r="F173" s="119"/>
    </row>
    <row r="175" spans="3:6" ht="15.6" x14ac:dyDescent="0.3">
      <c r="C175" s="115" t="s">
        <v>89</v>
      </c>
      <c r="F175" s="115" t="s">
        <v>28</v>
      </c>
    </row>
    <row r="177" spans="4:6" x14ac:dyDescent="0.3">
      <c r="D177" s="116" t="s">
        <v>95</v>
      </c>
      <c r="F177" s="119" t="s">
        <v>336</v>
      </c>
    </row>
    <row r="178" spans="4:6" x14ac:dyDescent="0.3">
      <c r="D178" s="30" t="str">
        <f>TRAIN_BA!C669</f>
        <v>Other Direct Costs Category 1</v>
      </c>
      <c r="F178" s="33" t="s">
        <v>46</v>
      </c>
    </row>
    <row r="179" spans="4:6" x14ac:dyDescent="0.3">
      <c r="D179" s="30" t="str">
        <f>TRAIN_BA!C670</f>
        <v>Other Direct Costs Category 2</v>
      </c>
      <c r="F179" s="33" t="s">
        <v>46</v>
      </c>
    </row>
    <row r="180" spans="4:6" x14ac:dyDescent="0.3">
      <c r="D180" s="30" t="str">
        <f>TRAIN_BA!C671</f>
        <v>Other Direct Costs Category 3</v>
      </c>
      <c r="F180" s="33" t="s">
        <v>46</v>
      </c>
    </row>
    <row r="181" spans="4:6" x14ac:dyDescent="0.3">
      <c r="D181" s="282" t="str">
        <f>TRAIN_BA!C672</f>
        <v>Other Direct Costs Category 4</v>
      </c>
      <c r="F181" s="119"/>
    </row>
    <row r="182" spans="4:6" x14ac:dyDescent="0.3">
      <c r="D182" s="282" t="str">
        <f>TRAIN_BA!C673</f>
        <v>Other Direct Costs Category 5</v>
      </c>
      <c r="F182" s="119"/>
    </row>
    <row r="183" spans="4:6" x14ac:dyDescent="0.3">
      <c r="D183" s="282" t="str">
        <f>TRAIN_BA!C674</f>
        <v>Other Direct Costs Category 6</v>
      </c>
      <c r="F183" s="119"/>
    </row>
    <row r="184" spans="4:6" x14ac:dyDescent="0.3">
      <c r="D184" s="282" t="str">
        <f>TRAIN_BA!C675</f>
        <v>Other Direct Costs Category 7</v>
      </c>
      <c r="F184" s="119"/>
    </row>
    <row r="185" spans="4:6" x14ac:dyDescent="0.3">
      <c r="D185" s="282" t="str">
        <f>TRAIN_BA!C676</f>
        <v>Other Direct Costs Category 8</v>
      </c>
      <c r="F185" s="119"/>
    </row>
    <row r="186" spans="4:6" x14ac:dyDescent="0.3">
      <c r="D186" s="282" t="str">
        <f>TRAIN_BA!C677</f>
        <v>Other Direct Costs Category 9</v>
      </c>
      <c r="F186" s="119"/>
    </row>
    <row r="187" spans="4:6" x14ac:dyDescent="0.3">
      <c r="D187" s="282" t="str">
        <f>TRAIN_BA!C678</f>
        <v>Other Direct Costs Category 10</v>
      </c>
      <c r="F187" s="119"/>
    </row>
    <row r="188" spans="4:6" x14ac:dyDescent="0.3">
      <c r="D188" s="282" t="str">
        <f>TRAIN_BA!C679</f>
        <v>Other Direct Costs Category 11</v>
      </c>
      <c r="F188" s="119"/>
    </row>
    <row r="189" spans="4:6" x14ac:dyDescent="0.3">
      <c r="D189" s="282" t="str">
        <f>TRAIN_BA!C680</f>
        <v>Other Direct Costs Category 12</v>
      </c>
      <c r="F189" s="119"/>
    </row>
    <row r="190" spans="4:6" x14ac:dyDescent="0.3">
      <c r="D190" s="282" t="str">
        <f>TRAIN_BA!C681</f>
        <v>Other Direct Costs Category 13</v>
      </c>
      <c r="F190" s="119"/>
    </row>
    <row r="191" spans="4:6" x14ac:dyDescent="0.3">
      <c r="D191" s="282" t="str">
        <f>TRAIN_BA!C682</f>
        <v>Other Direct Costs Category 14</v>
      </c>
      <c r="F191" s="119"/>
    </row>
    <row r="192" spans="4:6" x14ac:dyDescent="0.3">
      <c r="D192" s="282" t="str">
        <f>TRAIN_BA!C683</f>
        <v>Other Direct Costs Category 15</v>
      </c>
      <c r="F192" s="119"/>
    </row>
    <row r="193" spans="4:6" x14ac:dyDescent="0.3">
      <c r="D193" s="282" t="str">
        <f>TRAIN_BA!C684</f>
        <v>Other Direct Costs Category 16</v>
      </c>
      <c r="F193" s="119"/>
    </row>
    <row r="194" spans="4:6" x14ac:dyDescent="0.3">
      <c r="D194" s="282" t="str">
        <f>TRAIN_BA!C685</f>
        <v>Other Direct Costs Category 17</v>
      </c>
      <c r="F194" s="119"/>
    </row>
    <row r="195" spans="4:6" x14ac:dyDescent="0.3">
      <c r="D195" s="282" t="str">
        <f>TRAIN_BA!C686</f>
        <v>Other Direct Costs Category 18</v>
      </c>
      <c r="F195" s="119"/>
    </row>
    <row r="196" spans="4:6" x14ac:dyDescent="0.3">
      <c r="D196" s="282" t="str">
        <f>TRAIN_BA!C687</f>
        <v>Other Direct Costs Category 19</v>
      </c>
      <c r="F196" s="119"/>
    </row>
    <row r="197" spans="4:6" x14ac:dyDescent="0.3">
      <c r="D197" s="282" t="str">
        <f>TRAIN_BA!C688</f>
        <v>Other Direct Costs Category 20</v>
      </c>
      <c r="F197" s="119"/>
    </row>
    <row r="198" spans="4:6" x14ac:dyDescent="0.3">
      <c r="D198" s="282" t="str">
        <f>TRAIN_BA!C689</f>
        <v>Other Direct Costs Category 21</v>
      </c>
      <c r="F198" s="119"/>
    </row>
    <row r="199" spans="4:6" x14ac:dyDescent="0.3">
      <c r="D199" s="282" t="str">
        <f>TRAIN_BA!C690</f>
        <v>Other Direct Costs Category 22</v>
      </c>
      <c r="F199" s="119"/>
    </row>
    <row r="200" spans="4:6" x14ac:dyDescent="0.3">
      <c r="D200" s="282" t="str">
        <f>TRAIN_BA!C691</f>
        <v>Other Direct Costs Category 23</v>
      </c>
      <c r="F200" s="119"/>
    </row>
    <row r="201" spans="4:6" x14ac:dyDescent="0.3">
      <c r="D201" s="282" t="str">
        <f>TRAIN_BA!C692</f>
        <v>Other Direct Costs Category 24</v>
      </c>
      <c r="F201" s="119"/>
    </row>
    <row r="202" spans="4:6" x14ac:dyDescent="0.3">
      <c r="D202" s="282" t="str">
        <f>TRAIN_BA!C693</f>
        <v>Other Direct Costs Category 25</v>
      </c>
      <c r="F202" s="119"/>
    </row>
    <row r="203" spans="4:6" x14ac:dyDescent="0.3">
      <c r="D203" s="282" t="str">
        <f>TRAIN_BA!C694</f>
        <v>Other Direct Costs Category 26</v>
      </c>
      <c r="F203" s="119"/>
    </row>
    <row r="204" spans="4:6" x14ac:dyDescent="0.3">
      <c r="D204" s="282" t="str">
        <f>TRAIN_BA!C695</f>
        <v>Other Direct Costs Category 27</v>
      </c>
      <c r="F204" s="119"/>
    </row>
    <row r="205" spans="4:6" x14ac:dyDescent="0.3">
      <c r="D205" s="282" t="str">
        <f>TRAIN_BA!C696</f>
        <v>Other Direct Costs Category 28</v>
      </c>
      <c r="F205" s="119"/>
    </row>
    <row r="206" spans="4:6" x14ac:dyDescent="0.3">
      <c r="D206" s="282" t="str">
        <f>TRAIN_BA!C697</f>
        <v>Other Direct Costs Category 29</v>
      </c>
      <c r="F206" s="119"/>
    </row>
    <row r="207" spans="4:6" x14ac:dyDescent="0.3">
      <c r="D207" s="282" t="str">
        <f>TRAIN_BA!C698</f>
        <v>Other Direct Costs Category 30</v>
      </c>
      <c r="F207" s="119"/>
    </row>
    <row r="208" spans="4:6" x14ac:dyDescent="0.3">
      <c r="D208" s="282" t="str">
        <f>TRAIN_BA!C699</f>
        <v>Other Direct Costs Category 31</v>
      </c>
      <c r="F208" s="119"/>
    </row>
    <row r="209" spans="4:6" x14ac:dyDescent="0.3">
      <c r="D209" s="282" t="str">
        <f>TRAIN_BA!C700</f>
        <v>Other Direct Costs Category 32</v>
      </c>
      <c r="F209" s="119"/>
    </row>
    <row r="210" spans="4:6" x14ac:dyDescent="0.3">
      <c r="D210" s="282" t="str">
        <f>TRAIN_BA!C701</f>
        <v>Other Direct Costs Category 33</v>
      </c>
      <c r="F210" s="119"/>
    </row>
    <row r="211" spans="4:6" x14ac:dyDescent="0.3">
      <c r="D211" s="282" t="str">
        <f>TRAIN_BA!C702</f>
        <v>Other Direct Costs Category 34</v>
      </c>
      <c r="F211" s="119"/>
    </row>
    <row r="212" spans="4:6" x14ac:dyDescent="0.3">
      <c r="D212" s="282" t="str">
        <f>TRAIN_BA!C703</f>
        <v>Other Direct Costs Category 35</v>
      </c>
      <c r="F212" s="119"/>
    </row>
  </sheetData>
  <sheetProtection algorithmName="SHA-512" hashValue="CA4U5CJdN4kNZdL/JvFN2jASErnzg6GG5BaX3XTq/4XH6kcF9L32K2NYaBZrYP/Zs2oabXFxIxkXXjoJ4qsK8g==" saltValue="TMrAFPWONHt7PuPEezN25g==" spinCount="100000" sheet="1" objects="1" scenarios="1" formatColumns="0" formatRows="0"/>
  <mergeCells count="1">
    <mergeCell ref="B3:D3"/>
  </mergeCells>
  <hyperlinks>
    <hyperlink ref="A4" location="$B$5" tooltip="Go to Top of Sheet" display="$B$5" xr:uid="{00000000-0004-0000-3B00-000000000000}"/>
    <hyperlink ref="B4" location="HL_Sheet_Main_37" tooltip="Go to Previous Sheet" display="HL_Sheet_Main_37" xr:uid="{00000000-0004-0000-3B00-000001000000}"/>
    <hyperlink ref="C4" location="HL_Sheet_Main_39" tooltip="Go to Next Sheet" display="HL_Sheet_Main_39" xr:uid="{00000000-0004-0000-3B00-000002000000}"/>
    <hyperlink ref="B3" location="HL_Home" tooltip="Go to Table of Contents" display="HL_Home" xr:uid="{00000000-0004-0000-3B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1">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355</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357</v>
      </c>
    </row>
    <row r="9" spans="1:6" ht="15.6" x14ac:dyDescent="0.3">
      <c r="C9" s="115" t="s">
        <v>93</v>
      </c>
    </row>
    <row r="11" spans="1:6" ht="15.6" x14ac:dyDescent="0.3">
      <c r="C11" s="115" t="s">
        <v>93</v>
      </c>
      <c r="F11" s="115" t="s">
        <v>28</v>
      </c>
    </row>
    <row r="13" spans="1:6" x14ac:dyDescent="0.3">
      <c r="D13" s="116" t="s">
        <v>95</v>
      </c>
      <c r="F13" s="119" t="s">
        <v>337</v>
      </c>
    </row>
    <row r="14" spans="1:6" x14ac:dyDescent="0.3">
      <c r="D14" s="30" t="str">
        <f>TRAIN_BA!D862</f>
        <v>USD</v>
      </c>
      <c r="F14" s="33" t="s">
        <v>46</v>
      </c>
    </row>
    <row r="15" spans="1:6" x14ac:dyDescent="0.3">
      <c r="D15" s="30" t="str">
        <f>TRAIN_BA!D863</f>
        <v>GOZ</v>
      </c>
      <c r="F15" s="33" t="s">
        <v>46</v>
      </c>
    </row>
    <row r="17" spans="3:6" ht="15.6" x14ac:dyDescent="0.3">
      <c r="C17" s="115" t="s">
        <v>77</v>
      </c>
      <c r="F17" s="115" t="s">
        <v>28</v>
      </c>
    </row>
    <row r="19" spans="3:6" x14ac:dyDescent="0.3">
      <c r="D19" s="116" t="s">
        <v>95</v>
      </c>
      <c r="F19" s="119" t="s">
        <v>338</v>
      </c>
    </row>
    <row r="20" spans="3:6" x14ac:dyDescent="0.3">
      <c r="D20" s="30" t="str">
        <f>TRAIN_BA!C868</f>
        <v>Personnel Cadre - Other 1</v>
      </c>
      <c r="F20" s="33" t="s">
        <v>46</v>
      </c>
    </row>
    <row r="21" spans="3:6" x14ac:dyDescent="0.3">
      <c r="D21" s="30" t="str">
        <f>TRAIN_BA!C869</f>
        <v>Personnel Cadre - Other 2</v>
      </c>
      <c r="F21" s="33" t="s">
        <v>46</v>
      </c>
    </row>
    <row r="22" spans="3:6" x14ac:dyDescent="0.3">
      <c r="D22" s="30" t="str">
        <f>TRAIN_BA!C870</f>
        <v>Personnel Cadre - Other 3</v>
      </c>
      <c r="F22" s="33" t="s">
        <v>46</v>
      </c>
    </row>
    <row r="23" spans="3:6" x14ac:dyDescent="0.3">
      <c r="D23" s="30" t="str">
        <f>TRAIN_BA!C871</f>
        <v>Personnel Cadre - Other 4</v>
      </c>
      <c r="F23" s="33" t="s">
        <v>46</v>
      </c>
    </row>
    <row r="24" spans="3:6" x14ac:dyDescent="0.3">
      <c r="D24" s="30" t="str">
        <f>TRAIN_BA!C872</f>
        <v>Personnel Cadre - Other 5</v>
      </c>
      <c r="F24" s="33" t="s">
        <v>46</v>
      </c>
    </row>
    <row r="25" spans="3:6" x14ac:dyDescent="0.3">
      <c r="D25" s="30" t="str">
        <f>TRAIN_BA!C873</f>
        <v>Personnel Cadre - Other 6</v>
      </c>
      <c r="F25" s="33" t="s">
        <v>46</v>
      </c>
    </row>
    <row r="26" spans="3:6" x14ac:dyDescent="0.3">
      <c r="D26" s="30" t="str">
        <f>TRAIN_BA!C874</f>
        <v>Personnel Cadre - Other 7</v>
      </c>
      <c r="F26" s="33" t="s">
        <v>46</v>
      </c>
    </row>
    <row r="27" spans="3:6" x14ac:dyDescent="0.3">
      <c r="D27" s="30" t="str">
        <f>TRAIN_BA!C875</f>
        <v>Personnel Cadre - Other 8</v>
      </c>
      <c r="F27" s="33" t="s">
        <v>46</v>
      </c>
    </row>
    <row r="28" spans="3:6" x14ac:dyDescent="0.3">
      <c r="D28" s="30" t="str">
        <f>TRAIN_BA!C876</f>
        <v>Personnel Cadre - Other 9</v>
      </c>
      <c r="F28" s="33" t="s">
        <v>46</v>
      </c>
    </row>
    <row r="29" spans="3:6" x14ac:dyDescent="0.3">
      <c r="D29" s="30" t="str">
        <f>TRAIN_BA!C877</f>
        <v>Personnel Cadre - Other 10</v>
      </c>
      <c r="F29" s="33" t="s">
        <v>46</v>
      </c>
    </row>
    <row r="30" spans="3:6" x14ac:dyDescent="0.3">
      <c r="D30" s="30" t="str">
        <f>TRAIN_BA!C878</f>
        <v>Personnel Cadre - Other 11</v>
      </c>
      <c r="F30" s="33" t="s">
        <v>46</v>
      </c>
    </row>
    <row r="31" spans="3:6" x14ac:dyDescent="0.3">
      <c r="D31" s="30" t="str">
        <f>TRAIN_BA!C879</f>
        <v>Personnel Cadre - Other 12</v>
      </c>
      <c r="F31" s="33" t="s">
        <v>46</v>
      </c>
    </row>
    <row r="32" spans="3:6" x14ac:dyDescent="0.3">
      <c r="D32" s="30" t="str">
        <f>TRAIN_BA!C880</f>
        <v>Personnel Cadre - Other 13</v>
      </c>
      <c r="F32" s="33" t="s">
        <v>46</v>
      </c>
    </row>
    <row r="33" spans="4:6" x14ac:dyDescent="0.3">
      <c r="D33" s="30" t="str">
        <f>TRAIN_BA!C881</f>
        <v>Personnel Cadre - Other 14</v>
      </c>
      <c r="F33" s="33" t="s">
        <v>46</v>
      </c>
    </row>
    <row r="34" spans="4:6" x14ac:dyDescent="0.3">
      <c r="D34" s="30" t="str">
        <f>TRAIN_BA!C882</f>
        <v>Personnel Cadre - Other 15</v>
      </c>
      <c r="F34" s="33" t="s">
        <v>46</v>
      </c>
    </row>
    <row r="35" spans="4:6" x14ac:dyDescent="0.3">
      <c r="D35" s="282" t="str">
        <f>TRAIN_BA!C883</f>
        <v>Personnel Cadre - Other 16</v>
      </c>
      <c r="F35" s="119"/>
    </row>
    <row r="36" spans="4:6" x14ac:dyDescent="0.3">
      <c r="D36" s="282" t="str">
        <f>TRAIN_BA!C884</f>
        <v>Personnel Cadre - Other 17</v>
      </c>
      <c r="F36" s="119"/>
    </row>
    <row r="37" spans="4:6" x14ac:dyDescent="0.3">
      <c r="D37" s="282" t="str">
        <f>TRAIN_BA!C885</f>
        <v>Personnel Cadre - Other 18</v>
      </c>
      <c r="F37" s="119"/>
    </row>
    <row r="38" spans="4:6" x14ac:dyDescent="0.3">
      <c r="D38" s="282" t="str">
        <f>TRAIN_BA!C886</f>
        <v>Personnel Cadre - Other 19</v>
      </c>
      <c r="F38" s="119"/>
    </row>
    <row r="39" spans="4:6" x14ac:dyDescent="0.3">
      <c r="D39" s="282" t="str">
        <f>TRAIN_BA!C887</f>
        <v>Personnel Cadre - Other 20</v>
      </c>
      <c r="F39" s="119"/>
    </row>
    <row r="40" spans="4:6" x14ac:dyDescent="0.3">
      <c r="D40" s="282" t="str">
        <f>TRAIN_BA!C888</f>
        <v>Personnel Cadre - Other 21</v>
      </c>
      <c r="F40" s="119"/>
    </row>
    <row r="41" spans="4:6" x14ac:dyDescent="0.3">
      <c r="D41" s="282" t="str">
        <f>TRAIN_BA!C889</f>
        <v>Personnel Cadre - Other 22</v>
      </c>
      <c r="F41" s="119"/>
    </row>
    <row r="42" spans="4:6" x14ac:dyDescent="0.3">
      <c r="D42" s="282" t="str">
        <f>TRAIN_BA!C890</f>
        <v>Personnel Cadre - Other 23</v>
      </c>
      <c r="F42" s="119"/>
    </row>
    <row r="43" spans="4:6" x14ac:dyDescent="0.3">
      <c r="D43" s="282" t="str">
        <f>TRAIN_BA!C891</f>
        <v>Personnel Cadre - Other 24</v>
      </c>
      <c r="F43" s="119"/>
    </row>
    <row r="44" spans="4:6" x14ac:dyDescent="0.3">
      <c r="D44" s="282" t="str">
        <f>TRAIN_BA!C892</f>
        <v>Personnel Cadre - Other 25</v>
      </c>
      <c r="F44" s="119"/>
    </row>
    <row r="45" spans="4:6" x14ac:dyDescent="0.3">
      <c r="D45" s="282" t="str">
        <f>TRAIN_BA!C893</f>
        <v>Personnel Cadre - Other 26</v>
      </c>
      <c r="F45" s="119"/>
    </row>
    <row r="46" spans="4:6" x14ac:dyDescent="0.3">
      <c r="D46" s="282" t="str">
        <f>TRAIN_BA!C894</f>
        <v>Personnel Cadre - Other 27</v>
      </c>
      <c r="F46" s="119"/>
    </row>
    <row r="47" spans="4:6" x14ac:dyDescent="0.3">
      <c r="D47" s="282" t="str">
        <f>TRAIN_BA!C895</f>
        <v>Personnel Cadre - Other 28</v>
      </c>
      <c r="F47" s="119"/>
    </row>
    <row r="48" spans="4:6" x14ac:dyDescent="0.3">
      <c r="D48" s="282" t="str">
        <f>TRAIN_BA!C896</f>
        <v>Personnel Cadre - Other 29</v>
      </c>
      <c r="F48" s="119"/>
    </row>
    <row r="49" spans="3:6" x14ac:dyDescent="0.3">
      <c r="D49" s="282" t="str">
        <f>TRAIN_BA!C897</f>
        <v>Personnel Cadre - Other 30</v>
      </c>
      <c r="F49" s="119"/>
    </row>
    <row r="50" spans="3:6" x14ac:dyDescent="0.3">
      <c r="D50" s="282" t="str">
        <f>TRAIN_BA!C898</f>
        <v>Personnel Cadre - Other 31</v>
      </c>
      <c r="F50" s="119"/>
    </row>
    <row r="51" spans="3:6" x14ac:dyDescent="0.3">
      <c r="D51" s="282" t="str">
        <f>TRAIN_BA!C899</f>
        <v>Personnel Cadre - Other 32</v>
      </c>
      <c r="F51" s="119"/>
    </row>
    <row r="52" spans="3:6" x14ac:dyDescent="0.3">
      <c r="D52" s="282" t="str">
        <f>TRAIN_BA!C900</f>
        <v>Personnel Cadre - Other 33</v>
      </c>
      <c r="F52" s="119"/>
    </row>
    <row r="53" spans="3:6" x14ac:dyDescent="0.3">
      <c r="D53" s="282" t="str">
        <f>TRAIN_BA!C901</f>
        <v>Personnel Cadre - Other 34</v>
      </c>
      <c r="F53" s="119"/>
    </row>
    <row r="54" spans="3:6" x14ac:dyDescent="0.3">
      <c r="D54" s="282" t="str">
        <f>TRAIN_BA!C902</f>
        <v>Personnel Cadre - Other 35</v>
      </c>
      <c r="F54" s="119"/>
    </row>
    <row r="56" spans="3:6" ht="15.6" x14ac:dyDescent="0.3">
      <c r="C56" s="115" t="s">
        <v>94</v>
      </c>
      <c r="F56" s="115" t="s">
        <v>28</v>
      </c>
    </row>
    <row r="58" spans="3:6" x14ac:dyDescent="0.3">
      <c r="D58" s="116" t="s">
        <v>95</v>
      </c>
      <c r="F58" s="119" t="s">
        <v>339</v>
      </c>
    </row>
    <row r="59" spans="3:6" x14ac:dyDescent="0.3">
      <c r="D59" s="30" t="str">
        <f>TRAIN_BA!C905</f>
        <v>Allowances Category 1</v>
      </c>
      <c r="F59" s="33" t="s">
        <v>46</v>
      </c>
    </row>
    <row r="60" spans="3:6" x14ac:dyDescent="0.3">
      <c r="D60" s="30" t="str">
        <f>TRAIN_BA!C906</f>
        <v>Allowances Category 2</v>
      </c>
      <c r="F60" s="33" t="s">
        <v>46</v>
      </c>
    </row>
    <row r="61" spans="3:6" x14ac:dyDescent="0.3">
      <c r="D61" s="30" t="str">
        <f>TRAIN_BA!C907</f>
        <v>Allowances Category 3</v>
      </c>
      <c r="F61" s="33" t="s">
        <v>46</v>
      </c>
    </row>
    <row r="62" spans="3:6" x14ac:dyDescent="0.3">
      <c r="D62" s="30" t="str">
        <f>TRAIN_BA!C908</f>
        <v>Allowances Category 4</v>
      </c>
      <c r="F62" s="33" t="s">
        <v>46</v>
      </c>
    </row>
    <row r="63" spans="3:6" x14ac:dyDescent="0.3">
      <c r="D63" s="30" t="str">
        <f>TRAIN_BA!C909</f>
        <v>Allowances Category 5</v>
      </c>
      <c r="F63" s="33" t="s">
        <v>46</v>
      </c>
    </row>
    <row r="64" spans="3:6" x14ac:dyDescent="0.3">
      <c r="D64" s="282" t="str">
        <f>TRAIN_BA!C910</f>
        <v>Allowances Category 6</v>
      </c>
      <c r="F64" s="119"/>
    </row>
    <row r="65" spans="4:6" x14ac:dyDescent="0.3">
      <c r="D65" s="282" t="str">
        <f>TRAIN_BA!C911</f>
        <v>Allowances Category 7</v>
      </c>
      <c r="F65" s="119"/>
    </row>
    <row r="66" spans="4:6" x14ac:dyDescent="0.3">
      <c r="D66" s="282" t="str">
        <f>TRAIN_BA!C912</f>
        <v>Allowances Category 8</v>
      </c>
      <c r="F66" s="119"/>
    </row>
    <row r="67" spans="4:6" x14ac:dyDescent="0.3">
      <c r="D67" s="282" t="str">
        <f>TRAIN_BA!C913</f>
        <v>Allowances Category 9</v>
      </c>
      <c r="F67" s="119"/>
    </row>
    <row r="68" spans="4:6" x14ac:dyDescent="0.3">
      <c r="D68" s="282" t="str">
        <f>TRAIN_BA!C914</f>
        <v>Allowances Category 10</v>
      </c>
      <c r="F68" s="119"/>
    </row>
    <row r="69" spans="4:6" x14ac:dyDescent="0.3">
      <c r="D69" s="282" t="str">
        <f>TRAIN_BA!C915</f>
        <v>Allowances Category 11</v>
      </c>
      <c r="F69" s="119"/>
    </row>
    <row r="70" spans="4:6" x14ac:dyDescent="0.3">
      <c r="D70" s="282" t="str">
        <f>TRAIN_BA!C916</f>
        <v>Allowances Category 12</v>
      </c>
      <c r="F70" s="119"/>
    </row>
    <row r="71" spans="4:6" x14ac:dyDescent="0.3">
      <c r="D71" s="282" t="str">
        <f>TRAIN_BA!C917</f>
        <v>Allowances Category 13</v>
      </c>
      <c r="F71" s="119"/>
    </row>
    <row r="72" spans="4:6" x14ac:dyDescent="0.3">
      <c r="D72" s="282" t="str">
        <f>TRAIN_BA!C918</f>
        <v>Allowances Category 14</v>
      </c>
      <c r="F72" s="119"/>
    </row>
    <row r="73" spans="4:6" x14ac:dyDescent="0.3">
      <c r="D73" s="282" t="str">
        <f>TRAIN_BA!C919</f>
        <v>Allowances Category 15</v>
      </c>
      <c r="F73" s="119"/>
    </row>
    <row r="74" spans="4:6" x14ac:dyDescent="0.3">
      <c r="D74" s="282" t="str">
        <f>TRAIN_BA!C920</f>
        <v>Allowances Category 16</v>
      </c>
      <c r="F74" s="119"/>
    </row>
    <row r="75" spans="4:6" x14ac:dyDescent="0.3">
      <c r="D75" s="30" t="str">
        <f>TRAIN_BA!C921</f>
        <v>Allowances Category 17</v>
      </c>
      <c r="F75" s="33" t="s">
        <v>46</v>
      </c>
    </row>
    <row r="76" spans="4:6" x14ac:dyDescent="0.3">
      <c r="D76" s="30" t="str">
        <f>TRAIN_BA!C922</f>
        <v>Allowances Category 18</v>
      </c>
      <c r="F76" s="33" t="s">
        <v>46</v>
      </c>
    </row>
    <row r="77" spans="4:6" x14ac:dyDescent="0.3">
      <c r="D77" s="30" t="str">
        <f>TRAIN_BA!C923</f>
        <v>Allowances Category 19</v>
      </c>
      <c r="F77" s="33" t="s">
        <v>46</v>
      </c>
    </row>
    <row r="78" spans="4:6" x14ac:dyDescent="0.3">
      <c r="D78" s="30" t="str">
        <f>TRAIN_BA!C924</f>
        <v>Allowances Category 20</v>
      </c>
      <c r="F78" s="33" t="s">
        <v>46</v>
      </c>
    </row>
    <row r="79" spans="4:6" x14ac:dyDescent="0.3">
      <c r="D79" s="30" t="str">
        <f>TRAIN_BA!C925</f>
        <v>Allowances Category 21</v>
      </c>
      <c r="F79" s="33" t="s">
        <v>46</v>
      </c>
    </row>
    <row r="80" spans="4:6" x14ac:dyDescent="0.3">
      <c r="D80" s="30" t="str">
        <f>TRAIN_BA!C926</f>
        <v>Allowances Category 22</v>
      </c>
      <c r="F80" s="33" t="s">
        <v>46</v>
      </c>
    </row>
    <row r="81" spans="3:6" x14ac:dyDescent="0.3">
      <c r="D81" s="30" t="str">
        <f>TRAIN_BA!C927</f>
        <v>Allowances Category 23</v>
      </c>
      <c r="F81" s="33" t="s">
        <v>46</v>
      </c>
    </row>
    <row r="82" spans="3:6" x14ac:dyDescent="0.3">
      <c r="D82" s="282" t="str">
        <f>TRAIN_BA!C928</f>
        <v>Allowances Category 24</v>
      </c>
      <c r="F82" s="119"/>
    </row>
    <row r="83" spans="3:6" x14ac:dyDescent="0.3">
      <c r="D83" s="282" t="str">
        <f>TRAIN_BA!C929</f>
        <v>Allowances Category 25</v>
      </c>
      <c r="F83" s="119"/>
    </row>
    <row r="84" spans="3:6" x14ac:dyDescent="0.3">
      <c r="D84" s="282" t="str">
        <f>TRAIN_BA!C930</f>
        <v>Allowances Category 26</v>
      </c>
      <c r="F84" s="119"/>
    </row>
    <row r="85" spans="3:6" x14ac:dyDescent="0.3">
      <c r="D85" s="282" t="str">
        <f>TRAIN_BA!C931</f>
        <v>Allowances Category 27</v>
      </c>
      <c r="F85" s="119"/>
    </row>
    <row r="86" spans="3:6" x14ac:dyDescent="0.3">
      <c r="D86" s="282" t="str">
        <f>TRAIN_BA!C932</f>
        <v>Allowances Category 28</v>
      </c>
      <c r="F86" s="119"/>
    </row>
    <row r="87" spans="3:6" x14ac:dyDescent="0.3">
      <c r="D87" s="282" t="str">
        <f>TRAIN_BA!C933</f>
        <v>Allowances Category 29</v>
      </c>
      <c r="F87" s="119"/>
    </row>
    <row r="88" spans="3:6" x14ac:dyDescent="0.3">
      <c r="D88" s="282" t="str">
        <f>TRAIN_BA!C934</f>
        <v>Allowances Category 30</v>
      </c>
      <c r="F88" s="119"/>
    </row>
    <row r="89" spans="3:6" x14ac:dyDescent="0.3">
      <c r="D89" s="30" t="str">
        <f>TRAIN_BA!C935</f>
        <v>Allowances Category 31</v>
      </c>
      <c r="F89" s="33" t="s">
        <v>46</v>
      </c>
    </row>
    <row r="90" spans="3:6" x14ac:dyDescent="0.3">
      <c r="D90" s="30" t="str">
        <f>TRAIN_BA!C936</f>
        <v>Allowances Category 32</v>
      </c>
      <c r="F90" s="33" t="s">
        <v>46</v>
      </c>
    </row>
    <row r="91" spans="3:6" x14ac:dyDescent="0.3">
      <c r="D91" s="30" t="str">
        <f>TRAIN_BA!C937</f>
        <v>Allowances Category 33</v>
      </c>
      <c r="F91" s="33" t="s">
        <v>46</v>
      </c>
    </row>
    <row r="92" spans="3:6" x14ac:dyDescent="0.3">
      <c r="D92" s="30" t="str">
        <f>TRAIN_BA!C938</f>
        <v>Allowances Category 34</v>
      </c>
      <c r="F92" s="33" t="s">
        <v>46</v>
      </c>
    </row>
    <row r="93" spans="3:6" x14ac:dyDescent="0.3">
      <c r="D93" s="30" t="str">
        <f>TRAIN_BA!C939</f>
        <v>Allowances Category 35</v>
      </c>
      <c r="F93" s="33" t="s">
        <v>46</v>
      </c>
    </row>
    <row r="96" spans="3:6" ht="15.6" x14ac:dyDescent="0.3">
      <c r="C96" s="115" t="s">
        <v>132</v>
      </c>
      <c r="F96" s="115" t="s">
        <v>28</v>
      </c>
    </row>
    <row r="98" spans="4:6" x14ac:dyDescent="0.3">
      <c r="D98" s="116" t="s">
        <v>95</v>
      </c>
      <c r="F98" s="119" t="s">
        <v>340</v>
      </c>
    </row>
    <row r="99" spans="4:6" x14ac:dyDescent="0.3">
      <c r="D99" s="30" t="str">
        <f>TRAIN_BA!C943</f>
        <v>Supplies Category 1</v>
      </c>
      <c r="F99" s="33" t="s">
        <v>46</v>
      </c>
    </row>
    <row r="100" spans="4:6" x14ac:dyDescent="0.3">
      <c r="D100" s="30" t="str">
        <f>TRAIN_BA!C944</f>
        <v>Supplies Category 2</v>
      </c>
      <c r="F100" s="33" t="s">
        <v>46</v>
      </c>
    </row>
    <row r="101" spans="4:6" x14ac:dyDescent="0.3">
      <c r="D101" s="30" t="str">
        <f>TRAIN_BA!C945</f>
        <v>Supplies Category 3</v>
      </c>
      <c r="F101" s="33" t="s">
        <v>46</v>
      </c>
    </row>
    <row r="102" spans="4:6" x14ac:dyDescent="0.3">
      <c r="D102" s="30" t="str">
        <f>TRAIN_BA!C946</f>
        <v>Supplies Category 4</v>
      </c>
      <c r="F102" s="33" t="s">
        <v>46</v>
      </c>
    </row>
    <row r="103" spans="4:6" x14ac:dyDescent="0.3">
      <c r="D103" s="30" t="str">
        <f>TRAIN_BA!C947</f>
        <v>Supplies Category 5</v>
      </c>
      <c r="F103" s="33" t="s">
        <v>46</v>
      </c>
    </row>
    <row r="104" spans="4:6" x14ac:dyDescent="0.3">
      <c r="D104" s="30" t="str">
        <f>TRAIN_BA!C948</f>
        <v>Supplies Category 6</v>
      </c>
      <c r="F104" s="33" t="s">
        <v>46</v>
      </c>
    </row>
    <row r="105" spans="4:6" x14ac:dyDescent="0.3">
      <c r="D105" s="30" t="str">
        <f>TRAIN_BA!C949</f>
        <v>Supplies Category 7</v>
      </c>
      <c r="F105" s="33" t="s">
        <v>46</v>
      </c>
    </row>
    <row r="106" spans="4:6" x14ac:dyDescent="0.3">
      <c r="D106" s="30" t="str">
        <f>TRAIN_BA!C950</f>
        <v>Supplies Category 8</v>
      </c>
      <c r="F106" s="33" t="s">
        <v>46</v>
      </c>
    </row>
    <row r="107" spans="4:6" x14ac:dyDescent="0.3">
      <c r="D107" s="30" t="str">
        <f>TRAIN_BA!C951</f>
        <v>Supplies Category 9</v>
      </c>
      <c r="F107" s="33" t="s">
        <v>46</v>
      </c>
    </row>
    <row r="108" spans="4:6" x14ac:dyDescent="0.3">
      <c r="D108" s="30" t="str">
        <f>TRAIN_BA!C952</f>
        <v>Supplies Category 10</v>
      </c>
      <c r="F108" s="33" t="s">
        <v>46</v>
      </c>
    </row>
    <row r="109" spans="4:6" x14ac:dyDescent="0.3">
      <c r="D109" s="30" t="str">
        <f>TRAIN_BA!C953</f>
        <v>Supplies Category 11</v>
      </c>
      <c r="F109" s="33" t="s">
        <v>46</v>
      </c>
    </row>
    <row r="110" spans="4:6" x14ac:dyDescent="0.3">
      <c r="D110" s="30" t="str">
        <f>TRAIN_BA!C954</f>
        <v>Supplies Category 12</v>
      </c>
      <c r="F110" s="33" t="s">
        <v>46</v>
      </c>
    </row>
    <row r="111" spans="4:6" x14ac:dyDescent="0.3">
      <c r="D111" s="30" t="str">
        <f>TRAIN_BA!C955</f>
        <v>Supplies Category 13</v>
      </c>
      <c r="F111" s="33" t="s">
        <v>46</v>
      </c>
    </row>
    <row r="112" spans="4:6" x14ac:dyDescent="0.3">
      <c r="D112" s="30" t="str">
        <f>TRAIN_BA!C956</f>
        <v>Supplies Category 14</v>
      </c>
      <c r="F112" s="33" t="s">
        <v>46</v>
      </c>
    </row>
    <row r="113" spans="4:6" x14ac:dyDescent="0.3">
      <c r="D113" s="30" t="str">
        <f>TRAIN_BA!C957</f>
        <v>Supplies Category 15</v>
      </c>
      <c r="F113" s="33" t="s">
        <v>46</v>
      </c>
    </row>
    <row r="114" spans="4:6" x14ac:dyDescent="0.3">
      <c r="D114" s="30" t="str">
        <f>TRAIN_BA!C958</f>
        <v>Supplies Category 16</v>
      </c>
      <c r="F114" s="33" t="s">
        <v>46</v>
      </c>
    </row>
    <row r="115" spans="4:6" x14ac:dyDescent="0.3">
      <c r="D115" s="282" t="str">
        <f>TRAIN_BA!C959</f>
        <v>Supplies Category 17</v>
      </c>
      <c r="F115" s="119"/>
    </row>
    <row r="116" spans="4:6" x14ac:dyDescent="0.3">
      <c r="D116" s="282" t="str">
        <f>TRAIN_BA!C960</f>
        <v>Supplies Category 18</v>
      </c>
      <c r="F116" s="119"/>
    </row>
    <row r="117" spans="4:6" x14ac:dyDescent="0.3">
      <c r="D117" s="282" t="str">
        <f>TRAIN_BA!C961</f>
        <v>Supplies Category 19</v>
      </c>
      <c r="F117" s="119"/>
    </row>
    <row r="118" spans="4:6" x14ac:dyDescent="0.3">
      <c r="D118" s="282" t="str">
        <f>TRAIN_BA!C962</f>
        <v>Supplies Category 20</v>
      </c>
      <c r="F118" s="119"/>
    </row>
    <row r="119" spans="4:6" x14ac:dyDescent="0.3">
      <c r="D119" s="282" t="str">
        <f>TRAIN_BA!C963</f>
        <v>Supplies Category 21</v>
      </c>
      <c r="F119" s="119"/>
    </row>
    <row r="120" spans="4:6" x14ac:dyDescent="0.3">
      <c r="D120" s="282" t="str">
        <f>TRAIN_BA!C964</f>
        <v>Supplies Category 22</v>
      </c>
      <c r="F120" s="119"/>
    </row>
    <row r="121" spans="4:6" x14ac:dyDescent="0.3">
      <c r="D121" s="282" t="str">
        <f>TRAIN_BA!C965</f>
        <v>Supplies Category 23</v>
      </c>
      <c r="F121" s="119"/>
    </row>
    <row r="122" spans="4:6" x14ac:dyDescent="0.3">
      <c r="D122" s="282" t="str">
        <f>TRAIN_BA!C966</f>
        <v>Supplies Category 24</v>
      </c>
      <c r="F122" s="119"/>
    </row>
    <row r="123" spans="4:6" x14ac:dyDescent="0.3">
      <c r="D123" s="282" t="str">
        <f>TRAIN_BA!C967</f>
        <v>Supplies Category 25</v>
      </c>
      <c r="F123" s="119"/>
    </row>
    <row r="124" spans="4:6" x14ac:dyDescent="0.3">
      <c r="D124" s="282" t="str">
        <f>TRAIN_BA!C968</f>
        <v>Supplies Category 26</v>
      </c>
      <c r="F124" s="119"/>
    </row>
    <row r="125" spans="4:6" x14ac:dyDescent="0.3">
      <c r="D125" s="282" t="str">
        <f>TRAIN_BA!C969</f>
        <v>Supplies Category 27</v>
      </c>
      <c r="F125" s="119"/>
    </row>
    <row r="126" spans="4:6" x14ac:dyDescent="0.3">
      <c r="D126" s="282" t="str">
        <f>TRAIN_BA!C970</f>
        <v>Supplies Category 28</v>
      </c>
      <c r="F126" s="119"/>
    </row>
    <row r="127" spans="4:6" x14ac:dyDescent="0.3">
      <c r="D127" s="282" t="str">
        <f>TRAIN_BA!C971</f>
        <v>Supplies Category 29</v>
      </c>
      <c r="F127" s="119"/>
    </row>
    <row r="128" spans="4:6" x14ac:dyDescent="0.3">
      <c r="D128" s="282" t="str">
        <f>TRAIN_BA!C972</f>
        <v>Supplies Category 30</v>
      </c>
      <c r="F128" s="119"/>
    </row>
    <row r="129" spans="3:6" x14ac:dyDescent="0.3">
      <c r="D129" s="282" t="str">
        <f>TRAIN_BA!C973</f>
        <v>Supplies Category 31</v>
      </c>
      <c r="F129" s="119"/>
    </row>
    <row r="130" spans="3:6" x14ac:dyDescent="0.3">
      <c r="D130" s="282" t="str">
        <f>TRAIN_BA!C974</f>
        <v>Supplies Category 32</v>
      </c>
      <c r="F130" s="119"/>
    </row>
    <row r="131" spans="3:6" x14ac:dyDescent="0.3">
      <c r="D131" s="282" t="str">
        <f>TRAIN_BA!C975</f>
        <v>Supplies Category 33</v>
      </c>
      <c r="F131" s="119"/>
    </row>
    <row r="132" spans="3:6" x14ac:dyDescent="0.3">
      <c r="D132" s="282" t="str">
        <f>TRAIN_BA!C976</f>
        <v>Supplies Category 34</v>
      </c>
      <c r="F132" s="119"/>
    </row>
    <row r="133" spans="3:6" x14ac:dyDescent="0.3">
      <c r="D133" s="282" t="str">
        <f>TRAIN_BA!C977</f>
        <v>Supplies Category 35</v>
      </c>
      <c r="F133" s="119"/>
    </row>
    <row r="136" spans="3:6" ht="15.6" x14ac:dyDescent="0.3">
      <c r="C136" s="115" t="s">
        <v>130</v>
      </c>
      <c r="F136" s="115" t="s">
        <v>28</v>
      </c>
    </row>
    <row r="138" spans="3:6" x14ac:dyDescent="0.3">
      <c r="D138" s="116" t="s">
        <v>95</v>
      </c>
      <c r="F138" s="119" t="s">
        <v>341</v>
      </c>
    </row>
    <row r="139" spans="3:6" x14ac:dyDescent="0.3">
      <c r="D139" s="30" t="str">
        <f>TRAIN_BA!C980</f>
        <v>Equipment Category 1</v>
      </c>
      <c r="F139" s="33" t="s">
        <v>46</v>
      </c>
    </row>
    <row r="140" spans="3:6" x14ac:dyDescent="0.3">
      <c r="D140" s="30" t="str">
        <f>TRAIN_BA!C981</f>
        <v>Equipment Category 2</v>
      </c>
      <c r="F140" s="33" t="s">
        <v>46</v>
      </c>
    </row>
    <row r="141" spans="3:6" x14ac:dyDescent="0.3">
      <c r="D141" s="30" t="str">
        <f>TRAIN_BA!C982</f>
        <v>Equipment Category 3</v>
      </c>
      <c r="F141" s="33" t="s">
        <v>46</v>
      </c>
    </row>
    <row r="142" spans="3:6" x14ac:dyDescent="0.3">
      <c r="D142" s="30" t="str">
        <f>TRAIN_BA!C983</f>
        <v>Equipment Category 4</v>
      </c>
      <c r="F142" s="33" t="s">
        <v>46</v>
      </c>
    </row>
    <row r="143" spans="3:6" x14ac:dyDescent="0.3">
      <c r="D143" s="30" t="str">
        <f>TRAIN_BA!C984</f>
        <v>Equipment Category 5</v>
      </c>
      <c r="F143" s="33" t="s">
        <v>46</v>
      </c>
    </row>
    <row r="144" spans="3:6" x14ac:dyDescent="0.3">
      <c r="D144" s="30" t="str">
        <f>TRAIN_BA!C985</f>
        <v>Equipment Category 6</v>
      </c>
      <c r="F144" s="33" t="s">
        <v>46</v>
      </c>
    </row>
    <row r="145" spans="4:6" x14ac:dyDescent="0.3">
      <c r="D145" s="282" t="str">
        <f>TRAIN_BA!C986</f>
        <v>Equipment Category 7</v>
      </c>
      <c r="F145" s="119"/>
    </row>
    <row r="146" spans="4:6" x14ac:dyDescent="0.3">
      <c r="D146" s="282" t="str">
        <f>TRAIN_BA!C987</f>
        <v>Equipment Category 8</v>
      </c>
      <c r="F146" s="119"/>
    </row>
    <row r="147" spans="4:6" x14ac:dyDescent="0.3">
      <c r="D147" s="282" t="str">
        <f>TRAIN_BA!C988</f>
        <v>Equipment Category 9</v>
      </c>
      <c r="F147" s="119"/>
    </row>
    <row r="148" spans="4:6" x14ac:dyDescent="0.3">
      <c r="D148" s="282" t="str">
        <f>TRAIN_BA!C989</f>
        <v>Equipment Category 10</v>
      </c>
      <c r="F148" s="119"/>
    </row>
    <row r="149" spans="4:6" x14ac:dyDescent="0.3">
      <c r="D149" s="282" t="str">
        <f>TRAIN_BA!C990</f>
        <v>Equipment Category 11</v>
      </c>
      <c r="F149" s="119"/>
    </row>
    <row r="150" spans="4:6" x14ac:dyDescent="0.3">
      <c r="D150" s="282" t="str">
        <f>TRAIN_BA!C991</f>
        <v>Equipment Category 12</v>
      </c>
      <c r="F150" s="119"/>
    </row>
    <row r="151" spans="4:6" x14ac:dyDescent="0.3">
      <c r="D151" s="282" t="str">
        <f>TRAIN_BA!C992</f>
        <v>Equipment Category 13</v>
      </c>
      <c r="F151" s="119"/>
    </row>
    <row r="152" spans="4:6" x14ac:dyDescent="0.3">
      <c r="D152" s="282" t="str">
        <f>TRAIN_BA!C993</f>
        <v>Equipment Category 14</v>
      </c>
      <c r="F152" s="119"/>
    </row>
    <row r="153" spans="4:6" x14ac:dyDescent="0.3">
      <c r="D153" s="282" t="str">
        <f>TRAIN_BA!C994</f>
        <v>Equipment Category 15</v>
      </c>
      <c r="F153" s="119"/>
    </row>
    <row r="154" spans="4:6" x14ac:dyDescent="0.3">
      <c r="D154" s="282" t="str">
        <f>TRAIN_BA!C995</f>
        <v>Equipment Category 16</v>
      </c>
      <c r="F154" s="119"/>
    </row>
    <row r="155" spans="4:6" x14ac:dyDescent="0.3">
      <c r="D155" s="282" t="str">
        <f>TRAIN_BA!C996</f>
        <v>Equipment Category 17</v>
      </c>
      <c r="F155" s="119"/>
    </row>
    <row r="156" spans="4:6" x14ac:dyDescent="0.3">
      <c r="D156" s="282" t="str">
        <f>TRAIN_BA!C997</f>
        <v>Equipment Category 18</v>
      </c>
      <c r="F156" s="119"/>
    </row>
    <row r="157" spans="4:6" x14ac:dyDescent="0.3">
      <c r="D157" s="282" t="str">
        <f>TRAIN_BA!C998</f>
        <v>Equipment Category 19</v>
      </c>
      <c r="F157" s="119"/>
    </row>
    <row r="158" spans="4:6" x14ac:dyDescent="0.3">
      <c r="D158" s="282" t="str">
        <f>TRAIN_BA!C999</f>
        <v>Equipment Category 20</v>
      </c>
      <c r="F158" s="119"/>
    </row>
    <row r="159" spans="4:6" x14ac:dyDescent="0.3">
      <c r="D159" s="282" t="str">
        <f>TRAIN_BA!C1000</f>
        <v>Equipment Category 21</v>
      </c>
      <c r="F159" s="119"/>
    </row>
    <row r="160" spans="4:6" x14ac:dyDescent="0.3">
      <c r="D160" s="282" t="str">
        <f>TRAIN_BA!C1001</f>
        <v>Equipment Category 22</v>
      </c>
      <c r="F160" s="119"/>
    </row>
    <row r="161" spans="3:6" x14ac:dyDescent="0.3">
      <c r="D161" s="282" t="str">
        <f>TRAIN_BA!C1002</f>
        <v>Equipment Category 23</v>
      </c>
      <c r="F161" s="119"/>
    </row>
    <row r="162" spans="3:6" x14ac:dyDescent="0.3">
      <c r="D162" s="282" t="str">
        <f>TRAIN_BA!C1003</f>
        <v>Equipment Category 24</v>
      </c>
      <c r="F162" s="119"/>
    </row>
    <row r="163" spans="3:6" x14ac:dyDescent="0.3">
      <c r="D163" s="282" t="str">
        <f>TRAIN_BA!C1004</f>
        <v>Equipment Category 25</v>
      </c>
      <c r="F163" s="119"/>
    </row>
    <row r="164" spans="3:6" x14ac:dyDescent="0.3">
      <c r="D164" s="282" t="str">
        <f>TRAIN_BA!C1005</f>
        <v>Equipment Category 26</v>
      </c>
      <c r="F164" s="119"/>
    </row>
    <row r="165" spans="3:6" x14ac:dyDescent="0.3">
      <c r="D165" s="282" t="str">
        <f>TRAIN_BA!C1006</f>
        <v>Equipment Category 27</v>
      </c>
      <c r="F165" s="119"/>
    </row>
    <row r="166" spans="3:6" x14ac:dyDescent="0.3">
      <c r="D166" s="282" t="str">
        <f>TRAIN_BA!C1007</f>
        <v>Equipment Category 28</v>
      </c>
      <c r="F166" s="119"/>
    </row>
    <row r="167" spans="3:6" x14ac:dyDescent="0.3">
      <c r="D167" s="282" t="str">
        <f>TRAIN_BA!C1008</f>
        <v>Equipment Category 29</v>
      </c>
      <c r="F167" s="119"/>
    </row>
    <row r="168" spans="3:6" x14ac:dyDescent="0.3">
      <c r="D168" s="282" t="str">
        <f>TRAIN_BA!C1009</f>
        <v>Equipment Category 30</v>
      </c>
      <c r="F168" s="119"/>
    </row>
    <row r="169" spans="3:6" x14ac:dyDescent="0.3">
      <c r="D169" s="282" t="str">
        <f>TRAIN_BA!C1010</f>
        <v>Equipment Category 31</v>
      </c>
      <c r="F169" s="119"/>
    </row>
    <row r="170" spans="3:6" x14ac:dyDescent="0.3">
      <c r="D170" s="282" t="str">
        <f>TRAIN_BA!C1011</f>
        <v>Equipment Category 32</v>
      </c>
      <c r="F170" s="119"/>
    </row>
    <row r="171" spans="3:6" x14ac:dyDescent="0.3">
      <c r="D171" s="282" t="str">
        <f>TRAIN_BA!C1012</f>
        <v>Equipment Category 33</v>
      </c>
      <c r="F171" s="119"/>
    </row>
    <row r="172" spans="3:6" x14ac:dyDescent="0.3">
      <c r="D172" s="282" t="str">
        <f>TRAIN_BA!C1013</f>
        <v>Equipment Category 34</v>
      </c>
      <c r="F172" s="119"/>
    </row>
    <row r="173" spans="3:6" x14ac:dyDescent="0.3">
      <c r="D173" s="282" t="str">
        <f>TRAIN_BA!C1014</f>
        <v>Equipment Category 35</v>
      </c>
      <c r="F173" s="119"/>
    </row>
    <row r="175" spans="3:6" ht="15.6" x14ac:dyDescent="0.3">
      <c r="C175" s="115" t="s">
        <v>89</v>
      </c>
      <c r="F175" s="115" t="s">
        <v>28</v>
      </c>
    </row>
    <row r="177" spans="4:6" x14ac:dyDescent="0.3">
      <c r="D177" s="116" t="s">
        <v>95</v>
      </c>
      <c r="F177" s="119" t="s">
        <v>342</v>
      </c>
    </row>
    <row r="178" spans="4:6" x14ac:dyDescent="0.3">
      <c r="D178" s="30" t="str">
        <f>TRAIN_BA!C1018</f>
        <v>Other Direct Costs Category 1</v>
      </c>
      <c r="F178" s="33" t="s">
        <v>46</v>
      </c>
    </row>
    <row r="179" spans="4:6" x14ac:dyDescent="0.3">
      <c r="D179" s="30" t="str">
        <f>TRAIN_BA!C1019</f>
        <v>Other Direct Costs Category 2</v>
      </c>
      <c r="F179" s="33" t="s">
        <v>46</v>
      </c>
    </row>
    <row r="180" spans="4:6" x14ac:dyDescent="0.3">
      <c r="D180" s="30" t="str">
        <f>TRAIN_BA!C1020</f>
        <v>Other Direct Costs Category 3</v>
      </c>
      <c r="F180" s="33" t="s">
        <v>46</v>
      </c>
    </row>
    <row r="181" spans="4:6" x14ac:dyDescent="0.3">
      <c r="D181" s="282" t="str">
        <f>TRAIN_BA!C1021</f>
        <v>Other Direct Costs Category 4</v>
      </c>
      <c r="F181" s="119"/>
    </row>
    <row r="182" spans="4:6" x14ac:dyDescent="0.3">
      <c r="D182" s="282" t="str">
        <f>TRAIN_BA!C1022</f>
        <v>Other Direct Costs Category 5</v>
      </c>
      <c r="F182" s="119"/>
    </row>
    <row r="183" spans="4:6" x14ac:dyDescent="0.3">
      <c r="D183" s="282" t="str">
        <f>TRAIN_BA!C1023</f>
        <v>Other Direct Costs Category 6</v>
      </c>
      <c r="F183" s="119"/>
    </row>
    <row r="184" spans="4:6" x14ac:dyDescent="0.3">
      <c r="D184" s="282" t="str">
        <f>TRAIN_BA!C1024</f>
        <v>Other Direct Costs Category 7</v>
      </c>
      <c r="F184" s="119"/>
    </row>
    <row r="185" spans="4:6" x14ac:dyDescent="0.3">
      <c r="D185" s="282" t="str">
        <f>TRAIN_BA!C1025</f>
        <v>Other Direct Costs Category 8</v>
      </c>
      <c r="F185" s="119"/>
    </row>
    <row r="186" spans="4:6" x14ac:dyDescent="0.3">
      <c r="D186" s="282" t="str">
        <f>TRAIN_BA!C1026</f>
        <v>Other Direct Costs Category 9</v>
      </c>
      <c r="F186" s="119"/>
    </row>
    <row r="187" spans="4:6" x14ac:dyDescent="0.3">
      <c r="D187" s="282" t="str">
        <f>TRAIN_BA!C1027</f>
        <v>Other Direct Costs Category 10</v>
      </c>
      <c r="F187" s="119"/>
    </row>
    <row r="188" spans="4:6" x14ac:dyDescent="0.3">
      <c r="D188" s="282" t="str">
        <f>TRAIN_BA!C1028</f>
        <v>Other Direct Costs Category 11</v>
      </c>
      <c r="F188" s="119"/>
    </row>
    <row r="189" spans="4:6" x14ac:dyDescent="0.3">
      <c r="D189" s="282" t="str">
        <f>TRAIN_BA!C1029</f>
        <v>Other Direct Costs Category 12</v>
      </c>
      <c r="F189" s="119"/>
    </row>
    <row r="190" spans="4:6" x14ac:dyDescent="0.3">
      <c r="D190" s="282" t="str">
        <f>TRAIN_BA!C1030</f>
        <v>Other Direct Costs Category 13</v>
      </c>
      <c r="F190" s="119"/>
    </row>
    <row r="191" spans="4:6" x14ac:dyDescent="0.3">
      <c r="D191" s="282" t="str">
        <f>TRAIN_BA!C1031</f>
        <v>Other Direct Costs Category 14</v>
      </c>
      <c r="F191" s="119"/>
    </row>
    <row r="192" spans="4:6" x14ac:dyDescent="0.3">
      <c r="D192" s="282" t="str">
        <f>TRAIN_BA!C1032</f>
        <v>Other Direct Costs Category 15</v>
      </c>
      <c r="F192" s="119"/>
    </row>
    <row r="193" spans="4:6" x14ac:dyDescent="0.3">
      <c r="D193" s="282" t="str">
        <f>TRAIN_BA!C1033</f>
        <v>Other Direct Costs Category 16</v>
      </c>
      <c r="F193" s="119"/>
    </row>
    <row r="194" spans="4:6" x14ac:dyDescent="0.3">
      <c r="D194" s="282" t="str">
        <f>TRAIN_BA!C1034</f>
        <v>Other Direct Costs Category 17</v>
      </c>
      <c r="F194" s="119"/>
    </row>
    <row r="195" spans="4:6" x14ac:dyDescent="0.3">
      <c r="D195" s="282" t="str">
        <f>TRAIN_BA!C1035</f>
        <v>Other Direct Costs Category 18</v>
      </c>
      <c r="F195" s="119"/>
    </row>
    <row r="196" spans="4:6" x14ac:dyDescent="0.3">
      <c r="D196" s="282" t="str">
        <f>TRAIN_BA!C1036</f>
        <v>Other Direct Costs Category 19</v>
      </c>
      <c r="F196" s="119"/>
    </row>
    <row r="197" spans="4:6" x14ac:dyDescent="0.3">
      <c r="D197" s="282" t="str">
        <f>TRAIN_BA!C1037</f>
        <v>Other Direct Costs Category 20</v>
      </c>
      <c r="F197" s="119"/>
    </row>
    <row r="198" spans="4:6" x14ac:dyDescent="0.3">
      <c r="D198" s="282" t="str">
        <f>TRAIN_BA!C1038</f>
        <v>Other Direct Costs Category 21</v>
      </c>
      <c r="F198" s="119"/>
    </row>
    <row r="199" spans="4:6" x14ac:dyDescent="0.3">
      <c r="D199" s="282" t="str">
        <f>TRAIN_BA!C1039</f>
        <v>Other Direct Costs Category 22</v>
      </c>
      <c r="F199" s="119"/>
    </row>
    <row r="200" spans="4:6" x14ac:dyDescent="0.3">
      <c r="D200" s="282" t="str">
        <f>TRAIN_BA!C1040</f>
        <v>Other Direct Costs Category 23</v>
      </c>
      <c r="F200" s="119"/>
    </row>
    <row r="201" spans="4:6" x14ac:dyDescent="0.3">
      <c r="D201" s="282" t="str">
        <f>TRAIN_BA!C1041</f>
        <v>Other Direct Costs Category 24</v>
      </c>
      <c r="F201" s="119"/>
    </row>
    <row r="202" spans="4:6" x14ac:dyDescent="0.3">
      <c r="D202" s="282" t="str">
        <f>TRAIN_BA!C1042</f>
        <v>Other Direct Costs Category 25</v>
      </c>
      <c r="F202" s="119"/>
    </row>
    <row r="203" spans="4:6" x14ac:dyDescent="0.3">
      <c r="D203" s="282" t="str">
        <f>TRAIN_BA!C1043</f>
        <v>Other Direct Costs Category 26</v>
      </c>
      <c r="F203" s="119"/>
    </row>
    <row r="204" spans="4:6" x14ac:dyDescent="0.3">
      <c r="D204" s="282" t="str">
        <f>TRAIN_BA!C1044</f>
        <v>Other Direct Costs Category 27</v>
      </c>
      <c r="F204" s="119"/>
    </row>
    <row r="205" spans="4:6" x14ac:dyDescent="0.3">
      <c r="D205" s="282" t="str">
        <f>TRAIN_BA!C1045</f>
        <v>Other Direct Costs Category 28</v>
      </c>
      <c r="F205" s="119"/>
    </row>
    <row r="206" spans="4:6" x14ac:dyDescent="0.3">
      <c r="D206" s="282" t="str">
        <f>TRAIN_BA!C1046</f>
        <v>Other Direct Costs Category 29</v>
      </c>
      <c r="F206" s="119"/>
    </row>
    <row r="207" spans="4:6" x14ac:dyDescent="0.3">
      <c r="D207" s="282" t="str">
        <f>TRAIN_BA!C1047</f>
        <v>Other Direct Costs Category 30</v>
      </c>
      <c r="F207" s="119"/>
    </row>
    <row r="208" spans="4:6" x14ac:dyDescent="0.3">
      <c r="D208" s="282" t="str">
        <f>TRAIN_BA!C1048</f>
        <v>Other Direct Costs Category 31</v>
      </c>
      <c r="F208" s="119"/>
    </row>
    <row r="209" spans="4:6" x14ac:dyDescent="0.3">
      <c r="D209" s="282" t="str">
        <f>TRAIN_BA!C1049</f>
        <v>Other Direct Costs Category 32</v>
      </c>
      <c r="F209" s="119"/>
    </row>
    <row r="210" spans="4:6" x14ac:dyDescent="0.3">
      <c r="D210" s="282" t="str">
        <f>TRAIN_BA!C1050</f>
        <v>Other Direct Costs Category 33</v>
      </c>
      <c r="F210" s="119"/>
    </row>
    <row r="211" spans="4:6" x14ac:dyDescent="0.3">
      <c r="D211" s="282" t="str">
        <f>TRAIN_BA!C1051</f>
        <v>Other Direct Costs Category 34</v>
      </c>
      <c r="F211" s="119"/>
    </row>
    <row r="212" spans="4:6" x14ac:dyDescent="0.3">
      <c r="D212" s="282" t="str">
        <f>TRAIN_BA!C1052</f>
        <v>Other Direct Costs Category 35</v>
      </c>
      <c r="F212" s="119"/>
    </row>
  </sheetData>
  <sheetProtection algorithmName="SHA-512" hashValue="AXSMd26I2yPEOYDYBipG7ELAFXLGLcUwIF/grN+qZeo+3/Q62p7K1KWWY8dlZ6T6zpebms/0CPFNja0/iDSpNw==" saltValue="1839u85fFxirsNoTktdkGg==" spinCount="100000" sheet="1" objects="1" scenarios="1" formatColumns="0" formatRows="0"/>
  <mergeCells count="1">
    <mergeCell ref="B3:D3"/>
  </mergeCells>
  <hyperlinks>
    <hyperlink ref="A4" location="$B$5" tooltip="Go to Top of Sheet" display="$B$5" xr:uid="{00000000-0004-0000-3C00-000000000000}"/>
    <hyperlink ref="B4" location="HL_Sheet_Main_38" tooltip="Go to Previous Sheet" display="HL_Sheet_Main_38" xr:uid="{00000000-0004-0000-3C00-000001000000}"/>
    <hyperlink ref="C4" location="HL_Sheet_Main_40" tooltip="Go to Next Sheet" display="HL_Sheet_Main_40" xr:uid="{00000000-0004-0000-3C00-000002000000}"/>
    <hyperlink ref="B3" location="HL_Home" tooltip="Go to Table of Contents" display="HL_Home" xr:uid="{00000000-0004-0000-3C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2">
    <pageSetUpPr autoPageBreaks="0"/>
  </sheetPr>
  <dimension ref="A1:F212"/>
  <sheetViews>
    <sheetView showGridLines="0" zoomScaleNormal="100" workbookViewId="0">
      <pane xSplit="1" ySplit="4" topLeftCell="B11" activePane="bottomRight" state="frozen"/>
      <selection pane="topRight" activeCell="B1" sqref="B1"/>
      <selection pane="bottomLeft" activeCell="A5" sqref="A5"/>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358</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360</v>
      </c>
    </row>
    <row r="9" spans="1:6" ht="15.6" x14ac:dyDescent="0.3">
      <c r="C9" s="115" t="s">
        <v>93</v>
      </c>
    </row>
    <row r="11" spans="1:6" ht="15.6" x14ac:dyDescent="0.3">
      <c r="C11" s="115" t="s">
        <v>93</v>
      </c>
      <c r="F11" s="115" t="s">
        <v>28</v>
      </c>
    </row>
    <row r="13" spans="1:6" x14ac:dyDescent="0.3">
      <c r="D13" s="116" t="s">
        <v>95</v>
      </c>
      <c r="F13" s="119" t="s">
        <v>343</v>
      </c>
    </row>
    <row r="14" spans="1:6" x14ac:dyDescent="0.3">
      <c r="D14" s="30" t="str">
        <f>TRAIN_BA!D1211</f>
        <v>USD</v>
      </c>
      <c r="F14" s="33" t="s">
        <v>46</v>
      </c>
    </row>
    <row r="15" spans="1:6" x14ac:dyDescent="0.3">
      <c r="D15" s="30" t="str">
        <f>TRAIN_BA!D1212</f>
        <v>GOZ</v>
      </c>
      <c r="F15" s="33" t="s">
        <v>46</v>
      </c>
    </row>
    <row r="17" spans="3:6" ht="15.6" x14ac:dyDescent="0.3">
      <c r="C17" s="115" t="s">
        <v>77</v>
      </c>
      <c r="F17" s="115" t="s">
        <v>28</v>
      </c>
    </row>
    <row r="19" spans="3:6" x14ac:dyDescent="0.3">
      <c r="D19" s="116" t="s">
        <v>95</v>
      </c>
      <c r="F19" s="119" t="s">
        <v>344</v>
      </c>
    </row>
    <row r="20" spans="3:6" x14ac:dyDescent="0.3">
      <c r="D20" s="30" t="str">
        <f>TRAIN_BA!C1217</f>
        <v>Personnel Cadre - Other 1</v>
      </c>
      <c r="F20" s="33" t="s">
        <v>46</v>
      </c>
    </row>
    <row r="21" spans="3:6" x14ac:dyDescent="0.3">
      <c r="D21" s="30" t="str">
        <f>TRAIN_BA!C1218</f>
        <v>Personnel Cadre - Other 2</v>
      </c>
      <c r="F21" s="33" t="s">
        <v>46</v>
      </c>
    </row>
    <row r="22" spans="3:6" x14ac:dyDescent="0.3">
      <c r="D22" s="30" t="str">
        <f>TRAIN_BA!C1219</f>
        <v>Personnel Cadre - Other 3</v>
      </c>
      <c r="F22" s="33" t="s">
        <v>46</v>
      </c>
    </row>
    <row r="23" spans="3:6" x14ac:dyDescent="0.3">
      <c r="D23" s="30" t="str">
        <f>TRAIN_BA!C1220</f>
        <v>Personnel Cadre - Other 4</v>
      </c>
      <c r="F23" s="33" t="s">
        <v>46</v>
      </c>
    </row>
    <row r="24" spans="3:6" x14ac:dyDescent="0.3">
      <c r="D24" s="30" t="str">
        <f>TRAIN_BA!C1221</f>
        <v>Personnel Cadre - Other 5</v>
      </c>
      <c r="F24" s="33" t="s">
        <v>46</v>
      </c>
    </row>
    <row r="25" spans="3:6" x14ac:dyDescent="0.3">
      <c r="D25" s="30" t="str">
        <f>TRAIN_BA!C1222</f>
        <v>Personnel Cadre - Other 6</v>
      </c>
      <c r="F25" s="33" t="s">
        <v>46</v>
      </c>
    </row>
    <row r="26" spans="3:6" x14ac:dyDescent="0.3">
      <c r="D26" s="30" t="str">
        <f>TRAIN_BA!C1223</f>
        <v>Personnel Cadre - Other 7</v>
      </c>
      <c r="F26" s="33" t="s">
        <v>46</v>
      </c>
    </row>
    <row r="27" spans="3:6" x14ac:dyDescent="0.3">
      <c r="D27" s="30" t="str">
        <f>TRAIN_BA!C1224</f>
        <v>Personnel Cadre - Other 8</v>
      </c>
      <c r="F27" s="33" t="s">
        <v>46</v>
      </c>
    </row>
    <row r="28" spans="3:6" x14ac:dyDescent="0.3">
      <c r="D28" s="30" t="str">
        <f>TRAIN_BA!C1225</f>
        <v>Personnel Cadre - Other 9</v>
      </c>
      <c r="F28" s="33" t="s">
        <v>46</v>
      </c>
    </row>
    <row r="29" spans="3:6" x14ac:dyDescent="0.3">
      <c r="D29" s="30" t="str">
        <f>TRAIN_BA!C1226</f>
        <v>Personnel Cadre - Other 10</v>
      </c>
      <c r="F29" s="33" t="s">
        <v>46</v>
      </c>
    </row>
    <row r="30" spans="3:6" x14ac:dyDescent="0.3">
      <c r="D30" s="30" t="str">
        <f>TRAIN_BA!C1227</f>
        <v>Personnel Cadre - Other 11</v>
      </c>
      <c r="F30" s="33" t="s">
        <v>46</v>
      </c>
    </row>
    <row r="31" spans="3:6" x14ac:dyDescent="0.3">
      <c r="D31" s="30" t="str">
        <f>TRAIN_BA!C1228</f>
        <v>Personnel Cadre - Other 12</v>
      </c>
      <c r="F31" s="33" t="s">
        <v>46</v>
      </c>
    </row>
    <row r="32" spans="3:6" x14ac:dyDescent="0.3">
      <c r="D32" s="30" t="str">
        <f>TRAIN_BA!C1229</f>
        <v>Personnel Cadre - Other 13</v>
      </c>
      <c r="F32" s="33" t="s">
        <v>46</v>
      </c>
    </row>
    <row r="33" spans="4:6" x14ac:dyDescent="0.3">
      <c r="D33" s="30" t="str">
        <f>TRAIN_BA!C1230</f>
        <v>Personnel Cadre - Other 14</v>
      </c>
      <c r="F33" s="33" t="s">
        <v>46</v>
      </c>
    </row>
    <row r="34" spans="4:6" x14ac:dyDescent="0.3">
      <c r="D34" s="30" t="str">
        <f>TRAIN_BA!C1231</f>
        <v>Personnel Cadre - Other 15</v>
      </c>
      <c r="F34" s="33" t="s">
        <v>46</v>
      </c>
    </row>
    <row r="35" spans="4:6" x14ac:dyDescent="0.3">
      <c r="D35" s="282" t="str">
        <f>TRAIN_BA!C1232</f>
        <v>Personnel Cadre - Other 16</v>
      </c>
      <c r="F35" s="119"/>
    </row>
    <row r="36" spans="4:6" x14ac:dyDescent="0.3">
      <c r="D36" s="282" t="str">
        <f>TRAIN_BA!C1233</f>
        <v>Personnel Cadre - Other 17</v>
      </c>
      <c r="F36" s="119"/>
    </row>
    <row r="37" spans="4:6" x14ac:dyDescent="0.3">
      <c r="D37" s="282" t="str">
        <f>TRAIN_BA!C1234</f>
        <v>Personnel Cadre - Other 18</v>
      </c>
      <c r="F37" s="119"/>
    </row>
    <row r="38" spans="4:6" x14ac:dyDescent="0.3">
      <c r="D38" s="282" t="str">
        <f>TRAIN_BA!C1235</f>
        <v>Personnel Cadre - Other 19</v>
      </c>
      <c r="F38" s="119"/>
    </row>
    <row r="39" spans="4:6" x14ac:dyDescent="0.3">
      <c r="D39" s="282" t="str">
        <f>TRAIN_BA!C1236</f>
        <v>Personnel Cadre - Other 20</v>
      </c>
      <c r="F39" s="119"/>
    </row>
    <row r="40" spans="4:6" x14ac:dyDescent="0.3">
      <c r="D40" s="282" t="str">
        <f>TRAIN_BA!C1237</f>
        <v>Personnel Cadre - Other 21</v>
      </c>
      <c r="F40" s="119"/>
    </row>
    <row r="41" spans="4:6" x14ac:dyDescent="0.3">
      <c r="D41" s="282" t="str">
        <f>TRAIN_BA!C1238</f>
        <v>Personnel Cadre - Other 22</v>
      </c>
      <c r="F41" s="119"/>
    </row>
    <row r="42" spans="4:6" x14ac:dyDescent="0.3">
      <c r="D42" s="282" t="str">
        <f>TRAIN_BA!C1239</f>
        <v>Personnel Cadre - Other 23</v>
      </c>
      <c r="F42" s="119"/>
    </row>
    <row r="43" spans="4:6" x14ac:dyDescent="0.3">
      <c r="D43" s="282" t="str">
        <f>TRAIN_BA!C1240</f>
        <v>Personnel Cadre - Other 24</v>
      </c>
      <c r="F43" s="119"/>
    </row>
    <row r="44" spans="4:6" x14ac:dyDescent="0.3">
      <c r="D44" s="282" t="str">
        <f>TRAIN_BA!C1241</f>
        <v>Personnel Cadre - Other 25</v>
      </c>
      <c r="F44" s="119"/>
    </row>
    <row r="45" spans="4:6" x14ac:dyDescent="0.3">
      <c r="D45" s="282" t="str">
        <f>TRAIN_BA!C1242</f>
        <v>Personnel Cadre - Other 26</v>
      </c>
      <c r="F45" s="119"/>
    </row>
    <row r="46" spans="4:6" x14ac:dyDescent="0.3">
      <c r="D46" s="282" t="str">
        <f>TRAIN_BA!C1243</f>
        <v>Personnel Cadre - Other 27</v>
      </c>
      <c r="F46" s="119"/>
    </row>
    <row r="47" spans="4:6" x14ac:dyDescent="0.3">
      <c r="D47" s="282" t="str">
        <f>TRAIN_BA!C1244</f>
        <v>Personnel Cadre - Other 28</v>
      </c>
      <c r="F47" s="119"/>
    </row>
    <row r="48" spans="4:6" x14ac:dyDescent="0.3">
      <c r="D48" s="282" t="str">
        <f>TRAIN_BA!C1245</f>
        <v>Personnel Cadre - Other 29</v>
      </c>
      <c r="F48" s="119"/>
    </row>
    <row r="49" spans="3:6" x14ac:dyDescent="0.3">
      <c r="D49" s="282" t="str">
        <f>TRAIN_BA!C1246</f>
        <v>Personnel Cadre - Other 30</v>
      </c>
      <c r="F49" s="119"/>
    </row>
    <row r="50" spans="3:6" x14ac:dyDescent="0.3">
      <c r="D50" s="282" t="str">
        <f>TRAIN_BA!C1247</f>
        <v>Personnel Cadre - Other 31</v>
      </c>
      <c r="F50" s="119"/>
    </row>
    <row r="51" spans="3:6" x14ac:dyDescent="0.3">
      <c r="D51" s="282" t="str">
        <f>TRAIN_BA!C1248</f>
        <v>Personnel Cadre - Other 32</v>
      </c>
      <c r="F51" s="119"/>
    </row>
    <row r="52" spans="3:6" x14ac:dyDescent="0.3">
      <c r="D52" s="282" t="str">
        <f>TRAIN_BA!C1249</f>
        <v>Personnel Cadre - Other 33</v>
      </c>
      <c r="F52" s="119"/>
    </row>
    <row r="53" spans="3:6" x14ac:dyDescent="0.3">
      <c r="D53" s="282" t="str">
        <f>TRAIN_BA!C1250</f>
        <v>Personnel Cadre - Other 34</v>
      </c>
      <c r="F53" s="119"/>
    </row>
    <row r="54" spans="3:6" x14ac:dyDescent="0.3">
      <c r="D54" s="282" t="str">
        <f>TRAIN_BA!C1251</f>
        <v>Personnel Cadre - Other 35</v>
      </c>
      <c r="F54" s="119"/>
    </row>
    <row r="56" spans="3:6" ht="15.6" x14ac:dyDescent="0.3">
      <c r="C56" s="115" t="s">
        <v>94</v>
      </c>
      <c r="F56" s="115" t="s">
        <v>28</v>
      </c>
    </row>
    <row r="58" spans="3:6" x14ac:dyDescent="0.3">
      <c r="D58" s="116" t="s">
        <v>95</v>
      </c>
      <c r="F58" s="119" t="s">
        <v>345</v>
      </c>
    </row>
    <row r="59" spans="3:6" x14ac:dyDescent="0.3">
      <c r="D59" s="30" t="str">
        <f>TRAIN_BA!C1254</f>
        <v>Allowances Category 1</v>
      </c>
      <c r="F59" s="33" t="s">
        <v>46</v>
      </c>
    </row>
    <row r="60" spans="3:6" x14ac:dyDescent="0.3">
      <c r="D60" s="30" t="str">
        <f>TRAIN_BA!C1255</f>
        <v>Allowances Category 2</v>
      </c>
      <c r="F60" s="33" t="s">
        <v>46</v>
      </c>
    </row>
    <row r="61" spans="3:6" x14ac:dyDescent="0.3">
      <c r="D61" s="30" t="str">
        <f>TRAIN_BA!C1256</f>
        <v>Allowances Category 3</v>
      </c>
      <c r="F61" s="33" t="s">
        <v>46</v>
      </c>
    </row>
    <row r="62" spans="3:6" x14ac:dyDescent="0.3">
      <c r="D62" s="30" t="str">
        <f>TRAIN_BA!C1257</f>
        <v>Allowances Category 4</v>
      </c>
      <c r="F62" s="33" t="s">
        <v>46</v>
      </c>
    </row>
    <row r="63" spans="3:6" x14ac:dyDescent="0.3">
      <c r="D63" s="30" t="str">
        <f>TRAIN_BA!C1258</f>
        <v>Allowances Category 5</v>
      </c>
      <c r="F63" s="33" t="s">
        <v>46</v>
      </c>
    </row>
    <row r="64" spans="3:6" x14ac:dyDescent="0.3">
      <c r="D64" s="282" t="str">
        <f>TRAIN_BA!C1259</f>
        <v>Allowances Category 6</v>
      </c>
      <c r="F64" s="119"/>
    </row>
    <row r="65" spans="4:6" x14ac:dyDescent="0.3">
      <c r="D65" s="282" t="str">
        <f>TRAIN_BA!C1260</f>
        <v>Allowances Category 7</v>
      </c>
      <c r="F65" s="119"/>
    </row>
    <row r="66" spans="4:6" x14ac:dyDescent="0.3">
      <c r="D66" s="282" t="str">
        <f>TRAIN_BA!C1261</f>
        <v>Allowances Category 8</v>
      </c>
      <c r="F66" s="119"/>
    </row>
    <row r="67" spans="4:6" x14ac:dyDescent="0.3">
      <c r="D67" s="282" t="str">
        <f>TRAIN_BA!C1262</f>
        <v>Allowances Category 9</v>
      </c>
      <c r="F67" s="119"/>
    </row>
    <row r="68" spans="4:6" x14ac:dyDescent="0.3">
      <c r="D68" s="282" t="str">
        <f>TRAIN_BA!C1263</f>
        <v>Allowances Category 10</v>
      </c>
      <c r="F68" s="119"/>
    </row>
    <row r="69" spans="4:6" x14ac:dyDescent="0.3">
      <c r="D69" s="282" t="str">
        <f>TRAIN_BA!C1264</f>
        <v>Allowances Category 11</v>
      </c>
      <c r="F69" s="119"/>
    </row>
    <row r="70" spans="4:6" x14ac:dyDescent="0.3">
      <c r="D70" s="282" t="str">
        <f>TRAIN_BA!C1265</f>
        <v>Allowances Category 12</v>
      </c>
      <c r="F70" s="119"/>
    </row>
    <row r="71" spans="4:6" x14ac:dyDescent="0.3">
      <c r="D71" s="282" t="str">
        <f>TRAIN_BA!C1266</f>
        <v>Allowances Category 13</v>
      </c>
      <c r="F71" s="119"/>
    </row>
    <row r="72" spans="4:6" x14ac:dyDescent="0.3">
      <c r="D72" s="282" t="str">
        <f>TRAIN_BA!C1267</f>
        <v>Allowances Category 14</v>
      </c>
      <c r="F72" s="119"/>
    </row>
    <row r="73" spans="4:6" x14ac:dyDescent="0.3">
      <c r="D73" s="282" t="str">
        <f>TRAIN_BA!C1268</f>
        <v>Allowances Category 15</v>
      </c>
      <c r="F73" s="119"/>
    </row>
    <row r="74" spans="4:6" x14ac:dyDescent="0.3">
      <c r="D74" s="282" t="str">
        <f>TRAIN_BA!C1269</f>
        <v>Allowances Category 16</v>
      </c>
      <c r="F74" s="119"/>
    </row>
    <row r="75" spans="4:6" x14ac:dyDescent="0.3">
      <c r="D75" s="30" t="str">
        <f>TRAIN_BA!C1270</f>
        <v>Allowances Category 17</v>
      </c>
      <c r="F75" s="33" t="s">
        <v>46</v>
      </c>
    </row>
    <row r="76" spans="4:6" x14ac:dyDescent="0.3">
      <c r="D76" s="30" t="str">
        <f>TRAIN_BA!C1271</f>
        <v>Allowances Category 18</v>
      </c>
      <c r="F76" s="33" t="s">
        <v>46</v>
      </c>
    </row>
    <row r="77" spans="4:6" x14ac:dyDescent="0.3">
      <c r="D77" s="30" t="str">
        <f>TRAIN_BA!C1272</f>
        <v>Allowances Category 19</v>
      </c>
      <c r="F77" s="33" t="s">
        <v>46</v>
      </c>
    </row>
    <row r="78" spans="4:6" x14ac:dyDescent="0.3">
      <c r="D78" s="30" t="str">
        <f>TRAIN_BA!C1273</f>
        <v>Allowances Category 20</v>
      </c>
      <c r="F78" s="33" t="s">
        <v>46</v>
      </c>
    </row>
    <row r="79" spans="4:6" x14ac:dyDescent="0.3">
      <c r="D79" s="30" t="str">
        <f>TRAIN_BA!C1274</f>
        <v>Allowances Category 21</v>
      </c>
      <c r="F79" s="33" t="s">
        <v>46</v>
      </c>
    </row>
    <row r="80" spans="4:6" x14ac:dyDescent="0.3">
      <c r="D80" s="30" t="str">
        <f>TRAIN_BA!C1275</f>
        <v>Allowances Category 22</v>
      </c>
      <c r="F80" s="33" t="s">
        <v>46</v>
      </c>
    </row>
    <row r="81" spans="3:6" x14ac:dyDescent="0.3">
      <c r="D81" s="30" t="str">
        <f>TRAIN_BA!C1276</f>
        <v>Allowances Category 23</v>
      </c>
      <c r="F81" s="33" t="s">
        <v>46</v>
      </c>
    </row>
    <row r="82" spans="3:6" x14ac:dyDescent="0.3">
      <c r="D82" s="282" t="str">
        <f>TRAIN_BA!C1277</f>
        <v>Allowances Category 24</v>
      </c>
      <c r="F82" s="119"/>
    </row>
    <row r="83" spans="3:6" x14ac:dyDescent="0.3">
      <c r="D83" s="282" t="str">
        <f>TRAIN_BA!C1278</f>
        <v>Allowances Category 25</v>
      </c>
      <c r="F83" s="119"/>
    </row>
    <row r="84" spans="3:6" x14ac:dyDescent="0.3">
      <c r="D84" s="282" t="str">
        <f>TRAIN_BA!C1279</f>
        <v>Allowances Category 26</v>
      </c>
      <c r="F84" s="119"/>
    </row>
    <row r="85" spans="3:6" x14ac:dyDescent="0.3">
      <c r="D85" s="282" t="str">
        <f>TRAIN_BA!C1280</f>
        <v>Allowances Category 27</v>
      </c>
      <c r="F85" s="119"/>
    </row>
    <row r="86" spans="3:6" x14ac:dyDescent="0.3">
      <c r="D86" s="282" t="str">
        <f>TRAIN_BA!C1281</f>
        <v>Allowances Category 28</v>
      </c>
      <c r="F86" s="119"/>
    </row>
    <row r="87" spans="3:6" x14ac:dyDescent="0.3">
      <c r="D87" s="282" t="str">
        <f>TRAIN_BA!C1282</f>
        <v>Allowances Category 29</v>
      </c>
      <c r="F87" s="119"/>
    </row>
    <row r="88" spans="3:6" x14ac:dyDescent="0.3">
      <c r="D88" s="282" t="str">
        <f>TRAIN_BA!C1283</f>
        <v>Allowances Category 30</v>
      </c>
      <c r="F88" s="119"/>
    </row>
    <row r="89" spans="3:6" x14ac:dyDescent="0.3">
      <c r="D89" s="30" t="str">
        <f>TRAIN_BA!C1284</f>
        <v>Allowances Category 31</v>
      </c>
      <c r="F89" s="33" t="s">
        <v>46</v>
      </c>
    </row>
    <row r="90" spans="3:6" x14ac:dyDescent="0.3">
      <c r="D90" s="30" t="str">
        <f>TRAIN_BA!C1285</f>
        <v>Allowances Category 32</v>
      </c>
      <c r="F90" s="33" t="s">
        <v>46</v>
      </c>
    </row>
    <row r="91" spans="3:6" x14ac:dyDescent="0.3">
      <c r="D91" s="30" t="str">
        <f>TRAIN_BA!C1286</f>
        <v>Allowances Category 33</v>
      </c>
      <c r="F91" s="33" t="s">
        <v>46</v>
      </c>
    </row>
    <row r="92" spans="3:6" x14ac:dyDescent="0.3">
      <c r="D92" s="30" t="str">
        <f>TRAIN_BA!C1287</f>
        <v>Allowances Category 34</v>
      </c>
      <c r="F92" s="33" t="s">
        <v>46</v>
      </c>
    </row>
    <row r="93" spans="3:6" x14ac:dyDescent="0.3">
      <c r="D93" s="30" t="str">
        <f>TRAIN_BA!C1288</f>
        <v>Allowances Category 35</v>
      </c>
      <c r="F93" s="33" t="s">
        <v>46</v>
      </c>
    </row>
    <row r="96" spans="3:6" ht="15.6" x14ac:dyDescent="0.3">
      <c r="C96" s="115" t="s">
        <v>132</v>
      </c>
      <c r="F96" s="115" t="s">
        <v>28</v>
      </c>
    </row>
    <row r="98" spans="4:6" x14ac:dyDescent="0.3">
      <c r="D98" s="116" t="s">
        <v>95</v>
      </c>
      <c r="F98" s="119" t="s">
        <v>346</v>
      </c>
    </row>
    <row r="99" spans="4:6" x14ac:dyDescent="0.3">
      <c r="D99" s="30" t="str">
        <f>TRAIN_BA!C1292</f>
        <v>Supplies Category 1</v>
      </c>
      <c r="F99" s="33" t="s">
        <v>46</v>
      </c>
    </row>
    <row r="100" spans="4:6" x14ac:dyDescent="0.3">
      <c r="D100" s="30" t="str">
        <f>TRAIN_BA!C1293</f>
        <v>Supplies Category 2</v>
      </c>
      <c r="F100" s="33" t="s">
        <v>46</v>
      </c>
    </row>
    <row r="101" spans="4:6" x14ac:dyDescent="0.3">
      <c r="D101" s="30" t="str">
        <f>TRAIN_BA!C1294</f>
        <v>Supplies Category 3</v>
      </c>
      <c r="F101" s="33" t="s">
        <v>46</v>
      </c>
    </row>
    <row r="102" spans="4:6" x14ac:dyDescent="0.3">
      <c r="D102" s="30" t="str">
        <f>TRAIN_BA!C1295</f>
        <v>Supplies Category 4</v>
      </c>
      <c r="F102" s="33" t="s">
        <v>46</v>
      </c>
    </row>
    <row r="103" spans="4:6" x14ac:dyDescent="0.3">
      <c r="D103" s="30" t="str">
        <f>TRAIN_BA!C1296</f>
        <v>Supplies Category 5</v>
      </c>
      <c r="F103" s="33" t="s">
        <v>46</v>
      </c>
    </row>
    <row r="104" spans="4:6" x14ac:dyDescent="0.3">
      <c r="D104" s="30" t="str">
        <f>TRAIN_BA!C1297</f>
        <v>Supplies Category 6</v>
      </c>
      <c r="F104" s="33" t="s">
        <v>46</v>
      </c>
    </row>
    <row r="105" spans="4:6" x14ac:dyDescent="0.3">
      <c r="D105" s="30" t="str">
        <f>TRAIN_BA!C1298</f>
        <v>Supplies Category 7</v>
      </c>
      <c r="F105" s="33" t="s">
        <v>46</v>
      </c>
    </row>
    <row r="106" spans="4:6" x14ac:dyDescent="0.3">
      <c r="D106" s="30" t="str">
        <f>TRAIN_BA!C1299</f>
        <v>Supplies Category 8</v>
      </c>
      <c r="F106" s="33" t="s">
        <v>46</v>
      </c>
    </row>
    <row r="107" spans="4:6" x14ac:dyDescent="0.3">
      <c r="D107" s="30" t="str">
        <f>TRAIN_BA!C1300</f>
        <v>Supplies Category 9</v>
      </c>
      <c r="F107" s="33" t="s">
        <v>46</v>
      </c>
    </row>
    <row r="108" spans="4:6" x14ac:dyDescent="0.3">
      <c r="D108" s="30" t="str">
        <f>TRAIN_BA!C1301</f>
        <v>Supplies Category 10</v>
      </c>
      <c r="F108" s="33" t="s">
        <v>46</v>
      </c>
    </row>
    <row r="109" spans="4:6" x14ac:dyDescent="0.3">
      <c r="D109" s="30" t="str">
        <f>TRAIN_BA!C1302</f>
        <v>Supplies Category 11</v>
      </c>
      <c r="F109" s="33" t="s">
        <v>46</v>
      </c>
    </row>
    <row r="110" spans="4:6" x14ac:dyDescent="0.3">
      <c r="D110" s="30" t="str">
        <f>TRAIN_BA!C1303</f>
        <v>Supplies Category 12</v>
      </c>
      <c r="F110" s="33" t="s">
        <v>46</v>
      </c>
    </row>
    <row r="111" spans="4:6" x14ac:dyDescent="0.3">
      <c r="D111" s="30" t="str">
        <f>TRAIN_BA!C1304</f>
        <v>Supplies Category 13</v>
      </c>
      <c r="F111" s="33" t="s">
        <v>46</v>
      </c>
    </row>
    <row r="112" spans="4:6" x14ac:dyDescent="0.3">
      <c r="D112" s="30" t="str">
        <f>TRAIN_BA!C1305</f>
        <v>Supplies Category 14</v>
      </c>
      <c r="F112" s="33" t="s">
        <v>46</v>
      </c>
    </row>
    <row r="113" spans="4:6" x14ac:dyDescent="0.3">
      <c r="D113" s="30" t="str">
        <f>TRAIN_BA!C1306</f>
        <v>Supplies Category 15</v>
      </c>
      <c r="F113" s="33" t="s">
        <v>46</v>
      </c>
    </row>
    <row r="114" spans="4:6" x14ac:dyDescent="0.3">
      <c r="D114" s="30" t="str">
        <f>TRAIN_BA!C1307</f>
        <v>Supplies Category 16</v>
      </c>
      <c r="F114" s="33" t="s">
        <v>46</v>
      </c>
    </row>
    <row r="115" spans="4:6" x14ac:dyDescent="0.3">
      <c r="D115" s="282" t="str">
        <f>TRAIN_BA!C1308</f>
        <v>Supplies Category 17</v>
      </c>
      <c r="F115" s="119"/>
    </row>
    <row r="116" spans="4:6" x14ac:dyDescent="0.3">
      <c r="D116" s="282" t="str">
        <f>TRAIN_BA!C1309</f>
        <v>Supplies Category 18</v>
      </c>
      <c r="F116" s="119"/>
    </row>
    <row r="117" spans="4:6" x14ac:dyDescent="0.3">
      <c r="D117" s="282" t="str">
        <f>TRAIN_BA!C1310</f>
        <v>Supplies Category 19</v>
      </c>
      <c r="F117" s="119"/>
    </row>
    <row r="118" spans="4:6" x14ac:dyDescent="0.3">
      <c r="D118" s="282" t="str">
        <f>TRAIN_BA!C1311</f>
        <v>Supplies Category 20</v>
      </c>
      <c r="F118" s="119"/>
    </row>
    <row r="119" spans="4:6" x14ac:dyDescent="0.3">
      <c r="D119" s="282" t="str">
        <f>TRAIN_BA!C1312</f>
        <v>Supplies Category 21</v>
      </c>
      <c r="F119" s="119"/>
    </row>
    <row r="120" spans="4:6" x14ac:dyDescent="0.3">
      <c r="D120" s="282" t="str">
        <f>TRAIN_BA!C1313</f>
        <v>Supplies Category 22</v>
      </c>
      <c r="F120" s="119"/>
    </row>
    <row r="121" spans="4:6" x14ac:dyDescent="0.3">
      <c r="D121" s="282" t="str">
        <f>TRAIN_BA!C1314</f>
        <v>Supplies Category 23</v>
      </c>
      <c r="F121" s="119"/>
    </row>
    <row r="122" spans="4:6" x14ac:dyDescent="0.3">
      <c r="D122" s="282" t="str">
        <f>TRAIN_BA!C1315</f>
        <v>Supplies Category 24</v>
      </c>
      <c r="F122" s="119"/>
    </row>
    <row r="123" spans="4:6" x14ac:dyDescent="0.3">
      <c r="D123" s="282" t="str">
        <f>TRAIN_BA!C1316</f>
        <v>Supplies Category 25</v>
      </c>
      <c r="F123" s="119"/>
    </row>
    <row r="124" spans="4:6" x14ac:dyDescent="0.3">
      <c r="D124" s="282" t="str">
        <f>TRAIN_BA!C1317</f>
        <v>Supplies Category 26</v>
      </c>
      <c r="F124" s="119"/>
    </row>
    <row r="125" spans="4:6" x14ac:dyDescent="0.3">
      <c r="D125" s="282" t="str">
        <f>TRAIN_BA!C1318</f>
        <v>Supplies Category 27</v>
      </c>
      <c r="F125" s="119"/>
    </row>
    <row r="126" spans="4:6" x14ac:dyDescent="0.3">
      <c r="D126" s="282" t="str">
        <f>TRAIN_BA!C1319</f>
        <v>Supplies Category 28</v>
      </c>
      <c r="F126" s="119"/>
    </row>
    <row r="127" spans="4:6" x14ac:dyDescent="0.3">
      <c r="D127" s="282" t="str">
        <f>TRAIN_BA!C1320</f>
        <v>Supplies Category 29</v>
      </c>
      <c r="F127" s="119"/>
    </row>
    <row r="128" spans="4:6" x14ac:dyDescent="0.3">
      <c r="D128" s="282" t="str">
        <f>TRAIN_BA!C1321</f>
        <v>Supplies Category 30</v>
      </c>
      <c r="F128" s="119"/>
    </row>
    <row r="129" spans="3:6" x14ac:dyDescent="0.3">
      <c r="D129" s="282" t="str">
        <f>TRAIN_BA!C1322</f>
        <v>Supplies Category 31</v>
      </c>
      <c r="F129" s="119"/>
    </row>
    <row r="130" spans="3:6" x14ac:dyDescent="0.3">
      <c r="D130" s="282" t="str">
        <f>TRAIN_BA!C1323</f>
        <v>Supplies Category 32</v>
      </c>
      <c r="F130" s="119"/>
    </row>
    <row r="131" spans="3:6" x14ac:dyDescent="0.3">
      <c r="D131" s="282" t="str">
        <f>TRAIN_BA!C1324</f>
        <v>Supplies Category 33</v>
      </c>
      <c r="F131" s="119"/>
    </row>
    <row r="132" spans="3:6" x14ac:dyDescent="0.3">
      <c r="D132" s="282" t="str">
        <f>TRAIN_BA!C1325</f>
        <v>Supplies Category 34</v>
      </c>
      <c r="F132" s="119"/>
    </row>
    <row r="133" spans="3:6" x14ac:dyDescent="0.3">
      <c r="D133" s="282" t="str">
        <f>TRAIN_BA!C1326</f>
        <v>Supplies Category 35</v>
      </c>
      <c r="F133" s="119"/>
    </row>
    <row r="136" spans="3:6" ht="15.6" x14ac:dyDescent="0.3">
      <c r="C136" s="115" t="s">
        <v>130</v>
      </c>
      <c r="F136" s="115" t="s">
        <v>28</v>
      </c>
    </row>
    <row r="138" spans="3:6" x14ac:dyDescent="0.3">
      <c r="D138" s="116" t="s">
        <v>95</v>
      </c>
      <c r="F138" s="119" t="s">
        <v>347</v>
      </c>
    </row>
    <row r="139" spans="3:6" x14ac:dyDescent="0.3">
      <c r="D139" s="30" t="str">
        <f>TRAIN_BA!C1329</f>
        <v>Equipment Category 1</v>
      </c>
      <c r="F139" s="33" t="s">
        <v>46</v>
      </c>
    </row>
    <row r="140" spans="3:6" x14ac:dyDescent="0.3">
      <c r="D140" s="30" t="str">
        <f>TRAIN_BA!C1330</f>
        <v>Equipment Category 2</v>
      </c>
      <c r="F140" s="33" t="s">
        <v>46</v>
      </c>
    </row>
    <row r="141" spans="3:6" x14ac:dyDescent="0.3">
      <c r="D141" s="30" t="str">
        <f>TRAIN_BA!C1331</f>
        <v>Equipment Category 3</v>
      </c>
      <c r="F141" s="33" t="s">
        <v>46</v>
      </c>
    </row>
    <row r="142" spans="3:6" x14ac:dyDescent="0.3">
      <c r="D142" s="30" t="str">
        <f>TRAIN_BA!C1332</f>
        <v>Equipment Category 4</v>
      </c>
      <c r="F142" s="33" t="s">
        <v>46</v>
      </c>
    </row>
    <row r="143" spans="3:6" x14ac:dyDescent="0.3">
      <c r="D143" s="30" t="str">
        <f>TRAIN_BA!C1333</f>
        <v>Equipment Category 5</v>
      </c>
      <c r="F143" s="33" t="s">
        <v>46</v>
      </c>
    </row>
    <row r="144" spans="3:6" x14ac:dyDescent="0.3">
      <c r="D144" s="30" t="str">
        <f>TRAIN_BA!C1334</f>
        <v>Equipment Category 6</v>
      </c>
      <c r="F144" s="33" t="s">
        <v>46</v>
      </c>
    </row>
    <row r="145" spans="4:6" x14ac:dyDescent="0.3">
      <c r="D145" s="282" t="str">
        <f>TRAIN_BA!C1335</f>
        <v>Equipment Category 7</v>
      </c>
      <c r="F145" s="119"/>
    </row>
    <row r="146" spans="4:6" x14ac:dyDescent="0.3">
      <c r="D146" s="282" t="str">
        <f>TRAIN_BA!C1336</f>
        <v>Equipment Category 8</v>
      </c>
      <c r="F146" s="119"/>
    </row>
    <row r="147" spans="4:6" x14ac:dyDescent="0.3">
      <c r="D147" s="282" t="str">
        <f>TRAIN_BA!C1337</f>
        <v>Equipment Category 9</v>
      </c>
      <c r="F147" s="119"/>
    </row>
    <row r="148" spans="4:6" x14ac:dyDescent="0.3">
      <c r="D148" s="282" t="str">
        <f>TRAIN_BA!C1338</f>
        <v>Equipment Category 10</v>
      </c>
      <c r="F148" s="119"/>
    </row>
    <row r="149" spans="4:6" x14ac:dyDescent="0.3">
      <c r="D149" s="282" t="str">
        <f>TRAIN_BA!C1339</f>
        <v>Equipment Category 11</v>
      </c>
      <c r="F149" s="119"/>
    </row>
    <row r="150" spans="4:6" x14ac:dyDescent="0.3">
      <c r="D150" s="282" t="str">
        <f>TRAIN_BA!C1340</f>
        <v>Equipment Category 12</v>
      </c>
      <c r="F150" s="119"/>
    </row>
    <row r="151" spans="4:6" x14ac:dyDescent="0.3">
      <c r="D151" s="282" t="str">
        <f>TRAIN_BA!C1341</f>
        <v>Equipment Category 13</v>
      </c>
      <c r="F151" s="119"/>
    </row>
    <row r="152" spans="4:6" x14ac:dyDescent="0.3">
      <c r="D152" s="282" t="str">
        <f>TRAIN_BA!C1342</f>
        <v>Equipment Category 14</v>
      </c>
      <c r="F152" s="119"/>
    </row>
    <row r="153" spans="4:6" x14ac:dyDescent="0.3">
      <c r="D153" s="282" t="str">
        <f>TRAIN_BA!C1343</f>
        <v>Equipment Category 15</v>
      </c>
      <c r="F153" s="119"/>
    </row>
    <row r="154" spans="4:6" x14ac:dyDescent="0.3">
      <c r="D154" s="282" t="str">
        <f>TRAIN_BA!C1344</f>
        <v>Equipment Category 16</v>
      </c>
      <c r="F154" s="119"/>
    </row>
    <row r="155" spans="4:6" x14ac:dyDescent="0.3">
      <c r="D155" s="282" t="str">
        <f>TRAIN_BA!C1345</f>
        <v>Equipment Category 17</v>
      </c>
      <c r="F155" s="119"/>
    </row>
    <row r="156" spans="4:6" x14ac:dyDescent="0.3">
      <c r="D156" s="282" t="str">
        <f>TRAIN_BA!C1346</f>
        <v>Equipment Category 18</v>
      </c>
      <c r="F156" s="119"/>
    </row>
    <row r="157" spans="4:6" x14ac:dyDescent="0.3">
      <c r="D157" s="282" t="str">
        <f>TRAIN_BA!C1347</f>
        <v>Equipment Category 19</v>
      </c>
      <c r="F157" s="119"/>
    </row>
    <row r="158" spans="4:6" x14ac:dyDescent="0.3">
      <c r="D158" s="282" t="str">
        <f>TRAIN_BA!C1348</f>
        <v>Equipment Category 20</v>
      </c>
      <c r="F158" s="119"/>
    </row>
    <row r="159" spans="4:6" x14ac:dyDescent="0.3">
      <c r="D159" s="282" t="str">
        <f>TRAIN_BA!C1349</f>
        <v>Equipment Category 21</v>
      </c>
      <c r="F159" s="119"/>
    </row>
    <row r="160" spans="4:6" x14ac:dyDescent="0.3">
      <c r="D160" s="282" t="str">
        <f>TRAIN_BA!C1350</f>
        <v>Equipment Category 22</v>
      </c>
      <c r="F160" s="119"/>
    </row>
    <row r="161" spans="3:6" x14ac:dyDescent="0.3">
      <c r="D161" s="282" t="str">
        <f>TRAIN_BA!C1351</f>
        <v>Equipment Category 23</v>
      </c>
      <c r="F161" s="119"/>
    </row>
    <row r="162" spans="3:6" x14ac:dyDescent="0.3">
      <c r="D162" s="282" t="str">
        <f>TRAIN_BA!C1352</f>
        <v>Equipment Category 24</v>
      </c>
      <c r="F162" s="119"/>
    </row>
    <row r="163" spans="3:6" x14ac:dyDescent="0.3">
      <c r="D163" s="282" t="str">
        <f>TRAIN_BA!C1353</f>
        <v>Equipment Category 25</v>
      </c>
      <c r="F163" s="119"/>
    </row>
    <row r="164" spans="3:6" x14ac:dyDescent="0.3">
      <c r="D164" s="282" t="str">
        <f>TRAIN_BA!C1354</f>
        <v>Equipment Category 26</v>
      </c>
      <c r="F164" s="119"/>
    </row>
    <row r="165" spans="3:6" x14ac:dyDescent="0.3">
      <c r="D165" s="282" t="str">
        <f>TRAIN_BA!C1355</f>
        <v>Equipment Category 27</v>
      </c>
      <c r="F165" s="119"/>
    </row>
    <row r="166" spans="3:6" x14ac:dyDescent="0.3">
      <c r="D166" s="282" t="str">
        <f>TRAIN_BA!C1356</f>
        <v>Equipment Category 28</v>
      </c>
      <c r="F166" s="119"/>
    </row>
    <row r="167" spans="3:6" x14ac:dyDescent="0.3">
      <c r="D167" s="282" t="str">
        <f>TRAIN_BA!C1357</f>
        <v>Equipment Category 29</v>
      </c>
      <c r="F167" s="119"/>
    </row>
    <row r="168" spans="3:6" x14ac:dyDescent="0.3">
      <c r="D168" s="282" t="str">
        <f>TRAIN_BA!C1358</f>
        <v>Equipment Category 30</v>
      </c>
      <c r="F168" s="119"/>
    </row>
    <row r="169" spans="3:6" x14ac:dyDescent="0.3">
      <c r="D169" s="282" t="str">
        <f>TRAIN_BA!C1359</f>
        <v>Equipment Category 31</v>
      </c>
      <c r="F169" s="119"/>
    </row>
    <row r="170" spans="3:6" x14ac:dyDescent="0.3">
      <c r="D170" s="282" t="str">
        <f>TRAIN_BA!C1360</f>
        <v>Equipment Category 32</v>
      </c>
      <c r="F170" s="119"/>
    </row>
    <row r="171" spans="3:6" x14ac:dyDescent="0.3">
      <c r="D171" s="282" t="str">
        <f>TRAIN_BA!C1361</f>
        <v>Equipment Category 33</v>
      </c>
      <c r="F171" s="119"/>
    </row>
    <row r="172" spans="3:6" x14ac:dyDescent="0.3">
      <c r="D172" s="282" t="str">
        <f>TRAIN_BA!C1362</f>
        <v>Equipment Category 34</v>
      </c>
      <c r="F172" s="119"/>
    </row>
    <row r="173" spans="3:6" x14ac:dyDescent="0.3">
      <c r="D173" s="282" t="str">
        <f>TRAIN_BA!C1363</f>
        <v>Equipment Category 35</v>
      </c>
      <c r="F173" s="119"/>
    </row>
    <row r="175" spans="3:6" ht="15.6" x14ac:dyDescent="0.3">
      <c r="C175" s="115" t="s">
        <v>89</v>
      </c>
      <c r="F175" s="115" t="s">
        <v>28</v>
      </c>
    </row>
    <row r="177" spans="4:6" x14ac:dyDescent="0.3">
      <c r="D177" s="116" t="s">
        <v>95</v>
      </c>
      <c r="F177" s="119" t="s">
        <v>348</v>
      </c>
    </row>
    <row r="178" spans="4:6" x14ac:dyDescent="0.3">
      <c r="D178" s="30" t="str">
        <f>TRAIN_BA!C1367</f>
        <v>Other Direct Costs Category 1</v>
      </c>
      <c r="F178" s="33" t="s">
        <v>46</v>
      </c>
    </row>
    <row r="179" spans="4:6" x14ac:dyDescent="0.3">
      <c r="D179" s="30" t="str">
        <f>TRAIN_BA!C1368</f>
        <v>Other Direct Costs Category 2</v>
      </c>
      <c r="F179" s="33" t="s">
        <v>46</v>
      </c>
    </row>
    <row r="180" spans="4:6" x14ac:dyDescent="0.3">
      <c r="D180" s="30" t="str">
        <f>TRAIN_BA!C1369</f>
        <v>Other Direct Costs Category 3</v>
      </c>
      <c r="F180" s="33" t="s">
        <v>46</v>
      </c>
    </row>
    <row r="181" spans="4:6" x14ac:dyDescent="0.3">
      <c r="D181" s="282" t="str">
        <f>TRAIN_BA!C1370</f>
        <v>Other Direct Costs Category 4</v>
      </c>
      <c r="F181" s="119"/>
    </row>
    <row r="182" spans="4:6" x14ac:dyDescent="0.3">
      <c r="D182" s="282" t="str">
        <f>TRAIN_BA!C1371</f>
        <v>Other Direct Costs Category 5</v>
      </c>
      <c r="F182" s="119"/>
    </row>
    <row r="183" spans="4:6" x14ac:dyDescent="0.3">
      <c r="D183" s="282" t="str">
        <f>TRAIN_BA!C1372</f>
        <v>Other Direct Costs Category 6</v>
      </c>
      <c r="F183" s="119"/>
    </row>
    <row r="184" spans="4:6" x14ac:dyDescent="0.3">
      <c r="D184" s="282" t="str">
        <f>TRAIN_BA!C1373</f>
        <v>Other Direct Costs Category 7</v>
      </c>
      <c r="F184" s="119"/>
    </row>
    <row r="185" spans="4:6" x14ac:dyDescent="0.3">
      <c r="D185" s="282" t="str">
        <f>TRAIN_BA!C1374</f>
        <v>Other Direct Costs Category 8</v>
      </c>
      <c r="F185" s="119"/>
    </row>
    <row r="186" spans="4:6" x14ac:dyDescent="0.3">
      <c r="D186" s="282" t="str">
        <f>TRAIN_BA!C1375</f>
        <v>Other Direct Costs Category 9</v>
      </c>
      <c r="F186" s="119"/>
    </row>
    <row r="187" spans="4:6" x14ac:dyDescent="0.3">
      <c r="D187" s="282" t="str">
        <f>TRAIN_BA!C1376</f>
        <v>Other Direct Costs Category 10</v>
      </c>
      <c r="F187" s="119"/>
    </row>
    <row r="188" spans="4:6" x14ac:dyDescent="0.3">
      <c r="D188" s="282" t="str">
        <f>TRAIN_BA!C1377</f>
        <v>Other Direct Costs Category 11</v>
      </c>
      <c r="F188" s="119"/>
    </row>
    <row r="189" spans="4:6" x14ac:dyDescent="0.3">
      <c r="D189" s="282" t="str">
        <f>TRAIN_BA!C1378</f>
        <v>Other Direct Costs Category 12</v>
      </c>
      <c r="F189" s="119"/>
    </row>
    <row r="190" spans="4:6" x14ac:dyDescent="0.3">
      <c r="D190" s="282" t="str">
        <f>TRAIN_BA!C1379</f>
        <v>Other Direct Costs Category 13</v>
      </c>
      <c r="F190" s="119"/>
    </row>
    <row r="191" spans="4:6" x14ac:dyDescent="0.3">
      <c r="D191" s="282" t="str">
        <f>TRAIN_BA!C1380</f>
        <v>Other Direct Costs Category 14</v>
      </c>
      <c r="F191" s="119"/>
    </row>
    <row r="192" spans="4:6" x14ac:dyDescent="0.3">
      <c r="D192" s="282" t="str">
        <f>TRAIN_BA!C1381</f>
        <v>Other Direct Costs Category 15</v>
      </c>
      <c r="F192" s="119"/>
    </row>
    <row r="193" spans="4:6" x14ac:dyDescent="0.3">
      <c r="D193" s="282" t="str">
        <f>TRAIN_BA!C1382</f>
        <v>Other Direct Costs Category 16</v>
      </c>
      <c r="F193" s="119"/>
    </row>
    <row r="194" spans="4:6" x14ac:dyDescent="0.3">
      <c r="D194" s="282" t="str">
        <f>TRAIN_BA!C1383</f>
        <v>Other Direct Costs Category 17</v>
      </c>
      <c r="F194" s="119"/>
    </row>
    <row r="195" spans="4:6" x14ac:dyDescent="0.3">
      <c r="D195" s="282" t="str">
        <f>TRAIN_BA!C1384</f>
        <v>Other Direct Costs Category 18</v>
      </c>
      <c r="F195" s="119"/>
    </row>
    <row r="196" spans="4:6" x14ac:dyDescent="0.3">
      <c r="D196" s="282" t="str">
        <f>TRAIN_BA!C1385</f>
        <v>Other Direct Costs Category 19</v>
      </c>
      <c r="F196" s="119"/>
    </row>
    <row r="197" spans="4:6" x14ac:dyDescent="0.3">
      <c r="D197" s="282" t="str">
        <f>TRAIN_BA!C1386</f>
        <v>Other Direct Costs Category 20</v>
      </c>
      <c r="F197" s="119"/>
    </row>
    <row r="198" spans="4:6" x14ac:dyDescent="0.3">
      <c r="D198" s="282" t="str">
        <f>TRAIN_BA!C1387</f>
        <v>Other Direct Costs Category 21</v>
      </c>
      <c r="F198" s="119"/>
    </row>
    <row r="199" spans="4:6" x14ac:dyDescent="0.3">
      <c r="D199" s="282" t="str">
        <f>TRAIN_BA!C1388</f>
        <v>Other Direct Costs Category 22</v>
      </c>
      <c r="F199" s="119"/>
    </row>
    <row r="200" spans="4:6" x14ac:dyDescent="0.3">
      <c r="D200" s="282" t="str">
        <f>TRAIN_BA!C1389</f>
        <v>Other Direct Costs Category 23</v>
      </c>
      <c r="F200" s="119"/>
    </row>
    <row r="201" spans="4:6" x14ac:dyDescent="0.3">
      <c r="D201" s="282" t="str">
        <f>TRAIN_BA!C1390</f>
        <v>Other Direct Costs Category 24</v>
      </c>
      <c r="F201" s="119"/>
    </row>
    <row r="202" spans="4:6" x14ac:dyDescent="0.3">
      <c r="D202" s="282" t="str">
        <f>TRAIN_BA!C1391</f>
        <v>Other Direct Costs Category 25</v>
      </c>
      <c r="F202" s="119"/>
    </row>
    <row r="203" spans="4:6" x14ac:dyDescent="0.3">
      <c r="D203" s="282" t="str">
        <f>TRAIN_BA!C1392</f>
        <v>Other Direct Costs Category 26</v>
      </c>
      <c r="F203" s="119"/>
    </row>
    <row r="204" spans="4:6" x14ac:dyDescent="0.3">
      <c r="D204" s="282" t="str">
        <f>TRAIN_BA!C1393</f>
        <v>Other Direct Costs Category 27</v>
      </c>
      <c r="F204" s="119"/>
    </row>
    <row r="205" spans="4:6" x14ac:dyDescent="0.3">
      <c r="D205" s="282" t="str">
        <f>TRAIN_BA!C1394</f>
        <v>Other Direct Costs Category 28</v>
      </c>
      <c r="F205" s="119"/>
    </row>
    <row r="206" spans="4:6" x14ac:dyDescent="0.3">
      <c r="D206" s="282" t="str">
        <f>TRAIN_BA!C1395</f>
        <v>Other Direct Costs Category 29</v>
      </c>
      <c r="F206" s="119"/>
    </row>
    <row r="207" spans="4:6" x14ac:dyDescent="0.3">
      <c r="D207" s="282" t="str">
        <f>TRAIN_BA!C1396</f>
        <v>Other Direct Costs Category 30</v>
      </c>
      <c r="F207" s="119"/>
    </row>
    <row r="208" spans="4:6" x14ac:dyDescent="0.3">
      <c r="D208" s="282" t="str">
        <f>TRAIN_BA!C1397</f>
        <v>Other Direct Costs Category 31</v>
      </c>
      <c r="F208" s="119"/>
    </row>
    <row r="209" spans="4:6" x14ac:dyDescent="0.3">
      <c r="D209" s="282" t="str">
        <f>TRAIN_BA!C1398</f>
        <v>Other Direct Costs Category 32</v>
      </c>
      <c r="F209" s="119"/>
    </row>
    <row r="210" spans="4:6" x14ac:dyDescent="0.3">
      <c r="D210" s="282" t="str">
        <f>TRAIN_BA!C1399</f>
        <v>Other Direct Costs Category 33</v>
      </c>
      <c r="F210" s="119"/>
    </row>
    <row r="211" spans="4:6" x14ac:dyDescent="0.3">
      <c r="D211" s="282" t="str">
        <f>TRAIN_BA!C1400</f>
        <v>Other Direct Costs Category 34</v>
      </c>
      <c r="F211" s="119"/>
    </row>
    <row r="212" spans="4:6" x14ac:dyDescent="0.3">
      <c r="D212" s="282" t="str">
        <f>TRAIN_BA!C1401</f>
        <v>Other Direct Costs Category 35</v>
      </c>
      <c r="F212" s="119"/>
    </row>
  </sheetData>
  <sheetProtection algorithmName="SHA-512" hashValue="seJeXF/zrST1LeqEflahvGv8y5VI3SzoW/Dh06TvPIscDBhwyUrFQ5OE4RPZpiThAwLbVDwI2mwOW2l4iLUmlA==" saltValue="uL9J48CHcbx7LXzR6mgAGA==" spinCount="100000" sheet="1" objects="1" scenarios="1" formatColumns="0" formatRows="0"/>
  <mergeCells count="1">
    <mergeCell ref="B3:D3"/>
  </mergeCells>
  <hyperlinks>
    <hyperlink ref="A4" location="$B$5" tooltip="Go to Top of Sheet" display="$B$5" xr:uid="{00000000-0004-0000-3D00-000000000000}"/>
    <hyperlink ref="B4" location="HL_Sheet_Main_39" tooltip="Go to Previous Sheet" display="HL_Sheet_Main_39" xr:uid="{00000000-0004-0000-3D00-000001000000}"/>
    <hyperlink ref="C4" location="HL_Sheet_Main_19" tooltip="Go to Next Sheet" display="HL_Sheet_Main_19" xr:uid="{00000000-0004-0000-3D00-000002000000}"/>
    <hyperlink ref="B3" location="HL_Home" tooltip="Go to Table of Contents" display="HL_Home" xr:uid="{00000000-0004-0000-3D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6">
    <pageSetUpPr autoPageBreaks="0"/>
  </sheetPr>
  <dimension ref="A1:F212"/>
  <sheetViews>
    <sheetView showGridLines="0" zoomScaleNormal="100" workbookViewId="0">
      <pane xSplit="1" ySplit="4" topLeftCell="B75" activePane="bottomRight" state="frozen"/>
      <selection activeCell="F86" sqref="F86"/>
      <selection pane="topRight" activeCell="F86" sqref="F86"/>
      <selection pane="bottomLeft" activeCell="F86" sqref="F86"/>
      <selection pane="bottomRight" activeCell="F55" sqref="F55"/>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538</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121" t="s">
        <v>540</v>
      </c>
    </row>
    <row r="9" spans="1:6" ht="15.6" x14ac:dyDescent="0.3">
      <c r="C9" s="115" t="s">
        <v>93</v>
      </c>
    </row>
    <row r="11" spans="1:6" ht="15.6" x14ac:dyDescent="0.3">
      <c r="C11" s="115" t="s">
        <v>93</v>
      </c>
      <c r="F11" s="115" t="s">
        <v>28</v>
      </c>
    </row>
    <row r="13" spans="1:6" x14ac:dyDescent="0.3">
      <c r="D13" s="116" t="s">
        <v>95</v>
      </c>
      <c r="F13" s="119" t="s">
        <v>541</v>
      </c>
    </row>
    <row r="14" spans="1:6" x14ac:dyDescent="0.3">
      <c r="D14" s="30" t="str">
        <f>TRAIN_BA!D1560</f>
        <v>USD</v>
      </c>
      <c r="F14" s="33" t="s">
        <v>46</v>
      </c>
    </row>
    <row r="15" spans="1:6" x14ac:dyDescent="0.3">
      <c r="D15" s="30" t="str">
        <f>TRAIN_BA!D1561</f>
        <v>GOZ</v>
      </c>
      <c r="F15" s="33" t="s">
        <v>46</v>
      </c>
    </row>
    <row r="17" spans="3:6" ht="15.6" x14ac:dyDescent="0.3">
      <c r="C17" s="115" t="s">
        <v>77</v>
      </c>
      <c r="F17" s="115" t="s">
        <v>28</v>
      </c>
    </row>
    <row r="19" spans="3:6" x14ac:dyDescent="0.3">
      <c r="D19" s="116" t="s">
        <v>95</v>
      </c>
      <c r="F19" s="119" t="s">
        <v>542</v>
      </c>
    </row>
    <row r="20" spans="3:6" x14ac:dyDescent="0.3">
      <c r="D20" s="30" t="str">
        <f>TRAIN_BA!C1566</f>
        <v>Personnel Cadre - Other 1</v>
      </c>
      <c r="F20" s="33" t="s">
        <v>46</v>
      </c>
    </row>
    <row r="21" spans="3:6" x14ac:dyDescent="0.3">
      <c r="D21" s="30" t="str">
        <f>TRAIN_BA!C1567</f>
        <v>Personnel Cadre - Other 2</v>
      </c>
      <c r="F21" s="33" t="s">
        <v>46</v>
      </c>
    </row>
    <row r="22" spans="3:6" x14ac:dyDescent="0.3">
      <c r="D22" s="30" t="str">
        <f>TRAIN_BA!C1568</f>
        <v>Personnel Cadre - Other 3</v>
      </c>
      <c r="F22" s="33" t="s">
        <v>46</v>
      </c>
    </row>
    <row r="23" spans="3:6" x14ac:dyDescent="0.3">
      <c r="D23" s="30" t="str">
        <f>TRAIN_BA!C1569</f>
        <v>Personnel Cadre - Other 4</v>
      </c>
      <c r="F23" s="33" t="s">
        <v>46</v>
      </c>
    </row>
    <row r="24" spans="3:6" x14ac:dyDescent="0.3">
      <c r="D24" s="30" t="str">
        <f>TRAIN_BA!C1570</f>
        <v>Personnel Cadre - Other 5</v>
      </c>
      <c r="F24" s="33" t="s">
        <v>46</v>
      </c>
    </row>
    <row r="25" spans="3:6" x14ac:dyDescent="0.3">
      <c r="D25" s="30" t="str">
        <f>TRAIN_BA!C1571</f>
        <v>Personnel Cadre - Other 6</v>
      </c>
      <c r="F25" s="33" t="s">
        <v>46</v>
      </c>
    </row>
    <row r="26" spans="3:6" x14ac:dyDescent="0.3">
      <c r="D26" s="30" t="str">
        <f>TRAIN_BA!C1572</f>
        <v>Personnel Cadre - Other 7</v>
      </c>
      <c r="F26" s="33" t="s">
        <v>46</v>
      </c>
    </row>
    <row r="27" spans="3:6" x14ac:dyDescent="0.3">
      <c r="D27" s="30" t="str">
        <f>TRAIN_BA!C1573</f>
        <v>Personnel Cadre - Other 8</v>
      </c>
      <c r="F27" s="33" t="s">
        <v>46</v>
      </c>
    </row>
    <row r="28" spans="3:6" x14ac:dyDescent="0.3">
      <c r="D28" s="30" t="str">
        <f>TRAIN_BA!C1574</f>
        <v>Personnel Cadre - Other 9</v>
      </c>
      <c r="F28" s="33" t="s">
        <v>46</v>
      </c>
    </row>
    <row r="29" spans="3:6" x14ac:dyDescent="0.3">
      <c r="D29" s="30" t="str">
        <f>TRAIN_BA!C1575</f>
        <v>Personnel Cadre - Other 10</v>
      </c>
      <c r="F29" s="33" t="s">
        <v>46</v>
      </c>
    </row>
    <row r="30" spans="3:6" x14ac:dyDescent="0.3">
      <c r="D30" s="30" t="str">
        <f>TRAIN_BA!C1576</f>
        <v>Personnel Cadre - Other 11</v>
      </c>
      <c r="F30" s="33" t="s">
        <v>46</v>
      </c>
    </row>
    <row r="31" spans="3:6" x14ac:dyDescent="0.3">
      <c r="D31" s="30" t="str">
        <f>TRAIN_BA!C1577</f>
        <v>Personnel Cadre - Other 12</v>
      </c>
      <c r="F31" s="33" t="s">
        <v>46</v>
      </c>
    </row>
    <row r="32" spans="3:6" x14ac:dyDescent="0.3">
      <c r="D32" s="30" t="str">
        <f>TRAIN_BA!C1578</f>
        <v>Personnel Cadre - Other 13</v>
      </c>
      <c r="F32" s="33" t="s">
        <v>46</v>
      </c>
    </row>
    <row r="33" spans="4:6" x14ac:dyDescent="0.3">
      <c r="D33" s="30" t="str">
        <f>TRAIN_BA!C1579</f>
        <v>Personnel Cadre - Other 14</v>
      </c>
      <c r="F33" s="33" t="s">
        <v>46</v>
      </c>
    </row>
    <row r="34" spans="4:6" x14ac:dyDescent="0.3">
      <c r="D34" s="30" t="str">
        <f>TRAIN_BA!C1580</f>
        <v>Personnel Cadre - Other 15</v>
      </c>
      <c r="F34" s="33" t="s">
        <v>46</v>
      </c>
    </row>
    <row r="35" spans="4:6" x14ac:dyDescent="0.3">
      <c r="D35" s="282" t="str">
        <f>TRAIN_BA!C1581</f>
        <v>Personnel Cadre - Other 16</v>
      </c>
      <c r="F35" s="119"/>
    </row>
    <row r="36" spans="4:6" x14ac:dyDescent="0.3">
      <c r="D36" s="282" t="str">
        <f>TRAIN_BA!C1582</f>
        <v>Personnel Cadre - Other 17</v>
      </c>
      <c r="F36" s="119"/>
    </row>
    <row r="37" spans="4:6" x14ac:dyDescent="0.3">
      <c r="D37" s="282" t="str">
        <f>TRAIN_BA!C1583</f>
        <v>Personnel Cadre - Other 18</v>
      </c>
      <c r="F37" s="119"/>
    </row>
    <row r="38" spans="4:6" x14ac:dyDescent="0.3">
      <c r="D38" s="282" t="str">
        <f>TRAIN_BA!C1584</f>
        <v>Personnel Cadre - Other 19</v>
      </c>
      <c r="F38" s="119"/>
    </row>
    <row r="39" spans="4:6" x14ac:dyDescent="0.3">
      <c r="D39" s="282" t="str">
        <f>TRAIN_BA!C1585</f>
        <v>Personnel Cadre - Other 20</v>
      </c>
      <c r="F39" s="119"/>
    </row>
    <row r="40" spans="4:6" x14ac:dyDescent="0.3">
      <c r="D40" s="282" t="str">
        <f>TRAIN_BA!C1586</f>
        <v>Personnel Cadre - Other 21</v>
      </c>
      <c r="F40" s="119"/>
    </row>
    <row r="41" spans="4:6" x14ac:dyDescent="0.3">
      <c r="D41" s="282" t="str">
        <f>TRAIN_BA!C1587</f>
        <v>Personnel Cadre - Other 22</v>
      </c>
      <c r="F41" s="119"/>
    </row>
    <row r="42" spans="4:6" x14ac:dyDescent="0.3">
      <c r="D42" s="282" t="str">
        <f>TRAIN_BA!C1588</f>
        <v>Personnel Cadre - Other 23</v>
      </c>
      <c r="F42" s="119"/>
    </row>
    <row r="43" spans="4:6" x14ac:dyDescent="0.3">
      <c r="D43" s="282" t="str">
        <f>TRAIN_BA!C1589</f>
        <v>Personnel Cadre - Other 24</v>
      </c>
      <c r="F43" s="119"/>
    </row>
    <row r="44" spans="4:6" x14ac:dyDescent="0.3">
      <c r="D44" s="282" t="str">
        <f>TRAIN_BA!C1590</f>
        <v>Personnel Cadre - Other 25</v>
      </c>
      <c r="F44" s="119"/>
    </row>
    <row r="45" spans="4:6" x14ac:dyDescent="0.3">
      <c r="D45" s="282" t="str">
        <f>TRAIN_BA!C1591</f>
        <v>Personnel Cadre - Other 26</v>
      </c>
      <c r="F45" s="119"/>
    </row>
    <row r="46" spans="4:6" x14ac:dyDescent="0.3">
      <c r="D46" s="282" t="str">
        <f>TRAIN_BA!C1592</f>
        <v>Personnel Cadre - Other 27</v>
      </c>
      <c r="F46" s="119"/>
    </row>
    <row r="47" spans="4:6" x14ac:dyDescent="0.3">
      <c r="D47" s="282" t="str">
        <f>TRAIN_BA!C1593</f>
        <v>Personnel Cadre - Other 28</v>
      </c>
      <c r="F47" s="119"/>
    </row>
    <row r="48" spans="4:6" x14ac:dyDescent="0.3">
      <c r="D48" s="282" t="str">
        <f>TRAIN_BA!C1594</f>
        <v>Personnel Cadre - Other 29</v>
      </c>
      <c r="F48" s="119"/>
    </row>
    <row r="49" spans="3:6" x14ac:dyDescent="0.3">
      <c r="D49" s="282" t="str">
        <f>TRAIN_BA!C1595</f>
        <v>Personnel Cadre - Other 30</v>
      </c>
      <c r="F49" s="119"/>
    </row>
    <row r="50" spans="3:6" x14ac:dyDescent="0.3">
      <c r="D50" s="282" t="str">
        <f>TRAIN_BA!C1596</f>
        <v>Personnel Cadre - Other 31</v>
      </c>
      <c r="F50" s="119"/>
    </row>
    <row r="51" spans="3:6" x14ac:dyDescent="0.3">
      <c r="D51" s="282" t="str">
        <f>TRAIN_BA!C1597</f>
        <v>Personnel Cadre - Other 32</v>
      </c>
      <c r="F51" s="119"/>
    </row>
    <row r="52" spans="3:6" x14ac:dyDescent="0.3">
      <c r="D52" s="282" t="str">
        <f>TRAIN_BA!C1598</f>
        <v>Personnel Cadre - Other 33</v>
      </c>
      <c r="F52" s="119"/>
    </row>
    <row r="53" spans="3:6" x14ac:dyDescent="0.3">
      <c r="D53" s="282" t="str">
        <f>TRAIN_BA!C1599</f>
        <v>Personnel Cadre - Other 34</v>
      </c>
      <c r="F53" s="119"/>
    </row>
    <row r="54" spans="3:6" x14ac:dyDescent="0.3">
      <c r="D54" s="282" t="str">
        <f>TRAIN_BA!C1600</f>
        <v>Personnel Cadre - Other 35</v>
      </c>
      <c r="F54" s="119"/>
    </row>
    <row r="56" spans="3:6" ht="15.6" x14ac:dyDescent="0.3">
      <c r="C56" s="115" t="s">
        <v>94</v>
      </c>
      <c r="F56" s="115" t="s">
        <v>28</v>
      </c>
    </row>
    <row r="58" spans="3:6" x14ac:dyDescent="0.3">
      <c r="D58" s="116" t="s">
        <v>95</v>
      </c>
      <c r="F58" s="119" t="s">
        <v>543</v>
      </c>
    </row>
    <row r="59" spans="3:6" x14ac:dyDescent="0.3">
      <c r="D59" s="30" t="str">
        <f>TRAIN_BA!C1603</f>
        <v>Allowances Category 1</v>
      </c>
      <c r="F59" s="33" t="s">
        <v>46</v>
      </c>
    </row>
    <row r="60" spans="3:6" x14ac:dyDescent="0.3">
      <c r="D60" s="30" t="str">
        <f>TRAIN_BA!C1604</f>
        <v>Allowances Category 2</v>
      </c>
      <c r="F60" s="33" t="s">
        <v>46</v>
      </c>
    </row>
    <row r="61" spans="3:6" x14ac:dyDescent="0.3">
      <c r="D61" s="30" t="str">
        <f>TRAIN_BA!C1605</f>
        <v>Allowances Category 3</v>
      </c>
      <c r="F61" s="33" t="s">
        <v>46</v>
      </c>
    </row>
    <row r="62" spans="3:6" x14ac:dyDescent="0.3">
      <c r="D62" s="30" t="str">
        <f>TRAIN_BA!C1606</f>
        <v>Allowances Category 4</v>
      </c>
      <c r="F62" s="33" t="s">
        <v>46</v>
      </c>
    </row>
    <row r="63" spans="3:6" x14ac:dyDescent="0.3">
      <c r="D63" s="30" t="str">
        <f>TRAIN_BA!C1607</f>
        <v>Allowances Category 5</v>
      </c>
      <c r="F63" s="33" t="s">
        <v>46</v>
      </c>
    </row>
    <row r="64" spans="3:6" x14ac:dyDescent="0.3">
      <c r="D64" s="282" t="str">
        <f>TRAIN_BA!C1608</f>
        <v>Allowances Category 6</v>
      </c>
      <c r="F64" s="119"/>
    </row>
    <row r="65" spans="4:6" x14ac:dyDescent="0.3">
      <c r="D65" s="282" t="str">
        <f>TRAIN_BA!C1609</f>
        <v>Allowances Category 7</v>
      </c>
      <c r="F65" s="119"/>
    </row>
    <row r="66" spans="4:6" x14ac:dyDescent="0.3">
      <c r="D66" s="282" t="str">
        <f>TRAIN_BA!C1610</f>
        <v>Allowances Category 8</v>
      </c>
      <c r="F66" s="119"/>
    </row>
    <row r="67" spans="4:6" x14ac:dyDescent="0.3">
      <c r="D67" s="282" t="str">
        <f>TRAIN_BA!C1611</f>
        <v>Allowances Category 9</v>
      </c>
      <c r="F67" s="119"/>
    </row>
    <row r="68" spans="4:6" x14ac:dyDescent="0.3">
      <c r="D68" s="282" t="str">
        <f>TRAIN_BA!C1612</f>
        <v>Allowances Category 10</v>
      </c>
      <c r="F68" s="119"/>
    </row>
    <row r="69" spans="4:6" x14ac:dyDescent="0.3">
      <c r="D69" s="282" t="str">
        <f>TRAIN_BA!C1613</f>
        <v>Allowances Category 11</v>
      </c>
      <c r="F69" s="119"/>
    </row>
    <row r="70" spans="4:6" x14ac:dyDescent="0.3">
      <c r="D70" s="282" t="str">
        <f>TRAIN_BA!C1614</f>
        <v>Allowances Category 12</v>
      </c>
      <c r="F70" s="119"/>
    </row>
    <row r="71" spans="4:6" x14ac:dyDescent="0.3">
      <c r="D71" s="282" t="str">
        <f>TRAIN_BA!C1615</f>
        <v>Allowances Category 13</v>
      </c>
      <c r="F71" s="119"/>
    </row>
    <row r="72" spans="4:6" x14ac:dyDescent="0.3">
      <c r="D72" s="282" t="str">
        <f>TRAIN_BA!C1616</f>
        <v>Allowances Category 14</v>
      </c>
      <c r="F72" s="119"/>
    </row>
    <row r="73" spans="4:6" x14ac:dyDescent="0.3">
      <c r="D73" s="282" t="str">
        <f>TRAIN_BA!C1617</f>
        <v>Allowances Category 15</v>
      </c>
      <c r="F73" s="119"/>
    </row>
    <row r="74" spans="4:6" x14ac:dyDescent="0.3">
      <c r="D74" s="282" t="str">
        <f>TRAIN_BA!C1618</f>
        <v>Allowances Category 16</v>
      </c>
      <c r="F74" s="119"/>
    </row>
    <row r="75" spans="4:6" x14ac:dyDescent="0.3">
      <c r="D75" s="30" t="str">
        <f>TRAIN_BA!C1619</f>
        <v>Allowances Category 17</v>
      </c>
      <c r="F75" s="33" t="s">
        <v>46</v>
      </c>
    </row>
    <row r="76" spans="4:6" x14ac:dyDescent="0.3">
      <c r="D76" s="30" t="str">
        <f>TRAIN_BA!C1620</f>
        <v>Allowances Category 18</v>
      </c>
      <c r="F76" s="33" t="s">
        <v>46</v>
      </c>
    </row>
    <row r="77" spans="4:6" x14ac:dyDescent="0.3">
      <c r="D77" s="30" t="str">
        <f>TRAIN_BA!C1621</f>
        <v>Allowances Category 19</v>
      </c>
      <c r="F77" s="33" t="s">
        <v>46</v>
      </c>
    </row>
    <row r="78" spans="4:6" x14ac:dyDescent="0.3">
      <c r="D78" s="30" t="str">
        <f>TRAIN_BA!C1622</f>
        <v>Allowances Category 20</v>
      </c>
      <c r="F78" s="33" t="s">
        <v>46</v>
      </c>
    </row>
    <row r="79" spans="4:6" x14ac:dyDescent="0.3">
      <c r="D79" s="30" t="str">
        <f>TRAIN_BA!C1623</f>
        <v>Allowances Category 21</v>
      </c>
      <c r="F79" s="33" t="s">
        <v>46</v>
      </c>
    </row>
    <row r="80" spans="4:6" x14ac:dyDescent="0.3">
      <c r="D80" s="30" t="str">
        <f>TRAIN_BA!C1624</f>
        <v>Allowances Category 22</v>
      </c>
      <c r="F80" s="33" t="s">
        <v>46</v>
      </c>
    </row>
    <row r="81" spans="3:6" x14ac:dyDescent="0.3">
      <c r="D81" s="30" t="str">
        <f>TRAIN_BA!C1625</f>
        <v>Allowances Category 23</v>
      </c>
      <c r="F81" s="33" t="s">
        <v>46</v>
      </c>
    </row>
    <row r="82" spans="3:6" x14ac:dyDescent="0.3">
      <c r="D82" s="282" t="str">
        <f>TRAIN_BA!C1626</f>
        <v>Allowances Category 24</v>
      </c>
      <c r="F82" s="119"/>
    </row>
    <row r="83" spans="3:6" x14ac:dyDescent="0.3">
      <c r="D83" s="282" t="str">
        <f>TRAIN_BA!C1627</f>
        <v>Allowances Category 25</v>
      </c>
      <c r="F83" s="119"/>
    </row>
    <row r="84" spans="3:6" x14ac:dyDescent="0.3">
      <c r="D84" s="282" t="str">
        <f>TRAIN_BA!C1628</f>
        <v>Allowances Category 26</v>
      </c>
      <c r="F84" s="119"/>
    </row>
    <row r="85" spans="3:6" x14ac:dyDescent="0.3">
      <c r="D85" s="282" t="str">
        <f>TRAIN_BA!C1629</f>
        <v>Allowances Category 27</v>
      </c>
      <c r="F85" s="119"/>
    </row>
    <row r="86" spans="3:6" x14ac:dyDescent="0.3">
      <c r="D86" s="282" t="str">
        <f>TRAIN_BA!C1630</f>
        <v>Allowances Category 28</v>
      </c>
      <c r="F86" s="119"/>
    </row>
    <row r="87" spans="3:6" x14ac:dyDescent="0.3">
      <c r="D87" s="282" t="str">
        <f>TRAIN_BA!C1631</f>
        <v>Allowances Category 29</v>
      </c>
      <c r="F87" s="119"/>
    </row>
    <row r="88" spans="3:6" x14ac:dyDescent="0.3">
      <c r="D88" s="282" t="str">
        <f>TRAIN_BA!C1632</f>
        <v>Allowances Category 30</v>
      </c>
      <c r="F88" s="119"/>
    </row>
    <row r="89" spans="3:6" x14ac:dyDescent="0.3">
      <c r="D89" s="30" t="str">
        <f>TRAIN_BA!C1633</f>
        <v>Allowances Category 31</v>
      </c>
      <c r="F89" s="33" t="s">
        <v>46</v>
      </c>
    </row>
    <row r="90" spans="3:6" x14ac:dyDescent="0.3">
      <c r="D90" s="30" t="str">
        <f>TRAIN_BA!C1634</f>
        <v>Allowances Category 32</v>
      </c>
      <c r="F90" s="33" t="s">
        <v>46</v>
      </c>
    </row>
    <row r="91" spans="3:6" x14ac:dyDescent="0.3">
      <c r="D91" s="30" t="str">
        <f>TRAIN_BA!C1635</f>
        <v>Allowances Category 33</v>
      </c>
      <c r="F91" s="33" t="s">
        <v>46</v>
      </c>
    </row>
    <row r="92" spans="3:6" x14ac:dyDescent="0.3">
      <c r="D92" s="30" t="str">
        <f>TRAIN_BA!C1636</f>
        <v>Allowances Category 34</v>
      </c>
      <c r="F92" s="33" t="s">
        <v>46</v>
      </c>
    </row>
    <row r="93" spans="3:6" x14ac:dyDescent="0.3">
      <c r="D93" s="30" t="str">
        <f>TRAIN_BA!C1637</f>
        <v>Allowances Category 35</v>
      </c>
      <c r="F93" s="33" t="s">
        <v>46</v>
      </c>
    </row>
    <row r="96" spans="3:6" ht="15.6" x14ac:dyDescent="0.3">
      <c r="C96" s="115" t="s">
        <v>132</v>
      </c>
      <c r="F96" s="115" t="s">
        <v>28</v>
      </c>
    </row>
    <row r="98" spans="4:6" x14ac:dyDescent="0.3">
      <c r="D98" s="116" t="s">
        <v>95</v>
      </c>
      <c r="F98" s="119" t="s">
        <v>544</v>
      </c>
    </row>
    <row r="99" spans="4:6" x14ac:dyDescent="0.3">
      <c r="D99" s="30" t="str">
        <f>TRAIN_BA!C1641</f>
        <v>Supplies Category 1</v>
      </c>
      <c r="F99" s="33" t="s">
        <v>46</v>
      </c>
    </row>
    <row r="100" spans="4:6" x14ac:dyDescent="0.3">
      <c r="D100" s="30" t="str">
        <f>TRAIN_BA!C1642</f>
        <v>Supplies Category 2</v>
      </c>
      <c r="F100" s="33" t="s">
        <v>46</v>
      </c>
    </row>
    <row r="101" spans="4:6" x14ac:dyDescent="0.3">
      <c r="D101" s="30" t="str">
        <f>TRAIN_BA!C1643</f>
        <v>Supplies Category 3</v>
      </c>
      <c r="F101" s="33" t="s">
        <v>46</v>
      </c>
    </row>
    <row r="102" spans="4:6" x14ac:dyDescent="0.3">
      <c r="D102" s="30" t="str">
        <f>TRAIN_BA!C1644</f>
        <v>Supplies Category 4</v>
      </c>
      <c r="F102" s="33" t="s">
        <v>46</v>
      </c>
    </row>
    <row r="103" spans="4:6" x14ac:dyDescent="0.3">
      <c r="D103" s="30" t="str">
        <f>TRAIN_BA!C1645</f>
        <v>Supplies Category 5</v>
      </c>
      <c r="F103" s="33" t="s">
        <v>46</v>
      </c>
    </row>
    <row r="104" spans="4:6" x14ac:dyDescent="0.3">
      <c r="D104" s="30" t="str">
        <f>TRAIN_BA!C1646</f>
        <v>Supplies Category 6</v>
      </c>
      <c r="F104" s="33" t="s">
        <v>46</v>
      </c>
    </row>
    <row r="105" spans="4:6" x14ac:dyDescent="0.3">
      <c r="D105" s="30" t="str">
        <f>TRAIN_BA!C1647</f>
        <v>Supplies Category 7</v>
      </c>
      <c r="F105" s="33" t="s">
        <v>46</v>
      </c>
    </row>
    <row r="106" spans="4:6" x14ac:dyDescent="0.3">
      <c r="D106" s="30" t="str">
        <f>TRAIN_BA!C1648</f>
        <v>Supplies Category 8</v>
      </c>
      <c r="F106" s="33" t="s">
        <v>46</v>
      </c>
    </row>
    <row r="107" spans="4:6" x14ac:dyDescent="0.3">
      <c r="D107" s="30" t="str">
        <f>TRAIN_BA!C1649</f>
        <v>Supplies Category 9</v>
      </c>
      <c r="F107" s="33" t="s">
        <v>46</v>
      </c>
    </row>
    <row r="108" spans="4:6" x14ac:dyDescent="0.3">
      <c r="D108" s="30" t="str">
        <f>TRAIN_BA!C1650</f>
        <v>Supplies Category 10</v>
      </c>
      <c r="F108" s="33" t="s">
        <v>46</v>
      </c>
    </row>
    <row r="109" spans="4:6" x14ac:dyDescent="0.3">
      <c r="D109" s="30" t="str">
        <f>TRAIN_BA!C1651</f>
        <v>Supplies Category 11</v>
      </c>
      <c r="F109" s="33" t="s">
        <v>46</v>
      </c>
    </row>
    <row r="110" spans="4:6" x14ac:dyDescent="0.3">
      <c r="D110" s="30" t="str">
        <f>TRAIN_BA!C1652</f>
        <v>Supplies Category 12</v>
      </c>
      <c r="F110" s="33" t="s">
        <v>46</v>
      </c>
    </row>
    <row r="111" spans="4:6" x14ac:dyDescent="0.3">
      <c r="D111" s="30" t="str">
        <f>TRAIN_BA!C1653</f>
        <v>Supplies Category 13</v>
      </c>
      <c r="F111" s="33" t="s">
        <v>46</v>
      </c>
    </row>
    <row r="112" spans="4:6" x14ac:dyDescent="0.3">
      <c r="D112" s="30" t="str">
        <f>TRAIN_BA!C1654</f>
        <v>Supplies Category 14</v>
      </c>
      <c r="F112" s="33" t="s">
        <v>46</v>
      </c>
    </row>
    <row r="113" spans="4:6" x14ac:dyDescent="0.3">
      <c r="D113" s="30" t="str">
        <f>TRAIN_BA!C1655</f>
        <v>Supplies Category 15</v>
      </c>
      <c r="F113" s="33" t="s">
        <v>46</v>
      </c>
    </row>
    <row r="114" spans="4:6" x14ac:dyDescent="0.3">
      <c r="D114" s="30" t="str">
        <f>TRAIN_BA!C1656</f>
        <v>Supplies Category 16</v>
      </c>
      <c r="F114" s="33" t="s">
        <v>46</v>
      </c>
    </row>
    <row r="115" spans="4:6" x14ac:dyDescent="0.3">
      <c r="D115" s="282" t="str">
        <f>TRAIN_BA!C1657</f>
        <v>Supplies Category 17</v>
      </c>
      <c r="F115" s="119"/>
    </row>
    <row r="116" spans="4:6" x14ac:dyDescent="0.3">
      <c r="D116" s="282" t="str">
        <f>TRAIN_BA!C1658</f>
        <v>Supplies Category 18</v>
      </c>
      <c r="F116" s="119"/>
    </row>
    <row r="117" spans="4:6" x14ac:dyDescent="0.3">
      <c r="D117" s="282" t="str">
        <f>TRAIN_BA!C1659</f>
        <v>Supplies Category 19</v>
      </c>
      <c r="F117" s="119"/>
    </row>
    <row r="118" spans="4:6" x14ac:dyDescent="0.3">
      <c r="D118" s="282" t="str">
        <f>TRAIN_BA!C1660</f>
        <v>Supplies Category 20</v>
      </c>
      <c r="F118" s="119"/>
    </row>
    <row r="119" spans="4:6" x14ac:dyDescent="0.3">
      <c r="D119" s="282" t="str">
        <f>TRAIN_BA!C1661</f>
        <v>Supplies Category 21</v>
      </c>
      <c r="F119" s="119"/>
    </row>
    <row r="120" spans="4:6" x14ac:dyDescent="0.3">
      <c r="D120" s="282" t="str">
        <f>TRAIN_BA!C1662</f>
        <v>Supplies Category 22</v>
      </c>
      <c r="F120" s="119"/>
    </row>
    <row r="121" spans="4:6" x14ac:dyDescent="0.3">
      <c r="D121" s="282" t="str">
        <f>TRAIN_BA!C1663</f>
        <v>Supplies Category 23</v>
      </c>
      <c r="F121" s="119"/>
    </row>
    <row r="122" spans="4:6" x14ac:dyDescent="0.3">
      <c r="D122" s="282" t="str">
        <f>TRAIN_BA!C1664</f>
        <v>Supplies Category 24</v>
      </c>
      <c r="F122" s="119"/>
    </row>
    <row r="123" spans="4:6" x14ac:dyDescent="0.3">
      <c r="D123" s="282" t="str">
        <f>TRAIN_BA!C1665</f>
        <v>Supplies Category 25</v>
      </c>
      <c r="F123" s="119"/>
    </row>
    <row r="124" spans="4:6" x14ac:dyDescent="0.3">
      <c r="D124" s="282" t="str">
        <f>TRAIN_BA!C1666</f>
        <v>Supplies Category 26</v>
      </c>
      <c r="F124" s="119"/>
    </row>
    <row r="125" spans="4:6" x14ac:dyDescent="0.3">
      <c r="D125" s="282" t="str">
        <f>TRAIN_BA!C1667</f>
        <v>Supplies Category 27</v>
      </c>
      <c r="F125" s="119"/>
    </row>
    <row r="126" spans="4:6" x14ac:dyDescent="0.3">
      <c r="D126" s="282" t="str">
        <f>TRAIN_BA!C1668</f>
        <v>Supplies Category 28</v>
      </c>
      <c r="F126" s="119"/>
    </row>
    <row r="127" spans="4:6" x14ac:dyDescent="0.3">
      <c r="D127" s="282" t="str">
        <f>TRAIN_BA!C1669</f>
        <v>Supplies Category 29</v>
      </c>
      <c r="F127" s="119"/>
    </row>
    <row r="128" spans="4:6" x14ac:dyDescent="0.3">
      <c r="D128" s="282" t="str">
        <f>TRAIN_BA!C1670</f>
        <v>Supplies Category 30</v>
      </c>
      <c r="F128" s="119"/>
    </row>
    <row r="129" spans="3:6" x14ac:dyDescent="0.3">
      <c r="D129" s="282" t="str">
        <f>TRAIN_BA!C1671</f>
        <v>Supplies Category 31</v>
      </c>
      <c r="F129" s="119"/>
    </row>
    <row r="130" spans="3:6" x14ac:dyDescent="0.3">
      <c r="D130" s="282" t="str">
        <f>TRAIN_BA!C1672</f>
        <v>Supplies Category 32</v>
      </c>
      <c r="F130" s="119"/>
    </row>
    <row r="131" spans="3:6" x14ac:dyDescent="0.3">
      <c r="D131" s="282" t="str">
        <f>TRAIN_BA!C1673</f>
        <v>Supplies Category 33</v>
      </c>
      <c r="F131" s="119"/>
    </row>
    <row r="132" spans="3:6" x14ac:dyDescent="0.3">
      <c r="D132" s="282" t="str">
        <f>TRAIN_BA!C1674</f>
        <v>Supplies Category 34</v>
      </c>
      <c r="F132" s="119"/>
    </row>
    <row r="133" spans="3:6" x14ac:dyDescent="0.3">
      <c r="D133" s="282" t="str">
        <f>TRAIN_BA!C1675</f>
        <v>Supplies Category 35</v>
      </c>
      <c r="F133" s="119"/>
    </row>
    <row r="136" spans="3:6" ht="15.6" x14ac:dyDescent="0.3">
      <c r="C136" s="115" t="s">
        <v>130</v>
      </c>
      <c r="F136" s="115" t="s">
        <v>28</v>
      </c>
    </row>
    <row r="138" spans="3:6" x14ac:dyDescent="0.3">
      <c r="D138" s="116" t="s">
        <v>95</v>
      </c>
      <c r="F138" s="119" t="s">
        <v>545</v>
      </c>
    </row>
    <row r="139" spans="3:6" x14ac:dyDescent="0.3">
      <c r="D139" s="30" t="str">
        <f>TRAIN_BA!C1678</f>
        <v>Equipment Category 1</v>
      </c>
      <c r="F139" s="33" t="s">
        <v>46</v>
      </c>
    </row>
    <row r="140" spans="3:6" x14ac:dyDescent="0.3">
      <c r="D140" s="30" t="str">
        <f>TRAIN_BA!C1679</f>
        <v>Equipment Category 2</v>
      </c>
      <c r="F140" s="33" t="s">
        <v>46</v>
      </c>
    </row>
    <row r="141" spans="3:6" x14ac:dyDescent="0.3">
      <c r="D141" s="30" t="str">
        <f>TRAIN_BA!C1680</f>
        <v>Equipment Category 3</v>
      </c>
      <c r="F141" s="33" t="s">
        <v>46</v>
      </c>
    </row>
    <row r="142" spans="3:6" x14ac:dyDescent="0.3">
      <c r="D142" s="30" t="str">
        <f>TRAIN_BA!C1681</f>
        <v>Equipment Category 4</v>
      </c>
      <c r="F142" s="33" t="s">
        <v>46</v>
      </c>
    </row>
    <row r="143" spans="3:6" x14ac:dyDescent="0.3">
      <c r="D143" s="30" t="str">
        <f>TRAIN_BA!C1682</f>
        <v>Equipment Category 5</v>
      </c>
      <c r="F143" s="33" t="s">
        <v>46</v>
      </c>
    </row>
    <row r="144" spans="3:6" x14ac:dyDescent="0.3">
      <c r="D144" s="30" t="str">
        <f>TRAIN_BA!C1683</f>
        <v>Equipment Category 6</v>
      </c>
      <c r="F144" s="33" t="s">
        <v>46</v>
      </c>
    </row>
    <row r="145" spans="4:6" x14ac:dyDescent="0.3">
      <c r="D145" s="282" t="str">
        <f>TRAIN_BA!C1684</f>
        <v>Equipment Category 7</v>
      </c>
      <c r="F145" s="119"/>
    </row>
    <row r="146" spans="4:6" x14ac:dyDescent="0.3">
      <c r="D146" s="282" t="str">
        <f>TRAIN_BA!C1685</f>
        <v>Equipment Category 8</v>
      </c>
      <c r="F146" s="119"/>
    </row>
    <row r="147" spans="4:6" x14ac:dyDescent="0.3">
      <c r="D147" s="282" t="str">
        <f>TRAIN_BA!C1686</f>
        <v>Equipment Category 9</v>
      </c>
      <c r="F147" s="119"/>
    </row>
    <row r="148" spans="4:6" x14ac:dyDescent="0.3">
      <c r="D148" s="282" t="str">
        <f>TRAIN_BA!C1687</f>
        <v>Equipment Category 10</v>
      </c>
      <c r="F148" s="119"/>
    </row>
    <row r="149" spans="4:6" x14ac:dyDescent="0.3">
      <c r="D149" s="282" t="str">
        <f>TRAIN_BA!C1688</f>
        <v>Equipment Category 11</v>
      </c>
      <c r="F149" s="119"/>
    </row>
    <row r="150" spans="4:6" x14ac:dyDescent="0.3">
      <c r="D150" s="282" t="str">
        <f>TRAIN_BA!C1689</f>
        <v>Equipment Category 12</v>
      </c>
      <c r="F150" s="119"/>
    </row>
    <row r="151" spans="4:6" x14ac:dyDescent="0.3">
      <c r="D151" s="282" t="str">
        <f>TRAIN_BA!C1690</f>
        <v>Equipment Category 13</v>
      </c>
      <c r="F151" s="119"/>
    </row>
    <row r="152" spans="4:6" x14ac:dyDescent="0.3">
      <c r="D152" s="282" t="str">
        <f>TRAIN_BA!C1691</f>
        <v>Equipment Category 14</v>
      </c>
      <c r="F152" s="119"/>
    </row>
    <row r="153" spans="4:6" x14ac:dyDescent="0.3">
      <c r="D153" s="282" t="str">
        <f>TRAIN_BA!C1692</f>
        <v>Equipment Category 15</v>
      </c>
      <c r="F153" s="119"/>
    </row>
    <row r="154" spans="4:6" x14ac:dyDescent="0.3">
      <c r="D154" s="282" t="str">
        <f>TRAIN_BA!C1693</f>
        <v>Equipment Category 16</v>
      </c>
      <c r="F154" s="119"/>
    </row>
    <row r="155" spans="4:6" x14ac:dyDescent="0.3">
      <c r="D155" s="282" t="str">
        <f>TRAIN_BA!C1694</f>
        <v>Equipment Category 17</v>
      </c>
      <c r="F155" s="119"/>
    </row>
    <row r="156" spans="4:6" x14ac:dyDescent="0.3">
      <c r="D156" s="282" t="str">
        <f>TRAIN_BA!C1695</f>
        <v>Equipment Category 18</v>
      </c>
      <c r="F156" s="119"/>
    </row>
    <row r="157" spans="4:6" x14ac:dyDescent="0.3">
      <c r="D157" s="282" t="str">
        <f>TRAIN_BA!C1696</f>
        <v>Equipment Category 19</v>
      </c>
      <c r="F157" s="119"/>
    </row>
    <row r="158" spans="4:6" x14ac:dyDescent="0.3">
      <c r="D158" s="282" t="str">
        <f>TRAIN_BA!C1697</f>
        <v>Equipment Category 20</v>
      </c>
      <c r="F158" s="119"/>
    </row>
    <row r="159" spans="4:6" x14ac:dyDescent="0.3">
      <c r="D159" s="282" t="str">
        <f>TRAIN_BA!C1698</f>
        <v>Equipment Category 21</v>
      </c>
      <c r="F159" s="119"/>
    </row>
    <row r="160" spans="4:6" x14ac:dyDescent="0.3">
      <c r="D160" s="282" t="str">
        <f>TRAIN_BA!C1699</f>
        <v>Equipment Category 22</v>
      </c>
      <c r="F160" s="119"/>
    </row>
    <row r="161" spans="3:6" x14ac:dyDescent="0.3">
      <c r="D161" s="282" t="str">
        <f>TRAIN_BA!C1700</f>
        <v>Equipment Category 23</v>
      </c>
      <c r="F161" s="119"/>
    </row>
    <row r="162" spans="3:6" x14ac:dyDescent="0.3">
      <c r="D162" s="282" t="str">
        <f>TRAIN_BA!C1701</f>
        <v>Equipment Category 24</v>
      </c>
      <c r="F162" s="119"/>
    </row>
    <row r="163" spans="3:6" x14ac:dyDescent="0.3">
      <c r="D163" s="282" t="str">
        <f>TRAIN_BA!C1702</f>
        <v>Equipment Category 25</v>
      </c>
      <c r="F163" s="119"/>
    </row>
    <row r="164" spans="3:6" x14ac:dyDescent="0.3">
      <c r="D164" s="282" t="str">
        <f>TRAIN_BA!C1703</f>
        <v>Equipment Category 26</v>
      </c>
      <c r="F164" s="119"/>
    </row>
    <row r="165" spans="3:6" x14ac:dyDescent="0.3">
      <c r="D165" s="282" t="str">
        <f>TRAIN_BA!C1704</f>
        <v>Equipment Category 27</v>
      </c>
      <c r="F165" s="119"/>
    </row>
    <row r="166" spans="3:6" x14ac:dyDescent="0.3">
      <c r="D166" s="282" t="str">
        <f>TRAIN_BA!C1705</f>
        <v>Equipment Category 28</v>
      </c>
      <c r="F166" s="119"/>
    </row>
    <row r="167" spans="3:6" x14ac:dyDescent="0.3">
      <c r="D167" s="282" t="str">
        <f>TRAIN_BA!C1706</f>
        <v>Equipment Category 29</v>
      </c>
      <c r="F167" s="119"/>
    </row>
    <row r="168" spans="3:6" x14ac:dyDescent="0.3">
      <c r="D168" s="282" t="str">
        <f>TRAIN_BA!C1707</f>
        <v>Equipment Category 30</v>
      </c>
      <c r="F168" s="119"/>
    </row>
    <row r="169" spans="3:6" x14ac:dyDescent="0.3">
      <c r="D169" s="282" t="str">
        <f>TRAIN_BA!C1708</f>
        <v>Equipment Category 31</v>
      </c>
      <c r="F169" s="119"/>
    </row>
    <row r="170" spans="3:6" x14ac:dyDescent="0.3">
      <c r="D170" s="282" t="str">
        <f>TRAIN_BA!C1709</f>
        <v>Equipment Category 32</v>
      </c>
      <c r="F170" s="119"/>
    </row>
    <row r="171" spans="3:6" x14ac:dyDescent="0.3">
      <c r="D171" s="282" t="str">
        <f>TRAIN_BA!C1710</f>
        <v>Equipment Category 33</v>
      </c>
      <c r="F171" s="119"/>
    </row>
    <row r="172" spans="3:6" x14ac:dyDescent="0.3">
      <c r="D172" s="282" t="str">
        <f>TRAIN_BA!C1711</f>
        <v>Equipment Category 34</v>
      </c>
      <c r="F172" s="119"/>
    </row>
    <row r="173" spans="3:6" x14ac:dyDescent="0.3">
      <c r="D173" s="282" t="str">
        <f>TRAIN_BA!C1712</f>
        <v>Equipment Category 35</v>
      </c>
      <c r="F173" s="119"/>
    </row>
    <row r="175" spans="3:6" ht="15.6" x14ac:dyDescent="0.3">
      <c r="C175" s="115" t="s">
        <v>89</v>
      </c>
      <c r="F175" s="115" t="s">
        <v>28</v>
      </c>
    </row>
    <row r="177" spans="4:6" x14ac:dyDescent="0.3">
      <c r="D177" s="116" t="s">
        <v>95</v>
      </c>
      <c r="F177" s="119" t="s">
        <v>546</v>
      </c>
    </row>
    <row r="178" spans="4:6" x14ac:dyDescent="0.3">
      <c r="D178" s="30" t="str">
        <f>TRAIN_BA!C1716</f>
        <v>Other Direct Costs Category 1</v>
      </c>
      <c r="F178" s="33" t="s">
        <v>46</v>
      </c>
    </row>
    <row r="179" spans="4:6" x14ac:dyDescent="0.3">
      <c r="D179" s="30" t="str">
        <f>TRAIN_BA!C1717</f>
        <v>Other Direct Costs Category 2</v>
      </c>
      <c r="F179" s="33" t="s">
        <v>46</v>
      </c>
    </row>
    <row r="180" spans="4:6" x14ac:dyDescent="0.3">
      <c r="D180" s="30" t="str">
        <f>TRAIN_BA!C1718</f>
        <v>Other Direct Costs Category 3</v>
      </c>
      <c r="F180" s="33" t="s">
        <v>46</v>
      </c>
    </row>
    <row r="181" spans="4:6" x14ac:dyDescent="0.3">
      <c r="D181" s="282" t="str">
        <f>TRAIN_BA!C1719</f>
        <v>Other Direct Costs Category 4</v>
      </c>
      <c r="F181" s="119"/>
    </row>
    <row r="182" spans="4:6" x14ac:dyDescent="0.3">
      <c r="D182" s="282" t="str">
        <f>TRAIN_BA!C1720</f>
        <v>Other Direct Costs Category 5</v>
      </c>
      <c r="F182" s="119"/>
    </row>
    <row r="183" spans="4:6" x14ac:dyDescent="0.3">
      <c r="D183" s="282" t="str">
        <f>TRAIN_BA!C1721</f>
        <v>Other Direct Costs Category 6</v>
      </c>
      <c r="F183" s="119"/>
    </row>
    <row r="184" spans="4:6" x14ac:dyDescent="0.3">
      <c r="D184" s="282" t="str">
        <f>TRAIN_BA!C1722</f>
        <v>Other Direct Costs Category 7</v>
      </c>
      <c r="F184" s="119"/>
    </row>
    <row r="185" spans="4:6" x14ac:dyDescent="0.3">
      <c r="D185" s="282" t="str">
        <f>TRAIN_BA!C1723</f>
        <v>Other Direct Costs Category 8</v>
      </c>
      <c r="F185" s="119"/>
    </row>
    <row r="186" spans="4:6" x14ac:dyDescent="0.3">
      <c r="D186" s="282" t="str">
        <f>TRAIN_BA!C1724</f>
        <v>Other Direct Costs Category 9</v>
      </c>
      <c r="F186" s="119"/>
    </row>
    <row r="187" spans="4:6" x14ac:dyDescent="0.3">
      <c r="D187" s="282" t="str">
        <f>TRAIN_BA!C1725</f>
        <v>Other Direct Costs Category 10</v>
      </c>
      <c r="F187" s="119"/>
    </row>
    <row r="188" spans="4:6" x14ac:dyDescent="0.3">
      <c r="D188" s="282" t="str">
        <f>TRAIN_BA!C1726</f>
        <v>Other Direct Costs Category 11</v>
      </c>
      <c r="F188" s="119"/>
    </row>
    <row r="189" spans="4:6" x14ac:dyDescent="0.3">
      <c r="D189" s="282" t="str">
        <f>TRAIN_BA!C1727</f>
        <v>Other Direct Costs Category 12</v>
      </c>
      <c r="F189" s="119"/>
    </row>
    <row r="190" spans="4:6" x14ac:dyDescent="0.3">
      <c r="D190" s="282" t="str">
        <f>TRAIN_BA!C1728</f>
        <v>Other Direct Costs Category 13</v>
      </c>
      <c r="F190" s="119"/>
    </row>
    <row r="191" spans="4:6" x14ac:dyDescent="0.3">
      <c r="D191" s="282" t="str">
        <f>TRAIN_BA!C1729</f>
        <v>Other Direct Costs Category 14</v>
      </c>
      <c r="F191" s="119"/>
    </row>
    <row r="192" spans="4:6" x14ac:dyDescent="0.3">
      <c r="D192" s="282" t="str">
        <f>TRAIN_BA!C1730</f>
        <v>Other Direct Costs Category 15</v>
      </c>
      <c r="F192" s="119"/>
    </row>
    <row r="193" spans="4:6" x14ac:dyDescent="0.3">
      <c r="D193" s="282" t="str">
        <f>TRAIN_BA!C1731</f>
        <v>Other Direct Costs Category 16</v>
      </c>
      <c r="F193" s="119"/>
    </row>
    <row r="194" spans="4:6" x14ac:dyDescent="0.3">
      <c r="D194" s="282" t="str">
        <f>TRAIN_BA!C1732</f>
        <v>Other Direct Costs Category 17</v>
      </c>
      <c r="F194" s="119"/>
    </row>
    <row r="195" spans="4:6" x14ac:dyDescent="0.3">
      <c r="D195" s="282" t="str">
        <f>TRAIN_BA!C1733</f>
        <v>Other Direct Costs Category 18</v>
      </c>
      <c r="F195" s="119"/>
    </row>
    <row r="196" spans="4:6" x14ac:dyDescent="0.3">
      <c r="D196" s="282" t="str">
        <f>TRAIN_BA!C1734</f>
        <v>Other Direct Costs Category 19</v>
      </c>
      <c r="F196" s="119"/>
    </row>
    <row r="197" spans="4:6" x14ac:dyDescent="0.3">
      <c r="D197" s="282" t="str">
        <f>TRAIN_BA!C1735</f>
        <v>Other Direct Costs Category 20</v>
      </c>
      <c r="F197" s="119"/>
    </row>
    <row r="198" spans="4:6" x14ac:dyDescent="0.3">
      <c r="D198" s="282" t="str">
        <f>TRAIN_BA!C1736</f>
        <v>Other Direct Costs Category 21</v>
      </c>
      <c r="F198" s="119"/>
    </row>
    <row r="199" spans="4:6" x14ac:dyDescent="0.3">
      <c r="D199" s="282" t="str">
        <f>TRAIN_BA!C1737</f>
        <v>Other Direct Costs Category 22</v>
      </c>
      <c r="F199" s="119"/>
    </row>
    <row r="200" spans="4:6" x14ac:dyDescent="0.3">
      <c r="D200" s="282" t="str">
        <f>TRAIN_BA!C1738</f>
        <v>Other Direct Costs Category 23</v>
      </c>
      <c r="F200" s="119"/>
    </row>
    <row r="201" spans="4:6" x14ac:dyDescent="0.3">
      <c r="D201" s="282" t="str">
        <f>TRAIN_BA!C1739</f>
        <v>Other Direct Costs Category 24</v>
      </c>
      <c r="F201" s="119"/>
    </row>
    <row r="202" spans="4:6" x14ac:dyDescent="0.3">
      <c r="D202" s="282" t="str">
        <f>TRAIN_BA!C1740</f>
        <v>Other Direct Costs Category 25</v>
      </c>
      <c r="F202" s="119"/>
    </row>
    <row r="203" spans="4:6" x14ac:dyDescent="0.3">
      <c r="D203" s="282" t="str">
        <f>TRAIN_BA!C1741</f>
        <v>Other Direct Costs Category 26</v>
      </c>
      <c r="F203" s="119"/>
    </row>
    <row r="204" spans="4:6" x14ac:dyDescent="0.3">
      <c r="D204" s="282" t="str">
        <f>TRAIN_BA!C1742</f>
        <v>Other Direct Costs Category 27</v>
      </c>
      <c r="F204" s="119"/>
    </row>
    <row r="205" spans="4:6" x14ac:dyDescent="0.3">
      <c r="D205" s="282" t="str">
        <f>TRAIN_BA!C1743</f>
        <v>Other Direct Costs Category 28</v>
      </c>
      <c r="F205" s="119"/>
    </row>
    <row r="206" spans="4:6" x14ac:dyDescent="0.3">
      <c r="D206" s="282" t="str">
        <f>TRAIN_BA!C1744</f>
        <v>Other Direct Costs Category 29</v>
      </c>
      <c r="F206" s="119"/>
    </row>
    <row r="207" spans="4:6" x14ac:dyDescent="0.3">
      <c r="D207" s="282" t="str">
        <f>TRAIN_BA!C1745</f>
        <v>Other Direct Costs Category 30</v>
      </c>
      <c r="F207" s="119"/>
    </row>
    <row r="208" spans="4:6" x14ac:dyDescent="0.3">
      <c r="D208" s="282" t="str">
        <f>TRAIN_BA!C1746</f>
        <v>Other Direct Costs Category 31</v>
      </c>
      <c r="F208" s="119"/>
    </row>
    <row r="209" spans="4:6" x14ac:dyDescent="0.3">
      <c r="D209" s="282" t="str">
        <f>TRAIN_BA!C1747</f>
        <v>Other Direct Costs Category 32</v>
      </c>
      <c r="F209" s="119"/>
    </row>
    <row r="210" spans="4:6" x14ac:dyDescent="0.3">
      <c r="D210" s="282" t="str">
        <f>TRAIN_BA!C1748</f>
        <v>Other Direct Costs Category 33</v>
      </c>
      <c r="F210" s="119"/>
    </row>
    <row r="211" spans="4:6" x14ac:dyDescent="0.3">
      <c r="D211" s="282" t="str">
        <f>TRAIN_BA!C1749</f>
        <v>Other Direct Costs Category 34</v>
      </c>
      <c r="F211" s="119"/>
    </row>
    <row r="212" spans="4:6" x14ac:dyDescent="0.3">
      <c r="D212" s="282" t="str">
        <f>TRAIN_BA!C1750</f>
        <v>Other Direct Costs Category 35</v>
      </c>
      <c r="F212" s="119"/>
    </row>
  </sheetData>
  <sheetProtection algorithmName="SHA-512" hashValue="KkQugCerDKT7+SvicxlJ8/K7lF8eKTpMYszYxKxWEiQog0AH3cUsoAUnj+bBEZa79/oDxpHsXh2Zn5tOW1s0xg==" saltValue="58SjQ4MgJatb1EZY9JEHxQ==" spinCount="100000" sheet="1" objects="1" scenarios="1" formatColumns="0" formatRows="0"/>
  <mergeCells count="1">
    <mergeCell ref="B3:D3"/>
  </mergeCells>
  <hyperlinks>
    <hyperlink ref="A4" location="$B$5" tooltip="Go to Top of Sheet" display="$B$5" xr:uid="{00000000-0004-0000-3E00-000000000000}"/>
    <hyperlink ref="C4" location="HL_Sheet_Main_66" tooltip="Go to Next Sheet" display="HL_Sheet_Main_66" xr:uid="{00000000-0004-0000-3E00-000001000000}"/>
    <hyperlink ref="B4" location="HL_Sheet_Main_69" tooltip="Go to Previous Sheet" display="HL_Sheet_Main_69" xr:uid="{00000000-0004-0000-3E00-000002000000}"/>
    <hyperlink ref="B3" location="HL_Home" tooltip="Go to Table of Contents" display="HL_Home" xr:uid="{00000000-0004-0000-3E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9">
    <pageSetUpPr autoPageBreaks="0"/>
  </sheetPr>
  <dimension ref="A1:F212"/>
  <sheetViews>
    <sheetView showGridLines="0" zoomScaleNormal="100" workbookViewId="0">
      <pane xSplit="1" ySplit="4" topLeftCell="B5" activePane="bottomRight" state="frozen"/>
      <selection pane="topRight" activeCell="B1" sqref="B1"/>
      <selection pane="bottomLeft" activeCell="A5" sqref="A5"/>
      <selection pane="bottomRight" activeCell="F54" sqref="F54"/>
    </sheetView>
  </sheetViews>
  <sheetFormatPr defaultColWidth="11.6640625" defaultRowHeight="13.8" x14ac:dyDescent="0.3"/>
  <cols>
    <col min="1" max="3" width="3.6640625" customWidth="1"/>
    <col min="4" max="4" width="35.6640625" customWidth="1"/>
    <col min="5" max="5" width="3.6640625" customWidth="1"/>
    <col min="6" max="6" width="35.6640625" customWidth="1"/>
    <col min="7" max="7" width="3.6640625" customWidth="1"/>
  </cols>
  <sheetData>
    <row r="1" spans="1:6" ht="23.4" x14ac:dyDescent="0.3">
      <c r="B1" s="2" t="s">
        <v>216</v>
      </c>
    </row>
    <row r="2" spans="1:6" ht="18" x14ac:dyDescent="0.3">
      <c r="B2" s="6" t="str">
        <f>Model_Name</f>
        <v>Oral Cholera Vaccine Activity-Based Costing</v>
      </c>
    </row>
    <row r="3" spans="1:6" x14ac:dyDescent="0.3">
      <c r="B3" s="331" t="s">
        <v>2</v>
      </c>
      <c r="C3" s="331"/>
      <c r="D3" s="331"/>
    </row>
    <row r="4" spans="1:6" x14ac:dyDescent="0.3">
      <c r="A4" s="7" t="s">
        <v>5</v>
      </c>
      <c r="B4" s="8" t="s">
        <v>10</v>
      </c>
      <c r="C4" s="9" t="s">
        <v>11</v>
      </c>
    </row>
    <row r="7" spans="1:6" ht="18" x14ac:dyDescent="0.3">
      <c r="B7" s="49" t="s">
        <v>217</v>
      </c>
    </row>
    <row r="9" spans="1:6" ht="15.6" x14ac:dyDescent="0.3">
      <c r="C9" s="57" t="s">
        <v>93</v>
      </c>
      <c r="F9" s="57" t="s">
        <v>28</v>
      </c>
    </row>
    <row r="11" spans="1:6" x14ac:dyDescent="0.3">
      <c r="D11" s="58" t="s">
        <v>148</v>
      </c>
      <c r="F11" s="59" t="s">
        <v>194</v>
      </c>
    </row>
    <row r="12" spans="1:6" x14ac:dyDescent="0.3">
      <c r="D12" s="60" t="str">
        <f>CURR_TA!D13</f>
        <v>USD</v>
      </c>
      <c r="F12" s="61" t="s">
        <v>46</v>
      </c>
    </row>
    <row r="13" spans="1:6" x14ac:dyDescent="0.3">
      <c r="D13" s="60" t="str">
        <f>CURR_TA!D14</f>
        <v>GOZ</v>
      </c>
      <c r="F13" s="61" t="s">
        <v>46</v>
      </c>
    </row>
    <row r="15" spans="1:6" ht="15.6" x14ac:dyDescent="0.3">
      <c r="C15" s="57" t="s">
        <v>94</v>
      </c>
      <c r="F15" s="57" t="s">
        <v>28</v>
      </c>
    </row>
    <row r="17" spans="4:6" x14ac:dyDescent="0.3">
      <c r="D17" s="58" t="s">
        <v>95</v>
      </c>
      <c r="F17" s="59" t="s">
        <v>195</v>
      </c>
    </row>
    <row r="18" spans="4:6" x14ac:dyDescent="0.3">
      <c r="D18" s="60" t="str">
        <f>RES_BA!D14</f>
        <v>Personnel Cadre - Other 1</v>
      </c>
      <c r="F18" s="61" t="s">
        <v>46</v>
      </c>
    </row>
    <row r="19" spans="4:6" x14ac:dyDescent="0.3">
      <c r="D19" s="60" t="str">
        <f>RES_BA!D15</f>
        <v>Personnel Cadre - Other 2</v>
      </c>
      <c r="F19" s="61" t="s">
        <v>46</v>
      </c>
    </row>
    <row r="20" spans="4:6" x14ac:dyDescent="0.3">
      <c r="D20" s="60" t="str">
        <f>RES_BA!D16</f>
        <v>Personnel Cadre - Other 3</v>
      </c>
      <c r="F20" s="61" t="s">
        <v>46</v>
      </c>
    </row>
    <row r="21" spans="4:6" x14ac:dyDescent="0.3">
      <c r="D21" s="60" t="str">
        <f>RES_BA!D17</f>
        <v>Personnel Cadre - Other 4</v>
      </c>
      <c r="F21" s="61" t="s">
        <v>46</v>
      </c>
    </row>
    <row r="22" spans="4:6" x14ac:dyDescent="0.3">
      <c r="D22" s="60" t="str">
        <f>RES_BA!D18</f>
        <v>Personnel Cadre - Other 5</v>
      </c>
      <c r="F22" s="61" t="s">
        <v>46</v>
      </c>
    </row>
    <row r="23" spans="4:6" x14ac:dyDescent="0.3">
      <c r="D23" s="60" t="str">
        <f>RES_BA!D19</f>
        <v>Personnel Cadre - Other 6</v>
      </c>
      <c r="F23" s="61" t="s">
        <v>46</v>
      </c>
    </row>
    <row r="24" spans="4:6" x14ac:dyDescent="0.3">
      <c r="D24" s="30" t="str">
        <f>RES_BA!D20</f>
        <v>Personnel Cadre - Other 7</v>
      </c>
      <c r="F24" s="33" t="s">
        <v>46</v>
      </c>
    </row>
    <row r="25" spans="4:6" x14ac:dyDescent="0.3">
      <c r="D25" s="60" t="str">
        <f>RES_BA!D21</f>
        <v>Personnel Cadre - Other 8</v>
      </c>
      <c r="F25" s="61" t="s">
        <v>46</v>
      </c>
    </row>
    <row r="26" spans="4:6" x14ac:dyDescent="0.3">
      <c r="D26" s="60" t="str">
        <f>RES_BA!D22</f>
        <v>Personnel Cadre - Other 9</v>
      </c>
      <c r="F26" s="61" t="s">
        <v>46</v>
      </c>
    </row>
    <row r="27" spans="4:6" x14ac:dyDescent="0.3">
      <c r="D27" s="30" t="str">
        <f>RES_BA!D23</f>
        <v>Personnel Cadre - Other 10</v>
      </c>
      <c r="F27" s="33" t="s">
        <v>46</v>
      </c>
    </row>
    <row r="28" spans="4:6" x14ac:dyDescent="0.3">
      <c r="D28" s="60" t="str">
        <f>RES_BA!D24</f>
        <v>Personnel Cadre - Other 11</v>
      </c>
      <c r="F28" s="61" t="s">
        <v>46</v>
      </c>
    </row>
    <row r="29" spans="4:6" x14ac:dyDescent="0.3">
      <c r="D29" s="30" t="str">
        <f>RES_BA!D25</f>
        <v>Personnel Cadre - Other 12</v>
      </c>
      <c r="F29" s="33" t="s">
        <v>46</v>
      </c>
    </row>
    <row r="30" spans="4:6" x14ac:dyDescent="0.3">
      <c r="D30" s="30" t="str">
        <f>RES_BA!D26</f>
        <v>Personnel Cadre - Other 13</v>
      </c>
      <c r="F30" s="33" t="s">
        <v>46</v>
      </c>
    </row>
    <row r="31" spans="4:6" x14ac:dyDescent="0.3">
      <c r="D31" s="30" t="str">
        <f>RES_BA!D27</f>
        <v>Personnel Cadre - Other 14</v>
      </c>
      <c r="F31" s="33" t="s">
        <v>46</v>
      </c>
    </row>
    <row r="32" spans="4:6" x14ac:dyDescent="0.3">
      <c r="D32" s="30" t="str">
        <f>RES_BA!D28</f>
        <v>Personnel Cadre - Other 15</v>
      </c>
      <c r="F32" s="33" t="s">
        <v>46</v>
      </c>
    </row>
    <row r="33" spans="4:6" x14ac:dyDescent="0.3">
      <c r="D33" s="282" t="str">
        <f>RES_BA!D29</f>
        <v>Personnel Cadre - Other 16</v>
      </c>
      <c r="F33" s="119"/>
    </row>
    <row r="34" spans="4:6" x14ac:dyDescent="0.3">
      <c r="D34" s="282" t="str">
        <f>RES_BA!D30</f>
        <v>Personnel Cadre - Other 17</v>
      </c>
      <c r="F34" s="119"/>
    </row>
    <row r="35" spans="4:6" x14ac:dyDescent="0.3">
      <c r="D35" s="282" t="str">
        <f>RES_BA!D31</f>
        <v>Personnel Cadre - Other 18</v>
      </c>
      <c r="F35" s="119"/>
    </row>
    <row r="36" spans="4:6" x14ac:dyDescent="0.3">
      <c r="D36" s="282" t="str">
        <f>RES_BA!D32</f>
        <v>Personnel Cadre - Other 19</v>
      </c>
      <c r="F36" s="119"/>
    </row>
    <row r="37" spans="4:6" x14ac:dyDescent="0.3">
      <c r="D37" s="282" t="str">
        <f>RES_BA!D33</f>
        <v>Personnel Cadre - Other 20</v>
      </c>
      <c r="F37" s="119"/>
    </row>
    <row r="38" spans="4:6" x14ac:dyDescent="0.3">
      <c r="D38" s="282" t="str">
        <f>RES_BA!D34</f>
        <v>Personnel Cadre - Other 21</v>
      </c>
      <c r="F38" s="119"/>
    </row>
    <row r="39" spans="4:6" x14ac:dyDescent="0.3">
      <c r="D39" s="282" t="str">
        <f>RES_BA!D35</f>
        <v>Personnel Cadre - Other 22</v>
      </c>
      <c r="F39" s="119"/>
    </row>
    <row r="40" spans="4:6" x14ac:dyDescent="0.3">
      <c r="D40" s="282" t="str">
        <f>RES_BA!D36</f>
        <v>Personnel Cadre - Other 23</v>
      </c>
      <c r="F40" s="119"/>
    </row>
    <row r="41" spans="4:6" x14ac:dyDescent="0.3">
      <c r="D41" s="282" t="str">
        <f>RES_BA!D37</f>
        <v>Personnel Cadre - Other 24</v>
      </c>
      <c r="F41" s="119"/>
    </row>
    <row r="42" spans="4:6" x14ac:dyDescent="0.3">
      <c r="D42" s="282" t="str">
        <f>RES_BA!D38</f>
        <v>Personnel Cadre - Other 25</v>
      </c>
      <c r="F42" s="119"/>
    </row>
    <row r="43" spans="4:6" x14ac:dyDescent="0.3">
      <c r="D43" s="282" t="str">
        <f>RES_BA!D39</f>
        <v>Personnel Cadre - Other 26</v>
      </c>
      <c r="F43" s="119"/>
    </row>
    <row r="44" spans="4:6" x14ac:dyDescent="0.3">
      <c r="D44" s="282" t="str">
        <f>RES_BA!D40</f>
        <v>Personnel Cadre - Other 27</v>
      </c>
      <c r="F44" s="119"/>
    </row>
    <row r="45" spans="4:6" x14ac:dyDescent="0.3">
      <c r="D45" s="282" t="str">
        <f>RES_BA!D41</f>
        <v>Personnel Cadre - Other 28</v>
      </c>
      <c r="F45" s="119"/>
    </row>
    <row r="46" spans="4:6" x14ac:dyDescent="0.3">
      <c r="D46" s="282" t="str">
        <f>RES_BA!D42</f>
        <v>Personnel Cadre - Other 29</v>
      </c>
      <c r="F46" s="119"/>
    </row>
    <row r="47" spans="4:6" x14ac:dyDescent="0.3">
      <c r="D47" s="282" t="str">
        <f>RES_BA!D43</f>
        <v>Personnel Cadre - Other 30</v>
      </c>
      <c r="F47" s="119"/>
    </row>
    <row r="48" spans="4:6" x14ac:dyDescent="0.3">
      <c r="D48" s="282" t="str">
        <f>RES_BA!D44</f>
        <v>Personnel Cadre - Other 31</v>
      </c>
      <c r="F48" s="119"/>
    </row>
    <row r="49" spans="3:6" x14ac:dyDescent="0.3">
      <c r="D49" s="282" t="str">
        <f>RES_BA!D45</f>
        <v>Personnel Cadre - Other 32</v>
      </c>
      <c r="F49" s="119"/>
    </row>
    <row r="50" spans="3:6" x14ac:dyDescent="0.3">
      <c r="D50" s="282" t="str">
        <f>RES_BA!D46</f>
        <v>Personnel Cadre - Other 33</v>
      </c>
      <c r="F50" s="119"/>
    </row>
    <row r="51" spans="3:6" x14ac:dyDescent="0.3">
      <c r="D51" s="282" t="str">
        <f>RES_BA!D47</f>
        <v>Personnel Cadre - Other 34</v>
      </c>
      <c r="F51" s="119"/>
    </row>
    <row r="52" spans="3:6" x14ac:dyDescent="0.3">
      <c r="D52" s="282" t="str">
        <f>RES_BA!D48</f>
        <v>Personnel Cadre - Other 35</v>
      </c>
      <c r="F52" s="119"/>
    </row>
    <row r="55" spans="3:6" ht="15.6" x14ac:dyDescent="0.3">
      <c r="C55" s="57" t="s">
        <v>94</v>
      </c>
      <c r="F55" s="57" t="s">
        <v>28</v>
      </c>
    </row>
    <row r="57" spans="3:6" x14ac:dyDescent="0.3">
      <c r="D57" s="58" t="s">
        <v>95</v>
      </c>
      <c r="F57" s="59" t="s">
        <v>196</v>
      </c>
    </row>
    <row r="58" spans="3:6" x14ac:dyDescent="0.3">
      <c r="D58" s="60" t="str">
        <f>RES_BA!D53</f>
        <v>Allowances Category 1</v>
      </c>
      <c r="F58" s="61" t="s">
        <v>46</v>
      </c>
    </row>
    <row r="59" spans="3:6" x14ac:dyDescent="0.3">
      <c r="D59" s="60" t="str">
        <f>RES_BA!D54</f>
        <v>Allowances Category 2</v>
      </c>
      <c r="F59" s="61" t="s">
        <v>46</v>
      </c>
    </row>
    <row r="60" spans="3:6" x14ac:dyDescent="0.3">
      <c r="D60" s="60" t="str">
        <f>RES_BA!D55</f>
        <v>Allowances Category 3</v>
      </c>
      <c r="F60" s="61" t="s">
        <v>46</v>
      </c>
    </row>
    <row r="61" spans="3:6" x14ac:dyDescent="0.3">
      <c r="D61" s="60" t="str">
        <f>RES_BA!D56</f>
        <v>Allowances Category 4</v>
      </c>
      <c r="F61" s="61" t="s">
        <v>46</v>
      </c>
    </row>
    <row r="62" spans="3:6" x14ac:dyDescent="0.3">
      <c r="D62" s="60" t="str">
        <f>RES_BA!D57</f>
        <v>Allowances Category 5</v>
      </c>
      <c r="F62" s="61" t="s">
        <v>46</v>
      </c>
    </row>
    <row r="63" spans="3:6" x14ac:dyDescent="0.3">
      <c r="D63" s="282" t="str">
        <f>RES_BA!D58</f>
        <v>Allowances Category 6</v>
      </c>
      <c r="F63" s="119"/>
    </row>
    <row r="64" spans="3:6" x14ac:dyDescent="0.3">
      <c r="D64" s="282" t="str">
        <f>RES_BA!D59</f>
        <v>Allowances Category 7</v>
      </c>
      <c r="F64" s="119"/>
    </row>
    <row r="65" spans="4:6" x14ac:dyDescent="0.3">
      <c r="D65" s="282" t="str">
        <f>RES_BA!D60</f>
        <v>Allowances Category 8</v>
      </c>
      <c r="F65" s="119"/>
    </row>
    <row r="66" spans="4:6" x14ac:dyDescent="0.3">
      <c r="D66" s="282" t="str">
        <f>RES_BA!D61</f>
        <v>Allowances Category 9</v>
      </c>
      <c r="F66" s="119"/>
    </row>
    <row r="67" spans="4:6" x14ac:dyDescent="0.3">
      <c r="D67" s="282" t="str">
        <f>RES_BA!D62</f>
        <v>Allowances Category 10</v>
      </c>
      <c r="F67" s="119"/>
    </row>
    <row r="68" spans="4:6" x14ac:dyDescent="0.3">
      <c r="D68" s="282" t="str">
        <f>RES_BA!D63</f>
        <v>Allowances Category 11</v>
      </c>
      <c r="F68" s="119"/>
    </row>
    <row r="69" spans="4:6" x14ac:dyDescent="0.3">
      <c r="D69" s="282" t="str">
        <f>RES_BA!D64</f>
        <v>Allowances Category 12</v>
      </c>
      <c r="F69" s="119"/>
    </row>
    <row r="70" spans="4:6" x14ac:dyDescent="0.3">
      <c r="D70" s="282" t="str">
        <f>RES_BA!D65</f>
        <v>Allowances Category 13</v>
      </c>
      <c r="F70" s="119"/>
    </row>
    <row r="71" spans="4:6" x14ac:dyDescent="0.3">
      <c r="D71" s="282" t="str">
        <f>RES_BA!D66</f>
        <v>Allowances Category 14</v>
      </c>
      <c r="F71" s="119"/>
    </row>
    <row r="72" spans="4:6" x14ac:dyDescent="0.3">
      <c r="D72" s="282" t="str">
        <f>RES_BA!D67</f>
        <v>Allowances Category 15</v>
      </c>
      <c r="F72" s="119"/>
    </row>
    <row r="73" spans="4:6" x14ac:dyDescent="0.3">
      <c r="D73" s="282" t="str">
        <f>RES_BA!D68</f>
        <v>Allowances Category 16</v>
      </c>
      <c r="F73" s="119"/>
    </row>
    <row r="74" spans="4:6" x14ac:dyDescent="0.3">
      <c r="D74" s="60" t="str">
        <f>RES_BA!D69</f>
        <v>Allowances Category 17</v>
      </c>
      <c r="F74" s="61" t="s">
        <v>46</v>
      </c>
    </row>
    <row r="75" spans="4:6" x14ac:dyDescent="0.3">
      <c r="D75" s="60" t="str">
        <f>RES_BA!D70</f>
        <v>Allowances Category 18</v>
      </c>
      <c r="F75" s="61" t="s">
        <v>46</v>
      </c>
    </row>
    <row r="76" spans="4:6" x14ac:dyDescent="0.3">
      <c r="D76" s="60" t="str">
        <f>RES_BA!D71</f>
        <v>Allowances Category 19</v>
      </c>
      <c r="F76" s="61" t="s">
        <v>46</v>
      </c>
    </row>
    <row r="77" spans="4:6" x14ac:dyDescent="0.3">
      <c r="D77" s="60" t="str">
        <f>RES_BA!D72</f>
        <v>Allowances Category 20</v>
      </c>
      <c r="F77" s="61" t="s">
        <v>46</v>
      </c>
    </row>
    <row r="78" spans="4:6" x14ac:dyDescent="0.3">
      <c r="D78" s="30" t="str">
        <f>RES_BA!D73</f>
        <v>Allowances Category 21</v>
      </c>
      <c r="F78" s="33" t="s">
        <v>46</v>
      </c>
    </row>
    <row r="79" spans="4:6" x14ac:dyDescent="0.3">
      <c r="D79" s="30" t="str">
        <f>RES_BA!D74</f>
        <v>Allowances Category 22</v>
      </c>
      <c r="F79" s="33" t="s">
        <v>46</v>
      </c>
    </row>
    <row r="80" spans="4:6" x14ac:dyDescent="0.3">
      <c r="D80" s="30" t="str">
        <f>RES_BA!D75</f>
        <v>Allowances Category 23</v>
      </c>
      <c r="F80" s="33" t="s">
        <v>46</v>
      </c>
    </row>
    <row r="81" spans="3:6" x14ac:dyDescent="0.3">
      <c r="D81" s="282" t="str">
        <f>RES_BA!D76</f>
        <v>Allowances Category 24</v>
      </c>
      <c r="F81" s="119"/>
    </row>
    <row r="82" spans="3:6" x14ac:dyDescent="0.3">
      <c r="D82" s="282" t="str">
        <f>RES_BA!D77</f>
        <v>Allowances Category 25</v>
      </c>
      <c r="F82" s="119"/>
    </row>
    <row r="83" spans="3:6" x14ac:dyDescent="0.3">
      <c r="D83" s="282" t="str">
        <f>RES_BA!D78</f>
        <v>Allowances Category 26</v>
      </c>
      <c r="F83" s="119"/>
    </row>
    <row r="84" spans="3:6" x14ac:dyDescent="0.3">
      <c r="D84" s="282" t="str">
        <f>RES_BA!D79</f>
        <v>Allowances Category 27</v>
      </c>
      <c r="F84" s="119"/>
    </row>
    <row r="85" spans="3:6" x14ac:dyDescent="0.3">
      <c r="D85" s="282" t="str">
        <f>RES_BA!D80</f>
        <v>Allowances Category 28</v>
      </c>
      <c r="F85" s="119"/>
    </row>
    <row r="86" spans="3:6" x14ac:dyDescent="0.3">
      <c r="D86" s="282" t="str">
        <f>RES_BA!D81</f>
        <v>Allowances Category 29</v>
      </c>
      <c r="F86" s="119"/>
    </row>
    <row r="87" spans="3:6" x14ac:dyDescent="0.3">
      <c r="D87" s="282" t="str">
        <f>RES_BA!D82</f>
        <v>Allowances Category 30</v>
      </c>
      <c r="F87" s="119"/>
    </row>
    <row r="88" spans="3:6" x14ac:dyDescent="0.3">
      <c r="D88" s="30" t="str">
        <f>RES_BA!D83</f>
        <v>Allowances Category 31</v>
      </c>
      <c r="F88" s="33" t="s">
        <v>46</v>
      </c>
    </row>
    <row r="89" spans="3:6" x14ac:dyDescent="0.3">
      <c r="D89" s="30" t="str">
        <f>RES_BA!D84</f>
        <v>Allowances Category 32</v>
      </c>
      <c r="F89" s="33" t="s">
        <v>46</v>
      </c>
    </row>
    <row r="90" spans="3:6" x14ac:dyDescent="0.3">
      <c r="D90" s="30" t="str">
        <f>RES_BA!D85</f>
        <v>Allowances Category 33</v>
      </c>
      <c r="F90" s="33" t="s">
        <v>46</v>
      </c>
    </row>
    <row r="91" spans="3:6" x14ac:dyDescent="0.3">
      <c r="D91" s="30" t="str">
        <f>RES_BA!D86</f>
        <v>Allowances Category 34</v>
      </c>
      <c r="F91" s="33" t="s">
        <v>46</v>
      </c>
    </row>
    <row r="92" spans="3:6" x14ac:dyDescent="0.3">
      <c r="D92" s="30" t="str">
        <f>RES_BA!D87</f>
        <v>Allowances Category 35</v>
      </c>
      <c r="F92" s="33" t="s">
        <v>46</v>
      </c>
    </row>
    <row r="95" spans="3:6" ht="15.6" x14ac:dyDescent="0.3">
      <c r="C95" s="57" t="s">
        <v>94</v>
      </c>
      <c r="F95" s="57" t="s">
        <v>28</v>
      </c>
    </row>
    <row r="97" spans="4:6" x14ac:dyDescent="0.3">
      <c r="D97" s="58" t="s">
        <v>95</v>
      </c>
      <c r="F97" s="59" t="s">
        <v>197</v>
      </c>
    </row>
    <row r="98" spans="4:6" x14ac:dyDescent="0.3">
      <c r="D98" s="60" t="str">
        <f>RES_BA!D91</f>
        <v>Supplies Category 1</v>
      </c>
      <c r="F98" s="61" t="s">
        <v>46</v>
      </c>
    </row>
    <row r="99" spans="4:6" x14ac:dyDescent="0.3">
      <c r="D99" s="60" t="str">
        <f>RES_BA!D92</f>
        <v>Supplies Category 2</v>
      </c>
      <c r="F99" s="61" t="s">
        <v>46</v>
      </c>
    </row>
    <row r="100" spans="4:6" x14ac:dyDescent="0.3">
      <c r="D100" s="60" t="str">
        <f>RES_BA!D93</f>
        <v>Supplies Category 3</v>
      </c>
      <c r="F100" s="61" t="s">
        <v>46</v>
      </c>
    </row>
    <row r="101" spans="4:6" x14ac:dyDescent="0.3">
      <c r="D101" s="60" t="str">
        <f>RES_BA!D94</f>
        <v>Supplies Category 4</v>
      </c>
      <c r="F101" s="61" t="s">
        <v>46</v>
      </c>
    </row>
    <row r="102" spans="4:6" x14ac:dyDescent="0.3">
      <c r="D102" s="60" t="str">
        <f>RES_BA!D95</f>
        <v>Supplies Category 5</v>
      </c>
      <c r="F102" s="61" t="s">
        <v>46</v>
      </c>
    </row>
    <row r="103" spans="4:6" x14ac:dyDescent="0.3">
      <c r="D103" s="60" t="str">
        <f>RES_BA!D96</f>
        <v>Supplies Category 6</v>
      </c>
      <c r="F103" s="61" t="s">
        <v>46</v>
      </c>
    </row>
    <row r="104" spans="4:6" x14ac:dyDescent="0.3">
      <c r="D104" s="60" t="str">
        <f>RES_BA!D97</f>
        <v>Supplies Category 7</v>
      </c>
      <c r="F104" s="61" t="s">
        <v>46</v>
      </c>
    </row>
    <row r="105" spans="4:6" x14ac:dyDescent="0.3">
      <c r="D105" s="60" t="str">
        <f>RES_BA!D98</f>
        <v>Supplies Category 8</v>
      </c>
      <c r="F105" s="61" t="s">
        <v>46</v>
      </c>
    </row>
    <row r="106" spans="4:6" x14ac:dyDescent="0.3">
      <c r="D106" s="60" t="str">
        <f>RES_BA!D99</f>
        <v>Supplies Category 9</v>
      </c>
      <c r="F106" s="61" t="s">
        <v>46</v>
      </c>
    </row>
    <row r="107" spans="4:6" x14ac:dyDescent="0.3">
      <c r="D107" s="30" t="str">
        <f>RES_BA!D100</f>
        <v>Supplies Category 10</v>
      </c>
      <c r="F107" s="33" t="s">
        <v>46</v>
      </c>
    </row>
    <row r="108" spans="4:6" x14ac:dyDescent="0.3">
      <c r="D108" s="30" t="str">
        <f>RES_BA!D101</f>
        <v>Supplies Category 11</v>
      </c>
      <c r="F108" s="33" t="s">
        <v>46</v>
      </c>
    </row>
    <row r="109" spans="4:6" x14ac:dyDescent="0.3">
      <c r="D109" s="30" t="str">
        <f>RES_BA!D102</f>
        <v>Supplies Category 12</v>
      </c>
      <c r="F109" s="33" t="s">
        <v>46</v>
      </c>
    </row>
    <row r="110" spans="4:6" x14ac:dyDescent="0.3">
      <c r="D110" s="30" t="str">
        <f>RES_BA!D103</f>
        <v>Supplies Category 13</v>
      </c>
      <c r="F110" s="33" t="s">
        <v>46</v>
      </c>
    </row>
    <row r="111" spans="4:6" x14ac:dyDescent="0.3">
      <c r="D111" s="30" t="str">
        <f>RES_BA!D104</f>
        <v>Supplies Category 14</v>
      </c>
      <c r="F111" s="33" t="s">
        <v>46</v>
      </c>
    </row>
    <row r="112" spans="4:6" x14ac:dyDescent="0.3">
      <c r="D112" s="30" t="str">
        <f>RES_BA!D105</f>
        <v>Supplies Category 15</v>
      </c>
      <c r="F112" s="33" t="s">
        <v>46</v>
      </c>
    </row>
    <row r="113" spans="4:6" x14ac:dyDescent="0.3">
      <c r="D113" s="30" t="str">
        <f>RES_BA!D106</f>
        <v>Supplies Category 16</v>
      </c>
      <c r="F113" s="33" t="s">
        <v>46</v>
      </c>
    </row>
    <row r="114" spans="4:6" x14ac:dyDescent="0.3">
      <c r="D114" s="282" t="str">
        <f>RES_BA!D107</f>
        <v>Supplies Category 17</v>
      </c>
      <c r="F114" s="119"/>
    </row>
    <row r="115" spans="4:6" x14ac:dyDescent="0.3">
      <c r="D115" s="282" t="str">
        <f>RES_BA!D108</f>
        <v>Supplies Category 18</v>
      </c>
      <c r="F115" s="119"/>
    </row>
    <row r="116" spans="4:6" x14ac:dyDescent="0.3">
      <c r="D116" s="282" t="str">
        <f>RES_BA!D109</f>
        <v>Supplies Category 19</v>
      </c>
      <c r="F116" s="119"/>
    </row>
    <row r="117" spans="4:6" x14ac:dyDescent="0.3">
      <c r="D117" s="282" t="str">
        <f>RES_BA!D110</f>
        <v>Supplies Category 20</v>
      </c>
      <c r="F117" s="119"/>
    </row>
    <row r="118" spans="4:6" x14ac:dyDescent="0.3">
      <c r="D118" s="282" t="str">
        <f>RES_BA!D111</f>
        <v>Supplies Category 21</v>
      </c>
      <c r="F118" s="119"/>
    </row>
    <row r="119" spans="4:6" x14ac:dyDescent="0.3">
      <c r="D119" s="282" t="str">
        <f>RES_BA!D112</f>
        <v>Supplies Category 22</v>
      </c>
      <c r="F119" s="119"/>
    </row>
    <row r="120" spans="4:6" x14ac:dyDescent="0.3">
      <c r="D120" s="282" t="str">
        <f>RES_BA!D113</f>
        <v>Supplies Category 23</v>
      </c>
      <c r="F120" s="119"/>
    </row>
    <row r="121" spans="4:6" x14ac:dyDescent="0.3">
      <c r="D121" s="282" t="str">
        <f>RES_BA!D114</f>
        <v>Supplies Category 24</v>
      </c>
      <c r="F121" s="119"/>
    </row>
    <row r="122" spans="4:6" x14ac:dyDescent="0.3">
      <c r="D122" s="282" t="str">
        <f>RES_BA!D115</f>
        <v>Supplies Category 25</v>
      </c>
      <c r="F122" s="119"/>
    </row>
    <row r="123" spans="4:6" x14ac:dyDescent="0.3">
      <c r="D123" s="282" t="str">
        <f>RES_BA!D116</f>
        <v>Supplies Category 26</v>
      </c>
      <c r="F123" s="119"/>
    </row>
    <row r="124" spans="4:6" x14ac:dyDescent="0.3">
      <c r="D124" s="282" t="str">
        <f>RES_BA!D117</f>
        <v>Supplies Category 27</v>
      </c>
      <c r="F124" s="119"/>
    </row>
    <row r="125" spans="4:6" x14ac:dyDescent="0.3">
      <c r="D125" s="282" t="str">
        <f>RES_BA!D118</f>
        <v>Supplies Category 28</v>
      </c>
      <c r="F125" s="119"/>
    </row>
    <row r="126" spans="4:6" x14ac:dyDescent="0.3">
      <c r="D126" s="282" t="str">
        <f>RES_BA!D119</f>
        <v>Supplies Category 29</v>
      </c>
      <c r="F126" s="119"/>
    </row>
    <row r="127" spans="4:6" x14ac:dyDescent="0.3">
      <c r="D127" s="282" t="str">
        <f>RES_BA!D120</f>
        <v>Supplies Category 30</v>
      </c>
      <c r="F127" s="119"/>
    </row>
    <row r="128" spans="4:6" x14ac:dyDescent="0.3">
      <c r="D128" s="282" t="str">
        <f>RES_BA!D121</f>
        <v>Supplies Category 31</v>
      </c>
      <c r="F128" s="119"/>
    </row>
    <row r="129" spans="3:6" x14ac:dyDescent="0.3">
      <c r="D129" s="282" t="str">
        <f>RES_BA!D122</f>
        <v>Supplies Category 32</v>
      </c>
      <c r="F129" s="119"/>
    </row>
    <row r="130" spans="3:6" x14ac:dyDescent="0.3">
      <c r="D130" s="282" t="str">
        <f>RES_BA!D123</f>
        <v>Supplies Category 33</v>
      </c>
      <c r="F130" s="119"/>
    </row>
    <row r="131" spans="3:6" x14ac:dyDescent="0.3">
      <c r="D131" s="282" t="str">
        <f>RES_BA!D124</f>
        <v>Supplies Category 34</v>
      </c>
      <c r="F131" s="119"/>
    </row>
    <row r="132" spans="3:6" x14ac:dyDescent="0.3">
      <c r="D132" s="282" t="str">
        <f>RES_BA!D125</f>
        <v>Supplies Category 35</v>
      </c>
      <c r="F132" s="119"/>
    </row>
    <row r="135" spans="3:6" ht="15.6" x14ac:dyDescent="0.3">
      <c r="C135" s="57" t="s">
        <v>94</v>
      </c>
      <c r="F135" s="57" t="s">
        <v>28</v>
      </c>
    </row>
    <row r="137" spans="3:6" x14ac:dyDescent="0.3">
      <c r="D137" s="58" t="s">
        <v>95</v>
      </c>
      <c r="F137" s="59" t="s">
        <v>198</v>
      </c>
    </row>
    <row r="138" spans="3:6" x14ac:dyDescent="0.3">
      <c r="D138" s="60" t="str">
        <f>RES_BA!D130</f>
        <v>Equipment Category 1</v>
      </c>
      <c r="F138" s="61" t="s">
        <v>46</v>
      </c>
    </row>
    <row r="139" spans="3:6" x14ac:dyDescent="0.3">
      <c r="D139" s="60" t="str">
        <f>RES_BA!D131</f>
        <v>Equipment Category 2</v>
      </c>
      <c r="F139" s="61" t="s">
        <v>46</v>
      </c>
    </row>
    <row r="140" spans="3:6" x14ac:dyDescent="0.3">
      <c r="D140" s="60" t="str">
        <f>RES_BA!D132</f>
        <v>Equipment Category 3</v>
      </c>
      <c r="F140" s="61" t="s">
        <v>46</v>
      </c>
    </row>
    <row r="141" spans="3:6" x14ac:dyDescent="0.3">
      <c r="D141" s="60" t="str">
        <f>RES_BA!D133</f>
        <v>Equipment Category 4</v>
      </c>
      <c r="F141" s="61" t="s">
        <v>46</v>
      </c>
    </row>
    <row r="142" spans="3:6" x14ac:dyDescent="0.3">
      <c r="D142" s="60" t="str">
        <f>RES_BA!D134</f>
        <v>Equipment Category 5</v>
      </c>
      <c r="F142" s="61" t="s">
        <v>46</v>
      </c>
    </row>
    <row r="143" spans="3:6" x14ac:dyDescent="0.3">
      <c r="D143" s="60" t="str">
        <f>RES_BA!D135</f>
        <v>Equipment Category 6</v>
      </c>
      <c r="F143" s="61" t="s">
        <v>46</v>
      </c>
    </row>
    <row r="144" spans="3:6" x14ac:dyDescent="0.3">
      <c r="D144" s="282" t="str">
        <f>RES_BA!D136</f>
        <v>Equipment Category 7</v>
      </c>
      <c r="F144" s="119"/>
    </row>
    <row r="145" spans="4:6" x14ac:dyDescent="0.3">
      <c r="D145" s="282" t="str">
        <f>RES_BA!D137</f>
        <v>Equipment Category 8</v>
      </c>
      <c r="F145" s="119"/>
    </row>
    <row r="146" spans="4:6" x14ac:dyDescent="0.3">
      <c r="D146" s="282" t="str">
        <f>RES_BA!D138</f>
        <v>Equipment Category 9</v>
      </c>
      <c r="F146" s="119"/>
    </row>
    <row r="147" spans="4:6" x14ac:dyDescent="0.3">
      <c r="D147" s="282" t="str">
        <f>RES_BA!D139</f>
        <v>Equipment Category 10</v>
      </c>
      <c r="F147" s="119"/>
    </row>
    <row r="148" spans="4:6" x14ac:dyDescent="0.3">
      <c r="D148" s="282" t="str">
        <f>RES_BA!D140</f>
        <v>Equipment Category 11</v>
      </c>
      <c r="F148" s="119"/>
    </row>
    <row r="149" spans="4:6" x14ac:dyDescent="0.3">
      <c r="D149" s="282" t="str">
        <f>RES_BA!D141</f>
        <v>Equipment Category 12</v>
      </c>
      <c r="F149" s="119"/>
    </row>
    <row r="150" spans="4:6" x14ac:dyDescent="0.3">
      <c r="D150" s="282" t="str">
        <f>RES_BA!D142</f>
        <v>Equipment Category 13</v>
      </c>
      <c r="F150" s="119"/>
    </row>
    <row r="151" spans="4:6" x14ac:dyDescent="0.3">
      <c r="D151" s="282" t="str">
        <f>RES_BA!D143</f>
        <v>Equipment Category 14</v>
      </c>
      <c r="F151" s="119"/>
    </row>
    <row r="152" spans="4:6" x14ac:dyDescent="0.3">
      <c r="D152" s="282" t="str">
        <f>RES_BA!D144</f>
        <v>Equipment Category 15</v>
      </c>
      <c r="F152" s="119"/>
    </row>
    <row r="153" spans="4:6" x14ac:dyDescent="0.3">
      <c r="D153" s="282" t="str">
        <f>RES_BA!D145</f>
        <v>Equipment Category 16</v>
      </c>
      <c r="F153" s="119"/>
    </row>
    <row r="154" spans="4:6" x14ac:dyDescent="0.3">
      <c r="D154" s="282" t="str">
        <f>RES_BA!D146</f>
        <v>Equipment Category 17</v>
      </c>
      <c r="F154" s="119"/>
    </row>
    <row r="155" spans="4:6" x14ac:dyDescent="0.3">
      <c r="D155" s="282" t="str">
        <f>RES_BA!D147</f>
        <v>Equipment Category 18</v>
      </c>
      <c r="F155" s="119"/>
    </row>
    <row r="156" spans="4:6" x14ac:dyDescent="0.3">
      <c r="D156" s="282" t="str">
        <f>RES_BA!D148</f>
        <v>Equipment Category 19</v>
      </c>
      <c r="F156" s="119"/>
    </row>
    <row r="157" spans="4:6" x14ac:dyDescent="0.3">
      <c r="D157" s="282" t="str">
        <f>RES_BA!D149</f>
        <v>Equipment Category 20</v>
      </c>
      <c r="F157" s="119"/>
    </row>
    <row r="158" spans="4:6" x14ac:dyDescent="0.3">
      <c r="D158" s="282" t="str">
        <f>RES_BA!D150</f>
        <v>Equipment Category 21</v>
      </c>
      <c r="F158" s="119"/>
    </row>
    <row r="159" spans="4:6" x14ac:dyDescent="0.3">
      <c r="D159" s="282" t="str">
        <f>RES_BA!D151</f>
        <v>Equipment Category 22</v>
      </c>
      <c r="F159" s="119"/>
    </row>
    <row r="160" spans="4:6" x14ac:dyDescent="0.3">
      <c r="D160" s="282" t="str">
        <f>RES_BA!D152</f>
        <v>Equipment Category 23</v>
      </c>
      <c r="F160" s="119"/>
    </row>
    <row r="161" spans="3:6" x14ac:dyDescent="0.3">
      <c r="D161" s="282" t="str">
        <f>RES_BA!D153</f>
        <v>Equipment Category 24</v>
      </c>
      <c r="F161" s="119"/>
    </row>
    <row r="162" spans="3:6" x14ac:dyDescent="0.3">
      <c r="D162" s="282" t="str">
        <f>RES_BA!D154</f>
        <v>Equipment Category 25</v>
      </c>
      <c r="F162" s="119"/>
    </row>
    <row r="163" spans="3:6" x14ac:dyDescent="0.3">
      <c r="D163" s="282" t="str">
        <f>RES_BA!D155</f>
        <v>Equipment Category 26</v>
      </c>
      <c r="F163" s="119"/>
    </row>
    <row r="164" spans="3:6" x14ac:dyDescent="0.3">
      <c r="D164" s="282" t="str">
        <f>RES_BA!D156</f>
        <v>Equipment Category 27</v>
      </c>
      <c r="F164" s="119"/>
    </row>
    <row r="165" spans="3:6" x14ac:dyDescent="0.3">
      <c r="D165" s="282" t="str">
        <f>RES_BA!D157</f>
        <v>Equipment Category 28</v>
      </c>
      <c r="F165" s="119"/>
    </row>
    <row r="166" spans="3:6" x14ac:dyDescent="0.3">
      <c r="D166" s="282" t="str">
        <f>RES_BA!D158</f>
        <v>Equipment Category 29</v>
      </c>
      <c r="F166" s="119"/>
    </row>
    <row r="167" spans="3:6" x14ac:dyDescent="0.3">
      <c r="D167" s="282" t="str">
        <f>RES_BA!D159</f>
        <v>Equipment Category 30</v>
      </c>
      <c r="F167" s="119"/>
    </row>
    <row r="168" spans="3:6" x14ac:dyDescent="0.3">
      <c r="D168" s="282" t="str">
        <f>RES_BA!D160</f>
        <v>Equipment Category 31</v>
      </c>
      <c r="F168" s="119"/>
    </row>
    <row r="169" spans="3:6" x14ac:dyDescent="0.3">
      <c r="D169" s="282" t="str">
        <f>RES_BA!D161</f>
        <v>Equipment Category 32</v>
      </c>
      <c r="F169" s="119"/>
    </row>
    <row r="170" spans="3:6" x14ac:dyDescent="0.3">
      <c r="D170" s="282" t="str">
        <f>RES_BA!D162</f>
        <v>Equipment Category 33</v>
      </c>
      <c r="F170" s="119"/>
    </row>
    <row r="171" spans="3:6" x14ac:dyDescent="0.3">
      <c r="D171" s="282" t="str">
        <f>RES_BA!D163</f>
        <v>Equipment Category 34</v>
      </c>
      <c r="F171" s="119"/>
    </row>
    <row r="172" spans="3:6" x14ac:dyDescent="0.3">
      <c r="D172" s="282" t="str">
        <f>RES_BA!D164</f>
        <v>Equipment Category 35</v>
      </c>
      <c r="F172" s="119"/>
    </row>
    <row r="175" spans="3:6" ht="15.6" x14ac:dyDescent="0.3">
      <c r="C175" s="57" t="s">
        <v>176</v>
      </c>
      <c r="F175" s="57" t="s">
        <v>28</v>
      </c>
    </row>
    <row r="177" spans="4:6" x14ac:dyDescent="0.3">
      <c r="D177" s="58" t="s">
        <v>177</v>
      </c>
      <c r="F177" s="59" t="s">
        <v>199</v>
      </c>
    </row>
    <row r="178" spans="4:6" x14ac:dyDescent="0.3">
      <c r="D178" s="60" t="str">
        <f>RES_BA!D169</f>
        <v>Other Direct Costs Category 1</v>
      </c>
      <c r="F178" s="61" t="s">
        <v>46</v>
      </c>
    </row>
    <row r="179" spans="4:6" x14ac:dyDescent="0.3">
      <c r="D179" s="60" t="str">
        <f>RES_BA!D170</f>
        <v>Other Direct Costs Category 2</v>
      </c>
      <c r="F179" s="61" t="s">
        <v>46</v>
      </c>
    </row>
    <row r="180" spans="4:6" x14ac:dyDescent="0.3">
      <c r="D180" s="30" t="str">
        <f>RES_BA!D171</f>
        <v>Other Direct Costs Category 3</v>
      </c>
      <c r="F180" s="33" t="s">
        <v>46</v>
      </c>
    </row>
    <row r="181" spans="4:6" x14ac:dyDescent="0.3">
      <c r="D181" s="282" t="str">
        <f>RES_BA!D172</f>
        <v>Other Direct Costs Category 4</v>
      </c>
      <c r="F181" s="119"/>
    </row>
    <row r="182" spans="4:6" x14ac:dyDescent="0.3">
      <c r="D182" s="282" t="str">
        <f>RES_BA!D173</f>
        <v>Other Direct Costs Category 5</v>
      </c>
      <c r="F182" s="119"/>
    </row>
    <row r="183" spans="4:6" x14ac:dyDescent="0.3">
      <c r="D183" s="282" t="str">
        <f>RES_BA!D174</f>
        <v>Other Direct Costs Category 6</v>
      </c>
      <c r="F183" s="119"/>
    </row>
    <row r="184" spans="4:6" x14ac:dyDescent="0.3">
      <c r="D184" s="282" t="str">
        <f>RES_BA!D175</f>
        <v>Other Direct Costs Category 7</v>
      </c>
      <c r="F184" s="119"/>
    </row>
    <row r="185" spans="4:6" x14ac:dyDescent="0.3">
      <c r="D185" s="282" t="str">
        <f>RES_BA!D176</f>
        <v>Other Direct Costs Category 8</v>
      </c>
      <c r="F185" s="119"/>
    </row>
    <row r="186" spans="4:6" x14ac:dyDescent="0.3">
      <c r="D186" s="282" t="str">
        <f>RES_BA!D177</f>
        <v>Other Direct Costs Category 9</v>
      </c>
      <c r="F186" s="119"/>
    </row>
    <row r="187" spans="4:6" x14ac:dyDescent="0.3">
      <c r="D187" s="282" t="str">
        <f>RES_BA!D178</f>
        <v>Other Direct Costs Category 10</v>
      </c>
      <c r="F187" s="119"/>
    </row>
    <row r="188" spans="4:6" x14ac:dyDescent="0.3">
      <c r="D188" s="282" t="str">
        <f>RES_BA!D179</f>
        <v>Other Direct Costs Category 11</v>
      </c>
      <c r="F188" s="119"/>
    </row>
    <row r="189" spans="4:6" x14ac:dyDescent="0.3">
      <c r="D189" s="282" t="str">
        <f>RES_BA!D180</f>
        <v>Other Direct Costs Category 12</v>
      </c>
      <c r="F189" s="119"/>
    </row>
    <row r="190" spans="4:6" x14ac:dyDescent="0.3">
      <c r="D190" s="282" t="str">
        <f>RES_BA!D181</f>
        <v>Other Direct Costs Category 13</v>
      </c>
      <c r="F190" s="119"/>
    </row>
    <row r="191" spans="4:6" x14ac:dyDescent="0.3">
      <c r="D191" s="282" t="str">
        <f>RES_BA!D182</f>
        <v>Other Direct Costs Category 14</v>
      </c>
      <c r="F191" s="119"/>
    </row>
    <row r="192" spans="4:6" x14ac:dyDescent="0.3">
      <c r="D192" s="282" t="str">
        <f>RES_BA!D183</f>
        <v>Other Direct Costs Category 15</v>
      </c>
      <c r="F192" s="119"/>
    </row>
    <row r="193" spans="4:6" x14ac:dyDescent="0.3">
      <c r="D193" s="282" t="str">
        <f>RES_BA!D184</f>
        <v>Other Direct Costs Category 16</v>
      </c>
      <c r="F193" s="119"/>
    </row>
    <row r="194" spans="4:6" x14ac:dyDescent="0.3">
      <c r="D194" s="282" t="str">
        <f>RES_BA!D185</f>
        <v>Other Direct Costs Category 17</v>
      </c>
      <c r="F194" s="119"/>
    </row>
    <row r="195" spans="4:6" x14ac:dyDescent="0.3">
      <c r="D195" s="282" t="str">
        <f>RES_BA!D186</f>
        <v>Other Direct Costs Category 18</v>
      </c>
      <c r="F195" s="119"/>
    </row>
    <row r="196" spans="4:6" x14ac:dyDescent="0.3">
      <c r="D196" s="282" t="str">
        <f>RES_BA!D187</f>
        <v>Other Direct Costs Category 19</v>
      </c>
      <c r="F196" s="119"/>
    </row>
    <row r="197" spans="4:6" x14ac:dyDescent="0.3">
      <c r="D197" s="282" t="str">
        <f>RES_BA!D188</f>
        <v>Other Direct Costs Category 20</v>
      </c>
      <c r="F197" s="119"/>
    </row>
    <row r="198" spans="4:6" x14ac:dyDescent="0.3">
      <c r="D198" s="282" t="str">
        <f>RES_BA!D189</f>
        <v>Other Direct Costs Category 21</v>
      </c>
      <c r="F198" s="119"/>
    </row>
    <row r="199" spans="4:6" x14ac:dyDescent="0.3">
      <c r="D199" s="282" t="str">
        <f>RES_BA!D190</f>
        <v>Other Direct Costs Category 22</v>
      </c>
      <c r="F199" s="119"/>
    </row>
    <row r="200" spans="4:6" x14ac:dyDescent="0.3">
      <c r="D200" s="282" t="str">
        <f>RES_BA!D191</f>
        <v>Other Direct Costs Category 23</v>
      </c>
      <c r="F200" s="119"/>
    </row>
    <row r="201" spans="4:6" x14ac:dyDescent="0.3">
      <c r="D201" s="282" t="str">
        <f>RES_BA!D192</f>
        <v>Other Direct Costs Category 24</v>
      </c>
      <c r="F201" s="119"/>
    </row>
    <row r="202" spans="4:6" x14ac:dyDescent="0.3">
      <c r="D202" s="282" t="str">
        <f>RES_BA!D193</f>
        <v>Other Direct Costs Category 25</v>
      </c>
      <c r="F202" s="119"/>
    </row>
    <row r="203" spans="4:6" x14ac:dyDescent="0.3">
      <c r="D203" s="282" t="str">
        <f>RES_BA!D194</f>
        <v>Other Direct Costs Category 26</v>
      </c>
      <c r="F203" s="119"/>
    </row>
    <row r="204" spans="4:6" x14ac:dyDescent="0.3">
      <c r="D204" s="282" t="str">
        <f>RES_BA!D195</f>
        <v>Other Direct Costs Category 27</v>
      </c>
      <c r="F204" s="119"/>
    </row>
    <row r="205" spans="4:6" x14ac:dyDescent="0.3">
      <c r="D205" s="282" t="str">
        <f>RES_BA!D196</f>
        <v>Other Direct Costs Category 28</v>
      </c>
      <c r="F205" s="119"/>
    </row>
    <row r="206" spans="4:6" x14ac:dyDescent="0.3">
      <c r="D206" s="282" t="str">
        <f>RES_BA!D197</f>
        <v>Other Direct Costs Category 29</v>
      </c>
      <c r="F206" s="119"/>
    </row>
    <row r="207" spans="4:6" x14ac:dyDescent="0.3">
      <c r="D207" s="282" t="str">
        <f>RES_BA!D198</f>
        <v>Other Direct Costs Category 30</v>
      </c>
      <c r="F207" s="119"/>
    </row>
    <row r="208" spans="4:6" x14ac:dyDescent="0.3">
      <c r="D208" s="282" t="str">
        <f>RES_BA!D199</f>
        <v>Other Direct Costs Category 31</v>
      </c>
      <c r="F208" s="119"/>
    </row>
    <row r="209" spans="4:6" x14ac:dyDescent="0.3">
      <c r="D209" s="282" t="str">
        <f>RES_BA!D200</f>
        <v>Other Direct Costs Category 32</v>
      </c>
      <c r="F209" s="119"/>
    </row>
    <row r="210" spans="4:6" x14ac:dyDescent="0.3">
      <c r="D210" s="282" t="str">
        <f>RES_BA!D201</f>
        <v>Other Direct Costs Category 33</v>
      </c>
      <c r="F210" s="119"/>
    </row>
    <row r="211" spans="4:6" x14ac:dyDescent="0.3">
      <c r="D211" s="282" t="str">
        <f>RES_BA!D202</f>
        <v>Other Direct Costs Category 34</v>
      </c>
      <c r="F211" s="119"/>
    </row>
    <row r="212" spans="4:6" x14ac:dyDescent="0.3">
      <c r="D212" s="282" t="str">
        <f>RES_BA!D203</f>
        <v>Other Direct Costs Category 35</v>
      </c>
      <c r="F212" s="119"/>
    </row>
  </sheetData>
  <sheetProtection algorithmName="SHA-512" hashValue="Veh4DF2cuOg1zw4MyMbiPfBpmmi+FNYFH6wXGcdNoOO+S45y5dxVhQdVsRiBmgBkZvzKOhWE+wF6nJHiLUgYoA==" saltValue="JAt4o3hMwQUwZKFZbUE0Gg==" spinCount="100000" sheet="1" objects="1" scenarios="1" formatColumns="0" formatRows="0"/>
  <mergeCells count="1">
    <mergeCell ref="B3:D3"/>
  </mergeCells>
  <hyperlinks>
    <hyperlink ref="A4" location="$B$5" tooltip="Go to Top of Sheet" display="$B$5" xr:uid="{00000000-0004-0000-3F00-000000000000}"/>
    <hyperlink ref="C4" location="HL_Sheet_Main_6" tooltip="Go to Next Sheet" display="HL_Sheet_Main_6" xr:uid="{00000000-0004-0000-3F00-000001000000}"/>
    <hyperlink ref="B4" location="HL_Sheet_Main_40" tooltip="Go to Previous Sheet" display="HL_Sheet_Main_40" xr:uid="{00000000-0004-0000-3F00-000002000000}"/>
    <hyperlink ref="B3" location="HL_Home" tooltip="Go to Table of Contents" display="HL_Home" xr:uid="{00000000-0004-0000-3F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pageSetUpPr autoPageBreaks="0" fitToPage="1"/>
  </sheetPr>
  <dimension ref="C3:P20"/>
  <sheetViews>
    <sheetView showGridLines="0" zoomScaleNormal="100" workbookViewId="0"/>
  </sheetViews>
  <sheetFormatPr defaultColWidth="11.6640625" defaultRowHeight="13.8" x14ac:dyDescent="0.3"/>
  <cols>
    <col min="3" max="6" width="3.6640625" customWidth="1"/>
  </cols>
  <sheetData>
    <row r="3" spans="3:16" ht="14.4" x14ac:dyDescent="0.3">
      <c r="O3" s="125" t="s">
        <v>621</v>
      </c>
    </row>
    <row r="5" spans="3:16" ht="14.4" x14ac:dyDescent="0.3">
      <c r="N5" s="125" t="s">
        <v>606</v>
      </c>
      <c r="P5" s="125" t="s">
        <v>605</v>
      </c>
    </row>
    <row r="9" spans="3:16" ht="23.4" x14ac:dyDescent="0.3">
      <c r="C9" s="2" t="s">
        <v>530</v>
      </c>
    </row>
    <row r="10" spans="3:16" ht="21" x14ac:dyDescent="0.3">
      <c r="C10" s="10" t="s">
        <v>651</v>
      </c>
    </row>
    <row r="11" spans="3:16" ht="18" x14ac:dyDescent="0.3">
      <c r="C11" s="6" t="str">
        <f>Model_Name</f>
        <v>Oral Cholera Vaccine Activity-Based Costing</v>
      </c>
    </row>
    <row r="12" spans="3:16" x14ac:dyDescent="0.3">
      <c r="C12" s="331" t="s">
        <v>2</v>
      </c>
      <c r="D12" s="331"/>
      <c r="E12" s="331"/>
      <c r="F12" s="331"/>
      <c r="G12" s="331"/>
    </row>
    <row r="13" spans="3:16" x14ac:dyDescent="0.3">
      <c r="C13" s="8" t="s">
        <v>10</v>
      </c>
      <c r="D13" s="9" t="s">
        <v>11</v>
      </c>
    </row>
    <row r="17" spans="3:15" ht="14.4" x14ac:dyDescent="0.3">
      <c r="C17" s="3" t="s">
        <v>6</v>
      </c>
    </row>
    <row r="18" spans="3:15" x14ac:dyDescent="0.3">
      <c r="C18" s="4" t="s">
        <v>652</v>
      </c>
      <c r="O18" s="5" t="str">
        <f>"Go to "&amp;HL_Cost_per_Statistics</f>
        <v>Go to Cost per Statistics</v>
      </c>
    </row>
    <row r="19" spans="3:15" x14ac:dyDescent="0.3">
      <c r="C19" s="4" t="s">
        <v>653</v>
      </c>
    </row>
    <row r="20" spans="3:15" x14ac:dyDescent="0.3">
      <c r="C20" s="4"/>
    </row>
  </sheetData>
  <mergeCells count="1">
    <mergeCell ref="C12:G12"/>
  </mergeCells>
  <hyperlinks>
    <hyperlink ref="D13" location="HL_Sheet_Main_12" tooltip="Go to Next Sheet" display="HL_Sheet_Main_12" xr:uid="{00000000-0004-0000-4000-000000000000}"/>
    <hyperlink ref="O18" location="HL_Cost_per_Statistics" tooltip="Go to Cost per Statistics" display="HL_Cost_per_Statistics" xr:uid="{00000000-0004-0000-4000-000001000000}"/>
    <hyperlink ref="C13" location="HL_Sheet_Main_63" tooltip="Go to Previous Sheet" display="HL_Sheet_Main_63" xr:uid="{00000000-0004-0000-4000-000002000000}"/>
    <hyperlink ref="C12" location="HL_Home" tooltip="Go to Table of Contents" display="HL_Home" xr:uid="{00000000-0004-0000-4000-000003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pageSetUpPr autoPageBreaks="0"/>
  </sheetPr>
  <dimension ref="A1:Q174"/>
  <sheetViews>
    <sheetView showGridLines="0" zoomScaleNormal="100" workbookViewId="0">
      <pane xSplit="1" ySplit="4" topLeftCell="B145" activePane="bottomRight" state="frozen"/>
      <selection pane="topRight" activeCell="B1" sqref="B1"/>
      <selection pane="bottomLeft" activeCell="A5" sqref="A5"/>
      <selection pane="bottomRight" activeCell="I156" sqref="I156"/>
    </sheetView>
  </sheetViews>
  <sheetFormatPr defaultColWidth="11.6640625" defaultRowHeight="13.8" x14ac:dyDescent="0.3"/>
  <cols>
    <col min="1" max="5" width="3.6640625" customWidth="1"/>
    <col min="7" max="7" width="26.5546875" customWidth="1"/>
    <col min="8" max="8" width="23.6640625" customWidth="1"/>
    <col min="10" max="10" width="3.109375" customWidth="1"/>
    <col min="11" max="11" width="13.88671875" customWidth="1"/>
    <col min="12" max="12" width="4" customWidth="1"/>
    <col min="13" max="13" width="12.109375" bestFit="1" customWidth="1"/>
    <col min="14" max="14" width="2.88671875" customWidth="1"/>
    <col min="15" max="15" width="13.44140625" customWidth="1"/>
  </cols>
  <sheetData>
    <row r="1" spans="1:15" ht="23.4" x14ac:dyDescent="0.3">
      <c r="B1" s="2" t="s">
        <v>654</v>
      </c>
    </row>
    <row r="2" spans="1:15" ht="18" x14ac:dyDescent="0.3">
      <c r="B2" s="6" t="str">
        <f>Model_Name</f>
        <v>Oral Cholera Vaccine Activity-Based Costing</v>
      </c>
    </row>
    <row r="3" spans="1:15" x14ac:dyDescent="0.3">
      <c r="B3" s="331" t="s">
        <v>2</v>
      </c>
      <c r="C3" s="331"/>
      <c r="D3" s="331"/>
      <c r="E3" s="331"/>
      <c r="F3" s="331"/>
    </row>
    <row r="4" spans="1:15" ht="27.6" x14ac:dyDescent="0.3">
      <c r="A4" s="7" t="s">
        <v>5</v>
      </c>
      <c r="B4" s="8" t="s">
        <v>10</v>
      </c>
      <c r="C4" s="9" t="s">
        <v>11</v>
      </c>
      <c r="D4" s="38" t="s">
        <v>25</v>
      </c>
      <c r="F4" s="39" t="s">
        <v>26</v>
      </c>
      <c r="I4" s="51" t="str">
        <f>"FINANCIAL COST ("&amp;RES_Curr_2&amp;")"</f>
        <v>FINANCIAL COST (GOZ)</v>
      </c>
      <c r="K4" s="51" t="str">
        <f>"ECONOMIC COST ("&amp;RES_Curr_2&amp;")"</f>
        <v>ECONOMIC COST (GOZ)</v>
      </c>
      <c r="M4" s="51" t="str">
        <f>"FINANCIAL COST ("&amp;RES_Curr_1&amp;")"</f>
        <v>FINANCIAL COST (USD)</v>
      </c>
      <c r="O4" s="51" t="str">
        <f>"ECONOMIC COST ("&amp;RES_Curr_1&amp;")"</f>
        <v>ECONOMIC COST (USD)</v>
      </c>
    </row>
    <row r="5" spans="1:15" x14ac:dyDescent="0.3">
      <c r="A5" s="7"/>
      <c r="B5" s="8"/>
      <c r="C5" s="9"/>
      <c r="D5" s="38"/>
      <c r="F5" s="39"/>
      <c r="I5" s="51"/>
      <c r="K5" s="51"/>
      <c r="M5" s="51"/>
      <c r="O5" s="51"/>
    </row>
    <row r="6" spans="1:15" ht="18" x14ac:dyDescent="0.3">
      <c r="B6" s="121" t="s">
        <v>528</v>
      </c>
    </row>
    <row r="8" spans="1:15" ht="15.6" x14ac:dyDescent="0.3">
      <c r="B8" s="114" t="str">
        <f>HL_Vacc_Out</f>
        <v>Vaccine Procurement and Shipment</v>
      </c>
    </row>
    <row r="9" spans="1:15" ht="27.6" x14ac:dyDescent="0.3">
      <c r="B9" s="115" t="s">
        <v>520</v>
      </c>
      <c r="I9" s="51" t="str">
        <f>"FINANCIAL COST ("&amp;RES_Curr_2&amp;")"</f>
        <v>FINANCIAL COST (GOZ)</v>
      </c>
      <c r="K9" s="51" t="str">
        <f>"ECONOMIC COST ("&amp;RES_Curr_2&amp;")"</f>
        <v>ECONOMIC COST (GOZ)</v>
      </c>
      <c r="M9" s="51" t="str">
        <f>"FINANCIAL COST ("&amp;RES_Curr_1&amp;")"</f>
        <v>FINANCIAL COST (USD)</v>
      </c>
      <c r="O9" s="51" t="str">
        <f>"ECONOMIC COST ("&amp;RES_Curr_1&amp;")"</f>
        <v>ECONOMIC COST (USD)</v>
      </c>
    </row>
    <row r="10" spans="1:15" x14ac:dyDescent="0.3">
      <c r="C10" s="429" t="str">
        <f>VACC_BO!C13</f>
        <v>Total Cost per Dose</v>
      </c>
      <c r="D10" s="429"/>
      <c r="E10" s="429"/>
      <c r="F10" s="429"/>
      <c r="G10" s="429"/>
      <c r="I10" s="123">
        <f>IF(HL_Vacc_Applied_Currency=RES_Curr_2,VACC_BO!J13,VACC_BO!O13)</f>
        <v>0</v>
      </c>
      <c r="J10" s="123"/>
      <c r="K10" s="123">
        <f>IF(HL_Vacc_Applied_Currency=RES_Curr_2,VACC_BO!L13,VACC_BO!Q13)</f>
        <v>0</v>
      </c>
      <c r="M10" s="166">
        <f>IF(HL_Vacc_Applied_Currency=RES_Curr_1,VACC_BO!J13,VACC_BO!O13)</f>
        <v>0</v>
      </c>
      <c r="N10" s="166"/>
      <c r="O10" s="166">
        <f>IF(HL_Vacc_Applied_Currency=RES_Curr_1,VACC_BO!L13,VACC_BO!Q13)</f>
        <v>0</v>
      </c>
    </row>
    <row r="11" spans="1:15" x14ac:dyDescent="0.3">
      <c r="C11" s="429" t="str">
        <f>VACC_BO!G14</f>
        <v># Doses</v>
      </c>
      <c r="D11" s="429"/>
      <c r="E11" s="429"/>
      <c r="F11" s="429"/>
      <c r="G11" s="429"/>
      <c r="I11" s="123">
        <f>IF(HL_Vacc_Sel_Pros_Retro=Vacc_LU!$D$12,HL_Vacc_NET_PROC_PROSP,HL_Vacc_NET_PROC_REQ_RETRO)</f>
        <v>0</v>
      </c>
      <c r="K11" s="123">
        <f>IF(HL_Vacc_Sel_Pros_Retro=Vacc_LU!$D$12,HL_Vacc_NET_PROC_PROSP,HL_Vacc_NET_PROC_REQ_RETRO)</f>
        <v>0</v>
      </c>
      <c r="M11" s="123">
        <f>IF(HL_Vacc_Sel_Pros_Retro=Vacc_LU!$D$12,HL_Vacc_NET_PROC_PROSP,HL_Vacc_NET_PROC_REQ_RETRO)</f>
        <v>0</v>
      </c>
      <c r="O11" s="123">
        <f>IF(HL_Vacc_Sel_Pros_Retro=Vacc_LU!$D$12,HL_Vacc_NET_PROC_PROSP,HL_Vacc_NET_PROC_REQ_RETRO)</f>
        <v>0</v>
      </c>
    </row>
    <row r="12" spans="1:15" x14ac:dyDescent="0.3">
      <c r="C12" s="150" t="str">
        <f>VACC_BO!C15</f>
        <v>Subtotal Vaccine Cost</v>
      </c>
      <c r="I12" s="167">
        <f>I10*I11</f>
        <v>0</v>
      </c>
      <c r="J12" s="167"/>
      <c r="K12" s="167">
        <f>K10*K11</f>
        <v>0</v>
      </c>
      <c r="L12" s="168"/>
      <c r="M12" s="169">
        <f>M10*M11</f>
        <v>0</v>
      </c>
      <c r="N12" s="169"/>
      <c r="O12" s="169">
        <f>O10*O11</f>
        <v>0</v>
      </c>
    </row>
    <row r="13" spans="1:15" x14ac:dyDescent="0.3">
      <c r="C13" s="150"/>
      <c r="I13" s="175"/>
      <c r="J13" s="175"/>
      <c r="K13" s="175"/>
      <c r="L13" s="36"/>
      <c r="M13" s="176"/>
      <c r="N13" s="176"/>
      <c r="O13" s="176"/>
    </row>
    <row r="14" spans="1:15" ht="16.2" thickBot="1" x14ac:dyDescent="0.35">
      <c r="C14" s="258" t="str">
        <f>"Subtotal "&amp;B8</f>
        <v>Subtotal Vaccine Procurement and Shipment</v>
      </c>
      <c r="I14" s="172">
        <f>I12</f>
        <v>0</v>
      </c>
      <c r="J14" s="173"/>
      <c r="K14" s="172">
        <f>K12</f>
        <v>0</v>
      </c>
      <c r="L14" s="173"/>
      <c r="M14" s="174">
        <f>M12</f>
        <v>0</v>
      </c>
      <c r="N14" s="174"/>
      <c r="O14" s="174">
        <f>O12</f>
        <v>0</v>
      </c>
    </row>
    <row r="15" spans="1:15" ht="14.4" thickTop="1" x14ac:dyDescent="0.3">
      <c r="C15" s="439" t="s">
        <v>521</v>
      </c>
      <c r="D15" s="439"/>
      <c r="E15" s="439"/>
      <c r="F15" s="439"/>
      <c r="G15" s="439"/>
    </row>
    <row r="16" spans="1:15" x14ac:dyDescent="0.3">
      <c r="C16" s="70"/>
      <c r="D16" s="70"/>
      <c r="E16" s="70"/>
      <c r="F16" s="70"/>
      <c r="G16" s="70"/>
    </row>
    <row r="17" spans="2:15" ht="15.6" x14ac:dyDescent="0.3">
      <c r="B17" s="114" t="str">
        <f>MICRO_BO!B6</f>
        <v>Microplanning</v>
      </c>
    </row>
    <row r="18" spans="2:15" ht="27.6" x14ac:dyDescent="0.3">
      <c r="B18" s="114"/>
      <c r="I18" s="51" t="str">
        <f>"FINANCIAL COST ("&amp;RES_Curr_2&amp;")"</f>
        <v>FINANCIAL COST (GOZ)</v>
      </c>
      <c r="K18" s="51" t="str">
        <f>"ECONOMIC COST ("&amp;RES_Curr_2&amp;")"</f>
        <v>ECONOMIC COST (GOZ)</v>
      </c>
      <c r="M18" s="51" t="str">
        <f>"FINANCIAL COST ("&amp;RES_Curr_1&amp;")"</f>
        <v>FINANCIAL COST (USD)</v>
      </c>
      <c r="O18" s="51" t="str">
        <f>"ECONOMIC COST ("&amp;RES_Curr_1&amp;")"</f>
        <v>ECONOMIC COST (USD)</v>
      </c>
    </row>
    <row r="19" spans="2:15" s="177" customFormat="1" ht="21.9" customHeight="1" x14ac:dyDescent="0.3">
      <c r="C19" s="177" t="str">
        <f>MICRO_BO!D15</f>
        <v>Single Microplanning Activity #1 [not in use]</v>
      </c>
      <c r="I19" s="259">
        <f>IF(DD_ACT_Meet1_Curr=2,MICRO_BO!$J15,MICRO_BO!$O15)</f>
        <v>0</v>
      </c>
      <c r="K19" s="259">
        <f>IF(DD_ACT_Meet1_Curr=2,MICRO_BO!$L15,MICRO_BO!$Q15)</f>
        <v>0</v>
      </c>
      <c r="M19" s="179">
        <f>IF(DD_ACT_Meet1_Curr=1,MICRO_BO!$J15,MICRO_BO!$O15)</f>
        <v>0</v>
      </c>
      <c r="N19" s="179"/>
      <c r="O19" s="179">
        <f>IF(DD_ACT_Meet1_Curr=1,MICRO_BO!$L15,MICRO_BO!$Q15)</f>
        <v>0</v>
      </c>
    </row>
    <row r="20" spans="2:15" x14ac:dyDescent="0.3">
      <c r="C20" t="str">
        <f>MICRO_BO!C17</f>
        <v>Number of this Activity Required</v>
      </c>
      <c r="I20">
        <f>HL_ACT_Number_Nat_Micro</f>
        <v>0</v>
      </c>
      <c r="K20">
        <f>HL_ACT_Number_Nat_Micro</f>
        <v>0</v>
      </c>
      <c r="M20">
        <f>HL_ACT_Number_Nat_Micro</f>
        <v>0</v>
      </c>
      <c r="O20">
        <f>HL_ACT_Number_Nat_Micro</f>
        <v>0</v>
      </c>
    </row>
    <row r="21" spans="2:15" x14ac:dyDescent="0.3">
      <c r="C21" t="str">
        <f>MICRO_BO!C18</f>
        <v>Subtotal Cost: Microplanning Activity #1 [not in use] Activities</v>
      </c>
      <c r="I21" s="167">
        <f>I19*I20</f>
        <v>0</v>
      </c>
      <c r="J21" s="167"/>
      <c r="K21" s="167">
        <f>K19*K20</f>
        <v>0</v>
      </c>
      <c r="L21" s="168"/>
      <c r="M21" s="169">
        <f>M19*M20</f>
        <v>0</v>
      </c>
      <c r="N21" s="169"/>
      <c r="O21" s="169">
        <f>O19*O20</f>
        <v>0</v>
      </c>
    </row>
    <row r="23" spans="2:15" x14ac:dyDescent="0.3">
      <c r="C23" t="str">
        <f>MICRO_BO!D28</f>
        <v>Single Microplanning Activity #2 [not in use]</v>
      </c>
      <c r="I23" s="259">
        <f>IF(DD_ACT_2_Meet1_Curr=2,MICRO_BO!$J21,MICRO_BO!$O21)</f>
        <v>0</v>
      </c>
      <c r="J23" s="177"/>
      <c r="K23" s="259">
        <f>IF(DD_ACT_2_Meet1_Curr=2,MICRO_BO!$J21,MICRO_BO!$O21)</f>
        <v>0</v>
      </c>
      <c r="L23" s="177"/>
      <c r="M23" s="178">
        <f>IF(DD_ACT_2_Meet1_Curr=1,MICRO_BO!$J21,MICRO_BO!$O21)</f>
        <v>0</v>
      </c>
      <c r="N23" s="179"/>
      <c r="O23" s="178">
        <f>IF(DD_ACT_2_Meet1_Curr=1,MICRO_BO!$J21,MICRO_BO!$O21)</f>
        <v>0</v>
      </c>
    </row>
    <row r="24" spans="2:15" x14ac:dyDescent="0.3">
      <c r="C24" t="str">
        <f>MICRO_BO!C30</f>
        <v>Number of this Activity Required</v>
      </c>
      <c r="I24">
        <f>HL_ACT_2_Number_Dist_Micro</f>
        <v>0</v>
      </c>
      <c r="K24">
        <f>HL_ACT_2_Number_Dist_Micro</f>
        <v>0</v>
      </c>
      <c r="M24">
        <f>HL_ACT_2_Number_Dist_Micro</f>
        <v>0</v>
      </c>
      <c r="O24">
        <f>HL_ACT_2_Number_Dist_Micro</f>
        <v>0</v>
      </c>
    </row>
    <row r="25" spans="2:15" x14ac:dyDescent="0.3">
      <c r="C25" t="str">
        <f>MICRO_BO!C31</f>
        <v>Subtotal Cost: Microplanning Activity #2 [not in use] Activities</v>
      </c>
      <c r="I25" s="167">
        <f>I23*I24</f>
        <v>0</v>
      </c>
      <c r="J25" s="167"/>
      <c r="K25" s="167">
        <f>K23*K24</f>
        <v>0</v>
      </c>
      <c r="L25" s="168"/>
      <c r="M25" s="184">
        <f>M23*M24</f>
        <v>0</v>
      </c>
      <c r="N25" s="184"/>
      <c r="O25" s="184">
        <f>O24*O23</f>
        <v>0</v>
      </c>
    </row>
    <row r="27" spans="2:15" ht="16.2" thickBot="1" x14ac:dyDescent="0.35">
      <c r="C27" s="258" t="str">
        <f>"Subtotal "&amp;B17</f>
        <v>Subtotal Microplanning</v>
      </c>
      <c r="I27" s="172">
        <f>I21+I25</f>
        <v>0</v>
      </c>
      <c r="J27" s="173"/>
      <c r="K27" s="172">
        <f>K21+K25</f>
        <v>0</v>
      </c>
      <c r="L27" s="173"/>
      <c r="M27" s="174">
        <f>M21+M25</f>
        <v>0</v>
      </c>
      <c r="N27" s="174"/>
      <c r="O27" s="174">
        <f>O21+O25</f>
        <v>0</v>
      </c>
    </row>
    <row r="28" spans="2:15" ht="14.4" thickTop="1" x14ac:dyDescent="0.3"/>
    <row r="29" spans="2:15" ht="15.6" x14ac:dyDescent="0.3">
      <c r="B29" s="114" t="str">
        <f>SENS_BO!B7</f>
        <v>Sensitisation</v>
      </c>
    </row>
    <row r="30" spans="2:15" ht="27.6" x14ac:dyDescent="0.3">
      <c r="B30" s="114"/>
      <c r="I30" s="51" t="str">
        <f>"FINANCIAL COST ("&amp;RES_Curr_2&amp;")"</f>
        <v>FINANCIAL COST (GOZ)</v>
      </c>
      <c r="K30" s="51" t="str">
        <f>"ECONOMIC COST ("&amp;RES_Curr_2&amp;")"</f>
        <v>ECONOMIC COST (GOZ)</v>
      </c>
      <c r="M30" s="51" t="str">
        <f>"FINANCIAL COST ("&amp;RES_Curr_1&amp;")"</f>
        <v>FINANCIAL COST (USD)</v>
      </c>
      <c r="O30" s="51" t="str">
        <f>"ECONOMIC COST ("&amp;RES_Curr_1&amp;")"</f>
        <v>ECONOMIC COST (USD)</v>
      </c>
    </row>
    <row r="31" spans="2:15" s="177" customFormat="1" ht="19.5" customHeight="1" x14ac:dyDescent="0.3">
      <c r="C31" s="177" t="str">
        <f>SENS_BO!D16</f>
        <v>Single Sensitisation Activity #1 [not in use]</v>
      </c>
      <c r="I31" s="259">
        <f>IF(DD_ACT_3_Meet1_Curr=2,SENS_BO!$J16,SENS_BO!$O16)</f>
        <v>0</v>
      </c>
      <c r="K31" s="259">
        <f>IF(DD_ACT_3_Meet1_Curr=2,SENS_BO!$L16,SENS_BO!$Q16)</f>
        <v>0</v>
      </c>
      <c r="M31" s="178">
        <f>IF(DD_ACT_3_Meet1_Curr=1,SENS_BO!$J16,SENS_BO!$O16)</f>
        <v>0</v>
      </c>
      <c r="O31" s="178">
        <f>IF(DD_ACT_3_Meet1_Curr=1,SENS_BO!$L16,SENS_BO!$Q16)</f>
        <v>0</v>
      </c>
    </row>
    <row r="32" spans="2:15" s="177" customFormat="1" x14ac:dyDescent="0.3">
      <c r="C32" s="177" t="str">
        <f>SENS_BO!C18</f>
        <v>Number of this Activity Required</v>
      </c>
      <c r="I32">
        <f>HL_ACT_3_Number_Nat_Sens</f>
        <v>0</v>
      </c>
      <c r="J32"/>
      <c r="K32">
        <f>HL_ACT_3_Number_Nat_Sens</f>
        <v>0</v>
      </c>
      <c r="L32"/>
      <c r="M32">
        <f>HL_ACT_3_Number_Nat_Sens</f>
        <v>0</v>
      </c>
      <c r="N32"/>
      <c r="O32">
        <f>HL_ACT_3_Number_Nat_Sens</f>
        <v>0</v>
      </c>
    </row>
    <row r="33" spans="2:15" s="177" customFormat="1" x14ac:dyDescent="0.3">
      <c r="C33" s="177" t="str">
        <f>SENS_BO!C19</f>
        <v>Subtotal Cost: Sensitisation Activity #1 [not in use] Activities</v>
      </c>
      <c r="I33" s="167">
        <f>I31*I32</f>
        <v>0</v>
      </c>
      <c r="J33" s="167"/>
      <c r="K33" s="167">
        <f>K31*K32</f>
        <v>0</v>
      </c>
      <c r="L33" s="168"/>
      <c r="M33" s="169">
        <f>M31*M32</f>
        <v>0</v>
      </c>
      <c r="N33" s="169"/>
      <c r="O33" s="169">
        <f>O31*O32</f>
        <v>0</v>
      </c>
    </row>
    <row r="34" spans="2:15" s="177" customFormat="1" x14ac:dyDescent="0.3">
      <c r="I34"/>
      <c r="J34"/>
      <c r="K34"/>
      <c r="L34"/>
      <c r="M34"/>
      <c r="N34"/>
      <c r="O34"/>
    </row>
    <row r="35" spans="2:15" s="177" customFormat="1" x14ac:dyDescent="0.3">
      <c r="C35" s="177" t="str">
        <f>SENS_BO!D28</f>
        <v>Single Sensitisation Activity #2 [not in use]</v>
      </c>
      <c r="I35" s="260">
        <f>IF(DD_ACT_4_Meet1_Curr=2,SENS_BO!$J28,SENS_BO!$O28)</f>
        <v>0</v>
      </c>
      <c r="J35"/>
      <c r="K35" s="260">
        <f>IF(DD_ACT_4_Meet1_Curr=2,SENS_BO!$L28,SENS_BO!$Q28)</f>
        <v>0</v>
      </c>
      <c r="L35"/>
      <c r="M35" s="183">
        <f>IF(DD_ACT_4_Meet1_Curr=1,SENS_BO!$J28,SENS_BO!$O28)</f>
        <v>0</v>
      </c>
      <c r="N35" s="183"/>
      <c r="O35" s="183">
        <f>IF(DD_ACT_4_Meet1_Curr=1,SENS_BO!$L28,SENS_BO!$Q28)</f>
        <v>0</v>
      </c>
    </row>
    <row r="36" spans="2:15" s="177" customFormat="1" x14ac:dyDescent="0.3">
      <c r="C36" s="177" t="str">
        <f>SENS_BO!C30</f>
        <v>Number of this Activity Required</v>
      </c>
      <c r="I36">
        <f>HL_ACT_4_SENS</f>
        <v>0</v>
      </c>
      <c r="J36"/>
      <c r="K36">
        <f>HL_ACT_4_SENS</f>
        <v>0</v>
      </c>
      <c r="L36"/>
      <c r="M36">
        <f>HL_ACT_4_SENS</f>
        <v>0</v>
      </c>
      <c r="N36"/>
      <c r="O36">
        <f>HL_ACT_4_SENS</f>
        <v>0</v>
      </c>
    </row>
    <row r="37" spans="2:15" s="177" customFormat="1" x14ac:dyDescent="0.3">
      <c r="C37" s="177" t="str">
        <f>SENS_BO!C31</f>
        <v>Subtotal Cost: Sensitisation Activity #2 [not in use] Activities</v>
      </c>
      <c r="I37" s="167">
        <f>I35*I36</f>
        <v>0</v>
      </c>
      <c r="J37" s="167"/>
      <c r="K37" s="167">
        <f>K35*K36</f>
        <v>0</v>
      </c>
      <c r="L37" s="168"/>
      <c r="M37" s="169">
        <f>M35*M36</f>
        <v>0</v>
      </c>
      <c r="N37" s="169"/>
      <c r="O37" s="169">
        <f>O36*O35</f>
        <v>0</v>
      </c>
    </row>
    <row r="39" spans="2:15" s="177" customFormat="1" x14ac:dyDescent="0.3">
      <c r="C39" s="177" t="str">
        <f>SENS_BO!D40</f>
        <v>Single Sensitisation Activity #3 [not in use]</v>
      </c>
      <c r="I39" s="260">
        <f>IF(DD_ACT_5_Meet1_Curr=2,SENS_BO!$J40,SENS_BO!$O40)</f>
        <v>0</v>
      </c>
      <c r="J39"/>
      <c r="K39" s="260">
        <f>IF(DD_ACT_5_Meet1_Curr=2,SENS_BO!$L40,SENS_BO!$Q40)</f>
        <v>0</v>
      </c>
      <c r="L39"/>
      <c r="M39" s="183">
        <f>IF(DD_ACT_5_Meet1_Curr=1,SENS_BO!$J40,SENS_BO!$O40)</f>
        <v>0</v>
      </c>
      <c r="N39" s="183"/>
      <c r="O39" s="183">
        <f>IF(DD_ACT_5_Meet1_Curr=1,SENS_BO!$L40,SENS_BO!$Q40)</f>
        <v>0</v>
      </c>
    </row>
    <row r="40" spans="2:15" s="177" customFormat="1" x14ac:dyDescent="0.3">
      <c r="C40" s="177" t="str">
        <f>SENS_BO!C42</f>
        <v>Number of this Activity Required</v>
      </c>
      <c r="I40">
        <f>HL_ACT_4_SENS</f>
        <v>0</v>
      </c>
      <c r="J40"/>
      <c r="K40">
        <f>HL_ACT_2_Number_Dist_Micro</f>
        <v>0</v>
      </c>
      <c r="L40"/>
      <c r="M40">
        <f>HL_ACT_2_Number_Dist_Micro</f>
        <v>0</v>
      </c>
      <c r="N40"/>
      <c r="O40">
        <f>HL_ACT_2_Number_Dist_Micro</f>
        <v>0</v>
      </c>
    </row>
    <row r="41" spans="2:15" s="177" customFormat="1" x14ac:dyDescent="0.3">
      <c r="C41" s="177" t="str">
        <f>SENS_BO!C43</f>
        <v>Subtotal Cost: Sensitisation Activity #3 [not in use] Activities</v>
      </c>
      <c r="I41" s="167">
        <f>I39*I40</f>
        <v>0</v>
      </c>
      <c r="J41" s="167"/>
      <c r="K41" s="167">
        <f>K39*K40</f>
        <v>0</v>
      </c>
      <c r="L41" s="168"/>
      <c r="M41" s="169">
        <f>M39*M40</f>
        <v>0</v>
      </c>
      <c r="N41" s="169"/>
      <c r="O41" s="169">
        <f>O40*O39</f>
        <v>0</v>
      </c>
    </row>
    <row r="42" spans="2:15" s="177" customFormat="1" x14ac:dyDescent="0.3">
      <c r="I42" s="180"/>
      <c r="J42" s="180"/>
      <c r="K42" s="180"/>
      <c r="L42" s="181"/>
      <c r="M42" s="182"/>
      <c r="N42" s="182"/>
      <c r="O42" s="182"/>
    </row>
    <row r="43" spans="2:15" ht="16.2" thickBot="1" x14ac:dyDescent="0.35">
      <c r="C43" s="258" t="str">
        <f>"Subtotal "&amp;B29</f>
        <v>Subtotal Sensitisation</v>
      </c>
      <c r="I43" s="172">
        <f>I33+I37+I41</f>
        <v>0</v>
      </c>
      <c r="J43" s="173"/>
      <c r="K43" s="172">
        <f>K33+K37+K41</f>
        <v>0</v>
      </c>
      <c r="L43" s="173"/>
      <c r="M43" s="174">
        <f>M33+M37+M41</f>
        <v>0</v>
      </c>
      <c r="N43" s="174"/>
      <c r="O43" s="174">
        <f>O33+O37+O41</f>
        <v>0</v>
      </c>
    </row>
    <row r="44" spans="2:15" ht="14.4" thickTop="1" x14ac:dyDescent="0.3"/>
    <row r="45" spans="2:15" ht="15.6" x14ac:dyDescent="0.3">
      <c r="B45" s="114" t="str">
        <f>IEC_BO!B7</f>
        <v>Communication Materials</v>
      </c>
    </row>
    <row r="46" spans="2:15" ht="27.6" x14ac:dyDescent="0.3">
      <c r="B46" s="114"/>
      <c r="I46" s="51" t="str">
        <f>"FINANCIAL COST ("&amp;RES_Curr_2&amp;")"</f>
        <v>FINANCIAL COST (GOZ)</v>
      </c>
      <c r="K46" s="51" t="str">
        <f>"ECONOMIC COST ("&amp;RES_Curr_2&amp;")"</f>
        <v>ECONOMIC COST (GOZ)</v>
      </c>
      <c r="M46" s="51" t="str">
        <f>"FINANCIAL COST ("&amp;RES_Curr_1&amp;")"</f>
        <v>FINANCIAL COST (USD)</v>
      </c>
      <c r="O46" s="51" t="str">
        <f>"ECONOMIC COST ("&amp;RES_Curr_1&amp;")"</f>
        <v>ECONOMIC COST (USD)</v>
      </c>
    </row>
    <row r="47" spans="2:15" x14ac:dyDescent="0.3">
      <c r="C47" t="str">
        <f>IEC_BO!D16</f>
        <v>Single Communication Materials Activity #1 [not in use] Activity</v>
      </c>
      <c r="I47" s="260">
        <f>IF(DD_ACT_6_Meet1_Curr=2,IEC_BO!$J16,IEC_BO!$O16)</f>
        <v>0</v>
      </c>
      <c r="K47" s="260">
        <f>IF(DD_ACT_6_Meet1_Curr=2,IEC_BO!$L16,IEC_BO!$Q16)</f>
        <v>0</v>
      </c>
      <c r="M47" s="170">
        <f>IF(DD_ACT_6_Meet1_Curr=1,IEC_BO!$J16,IEC_BO!$O16)</f>
        <v>0</v>
      </c>
      <c r="N47" s="170"/>
      <c r="O47" s="170">
        <f>IF(DD_ACT_6_Meet1_Curr=1,IEC_BO!$L16,IEC_BO!$Q16)</f>
        <v>0</v>
      </c>
    </row>
    <row r="48" spans="2:15" x14ac:dyDescent="0.3">
      <c r="C48" t="str">
        <f>IEC_BO!C18</f>
        <v>Number of this Activity Required</v>
      </c>
      <c r="I48">
        <f>HL_ACT_6_COMM_DESIGN</f>
        <v>0</v>
      </c>
      <c r="K48">
        <f>HL_ACT_6_COMM_DESIGN</f>
        <v>0</v>
      </c>
      <c r="M48">
        <f>HL_ACT_6_COMM_DESIGN</f>
        <v>0</v>
      </c>
      <c r="O48">
        <f>HL_ACT_6_COMM_DESIGN</f>
        <v>0</v>
      </c>
    </row>
    <row r="49" spans="2:15" x14ac:dyDescent="0.3">
      <c r="C49" t="str">
        <f>IEC_BO!C19</f>
        <v>Subtotal Cost: Communication Materials Activity #1 [not in use] Activities</v>
      </c>
      <c r="I49" s="167">
        <f>I47*I48</f>
        <v>0</v>
      </c>
      <c r="J49" s="167"/>
      <c r="K49" s="167">
        <f>K47*K48</f>
        <v>0</v>
      </c>
      <c r="L49" s="168"/>
      <c r="M49" s="169">
        <f>M47*M48</f>
        <v>0</v>
      </c>
      <c r="N49" s="169"/>
      <c r="O49" s="169">
        <f>O47*O48</f>
        <v>0</v>
      </c>
    </row>
    <row r="51" spans="2:15" x14ac:dyDescent="0.3">
      <c r="C51" t="str">
        <f>IEC_BO!D28</f>
        <v>Single Communication Materials Activity #2 [not in use] Activity</v>
      </c>
      <c r="I51" s="260">
        <f>IF(DD_ACT_21_Meet1_Curr=2,IEC_BO!$J28,IEC_BO!$O28)</f>
        <v>0</v>
      </c>
      <c r="K51" s="260">
        <f>IF(DD_ACT_21_Meet1_Curr=2,IEC_BO!$L28,IEC_BO!$Q28)</f>
        <v>0</v>
      </c>
      <c r="M51" s="170">
        <f>IF(DD_ACT_21_Meet1_Curr=1,IEC_BO!$J28,IEC_BO!$O28)</f>
        <v>0</v>
      </c>
      <c r="N51" s="170"/>
      <c r="O51" s="170">
        <f>IF(DD_ACT_21_Meet1_Curr=1,IEC_BO!$J28,IEC_BO!$O28)</f>
        <v>0</v>
      </c>
    </row>
    <row r="52" spans="2:15" x14ac:dyDescent="0.3">
      <c r="C52" t="str">
        <f>IEC_BO!C30</f>
        <v>Number of this Activity Required</v>
      </c>
      <c r="I52">
        <f>HL_ACT_21_COMM_PRETEST</f>
        <v>0</v>
      </c>
      <c r="K52">
        <f>HL_ACT_21_COMM_PRETEST</f>
        <v>0</v>
      </c>
      <c r="M52">
        <f>HL_ACT_21_COMM_PRETEST</f>
        <v>0</v>
      </c>
      <c r="O52">
        <f>HL_ACT_21_COMM_PRETEST</f>
        <v>0</v>
      </c>
    </row>
    <row r="53" spans="2:15" x14ac:dyDescent="0.3">
      <c r="C53" t="str">
        <f>IEC_BO!C31</f>
        <v>Subtotal Cost: Communication Materials Activity #2 [not in use] Activities</v>
      </c>
      <c r="I53" s="167">
        <f>I51*I52</f>
        <v>0</v>
      </c>
      <c r="J53" s="167"/>
      <c r="K53" s="167">
        <f>K51*K52</f>
        <v>0</v>
      </c>
      <c r="L53" s="168"/>
      <c r="M53" s="169">
        <f>M51*M52</f>
        <v>0</v>
      </c>
      <c r="N53" s="169"/>
      <c r="O53" s="169">
        <f>O52*O51</f>
        <v>0</v>
      </c>
    </row>
    <row r="55" spans="2:15" x14ac:dyDescent="0.3">
      <c r="C55" t="str">
        <f>IEC_BO!D40</f>
        <v>Single Communication Materials Activity #3 [not in use] Activity</v>
      </c>
      <c r="I55" s="260">
        <f>IF(DD_ACT_22_Meet1_Curr=2,IEC_BO!$J40,IEC_BO!$O40)</f>
        <v>0</v>
      </c>
      <c r="K55" s="260">
        <f>IF(DD_ACT_22_Meet1_Curr=2,IEC_BO!$L40,IEC_BO!$Q40)</f>
        <v>0</v>
      </c>
      <c r="M55" s="170">
        <f>IF(DD_ACT_22_Meet1_Curr=1,IEC_BO!$J40,IEC_BO!$O40)</f>
        <v>0</v>
      </c>
      <c r="N55" s="170"/>
      <c r="O55" s="170">
        <f>IF(DD_ACT_22_Meet1_Curr=1,IEC_BO!$L40,IEC_BO!$Q40)</f>
        <v>0</v>
      </c>
    </row>
    <row r="56" spans="2:15" x14ac:dyDescent="0.3">
      <c r="C56" t="str">
        <f>IEC_BO!C42</f>
        <v>Number of this Activity Required</v>
      </c>
      <c r="I56">
        <f>HL_ACT_22_COMM_PROD</f>
        <v>0</v>
      </c>
      <c r="K56">
        <f>HL_ACT_22_COMM_PROD</f>
        <v>0</v>
      </c>
      <c r="M56">
        <f>HL_ACT_22_COMM_PROD</f>
        <v>0</v>
      </c>
      <c r="O56">
        <f>HL_ACT_22_COMM_PROD</f>
        <v>0</v>
      </c>
    </row>
    <row r="57" spans="2:15" x14ac:dyDescent="0.3">
      <c r="C57" t="str">
        <f>IEC_BO!C43</f>
        <v>Subtotal Cost: Communication Materials Activity #3 [not in use] Activities</v>
      </c>
      <c r="I57" s="167">
        <f>I55*I56</f>
        <v>0</v>
      </c>
      <c r="J57" s="167"/>
      <c r="K57" s="167">
        <f>K55*K56</f>
        <v>0</v>
      </c>
      <c r="L57" s="168"/>
      <c r="M57" s="169">
        <f>M55*M56</f>
        <v>0</v>
      </c>
      <c r="N57" s="169"/>
      <c r="O57" s="169">
        <f>O56*O55</f>
        <v>0</v>
      </c>
    </row>
    <row r="59" spans="2:15" ht="16.2" thickBot="1" x14ac:dyDescent="0.35">
      <c r="C59" s="258" t="str">
        <f>"Subtotal "&amp;B45</f>
        <v>Subtotal Communication Materials</v>
      </c>
      <c r="I59" s="172">
        <f>SUM(I49,I53,I57)</f>
        <v>0</v>
      </c>
      <c r="J59" s="173"/>
      <c r="K59" s="172">
        <f>SUM(K49,K53,K57)</f>
        <v>0</v>
      </c>
      <c r="L59" s="173"/>
      <c r="M59" s="185">
        <f>SUM(M49,M53,M57)</f>
        <v>0</v>
      </c>
      <c r="N59" s="185"/>
      <c r="O59" s="185">
        <f>SUM(O49,O53,O57)</f>
        <v>0</v>
      </c>
    </row>
    <row r="60" spans="2:15" ht="14.4" thickTop="1" x14ac:dyDescent="0.3"/>
    <row r="61" spans="2:15" ht="15.6" x14ac:dyDescent="0.3">
      <c r="B61" s="114" t="str">
        <f>TRAIN_BO!B6</f>
        <v>Training</v>
      </c>
    </row>
    <row r="62" spans="2:15" ht="27.6" x14ac:dyDescent="0.3">
      <c r="B62" s="114"/>
      <c r="I62" s="51" t="str">
        <f>"FINANCIAL COST ("&amp;RES_Curr_2&amp;")"</f>
        <v>FINANCIAL COST (GOZ)</v>
      </c>
      <c r="K62" s="51" t="str">
        <f>"ECONOMIC COST ("&amp;RES_Curr_2&amp;")"</f>
        <v>ECONOMIC COST (GOZ)</v>
      </c>
      <c r="M62" s="51" t="str">
        <f>"FINANCIAL COST ("&amp;RES_Curr_1&amp;")"</f>
        <v>FINANCIAL COST (USD)</v>
      </c>
      <c r="O62" s="51" t="str">
        <f>"ECONOMIC COST ("&amp;RES_Curr_1&amp;")"</f>
        <v>ECONOMIC COST (USD)</v>
      </c>
    </row>
    <row r="63" spans="2:15" x14ac:dyDescent="0.3">
      <c r="C63" t="str">
        <f>TRAIN_BO!D15</f>
        <v>Single Training Activity #1 [not in use] Activity</v>
      </c>
      <c r="I63" s="260">
        <f>IF(DD_ACT_17_Meet1_Curr=2,TRAIN_BO!$J15,TRAIN_BO!$O15)</f>
        <v>0</v>
      </c>
      <c r="K63" s="260">
        <f>IF(DD_ACT_4_Meet1_Curr=2,TRAIN_BO!$L15,TRAIN_BO!$Q15)</f>
        <v>0</v>
      </c>
      <c r="M63" s="183">
        <f>IF(DD_ACT_17_Meet1_Curr=1,TRAIN_BO!$J15,TRAIN_BO!$O15)</f>
        <v>0</v>
      </c>
      <c r="N63" s="183"/>
      <c r="O63" s="123">
        <f>IF(DD_ACT_4_Meet1_Curr=1,TRAIN_BO!$L15,TRAIN_BO!$Q15)</f>
        <v>0</v>
      </c>
    </row>
    <row r="64" spans="2:15" x14ac:dyDescent="0.3">
      <c r="C64" t="str">
        <f>TRAIN_BO!C17</f>
        <v>Number of this Activity Required</v>
      </c>
      <c r="I64">
        <f>TRAIN_BO!$H$17</f>
        <v>0</v>
      </c>
      <c r="K64">
        <f>TRAIN_BO!$H$17</f>
        <v>0</v>
      </c>
      <c r="M64">
        <f>TRAIN_BO!$H$17</f>
        <v>0</v>
      </c>
      <c r="O64">
        <f>TRAIN_BO!$H$17</f>
        <v>0</v>
      </c>
    </row>
    <row r="65" spans="3:15" x14ac:dyDescent="0.3">
      <c r="C65" t="str">
        <f>TRAIN_BO!C18</f>
        <v>Subtotal Cost: Training Activity #1 [not in use] Activities</v>
      </c>
      <c r="I65" s="167">
        <f>I63*I64</f>
        <v>0</v>
      </c>
      <c r="J65" s="167"/>
      <c r="K65" s="167">
        <f>K63*K64</f>
        <v>0</v>
      </c>
      <c r="L65" s="168"/>
      <c r="M65" s="169">
        <f>M63*M64</f>
        <v>0</v>
      </c>
      <c r="N65" s="169"/>
      <c r="O65" s="169">
        <f>O63*O64</f>
        <v>0</v>
      </c>
    </row>
    <row r="67" spans="3:15" x14ac:dyDescent="0.3">
      <c r="C67" t="str">
        <f>TRAIN_BO!D30</f>
        <v>Single Training Activity #2 [not in use] Activity</v>
      </c>
      <c r="I67" s="260">
        <f>IF(DD_ACT_18_Meet1_Curr=2,TRAIN_BO!$J30,TRAIN_BO!$O30)</f>
        <v>0</v>
      </c>
      <c r="K67" s="260">
        <f>IF(DD_ACT_4_Meet1_Curr=2,TRAIN_BO!$L30,TRAIN_BO!$Q30)</f>
        <v>0</v>
      </c>
      <c r="M67" s="183">
        <f>IF(DD_ACT_18_Meet1_Curr=1,TRAIN_BO!$J30,TRAIN_BO!$O30)</f>
        <v>0</v>
      </c>
      <c r="N67" s="183"/>
      <c r="O67" s="123">
        <f>IF(DD_ACT_4_Meet1_Curr=1,TRAIN_BO!$L30,TRAIN_BO!$Q30)</f>
        <v>0</v>
      </c>
    </row>
    <row r="68" spans="3:15" x14ac:dyDescent="0.3">
      <c r="C68" t="str">
        <f>TRAIN_BO!C32</f>
        <v>Number of this Activity Required</v>
      </c>
      <c r="I68">
        <f>TRAIN_BO!$H$32</f>
        <v>0</v>
      </c>
      <c r="K68">
        <f>TRAIN_BO!$H$32</f>
        <v>0</v>
      </c>
      <c r="M68">
        <f>TRAIN_BO!$H$32</f>
        <v>0</v>
      </c>
      <c r="O68">
        <f>TRAIN_BO!$H$32</f>
        <v>0</v>
      </c>
    </row>
    <row r="69" spans="3:15" x14ac:dyDescent="0.3">
      <c r="C69" t="str">
        <f>TRAIN_BO!C33</f>
        <v>Subtotal Cost: Training Activity #2 [not in use] Activities</v>
      </c>
      <c r="I69" s="167">
        <f>I67*I68</f>
        <v>0</v>
      </c>
      <c r="J69" s="167"/>
      <c r="K69" s="167">
        <f>K67*K68</f>
        <v>0</v>
      </c>
      <c r="L69" s="168"/>
      <c r="M69" s="169">
        <f>M67*M68</f>
        <v>0</v>
      </c>
      <c r="N69" s="169"/>
      <c r="O69" s="169">
        <f>O68*O67</f>
        <v>0</v>
      </c>
    </row>
    <row r="71" spans="3:15" x14ac:dyDescent="0.3">
      <c r="C71" t="str">
        <f>TRAIN_BO!D45</f>
        <v>Single Training Activity #3 [not in use] Activity</v>
      </c>
      <c r="I71" s="260">
        <f>IF(DD_ACT_19_Meet1_Curr=2,TRAIN_BO!$J45,TRAIN_BO!$O45)</f>
        <v>0</v>
      </c>
      <c r="K71" s="260">
        <f>IF(DD_ACT_4_Meet1_Curr=2,TRAIN_BO!$L45,TRAIN_BO!$Q45)</f>
        <v>0</v>
      </c>
      <c r="M71" s="183">
        <f>IF(DD_ACT_19_Meet1_Curr=1,TRAIN_BO!$J45,TRAIN_BO!$O45)</f>
        <v>0</v>
      </c>
      <c r="N71" s="183"/>
      <c r="O71" s="123">
        <f>IF(DD_ACT_4_Meet1_Curr=1,TRAIN_BO!$L45,TRAIN_BO!$Q45)</f>
        <v>0</v>
      </c>
    </row>
    <row r="72" spans="3:15" x14ac:dyDescent="0.3">
      <c r="C72" t="str">
        <f>TRAIN_BO!C47</f>
        <v>Number of this Activity Required</v>
      </c>
      <c r="I72">
        <f>TRAIN_BO!$H$47</f>
        <v>0</v>
      </c>
      <c r="K72">
        <f>TRAIN_BO!$H$47</f>
        <v>0</v>
      </c>
      <c r="M72">
        <f>TRAIN_BO!$H$47</f>
        <v>0</v>
      </c>
      <c r="O72">
        <f>TRAIN_BO!$H$47</f>
        <v>0</v>
      </c>
    </row>
    <row r="73" spans="3:15" x14ac:dyDescent="0.3">
      <c r="C73" t="str">
        <f>TRAIN_BO!C48</f>
        <v>Subtotal Cost: Training Activity #3 [not in use] Activities</v>
      </c>
      <c r="I73" s="167">
        <f>I71*I72</f>
        <v>0</v>
      </c>
      <c r="J73" s="167"/>
      <c r="K73" s="167">
        <f>K71*K72</f>
        <v>0</v>
      </c>
      <c r="L73" s="168"/>
      <c r="M73" s="169">
        <f>M71*M72</f>
        <v>0</v>
      </c>
      <c r="N73" s="169"/>
      <c r="O73" s="169">
        <f>O72*O71</f>
        <v>0</v>
      </c>
    </row>
    <row r="75" spans="3:15" x14ac:dyDescent="0.3">
      <c r="C75" t="str">
        <f>TRAIN_BO!D60</f>
        <v>Single Training Activity #4 [not in use] Activity</v>
      </c>
      <c r="I75" s="260">
        <f>IF(DD_ACT_20_Meet1_Curr=2,TRAIN_BO!$J60,TRAIN_BO!$O60)</f>
        <v>0</v>
      </c>
      <c r="K75" s="260">
        <f>IF(DD_ACT_4_Meet1_Curr=2,TRAIN_BO!$L60,TRAIN_BO!$Q60)</f>
        <v>0</v>
      </c>
      <c r="M75" s="183">
        <f>IF(DD_ACT_20_Meet1_Curr=1,TRAIN_BO!$J60,TRAIN_BO!$O60)</f>
        <v>0</v>
      </c>
      <c r="N75" s="183"/>
      <c r="O75" s="123">
        <f>IF(DD_ACT_4_Meet1_Curr=1,TRAIN_BO!$L60,TRAIN_BO!$Q60)</f>
        <v>0</v>
      </c>
    </row>
    <row r="76" spans="3:15" x14ac:dyDescent="0.3">
      <c r="C76" t="str">
        <f>TRAIN_BO!C62</f>
        <v>Number of this Activity Required</v>
      </c>
      <c r="I76">
        <f>TRAIN_BO!$H$62</f>
        <v>0</v>
      </c>
      <c r="K76">
        <f>TRAIN_BO!$H$62</f>
        <v>0</v>
      </c>
      <c r="M76">
        <f>TRAIN_BO!$H$62</f>
        <v>0</v>
      </c>
      <c r="O76">
        <f>TRAIN_BO!$H$62</f>
        <v>0</v>
      </c>
    </row>
    <row r="77" spans="3:15" x14ac:dyDescent="0.3">
      <c r="C77" t="str">
        <f>TRAIN_BO!C63</f>
        <v>Subtotal Cost: Training Activity #4 [not in use] Activities</v>
      </c>
      <c r="I77" s="167">
        <f>I75*I76</f>
        <v>0</v>
      </c>
      <c r="J77" s="167"/>
      <c r="K77" s="167">
        <f>K75*K76</f>
        <v>0</v>
      </c>
      <c r="L77" s="168"/>
      <c r="M77" s="169">
        <f>M75*M76</f>
        <v>0</v>
      </c>
      <c r="N77" s="169"/>
      <c r="O77" s="169">
        <f>O76*O75</f>
        <v>0</v>
      </c>
    </row>
    <row r="79" spans="3:15" ht="16.2" thickBot="1" x14ac:dyDescent="0.35">
      <c r="C79" s="258" t="str">
        <f>"Subtotal "&amp;B61</f>
        <v>Subtotal Training</v>
      </c>
      <c r="I79" s="172">
        <f>SUM(I65,I69,I73,I77)</f>
        <v>0</v>
      </c>
      <c r="J79" s="173"/>
      <c r="K79" s="172">
        <f>SUM(K65,K69,K73,K77)</f>
        <v>0</v>
      </c>
      <c r="L79" s="173"/>
      <c r="M79" s="186">
        <f>SUM(M65,M69,M73,M77)</f>
        <v>0</v>
      </c>
      <c r="N79" s="186"/>
      <c r="O79" s="186">
        <f>SUM(O65,O69,O73,O77)</f>
        <v>0</v>
      </c>
    </row>
    <row r="80" spans="3:15" ht="14.4" thickTop="1" x14ac:dyDescent="0.3"/>
    <row r="81" spans="2:15" ht="15.6" x14ac:dyDescent="0.3">
      <c r="B81" s="114" t="str">
        <f>MOB_BO!B7</f>
        <v>Social Mobilisation</v>
      </c>
    </row>
    <row r="82" spans="2:15" ht="27.6" x14ac:dyDescent="0.3">
      <c r="B82" s="114"/>
      <c r="I82" s="51" t="str">
        <f>"FINANCIAL COST ("&amp;RES_Curr_2&amp;")"</f>
        <v>FINANCIAL COST (GOZ)</v>
      </c>
      <c r="K82" s="51" t="str">
        <f>"ECONOMIC COST ("&amp;RES_Curr_2&amp;")"</f>
        <v>ECONOMIC COST (GOZ)</v>
      </c>
      <c r="M82" s="51" t="str">
        <f>"FINANCIAL COST ("&amp;RES_Curr_1&amp;")"</f>
        <v>FINANCIAL COST (USD)</v>
      </c>
      <c r="O82" s="51" t="str">
        <f>"ECONOMIC COST ("&amp;RES_Curr_1&amp;")"</f>
        <v>ECONOMIC COST (USD)</v>
      </c>
    </row>
    <row r="83" spans="2:15" x14ac:dyDescent="0.3">
      <c r="C83" t="str">
        <f>MOB_BO!D16</f>
        <v>Single Social Mobilisation Activity #1 [not in use] Activity</v>
      </c>
      <c r="I83" s="260">
        <f>IF(DD_ACT_7_Meet1_Curr=2,MOB_BO!$J16,MOB_BO!$O16)</f>
        <v>0</v>
      </c>
      <c r="K83" s="260">
        <f>IF(DD_ACT_7_Meet1_Curr=2,MOB_BO!$L16,MOB_BO!$Q16)</f>
        <v>0</v>
      </c>
      <c r="M83" s="183">
        <f>IF(DD_ACT_7_Meet1_Curr=1,MOB_BO!$J16,MOB_BO!$O16)</f>
        <v>0</v>
      </c>
      <c r="N83" s="183"/>
      <c r="O83" s="183">
        <f>IF(DD_ACT_7_Meet1_Curr=1,MOB_BO!$L16,MOB_BO!$Q16)</f>
        <v>0</v>
      </c>
    </row>
    <row r="84" spans="2:15" x14ac:dyDescent="0.3">
      <c r="C84" t="str">
        <f>MOB_BO!C18</f>
        <v>Number of this Activity Required</v>
      </c>
      <c r="I84">
        <f>HL_ACT_7_SOC_MOB_1</f>
        <v>0</v>
      </c>
      <c r="K84">
        <f>HL_ACT_7_SOC_MOB_1</f>
        <v>0</v>
      </c>
      <c r="M84">
        <f>HL_ACT_7_SOC_MOB_1</f>
        <v>0</v>
      </c>
      <c r="O84">
        <f>HL_ACT_7_SOC_MOB_1</f>
        <v>0</v>
      </c>
    </row>
    <row r="85" spans="2:15" x14ac:dyDescent="0.3">
      <c r="C85" t="str">
        <f>MOB_BO!C19</f>
        <v>Subtotal Cost: Social Mobilisation Activity #1 [not in use] Activities</v>
      </c>
      <c r="I85" s="167">
        <f>I83*I84</f>
        <v>0</v>
      </c>
      <c r="J85" s="167"/>
      <c r="K85" s="167">
        <f>K83*K84</f>
        <v>0</v>
      </c>
      <c r="L85" s="168"/>
      <c r="M85" s="169">
        <f>M83*M84</f>
        <v>0</v>
      </c>
      <c r="N85" s="169"/>
      <c r="O85" s="169">
        <f>O84*O83</f>
        <v>0</v>
      </c>
    </row>
    <row r="87" spans="2:15" x14ac:dyDescent="0.3">
      <c r="C87" t="str">
        <f>MOB_BO!D28</f>
        <v>Single Social Mobilisation Activity #2 [not in use] Activity</v>
      </c>
      <c r="I87" s="260">
        <f>IF(DD_ACT_8_Meet1_Curr=2,MOB_BO!$J28,MOB_BO!$O28)</f>
        <v>0</v>
      </c>
      <c r="K87" s="260">
        <f>IF(DD_ACT_8_Meet1_Curr=2,MOB_BO!$L28,MOB_BO!$Q28)</f>
        <v>0</v>
      </c>
      <c r="M87" s="183">
        <f>IF(DD_ACT_8_Meet1_Curr=1,MOB_BO!$J28,MOB_BO!$O28)</f>
        <v>0</v>
      </c>
      <c r="N87" s="183"/>
      <c r="O87" s="183">
        <f>IF(DD_ACT_8_Meet1_Curr=1,MOB_BO!$L28,MOB_BO!$Q28)</f>
        <v>0</v>
      </c>
    </row>
    <row r="88" spans="2:15" x14ac:dyDescent="0.3">
      <c r="C88" t="str">
        <f>MOB_BO!C30</f>
        <v>Number of this Activity Required</v>
      </c>
      <c r="I88">
        <f>HL_ACT_8_SOC_MOB_2</f>
        <v>0</v>
      </c>
      <c r="K88">
        <f>HL_ACT_8_SOC_MOB_2</f>
        <v>0</v>
      </c>
      <c r="M88">
        <f>HL_ACT_8_SOC_MOB_2</f>
        <v>0</v>
      </c>
      <c r="O88">
        <f>HL_ACT_8_SOC_MOB_2</f>
        <v>0</v>
      </c>
    </row>
    <row r="89" spans="2:15" x14ac:dyDescent="0.3">
      <c r="C89" t="str">
        <f>MOB_BO!C31</f>
        <v>Subtotal Cost: Social Mobilisation Activity #2 [not in use] Activities</v>
      </c>
      <c r="I89" s="167">
        <f>I87*I88</f>
        <v>0</v>
      </c>
      <c r="J89" s="167"/>
      <c r="K89" s="167">
        <f>K87*K88</f>
        <v>0</v>
      </c>
      <c r="L89" s="168"/>
      <c r="M89" s="169">
        <f>M87*M88</f>
        <v>0</v>
      </c>
      <c r="N89" s="169"/>
      <c r="O89" s="169">
        <f>O88*O87</f>
        <v>0</v>
      </c>
    </row>
    <row r="91" spans="2:15" x14ac:dyDescent="0.3">
      <c r="C91" t="str">
        <f>MOB_BO!D40</f>
        <v>Single Social Mobilisation Activity #3 [not in use] Activity</v>
      </c>
      <c r="I91" s="260">
        <f>IF(DD_ACT_9_Meet1_Curr=2,MOB_BO!$J40,MOB_BO!$O40)</f>
        <v>0</v>
      </c>
      <c r="K91" s="260">
        <f>IF(DD_ACT_9_Meet1_Curr=2,MOB_BO!$L40,MOB_BO!$Q40)</f>
        <v>0</v>
      </c>
      <c r="M91" s="183">
        <f>IF(DD_ACT_9_Meet1_Curr=1,MOB_BO!$J40,MOB_BO!$O40)</f>
        <v>0</v>
      </c>
      <c r="N91" s="183"/>
      <c r="O91" s="183">
        <f>IF(DD_ACT_9_Meet1_Curr=1,MOB_BO!$L40,MOB_BO!$Q40)</f>
        <v>0</v>
      </c>
    </row>
    <row r="92" spans="2:15" x14ac:dyDescent="0.3">
      <c r="C92" t="str">
        <f>MOB_BO!C42</f>
        <v>Number of this Activity Required</v>
      </c>
      <c r="I92">
        <f>HL_ACT_9_SOC_MOB_3</f>
        <v>0</v>
      </c>
      <c r="K92">
        <f>HL_ACT_9_SOC_MOB_3</f>
        <v>0</v>
      </c>
      <c r="M92">
        <f>HL_ACT_9_SOC_MOB_3</f>
        <v>0</v>
      </c>
      <c r="O92">
        <f>HL_ACT_9_SOC_MOB_3</f>
        <v>0</v>
      </c>
    </row>
    <row r="93" spans="2:15" x14ac:dyDescent="0.3">
      <c r="C93" t="str">
        <f>MOB_BO!C43</f>
        <v>Subtotal Cost: Social Mobilisation Activity #3 [not in use] Activities</v>
      </c>
      <c r="I93" s="167">
        <f>I91*I92</f>
        <v>0</v>
      </c>
      <c r="J93" s="167"/>
      <c r="K93" s="167">
        <f>K91*K92</f>
        <v>0</v>
      </c>
      <c r="L93" s="168"/>
      <c r="M93" s="169">
        <f>M91*M92</f>
        <v>0</v>
      </c>
      <c r="N93" s="169"/>
      <c r="O93" s="169">
        <f>O92*O91</f>
        <v>0</v>
      </c>
    </row>
    <row r="95" spans="2:15" x14ac:dyDescent="0.3">
      <c r="C95" t="str">
        <f>MOB_BO!D52</f>
        <v>Single Social Mobilisation Activity #4 [not in use] Activity</v>
      </c>
      <c r="I95" s="260">
        <f>IF(DD_ACT_10_Meet1_Curr=2,MOB_BO!$J52,MOB_BO!$O52)</f>
        <v>0</v>
      </c>
      <c r="K95" s="260">
        <f>IF(DD_ACT_10_Meet1_Curr=2,MOB_BO!$L52,MOB_BO!$Q52)</f>
        <v>0</v>
      </c>
      <c r="M95" s="183">
        <f>IF(DD_ACT_10_Meet1_Curr=1,MOB_BO!$J52,MOB_BO!$O52)</f>
        <v>0</v>
      </c>
      <c r="N95" s="183"/>
      <c r="O95" s="183">
        <f>IF(DD_ACT_10_Meet1_Curr=1,MOB_BO!$L52,MOB_BO!$Q52)</f>
        <v>0</v>
      </c>
    </row>
    <row r="96" spans="2:15" x14ac:dyDescent="0.3">
      <c r="C96" t="str">
        <f>MOB_BO!C54</f>
        <v>Number of this Activity Required</v>
      </c>
      <c r="I96">
        <f>HL_ACT_10_SOC_MOB_4</f>
        <v>0</v>
      </c>
      <c r="K96">
        <f>HL_ACT_10_SOC_MOB_4</f>
        <v>0</v>
      </c>
      <c r="M96">
        <f>HL_ACT_10_SOC_MOB_4</f>
        <v>0</v>
      </c>
      <c r="O96">
        <f>HL_ACT_10_SOC_MOB_4</f>
        <v>0</v>
      </c>
    </row>
    <row r="97" spans="2:15" x14ac:dyDescent="0.3">
      <c r="C97" t="str">
        <f>MOB_BO!C55</f>
        <v>Subtotal Cost: Social Mobilisation Activity #4 [not in use] Activities</v>
      </c>
      <c r="I97" s="167">
        <f>I95*I96</f>
        <v>0</v>
      </c>
      <c r="J97" s="167"/>
      <c r="K97" s="167">
        <f>K95*K96</f>
        <v>0</v>
      </c>
      <c r="L97" s="168"/>
      <c r="M97" s="169">
        <f>M95*M96</f>
        <v>0</v>
      </c>
      <c r="N97" s="169"/>
      <c r="O97" s="169">
        <f>O96*O95</f>
        <v>0</v>
      </c>
    </row>
    <row r="99" spans="2:15" ht="16.2" thickBot="1" x14ac:dyDescent="0.35">
      <c r="C99" s="258" t="str">
        <f>"Subtotal "&amp;B81</f>
        <v>Subtotal Social Mobilisation</v>
      </c>
      <c r="I99" s="172">
        <f>SUM(I85,I89,I93,I97)</f>
        <v>0</v>
      </c>
      <c r="J99" s="173"/>
      <c r="K99" s="172">
        <f>SUM(K85,K89,K93,K97)</f>
        <v>0</v>
      </c>
      <c r="L99" s="173"/>
      <c r="M99" s="186">
        <f>SUM(M85,M89,M93,M97)</f>
        <v>0</v>
      </c>
      <c r="N99" s="186"/>
      <c r="O99" s="186">
        <f>SUM(O85,O89,O93,O97)</f>
        <v>0</v>
      </c>
    </row>
    <row r="100" spans="2:15" ht="14.4" thickTop="1" x14ac:dyDescent="0.3"/>
    <row r="101" spans="2:15" ht="15.6" x14ac:dyDescent="0.3">
      <c r="B101" s="114" t="str">
        <f>ROUND1_BO!B7</f>
        <v>Vaccination - Round 1</v>
      </c>
    </row>
    <row r="102" spans="2:15" ht="27.6" x14ac:dyDescent="0.3">
      <c r="B102" s="114"/>
      <c r="I102" s="51" t="str">
        <f>"FINANCIAL COST ("&amp;RES_Curr_2&amp;")"</f>
        <v>FINANCIAL COST (GOZ)</v>
      </c>
      <c r="K102" s="51" t="str">
        <f>"ECONOMIC COST ("&amp;RES_Curr_2&amp;")"</f>
        <v>ECONOMIC COST (GOZ)</v>
      </c>
      <c r="M102" s="51" t="str">
        <f>"FINANCIAL COST ("&amp;RES_Curr_1&amp;")"</f>
        <v>FINANCIAL COST (USD)</v>
      </c>
      <c r="O102" s="51" t="str">
        <f>"ECONOMIC COST ("&amp;RES_Curr_1&amp;")"</f>
        <v>ECONOMIC COST (USD)</v>
      </c>
    </row>
    <row r="103" spans="2:15" x14ac:dyDescent="0.3">
      <c r="C103" t="str">
        <f>ROUND1_BO!D16</f>
        <v>Single Round 1 - Vacciination Activity #1 [not in use] Activity</v>
      </c>
      <c r="I103" s="260">
        <f>IF(DD_ACT_11_Meet1_Curr=2,ROUND1_BO!$J16,ROUND1_BO!$O16)</f>
        <v>0</v>
      </c>
      <c r="K103" s="260">
        <f>IF(DD_ACT_4_Meet1_Curr=2,ROUND1_BO!$L16,ROUND1_BO!$Q16)</f>
        <v>0</v>
      </c>
      <c r="M103" s="183">
        <f>IF(DD_ACT_11_Meet1_Curr=1,ROUND1_BO!$J16,ROUND1_BO!$O16)</f>
        <v>0</v>
      </c>
      <c r="N103" s="183"/>
      <c r="O103" s="183">
        <f>IF(DD_ACT_4_Meet1_Curr=1,ROUND1_BO!$L16,ROUND1_BO!$Q16)</f>
        <v>0</v>
      </c>
    </row>
    <row r="104" spans="2:15" x14ac:dyDescent="0.3">
      <c r="C104" t="str">
        <f>ROUND1_BO!C21</f>
        <v>Number of this Activity Required</v>
      </c>
      <c r="I104">
        <f>HL_ACT_11_RND1_SITEA</f>
        <v>0</v>
      </c>
      <c r="K104">
        <f>HL_ACT_11_RND1_SITEA</f>
        <v>0</v>
      </c>
      <c r="M104">
        <f>HL_ACT_11_RND1_SITEA</f>
        <v>0</v>
      </c>
      <c r="O104">
        <f>HL_ACT_11_RND1_SITEA</f>
        <v>0</v>
      </c>
    </row>
    <row r="105" spans="2:15" x14ac:dyDescent="0.3">
      <c r="C105" t="str">
        <f>ROUND1_BO!C22</f>
        <v>Subtotal Cost: Round 1 - Vacciination Activity #1 [not in use] Activities</v>
      </c>
      <c r="I105" s="167">
        <f>I103*I104</f>
        <v>0</v>
      </c>
      <c r="J105" s="167"/>
      <c r="K105" s="167">
        <f>K103*K104</f>
        <v>0</v>
      </c>
      <c r="L105" s="168"/>
      <c r="M105" s="169">
        <f>M103*M104</f>
        <v>0</v>
      </c>
      <c r="N105" s="169"/>
      <c r="O105" s="169">
        <f>O104*O103</f>
        <v>0</v>
      </c>
    </row>
    <row r="107" spans="2:15" x14ac:dyDescent="0.3">
      <c r="C107" t="str">
        <f>ROUND1_BO!D31</f>
        <v>Single Round 1 - Vacciination Activity #2 [not in use] Activity</v>
      </c>
      <c r="I107" s="260">
        <f>IF(DD_ACT_12_Meet1_Curr=2,ROUND1_BO!$J31,ROUND1_BO!$O31)</f>
        <v>0</v>
      </c>
      <c r="K107" s="260">
        <f>IF(DD_ACT_4_Meet1_Curr=2,ROUND1_BO!$L31,ROUND1_BO!$Q31)</f>
        <v>0</v>
      </c>
      <c r="M107" s="183">
        <f>IF(DD_ACT_12_Meet1_Curr=1,ROUND1_BO!$J31,ROUND1_BO!$O31)</f>
        <v>0</v>
      </c>
      <c r="N107" s="183"/>
      <c r="O107" s="183">
        <f>IF(DD_ACT_4_Meet1_Curr=1,ROUND1_BO!$L31,ROUND1_BO!$Q31)</f>
        <v>0</v>
      </c>
    </row>
    <row r="108" spans="2:15" x14ac:dyDescent="0.3">
      <c r="C108" t="str">
        <f>ROUND1_BO!C33</f>
        <v>Number of this Activity Required</v>
      </c>
      <c r="I108">
        <f>ACT_12_RND1_HQA</f>
        <v>0</v>
      </c>
      <c r="K108">
        <f>ACT_12_RND1_HQA</f>
        <v>0</v>
      </c>
      <c r="M108">
        <f>ACT_12_RND1_HQA</f>
        <v>0</v>
      </c>
      <c r="O108">
        <f>ACT_12_RND1_HQA</f>
        <v>0</v>
      </c>
    </row>
    <row r="109" spans="2:15" x14ac:dyDescent="0.3">
      <c r="C109" t="str">
        <f>ROUND1_BO!C34</f>
        <v>Subtotal Cost: Round 1 - Vacciination Activity #2 [not in use] Activities</v>
      </c>
      <c r="I109" s="167">
        <f>I107*I108</f>
        <v>0</v>
      </c>
      <c r="J109" s="167"/>
      <c r="K109" s="167">
        <f>K107*K108</f>
        <v>0</v>
      </c>
      <c r="L109" s="168"/>
      <c r="M109" s="169">
        <f>M107*M108</f>
        <v>0</v>
      </c>
      <c r="N109" s="169"/>
      <c r="O109" s="169">
        <f>O108*O107</f>
        <v>0</v>
      </c>
    </row>
    <row r="110" spans="2:15" x14ac:dyDescent="0.3">
      <c r="M110" s="123"/>
      <c r="O110" s="123"/>
    </row>
    <row r="111" spans="2:15" x14ac:dyDescent="0.3">
      <c r="C111" t="str">
        <f>ROUND1_BO!D43</f>
        <v>Single Round 1 Round 1 - Vacciination Activity #3 [not in use] Activity</v>
      </c>
      <c r="I111" s="260">
        <f>IF(DD_ACT_12_Meet1_Curr=2,ROUND1_BO!$J43,ROUND1_BO!$O43)</f>
        <v>0</v>
      </c>
      <c r="K111" s="260">
        <f>IF(DD_ACT_4_Meet1_Curr=2,ROUND1_BO!$L43,ROUND1_BO!$Q43)</f>
        <v>0</v>
      </c>
      <c r="M111" s="183">
        <f>IF(DD_ACT_12_Meet1_Curr=1,ROUND1_BO!$J43,ROUND1_BO!$O43)</f>
        <v>0</v>
      </c>
      <c r="N111" s="183"/>
      <c r="O111" s="183">
        <f>IF(DD_ACT_4_Meet1_Curr=1,ROUND1_BO!$L43,ROUND1_BO!$Q43)</f>
        <v>0</v>
      </c>
    </row>
    <row r="112" spans="2:15" x14ac:dyDescent="0.3">
      <c r="C112" t="str">
        <f>ROUND1_BO!C45</f>
        <v>Number of this Activity Required</v>
      </c>
      <c r="I112">
        <f>ACT_26_RND1_HQA</f>
        <v>0</v>
      </c>
      <c r="K112">
        <f>ACT_26_RND1_HQA</f>
        <v>0</v>
      </c>
      <c r="M112">
        <f>ACT_26_RND1_HQA</f>
        <v>0</v>
      </c>
      <c r="O112">
        <f>ACT_26_RND1_HQA</f>
        <v>0</v>
      </c>
    </row>
    <row r="113" spans="2:15" x14ac:dyDescent="0.3">
      <c r="C113" t="str">
        <f>ROUND1_BO!C46</f>
        <v>Subtotal Cost: Round 1Round 1 - Vacciination Activity #3 [not in use] Activities</v>
      </c>
      <c r="I113" s="167">
        <f>I111*I112</f>
        <v>0</v>
      </c>
      <c r="J113" s="167"/>
      <c r="K113" s="167">
        <f>K111*K112</f>
        <v>0</v>
      </c>
      <c r="L113" s="168"/>
      <c r="M113" s="169">
        <f>M111*M112</f>
        <v>0</v>
      </c>
      <c r="N113" s="169"/>
      <c r="O113" s="169">
        <f>O112*O111</f>
        <v>0</v>
      </c>
    </row>
    <row r="114" spans="2:15" x14ac:dyDescent="0.3">
      <c r="M114" s="123"/>
      <c r="O114" s="123"/>
    </row>
    <row r="115" spans="2:15" x14ac:dyDescent="0.3">
      <c r="C115" t="str">
        <f>ROUND1_BO!D55</f>
        <v>Single Round 1 - Vacciination Activity #4 [not in use] Activity</v>
      </c>
      <c r="I115" s="260">
        <f>IF(DD_ACT_13_Meet1_Curr=2,ROUND1_BO!$J55,ROUND1_BO!$O55)</f>
        <v>0</v>
      </c>
      <c r="K115" s="260">
        <f>IF(DD_ACT_4_Meet1_Curr=2,ROUND1_BO!$L55,ROUND1_BO!$Q55)</f>
        <v>0</v>
      </c>
      <c r="M115" s="183">
        <f>IF(DD_ACT_13_Meet1_Curr=1,ROUND1_BO!$J55,ROUND1_BO!$O55)</f>
        <v>0</v>
      </c>
      <c r="N115" s="183"/>
      <c r="O115" s="183">
        <f>IF(DD_ACT_4_Meet1_Curr=1,ROUND1_BO!$L55,ROUND1_BO!$Q55)</f>
        <v>0</v>
      </c>
    </row>
    <row r="116" spans="2:15" x14ac:dyDescent="0.3">
      <c r="C116" t="str">
        <f>ROUND1_BO!C57</f>
        <v>Number of this Activity Required</v>
      </c>
      <c r="I116">
        <f>ACT_13_RND1_SITEB</f>
        <v>0</v>
      </c>
      <c r="K116">
        <f>ACT_13_RND1_SITEB</f>
        <v>0</v>
      </c>
      <c r="M116">
        <f>ACT_13_RND1_SITEB</f>
        <v>0</v>
      </c>
      <c r="O116">
        <f>ACT_13_RND1_SITEB</f>
        <v>0</v>
      </c>
    </row>
    <row r="117" spans="2:15" x14ac:dyDescent="0.3">
      <c r="C117" t="str">
        <f>ROUND1_BO!C58</f>
        <v>Subtotal Cost: Round 1 - Vacciination Activity #4 [not in use] Activities</v>
      </c>
      <c r="I117" s="167">
        <f>I115*I116</f>
        <v>0</v>
      </c>
      <c r="J117" s="167"/>
      <c r="K117" s="167">
        <f>K115*K116</f>
        <v>0</v>
      </c>
      <c r="L117" s="168"/>
      <c r="M117" s="169">
        <f>M115*M116</f>
        <v>0</v>
      </c>
      <c r="N117" s="169"/>
      <c r="O117" s="169">
        <f>O116*O115</f>
        <v>0</v>
      </c>
    </row>
    <row r="119" spans="2:15" x14ac:dyDescent="0.3">
      <c r="C119" t="str">
        <f>ROUND1_BO!D67</f>
        <v>Single Round 1 - Vacciination Activity #5 [not in use] Activity</v>
      </c>
      <c r="I119" s="260">
        <f>IF(DD_ACT_23_Meet1_Curr=2,ROUND1_BO!$J67,ROUND1_BO!$O67)</f>
        <v>0</v>
      </c>
      <c r="K119" s="260">
        <f>IF(DD_ACT_4_Meet1_Curr=2,ROUND1_BO!$L67,ROUND1_BO!$Q67)</f>
        <v>0</v>
      </c>
      <c r="M119" s="183">
        <f>IF(DD_ACT_23_Meet1_Curr=1,ROUND1_BO!$J67,ROUND1_BO!$O67)</f>
        <v>0</v>
      </c>
      <c r="N119" s="183"/>
      <c r="O119" s="183">
        <f>IF(DD_ACT_4_Meet1_Curr=1,ROUND1_BO!$L67,ROUND1_BO!$Q67)</f>
        <v>0</v>
      </c>
    </row>
    <row r="120" spans="2:15" x14ac:dyDescent="0.3">
      <c r="C120" t="str">
        <f>ROUND1_BO!C69</f>
        <v>Number of this Activity Required</v>
      </c>
      <c r="I120">
        <f>HL_ACT_23_RND1_HQB</f>
        <v>0</v>
      </c>
      <c r="K120">
        <f>HL_ACT_23_RND1_HQB</f>
        <v>0</v>
      </c>
      <c r="M120">
        <f>HL_ACT_23_RND1_HQB</f>
        <v>0</v>
      </c>
      <c r="O120">
        <f>HL_ACT_23_RND1_HQB</f>
        <v>0</v>
      </c>
    </row>
    <row r="121" spans="2:15" x14ac:dyDescent="0.3">
      <c r="C121" t="str">
        <f>ROUND1_BO!C70</f>
        <v>Subtotal Cost: Round 1 - Vacciination Activity #5 [not in use] Activities</v>
      </c>
      <c r="I121" s="167">
        <f>I119*I120</f>
        <v>0</v>
      </c>
      <c r="J121" s="167"/>
      <c r="K121" s="167">
        <f>K119*K120</f>
        <v>0</v>
      </c>
      <c r="L121" s="168"/>
      <c r="M121" s="169">
        <f>M119*M120</f>
        <v>0</v>
      </c>
      <c r="N121" s="169"/>
      <c r="O121" s="169">
        <f>O120*O119</f>
        <v>0</v>
      </c>
    </row>
    <row r="123" spans="2:15" ht="16.2" thickBot="1" x14ac:dyDescent="0.35">
      <c r="C123" s="258" t="str">
        <f>"Subtotal "&amp;B101</f>
        <v>Subtotal Vaccination - Round 1</v>
      </c>
      <c r="I123" s="172">
        <f>SUM(I105,I109,I113,I117,I121)</f>
        <v>0</v>
      </c>
      <c r="J123" s="173"/>
      <c r="K123" s="172">
        <f>SUM(K105,K109,K113,K117,K121)</f>
        <v>0</v>
      </c>
      <c r="L123" s="173"/>
      <c r="M123" s="186">
        <f>SUM(M105,M109,M113,M117,M121)</f>
        <v>0</v>
      </c>
      <c r="N123" s="186"/>
      <c r="O123" s="186">
        <f>SUM(O105,O109,O113,O117,O121)</f>
        <v>0</v>
      </c>
    </row>
    <row r="124" spans="2:15" ht="14.4" thickTop="1" x14ac:dyDescent="0.3"/>
    <row r="125" spans="2:15" ht="15.6" x14ac:dyDescent="0.3">
      <c r="B125" s="114" t="str">
        <f>ROUND2_BO!B7</f>
        <v>Vaccination - Round 2</v>
      </c>
    </row>
    <row r="126" spans="2:15" ht="27.6" x14ac:dyDescent="0.3">
      <c r="B126" s="114"/>
      <c r="I126" s="51" t="str">
        <f>"FINANCIAL COST ("&amp;RES_Curr_2&amp;")"</f>
        <v>FINANCIAL COST (GOZ)</v>
      </c>
      <c r="K126" s="51" t="str">
        <f>"ECONOMIC COST ("&amp;RES_Curr_2&amp;")"</f>
        <v>ECONOMIC COST (GOZ)</v>
      </c>
      <c r="M126" s="51" t="str">
        <f>"FINANCIAL COST ("&amp;RES_Curr_1&amp;")"</f>
        <v>FINANCIAL COST (USD)</v>
      </c>
      <c r="O126" s="51" t="str">
        <f>"ECONOMIC COST ("&amp;RES_Curr_1&amp;")"</f>
        <v>ECONOMIC COST (USD)</v>
      </c>
    </row>
    <row r="127" spans="2:15" x14ac:dyDescent="0.3">
      <c r="C127" t="str">
        <f>ROUND2_BO!D16</f>
        <v>Single Round 2 - Vacciination Activity #1 [not in use] Activity</v>
      </c>
      <c r="I127" s="260">
        <f>IF(DD_ACT_14_Meet1_Curr=2,ROUND2_BO!$J16,ROUND2_BO!$O16)</f>
        <v>0</v>
      </c>
      <c r="K127" s="260">
        <f>IF(DD_ACT_4_Meet1_Curr=2,ROUND2_BO!$L16,ROUND2_BO!$Q16)</f>
        <v>0</v>
      </c>
      <c r="M127" s="183">
        <f>IF(DD_ACT_14_Meet1_Curr=1,ROUND2_BO!$J16,ROUND2_BO!$O16)</f>
        <v>0</v>
      </c>
      <c r="N127" s="183"/>
      <c r="O127" s="183">
        <f>IF(DD_ACT_4_Meet1_Curr=1,ROUND2_BO!$L16,ROUND2_BO!$Q16)</f>
        <v>0</v>
      </c>
    </row>
    <row r="128" spans="2:15" x14ac:dyDescent="0.3">
      <c r="C128" t="str">
        <f>ROUND2_BO!C18</f>
        <v>Number of this Activity Required</v>
      </c>
      <c r="I128">
        <f>HL_ACT_11_RND1_SITEA</f>
        <v>0</v>
      </c>
      <c r="K128">
        <f>HL_ACT_11_RND1_SITEA</f>
        <v>0</v>
      </c>
      <c r="M128">
        <f>HL_ACT_11_RND1_SITEA</f>
        <v>0</v>
      </c>
      <c r="O128">
        <f>HL_ACT_11_RND1_SITEA</f>
        <v>0</v>
      </c>
    </row>
    <row r="129" spans="3:15" x14ac:dyDescent="0.3">
      <c r="C129" t="str">
        <f>ROUND2_BO!C19</f>
        <v>Subtotal Cost: Round 2 - Vacciination Activity #1 [not in use] Activities</v>
      </c>
      <c r="I129" s="167">
        <f>I127*I128</f>
        <v>0</v>
      </c>
      <c r="J129" s="167"/>
      <c r="K129" s="167">
        <f>K127*K128</f>
        <v>0</v>
      </c>
      <c r="L129" s="168"/>
      <c r="M129" s="169">
        <f>M127*M128</f>
        <v>0</v>
      </c>
      <c r="N129" s="169"/>
      <c r="O129" s="169">
        <f>O128*O127</f>
        <v>0</v>
      </c>
    </row>
    <row r="131" spans="3:15" x14ac:dyDescent="0.3">
      <c r="C131" t="str">
        <f>ROUND2_BO!D28</f>
        <v>Single Round 2 - Vacciination Activity #2 [not in use] Activity</v>
      </c>
      <c r="I131" s="260">
        <f>IF(DD_ACT_15_Meet1_Curr=2,ROUND2_BO!$J28,ROUND2_BO!$O28)</f>
        <v>0</v>
      </c>
      <c r="K131" s="260">
        <f>IF(DD_ACT_4_Meet1_Curr=2,ROUND2_BO!$L28,ROUND2_BO!$Q28)</f>
        <v>0</v>
      </c>
      <c r="M131" s="187">
        <f>IF(DD_ACT_15_Meet1_Curr=1,ROUND2_BO!$J28,ROUND2_BO!$O28)</f>
        <v>0</v>
      </c>
      <c r="N131" s="187"/>
      <c r="O131" s="187">
        <f>IF(DD_ACT_4_Meet1_Curr=1,ROUND2_BO!$L28,ROUND2_BO!$Q28)</f>
        <v>0</v>
      </c>
    </row>
    <row r="132" spans="3:15" x14ac:dyDescent="0.3">
      <c r="C132" t="str">
        <f>ROUND2_BO!C30</f>
        <v>Number of this Activity Required</v>
      </c>
      <c r="I132">
        <f>HL_ACT_15_RND2HQA</f>
        <v>0</v>
      </c>
      <c r="K132">
        <f>HL_ACT_15_RND2HQA</f>
        <v>0</v>
      </c>
      <c r="M132">
        <f>HL_ACT_15_RND2HQA</f>
        <v>0</v>
      </c>
      <c r="O132">
        <f>HL_ACT_15_RND2HQA</f>
        <v>0</v>
      </c>
    </row>
    <row r="133" spans="3:15" x14ac:dyDescent="0.3">
      <c r="C133" t="str">
        <f>ROUND2_BO!C31</f>
        <v>Subtotal Cost: Round 2 - Vacciination Activity #2 [not in use] Activities</v>
      </c>
      <c r="I133" s="167">
        <f>I131*I132</f>
        <v>0</v>
      </c>
      <c r="J133" s="167"/>
      <c r="K133" s="167">
        <f>K131*K132</f>
        <v>0</v>
      </c>
      <c r="L133" s="168"/>
      <c r="M133" s="169">
        <f>M131*M132</f>
        <v>0</v>
      </c>
      <c r="N133" s="169"/>
      <c r="O133" s="169">
        <f>O132*O131</f>
        <v>0</v>
      </c>
    </row>
    <row r="135" spans="3:15" x14ac:dyDescent="0.3">
      <c r="C135" t="str">
        <f>ROUND2_BO!D40</f>
        <v>Single Round 2 - Vacciination Activity #3 [not in use] Activity</v>
      </c>
      <c r="I135" s="260">
        <f>IF(DD_ACT_16_Meet1_Curr=2,ROUND2_BO!$J40,ROUND2_BO!$O40)</f>
        <v>0</v>
      </c>
      <c r="K135" s="260">
        <f>IF(DD_ACT_4_Meet1_Curr=2,ROUND2_BO!$L40,ROUND2_BO!$Q40)</f>
        <v>0</v>
      </c>
      <c r="M135" s="183">
        <f>IF(DD_ACT_16_Meet1_Curr=1,ROUND2_BO!$J40,ROUND2_BO!$O40)</f>
        <v>0</v>
      </c>
      <c r="N135" s="183"/>
      <c r="O135" s="183">
        <f>IF(DD_ACT_4_Meet1_Curr=1,ROUND2_BO!$L40,ROUND2_BO!$Q40)</f>
        <v>0</v>
      </c>
    </row>
    <row r="136" spans="3:15" x14ac:dyDescent="0.3">
      <c r="C136" t="str">
        <f>ROUND2_BO!C42</f>
        <v>Number of this Activity Required</v>
      </c>
      <c r="I136">
        <f>HL_ACT_16_RND2_SITEB</f>
        <v>0</v>
      </c>
      <c r="K136">
        <f>HL_ACT_16_RND2_SITEB</f>
        <v>0</v>
      </c>
      <c r="M136">
        <f>HL_ACT_16_RND2_SITEB</f>
        <v>0</v>
      </c>
      <c r="O136">
        <f>HL_ACT_16_RND2_SITEB</f>
        <v>0</v>
      </c>
    </row>
    <row r="137" spans="3:15" x14ac:dyDescent="0.3">
      <c r="C137" t="str">
        <f>ROUND2_BO!C43</f>
        <v>Subtotal Cost: Round 2 - Vacciination Activity #3 [not in use] Activities</v>
      </c>
      <c r="I137" s="167">
        <f>I135*I136</f>
        <v>0</v>
      </c>
      <c r="J137" s="167"/>
      <c r="K137" s="167">
        <f>K135*K136</f>
        <v>0</v>
      </c>
      <c r="L137" s="168"/>
      <c r="M137" s="169">
        <f>M135*M136</f>
        <v>0</v>
      </c>
      <c r="N137" s="169"/>
      <c r="O137" s="169">
        <f>O136*O135</f>
        <v>0</v>
      </c>
    </row>
    <row r="139" spans="3:15" x14ac:dyDescent="0.3">
      <c r="C139" t="str">
        <f>ROUND2_BO!D52</f>
        <v>Single Round 2 - Vacciination Activity #4 [not in use] Activity</v>
      </c>
      <c r="I139" s="260">
        <f>IF(DD_ACT_24_Meet1_Curr=2,ROUND2_BO!$J52,ROUND2_BO!$O52)</f>
        <v>0</v>
      </c>
      <c r="K139" s="260">
        <f>IF(DD_ACT_4_Meet1_Curr=2,ROUND2_BO!$L52,ROUND2_BO!$Q52)</f>
        <v>0</v>
      </c>
      <c r="M139" s="187">
        <f>IF(DD_ACT_24_Meet1_Curr=1,ROUND2_BO!$J52,ROUND2_BO!$O52)</f>
        <v>0</v>
      </c>
      <c r="N139" s="187"/>
      <c r="O139" s="187">
        <f>IF(DD_ACT_4_Meet1_Curr=1,ROUND2_BO!$L52,ROUND2_BO!$Q52)</f>
        <v>0</v>
      </c>
    </row>
    <row r="140" spans="3:15" x14ac:dyDescent="0.3">
      <c r="C140" t="str">
        <f>ROUND2_BO!C54</f>
        <v>Number of this Activity Required</v>
      </c>
      <c r="I140">
        <f>HL_ACT_24_RND2_HQB</f>
        <v>0</v>
      </c>
      <c r="K140">
        <f>HL_ACT_24_RND2_HQB</f>
        <v>0</v>
      </c>
      <c r="M140">
        <f>HL_ACT_24_RND2_HQB</f>
        <v>0</v>
      </c>
      <c r="O140">
        <f>HL_ACT_24_RND2_HQB</f>
        <v>0</v>
      </c>
    </row>
    <row r="141" spans="3:15" x14ac:dyDescent="0.3">
      <c r="C141" t="str">
        <f>ROUND2_BO!C55</f>
        <v>Subtotal Cost: Round 2 - Vacciination Activity #4 [not in use] Activities</v>
      </c>
      <c r="I141" s="167">
        <f>I139*I140</f>
        <v>0</v>
      </c>
      <c r="J141" s="167"/>
      <c r="K141" s="167">
        <f>K139*K140</f>
        <v>0</v>
      </c>
      <c r="L141" s="168"/>
      <c r="M141" s="169">
        <f>M139*M140</f>
        <v>0</v>
      </c>
      <c r="N141" s="169"/>
      <c r="O141" s="169">
        <f>O140*O139</f>
        <v>0</v>
      </c>
    </row>
    <row r="143" spans="3:15" ht="16.2" thickBot="1" x14ac:dyDescent="0.35">
      <c r="C143" s="258" t="str">
        <f>"Subtotal "&amp;B125</f>
        <v>Subtotal Vaccination - Round 2</v>
      </c>
      <c r="I143" s="172">
        <f>SUM(I129,I133,I137,I141)</f>
        <v>0</v>
      </c>
      <c r="J143" s="173"/>
      <c r="K143" s="172">
        <f>SUM(K129,K133,K137,K141)</f>
        <v>0</v>
      </c>
      <c r="L143" s="173"/>
      <c r="M143" s="186">
        <f>SUM(M129,M133,M137,M141)</f>
        <v>0</v>
      </c>
      <c r="N143" s="186"/>
      <c r="O143" s="186">
        <f>SUM(O129,O133,O137,O141)</f>
        <v>0</v>
      </c>
    </row>
    <row r="144" spans="3:15" ht="14.4" thickTop="1" x14ac:dyDescent="0.3"/>
    <row r="146" spans="2:17" ht="27.6" x14ac:dyDescent="0.3">
      <c r="I146" s="51" t="str">
        <f>"FINANCIAL COST ("&amp;RES_Curr_2&amp;")"</f>
        <v>FINANCIAL COST (GOZ)</v>
      </c>
      <c r="K146" s="51" t="str">
        <f>"ECONOMIC COST ("&amp;RES_Curr_2&amp;")"</f>
        <v>ECONOMIC COST (GOZ)</v>
      </c>
      <c r="M146" s="51" t="str">
        <f>"FINANCIAL COST ("&amp;RES_Curr_1&amp;")"</f>
        <v>FINANCIAL COST (USD)</v>
      </c>
      <c r="O146" s="51" t="str">
        <f>"ECONOMIC COST ("&amp;RES_Curr_1&amp;")"</f>
        <v>ECONOMIC COST (USD)</v>
      </c>
    </row>
    <row r="147" spans="2:17" ht="15.6" x14ac:dyDescent="0.3">
      <c r="B147" s="115" t="s">
        <v>602</v>
      </c>
      <c r="I147" s="230">
        <f>SUM(I14,I27,I43,I59,I79,I99,I123,I143)</f>
        <v>0</v>
      </c>
      <c r="J147" s="181"/>
      <c r="K147" s="230">
        <f>SUM(K14,K27,K43,K59,K79,K99,K123,K143)</f>
        <v>0</v>
      </c>
      <c r="L147" s="181"/>
      <c r="M147" s="231">
        <f>SUM(M14,M27,M43,M59,M79,M99,M123,M143)</f>
        <v>0</v>
      </c>
      <c r="N147" s="181"/>
      <c r="O147" s="232">
        <f>SUM(O14,O27,O43,O59,O79,O99,O123,O143)</f>
        <v>0</v>
      </c>
    </row>
    <row r="148" spans="2:17" ht="16.2" thickBot="1" x14ac:dyDescent="0.35">
      <c r="B148" s="115" t="s">
        <v>601</v>
      </c>
      <c r="I148" s="172">
        <f>SUM(I27,I43,I59,I79,I99,I123,I143)</f>
        <v>0</v>
      </c>
      <c r="J148" s="171"/>
      <c r="K148" s="172">
        <f>SUM(K27,K43,K59,K79,K99,K123,K143)</f>
        <v>0</v>
      </c>
      <c r="L148" s="171"/>
      <c r="M148" s="229">
        <f>SUM(M27,M43,M59,M79,M99,M123,M143)</f>
        <v>0</v>
      </c>
      <c r="N148" s="171"/>
      <c r="O148" s="174">
        <f>SUM(O27,O43,O59,O79,O99,O123,O143)</f>
        <v>0</v>
      </c>
    </row>
    <row r="149" spans="2:17" ht="14.4" thickTop="1" x14ac:dyDescent="0.3"/>
    <row r="150" spans="2:17" ht="18" x14ac:dyDescent="0.3">
      <c r="B150" s="121" t="s">
        <v>535</v>
      </c>
    </row>
    <row r="151" spans="2:17" ht="18" x14ac:dyDescent="0.3">
      <c r="B151" s="121"/>
    </row>
    <row r="152" spans="2:17" x14ac:dyDescent="0.3">
      <c r="B152" s="440" t="str">
        <f>"Number Receiving OCV-1 Only ("&amp;HL_Vacc_Sel_Pros_Retro&amp;")"</f>
        <v>Number Receiving OCV-1 Only (Retrospective)</v>
      </c>
      <c r="C152" s="440"/>
      <c r="D152" s="440"/>
      <c r="E152" s="440"/>
      <c r="F152" s="440"/>
      <c r="G152" s="440"/>
      <c r="H152" s="124">
        <f>IF(HL_Vacc_Sel_Pros_Retro=Vacc_LU!$D$12,VACC_BA!H36,VACC_BA!N36)</f>
        <v>0</v>
      </c>
    </row>
    <row r="153" spans="2:17" x14ac:dyDescent="0.3">
      <c r="B153" s="122" t="str">
        <f>"Number Receiving OCV-1&amp;OCV-2 ("&amp;HL_Vacc_Sel_Pros_Retro&amp;")"</f>
        <v>Number Receiving OCV-1&amp;OCV-2 (Retrospective)</v>
      </c>
      <c r="C153" s="117"/>
      <c r="D153" s="117"/>
      <c r="E153" s="117"/>
      <c r="F153" s="117"/>
      <c r="G153" s="117"/>
      <c r="H153" s="124">
        <f>IF(HL_Vacc_Sel_Pros_Retro=Vacc_LU!$D$12,VACC_BA!J36,VACC_BA!O36)</f>
        <v>0</v>
      </c>
    </row>
    <row r="154" spans="2:17" x14ac:dyDescent="0.3">
      <c r="B154" s="122" t="str">
        <f>"Total Doses Administered ("&amp;HL_Vacc_Sel_Pros_Retro&amp;")"</f>
        <v>Total Doses Administered (Retrospective)</v>
      </c>
      <c r="C154" s="117"/>
      <c r="D154" s="117"/>
      <c r="E154" s="117"/>
      <c r="F154" s="117"/>
      <c r="G154" s="117"/>
      <c r="H154" s="124">
        <f>IF(HL_Vacc_Sel_Pros_Retro=Vacc_LU!$D$12,VACC_BA!K36,VACC_BA!P36)</f>
        <v>0</v>
      </c>
    </row>
    <row r="155" spans="2:17" ht="27.6" x14ac:dyDescent="0.3">
      <c r="H155" s="123"/>
      <c r="I155" s="51" t="str">
        <f>"FINANCIAL COST ("&amp;RES_Curr_2&amp;")"</f>
        <v>FINANCIAL COST (GOZ)</v>
      </c>
      <c r="K155" s="51" t="str">
        <f>"ECONOMIC COST ("&amp;RES_Curr_2&amp;")"</f>
        <v>ECONOMIC COST (GOZ)</v>
      </c>
      <c r="M155" s="51" t="str">
        <f>"FINANCIAL COST ("&amp;RES_Curr_1&amp;")"</f>
        <v>FINANCIAL COST (USD)</v>
      </c>
      <c r="O155" s="51" t="str">
        <f>"ECONOMIC COST ("&amp;RES_Curr_1&amp;")"</f>
        <v>ECONOMIC COST (USD)</v>
      </c>
    </row>
    <row r="156" spans="2:17" x14ac:dyDescent="0.3">
      <c r="B156" s="188" t="s">
        <v>603</v>
      </c>
      <c r="I156" s="324" t="str">
        <f>IF(ISERR(I$147/$H$154),"",I$147/$H$154)</f>
        <v/>
      </c>
      <c r="J156" s="168"/>
      <c r="K156" s="324" t="str">
        <f>IF(ISERR(K$147/$H$154),"",K$147/$H$154)</f>
        <v/>
      </c>
      <c r="L156" s="168"/>
      <c r="M156" s="322" t="str">
        <f>IF(ISERR(M$147/$H$154),"",M$147/$H$154)</f>
        <v/>
      </c>
      <c r="N156" s="168"/>
      <c r="O156" s="322" t="str">
        <f>IF(ISERR(O$147/$H$154),"",O$147/$H$154)</f>
        <v/>
      </c>
    </row>
    <row r="157" spans="2:17" x14ac:dyDescent="0.3">
      <c r="B157" s="188" t="s">
        <v>604</v>
      </c>
      <c r="I157" s="324" t="str">
        <f>IF(ISERR(I$148/$H$154),"",I$148/$H$154)</f>
        <v/>
      </c>
      <c r="J157" s="168"/>
      <c r="K157" s="324" t="str">
        <f>IF(ISERR(K$148/$H$154),"",K$148/$H$154)</f>
        <v/>
      </c>
      <c r="L157" s="168"/>
      <c r="M157" s="322" t="str">
        <f>IF(ISERR(M$148/$H$154),"",M$148/$H$154)</f>
        <v/>
      </c>
      <c r="N157" s="168"/>
      <c r="O157" s="322" t="str">
        <f>IF(ISERR(O$148/$H$154),"",O$148/$H$154)</f>
        <v/>
      </c>
    </row>
    <row r="158" spans="2:17" x14ac:dyDescent="0.3">
      <c r="B158" s="188" t="s">
        <v>534</v>
      </c>
      <c r="I158" s="323" t="str">
        <f>IF(ISERR(I$147/$H152),"",I$147/$H152)</f>
        <v/>
      </c>
      <c r="J158" s="168"/>
      <c r="K158" s="323" t="str">
        <f>IF(ISERR(K$147/$H152),"",K$147/$H152)</f>
        <v/>
      </c>
      <c r="L158" s="168"/>
      <c r="M158" s="322" t="str">
        <f>IF(ISERR(M$147/$H152),"",M$147/$H152)</f>
        <v/>
      </c>
      <c r="N158" s="168"/>
      <c r="O158" s="322" t="str">
        <f>IF(ISERR(O$147/$H152),"",O$147/$H152)</f>
        <v/>
      </c>
    </row>
    <row r="159" spans="2:17" x14ac:dyDescent="0.3">
      <c r="B159" s="188" t="s">
        <v>599</v>
      </c>
      <c r="I159" s="323" t="str">
        <f>IF(ISERR(I$147/$H153),"",I$147/$H153)</f>
        <v/>
      </c>
      <c r="J159" s="168"/>
      <c r="K159" s="323" t="str">
        <f>IF(ISERR(K$147/$H153),"",K$147/$H153)</f>
        <v/>
      </c>
      <c r="L159" s="168"/>
      <c r="M159" s="322" t="str">
        <f>IF(ISERR(M$147/$H153),"",M$147/$H153)</f>
        <v/>
      </c>
      <c r="N159" s="168"/>
      <c r="O159" s="322" t="str">
        <f>IF(ISERR(O$147/$H153),"",O$147/$H153)</f>
        <v/>
      </c>
      <c r="P159" s="176"/>
      <c r="Q159" s="176"/>
    </row>
    <row r="160" spans="2:17" x14ac:dyDescent="0.3">
      <c r="B160" s="188" t="s">
        <v>600</v>
      </c>
      <c r="I160" s="323" t="str">
        <f>IF(ISERR(I$148/$H$153),"",I$148/$H$153)</f>
        <v/>
      </c>
      <c r="J160" s="168"/>
      <c r="K160" s="323" t="str">
        <f>IF(ISERR(K$148/$H$153),"",K$148/$H$153)</f>
        <v/>
      </c>
      <c r="L160" s="168"/>
      <c r="M160" s="322" t="str">
        <f>IF(ISERR(M$148/$H$153),"",M$148/$H$153)</f>
        <v/>
      </c>
      <c r="N160" s="168"/>
      <c r="O160" s="322" t="str">
        <f>IF(ISERR(O$148/$H$153),"",O$148/$H$153)</f>
        <v/>
      </c>
    </row>
    <row r="161" spans="2:15" x14ac:dyDescent="0.3">
      <c r="I161" s="175"/>
      <c r="J161" s="36"/>
      <c r="K161" s="175"/>
      <c r="L161" s="175"/>
      <c r="M161" s="176"/>
      <c r="N161" s="36"/>
      <c r="O161" s="176"/>
    </row>
    <row r="162" spans="2:15" x14ac:dyDescent="0.3">
      <c r="I162" s="175"/>
      <c r="J162" s="36"/>
      <c r="K162" s="175"/>
      <c r="L162" s="175"/>
      <c r="M162" s="176"/>
      <c r="N162" s="36"/>
      <c r="O162" s="176"/>
    </row>
    <row r="163" spans="2:15" ht="18" x14ac:dyDescent="0.3">
      <c r="B163" s="121" t="s">
        <v>536</v>
      </c>
      <c r="I163" s="175"/>
      <c r="J163" s="36"/>
      <c r="K163" s="175"/>
      <c r="L163" s="175"/>
      <c r="M163" s="176"/>
      <c r="N163" s="36"/>
      <c r="O163" s="176"/>
    </row>
    <row r="164" spans="2:15" ht="27.6" x14ac:dyDescent="0.3">
      <c r="I164" s="51" t="str">
        <f>"FINANCIAL COST ("&amp;RES_Curr_2&amp;")"</f>
        <v>FINANCIAL COST (GOZ)</v>
      </c>
      <c r="K164" s="51" t="str">
        <f>"ECONOMIC COST ("&amp;RES_Curr_2&amp;")"</f>
        <v>ECONOMIC COST (GOZ)</v>
      </c>
      <c r="M164" s="51" t="str">
        <f>"FINANCIAL COST ("&amp;RES_Curr_1&amp;")"</f>
        <v>FINANCIAL COST (USD)</v>
      </c>
      <c r="O164" s="51" t="str">
        <f>"ECONOMIC COST ("&amp;RES_Curr_1&amp;")"</f>
        <v>ECONOMIC COST (USD)</v>
      </c>
    </row>
    <row r="165" spans="2:15" x14ac:dyDescent="0.3">
      <c r="C165" t="str">
        <f>B8</f>
        <v>Vaccine Procurement and Shipment</v>
      </c>
      <c r="I165" s="175">
        <f>I14</f>
        <v>0</v>
      </c>
      <c r="J165" s="36"/>
      <c r="K165" s="175">
        <f>K14</f>
        <v>0</v>
      </c>
      <c r="L165" s="175"/>
      <c r="M165" s="252">
        <f>M14</f>
        <v>0</v>
      </c>
      <c r="N165" s="36"/>
      <c r="O165" s="252">
        <f>O14</f>
        <v>0</v>
      </c>
    </row>
    <row r="166" spans="2:15" x14ac:dyDescent="0.3">
      <c r="C166" t="str">
        <f>B17</f>
        <v>Microplanning</v>
      </c>
      <c r="I166" s="175">
        <f>I27</f>
        <v>0</v>
      </c>
      <c r="J166" s="36"/>
      <c r="K166" s="175">
        <f>K27</f>
        <v>0</v>
      </c>
      <c r="L166" s="175"/>
      <c r="M166" s="252">
        <f>M27</f>
        <v>0</v>
      </c>
      <c r="N166" s="36"/>
      <c r="O166" s="252">
        <f>O27</f>
        <v>0</v>
      </c>
    </row>
    <row r="167" spans="2:15" x14ac:dyDescent="0.3">
      <c r="C167" t="str">
        <f>B29</f>
        <v>Sensitisation</v>
      </c>
      <c r="I167" s="123">
        <f>I43</f>
        <v>0</v>
      </c>
      <c r="K167" s="123">
        <f>K43</f>
        <v>0</v>
      </c>
      <c r="M167" s="253">
        <f>M43</f>
        <v>0</v>
      </c>
      <c r="O167" s="253">
        <f>O43</f>
        <v>0</v>
      </c>
    </row>
    <row r="168" spans="2:15" x14ac:dyDescent="0.3">
      <c r="C168" t="str">
        <f>B45</f>
        <v>Communication Materials</v>
      </c>
      <c r="I168" s="123">
        <f>I59</f>
        <v>0</v>
      </c>
      <c r="K168" s="123">
        <f>K59</f>
        <v>0</v>
      </c>
      <c r="M168" s="253">
        <f>M59</f>
        <v>0</v>
      </c>
      <c r="O168" s="253">
        <f>O59</f>
        <v>0</v>
      </c>
    </row>
    <row r="169" spans="2:15" x14ac:dyDescent="0.3">
      <c r="C169" t="str">
        <f>B61</f>
        <v>Training</v>
      </c>
      <c r="I169" s="123">
        <f>I79</f>
        <v>0</v>
      </c>
      <c r="K169" s="123">
        <f>K79</f>
        <v>0</v>
      </c>
      <c r="M169" s="253">
        <f>M79</f>
        <v>0</v>
      </c>
      <c r="O169" s="253">
        <f>O79</f>
        <v>0</v>
      </c>
    </row>
    <row r="170" spans="2:15" x14ac:dyDescent="0.3">
      <c r="C170" t="str">
        <f>B81</f>
        <v>Social Mobilisation</v>
      </c>
      <c r="I170" s="123">
        <f>I99</f>
        <v>0</v>
      </c>
      <c r="K170" s="123">
        <f>K99</f>
        <v>0</v>
      </c>
      <c r="M170" s="253">
        <f>M99</f>
        <v>0</v>
      </c>
      <c r="O170" s="253">
        <f>O99</f>
        <v>0</v>
      </c>
    </row>
    <row r="171" spans="2:15" x14ac:dyDescent="0.3">
      <c r="C171" t="str">
        <f>B101</f>
        <v>Vaccination - Round 1</v>
      </c>
      <c r="I171" s="123">
        <f>I123</f>
        <v>0</v>
      </c>
      <c r="K171" s="123">
        <f>K123</f>
        <v>0</v>
      </c>
      <c r="M171" s="253">
        <f>M123</f>
        <v>0</v>
      </c>
      <c r="O171" s="253">
        <f>O123</f>
        <v>0</v>
      </c>
    </row>
    <row r="172" spans="2:15" x14ac:dyDescent="0.3">
      <c r="C172" t="str">
        <f>B125</f>
        <v>Vaccination - Round 2</v>
      </c>
      <c r="I172" s="123">
        <f>I143</f>
        <v>0</v>
      </c>
      <c r="K172" s="123">
        <f>K143</f>
        <v>0</v>
      </c>
      <c r="M172" s="253">
        <f>M143</f>
        <v>0</v>
      </c>
      <c r="O172" s="253">
        <f>O143</f>
        <v>0</v>
      </c>
    </row>
    <row r="173" spans="2:15" ht="14.4" thickBot="1" x14ac:dyDescent="0.35">
      <c r="C173" s="119" t="s">
        <v>492</v>
      </c>
      <c r="I173" s="172">
        <f>SUM(I165:I172)</f>
        <v>0</v>
      </c>
      <c r="J173" s="173"/>
      <c r="K173" s="172">
        <f>SUM(K165:K172)</f>
        <v>0</v>
      </c>
      <c r="L173" s="173"/>
      <c r="M173" s="174">
        <f>SUM(M165:M172)</f>
        <v>0</v>
      </c>
      <c r="N173" s="173"/>
      <c r="O173" s="174">
        <f>SUM(O165:O172)</f>
        <v>0</v>
      </c>
    </row>
    <row r="174" spans="2:15" ht="14.4" thickTop="1" x14ac:dyDescent="0.3"/>
  </sheetData>
  <mergeCells count="5">
    <mergeCell ref="C15:G15"/>
    <mergeCell ref="B152:G152"/>
    <mergeCell ref="B3:F3"/>
    <mergeCell ref="C10:G10"/>
    <mergeCell ref="C11:G11"/>
  </mergeCells>
  <hyperlinks>
    <hyperlink ref="A4" location="$B$5" tooltip="Go to Top of Sheet" display="$B$5" xr:uid="{00000000-0004-0000-4100-000000000000}"/>
    <hyperlink ref="C15" location="VACC_BA!A1" display="VACC_BA!A1" xr:uid="{00000000-0004-0000-4100-000001000000}"/>
    <hyperlink ref="B4" location="HL_Sheet_Main_66" tooltip="Go to Previous Sheet" display="HL_Sheet_Main_66" xr:uid="{00000000-0004-0000-4100-000002000000}"/>
    <hyperlink ref="C4" location="HL_Sheet_Main_65" tooltip="Go to Next Sheet" display="HL_Sheet_Main_65" xr:uid="{00000000-0004-0000-4100-000003000000}"/>
    <hyperlink ref="B3" location="HL_Home" tooltip="Go to Table of Contents" display="HL_Home" xr:uid="{00000000-0004-0000-4100-000004000000}"/>
    <hyperlink ref="D4" location="HL_Err_Chk" tooltip="Go to Error Checks" display="HL_Err_Chk" xr:uid="{00000000-0004-0000-4100-000005000000}"/>
    <hyperlink ref="F4" location="HL_Alt_Chk" tooltip="Go to Alert Checks" display="HL_Alt_Chk" xr:uid="{00000000-0004-0000-4100-000006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8">
    <pageSetUpPr autoPageBreaks="0"/>
  </sheetPr>
  <dimension ref="A1:O118"/>
  <sheetViews>
    <sheetView showGridLines="0" zoomScaleNormal="100" workbookViewId="0">
      <pane xSplit="1" ySplit="4" topLeftCell="B5" activePane="bottomRight" state="frozen"/>
      <selection pane="topRight" activeCell="B1" sqref="B1"/>
      <selection pane="bottomLeft" activeCell="A5" sqref="A5"/>
      <selection pane="bottomRight" activeCell="E13" sqref="E13"/>
    </sheetView>
  </sheetViews>
  <sheetFormatPr defaultColWidth="11.6640625" defaultRowHeight="13.8" x14ac:dyDescent="0.3"/>
  <cols>
    <col min="1" max="5" width="3.6640625" style="189" customWidth="1"/>
    <col min="6" max="7" width="11.6640625" style="189"/>
    <col min="8" max="8" width="11.88671875" style="189" bestFit="1" customWidth="1"/>
    <col min="9" max="9" width="11.6640625" style="189"/>
    <col min="10" max="10" width="12.109375" style="189" bestFit="1" customWidth="1"/>
    <col min="11" max="11" width="11.6640625" style="189"/>
    <col min="12" max="12" width="12.109375" style="189" bestFit="1" customWidth="1"/>
    <col min="13" max="13" width="7.6640625" style="189" customWidth="1"/>
    <col min="14" max="14" width="18.5546875" style="189" customWidth="1"/>
    <col min="15" max="15" width="2.109375" style="189" customWidth="1"/>
    <col min="16" max="16" width="11.6640625" style="189"/>
    <col min="17" max="17" width="2.5546875" style="189" customWidth="1"/>
    <col min="18" max="18" width="14" style="189" customWidth="1"/>
    <col min="19" max="19" width="4.6640625" style="189" customWidth="1"/>
    <col min="20" max="16384" width="11.6640625" style="189"/>
  </cols>
  <sheetData>
    <row r="1" spans="1:7" ht="23.4" x14ac:dyDescent="0.3">
      <c r="B1" s="191" t="s">
        <v>529</v>
      </c>
    </row>
    <row r="2" spans="1:7" ht="18" x14ac:dyDescent="0.3">
      <c r="B2" s="190" t="str">
        <f>Model_Name</f>
        <v>Oral Cholera Vaccine Activity-Based Costing</v>
      </c>
    </row>
    <row r="3" spans="1:7" x14ac:dyDescent="0.3">
      <c r="B3" s="445" t="s">
        <v>2</v>
      </c>
      <c r="C3" s="445"/>
      <c r="D3" s="445"/>
      <c r="E3" s="445"/>
      <c r="F3" s="445"/>
    </row>
    <row r="4" spans="1:7" x14ac:dyDescent="0.3">
      <c r="A4" s="192" t="s">
        <v>5</v>
      </c>
      <c r="B4" s="193" t="s">
        <v>10</v>
      </c>
      <c r="C4" s="194" t="s">
        <v>11</v>
      </c>
      <c r="D4" s="195" t="s">
        <v>25</v>
      </c>
      <c r="F4" s="196" t="s">
        <v>26</v>
      </c>
    </row>
    <row r="5" spans="1:7" ht="18" x14ac:dyDescent="0.3">
      <c r="B5" s="121" t="s">
        <v>637</v>
      </c>
    </row>
    <row r="7" spans="1:7" x14ac:dyDescent="0.3">
      <c r="D7" s="263">
        <f>Count_BA!I34</f>
        <v>0</v>
      </c>
      <c r="E7" s="263"/>
      <c r="F7" s="263"/>
      <c r="G7" s="263"/>
    </row>
    <row r="8" spans="1:7" x14ac:dyDescent="0.3">
      <c r="D8" s="263"/>
      <c r="E8" s="263"/>
      <c r="F8" s="263"/>
      <c r="G8" s="263"/>
    </row>
    <row r="9" spans="1:7" x14ac:dyDescent="0.3">
      <c r="D9" s="263"/>
      <c r="E9" s="263"/>
      <c r="F9" s="263"/>
      <c r="G9" s="263"/>
    </row>
    <row r="10" spans="1:7" x14ac:dyDescent="0.3">
      <c r="D10" s="263">
        <f>Summary_BO!H152</f>
        <v>0</v>
      </c>
      <c r="E10" s="264" t="e">
        <f>D10/D7</f>
        <v>#DIV/0!</v>
      </c>
      <c r="F10" s="263"/>
      <c r="G10" s="263"/>
    </row>
    <row r="11" spans="1:7" x14ac:dyDescent="0.3">
      <c r="D11" s="263"/>
      <c r="E11" s="263"/>
      <c r="F11" s="263"/>
      <c r="G11" s="263"/>
    </row>
    <row r="12" spans="1:7" x14ac:dyDescent="0.3">
      <c r="D12" s="263"/>
      <c r="E12" s="263"/>
      <c r="F12" s="263"/>
      <c r="G12" s="263"/>
    </row>
    <row r="13" spans="1:7" x14ac:dyDescent="0.3">
      <c r="D13" s="263">
        <f>Summary_BO!H153</f>
        <v>0</v>
      </c>
      <c r="E13" s="264" t="e">
        <f>D13/D7</f>
        <v>#DIV/0!</v>
      </c>
      <c r="F13" s="263"/>
      <c r="G13" s="263"/>
    </row>
    <row r="38" spans="2:14" ht="18" x14ac:dyDescent="0.3">
      <c r="B38" s="121" t="s">
        <v>638</v>
      </c>
    </row>
    <row r="40" spans="2:14" ht="14.4" thickBot="1" x14ac:dyDescent="0.35"/>
    <row r="41" spans="2:14" ht="60" customHeight="1" x14ac:dyDescent="0.3">
      <c r="C41" s="245" t="s">
        <v>607</v>
      </c>
      <c r="D41" s="200"/>
      <c r="E41" s="200"/>
      <c r="F41" s="200"/>
      <c r="G41" s="200"/>
      <c r="H41" s="201" t="str">
        <f>Summary_BO!I164</f>
        <v>FINANCIAL COST (GOZ)</v>
      </c>
      <c r="I41" s="201"/>
      <c r="J41" s="201" t="str">
        <f>Summary_BO!K164</f>
        <v>ECONOMIC COST (GOZ)</v>
      </c>
      <c r="K41" s="201"/>
      <c r="L41" s="201" t="str">
        <f>Summary_BO!M164</f>
        <v>FINANCIAL COST (USD)</v>
      </c>
      <c r="M41" s="201"/>
      <c r="N41" s="202" t="str">
        <f>Summary_BO!O164</f>
        <v>ECONOMIC COST (USD)</v>
      </c>
    </row>
    <row r="42" spans="2:14" x14ac:dyDescent="0.3">
      <c r="C42" s="203" t="str">
        <f>Summary_BO!C165</f>
        <v>Vaccine Procurement and Shipment</v>
      </c>
      <c r="D42" s="204"/>
      <c r="E42" s="204"/>
      <c r="F42" s="204"/>
      <c r="G42" s="204"/>
      <c r="H42" s="205">
        <f>Summary_BO!I165</f>
        <v>0</v>
      </c>
      <c r="I42" s="205"/>
      <c r="J42" s="205">
        <f>Summary_BO!K165</f>
        <v>0</v>
      </c>
      <c r="K42" s="204"/>
      <c r="L42" s="176">
        <f>Summary_BO!M165</f>
        <v>0</v>
      </c>
      <c r="M42" s="176"/>
      <c r="N42" s="206">
        <f>Summary_BO!O165</f>
        <v>0</v>
      </c>
    </row>
    <row r="43" spans="2:14" x14ac:dyDescent="0.3">
      <c r="C43" s="203" t="str">
        <f>Summary_BO!C166</f>
        <v>Microplanning</v>
      </c>
      <c r="D43" s="204"/>
      <c r="E43" s="204"/>
      <c r="F43" s="204"/>
      <c r="G43" s="204"/>
      <c r="H43" s="205">
        <f>Summary_BO!I166</f>
        <v>0</v>
      </c>
      <c r="I43" s="205"/>
      <c r="J43" s="205">
        <f>Summary_BO!K166</f>
        <v>0</v>
      </c>
      <c r="K43" s="204"/>
      <c r="L43" s="176">
        <f>Summary_BO!M166</f>
        <v>0</v>
      </c>
      <c r="M43" s="176"/>
      <c r="N43" s="206">
        <f>Summary_BO!O166</f>
        <v>0</v>
      </c>
    </row>
    <row r="44" spans="2:14" x14ac:dyDescent="0.3">
      <c r="C44" s="203" t="str">
        <f>Summary_BO!C167</f>
        <v>Sensitisation</v>
      </c>
      <c r="D44" s="204"/>
      <c r="E44" s="204"/>
      <c r="F44" s="204"/>
      <c r="G44" s="204"/>
      <c r="H44" s="205">
        <f>Summary_BO!I167</f>
        <v>0</v>
      </c>
      <c r="I44" s="205"/>
      <c r="J44" s="205">
        <f>Summary_BO!K167</f>
        <v>0</v>
      </c>
      <c r="K44" s="204"/>
      <c r="L44" s="176">
        <f>Summary_BO!M167</f>
        <v>0</v>
      </c>
      <c r="M44" s="176"/>
      <c r="N44" s="206">
        <f>Summary_BO!O167</f>
        <v>0</v>
      </c>
    </row>
    <row r="45" spans="2:14" x14ac:dyDescent="0.3">
      <c r="C45" s="203" t="str">
        <f>Summary_BO!C168</f>
        <v>Communication Materials</v>
      </c>
      <c r="D45" s="204"/>
      <c r="E45" s="204"/>
      <c r="F45" s="204"/>
      <c r="G45" s="204"/>
      <c r="H45" s="205">
        <f>Summary_BO!I168</f>
        <v>0</v>
      </c>
      <c r="I45" s="205"/>
      <c r="J45" s="205">
        <f>Summary_BO!K168</f>
        <v>0</v>
      </c>
      <c r="K45" s="204"/>
      <c r="L45" s="176">
        <f>Summary_BO!M168</f>
        <v>0</v>
      </c>
      <c r="M45" s="176"/>
      <c r="N45" s="206">
        <f>Summary_BO!O168</f>
        <v>0</v>
      </c>
    </row>
    <row r="46" spans="2:14" x14ac:dyDescent="0.3">
      <c r="C46" s="203" t="str">
        <f>Summary_BO!C169</f>
        <v>Training</v>
      </c>
      <c r="D46" s="204"/>
      <c r="E46" s="204"/>
      <c r="F46" s="204"/>
      <c r="G46" s="204"/>
      <c r="H46" s="205">
        <f>Summary_BO!I169</f>
        <v>0</v>
      </c>
      <c r="I46" s="205"/>
      <c r="J46" s="205">
        <f>Summary_BO!K169</f>
        <v>0</v>
      </c>
      <c r="K46" s="204"/>
      <c r="L46" s="176">
        <f>Summary_BO!M169</f>
        <v>0</v>
      </c>
      <c r="M46" s="176"/>
      <c r="N46" s="206">
        <f>Summary_BO!O169</f>
        <v>0</v>
      </c>
    </row>
    <row r="47" spans="2:14" x14ac:dyDescent="0.3">
      <c r="C47" s="203" t="str">
        <f>Summary_BO!C170</f>
        <v>Social Mobilisation</v>
      </c>
      <c r="D47" s="204"/>
      <c r="E47" s="204"/>
      <c r="F47" s="204"/>
      <c r="G47" s="204"/>
      <c r="H47" s="205">
        <f>Summary_BO!I170</f>
        <v>0</v>
      </c>
      <c r="I47" s="205"/>
      <c r="J47" s="205">
        <f>Summary_BO!K170</f>
        <v>0</v>
      </c>
      <c r="K47" s="204"/>
      <c r="L47" s="176">
        <f>Summary_BO!M170</f>
        <v>0</v>
      </c>
      <c r="M47" s="176"/>
      <c r="N47" s="206">
        <f>Summary_BO!O170</f>
        <v>0</v>
      </c>
    </row>
    <row r="48" spans="2:14" x14ac:dyDescent="0.3">
      <c r="C48" s="203" t="str">
        <f>Summary_BO!C171</f>
        <v>Vaccination - Round 1</v>
      </c>
      <c r="D48" s="204"/>
      <c r="E48" s="204"/>
      <c r="F48" s="204"/>
      <c r="G48" s="204"/>
      <c r="H48" s="205">
        <f>Summary_BO!I171</f>
        <v>0</v>
      </c>
      <c r="I48" s="205"/>
      <c r="J48" s="205">
        <f>Summary_BO!K171</f>
        <v>0</v>
      </c>
      <c r="K48" s="204"/>
      <c r="L48" s="176">
        <f>Summary_BO!M171</f>
        <v>0</v>
      </c>
      <c r="M48" s="176"/>
      <c r="N48" s="206">
        <f>Summary_BO!O171</f>
        <v>0</v>
      </c>
    </row>
    <row r="49" spans="3:14" x14ac:dyDescent="0.3">
      <c r="C49" s="203" t="str">
        <f>Summary_BO!C172</f>
        <v>Vaccination - Round 2</v>
      </c>
      <c r="D49" s="204"/>
      <c r="E49" s="204"/>
      <c r="F49" s="204"/>
      <c r="G49" s="204"/>
      <c r="H49" s="205">
        <f>Summary_BO!I172</f>
        <v>0</v>
      </c>
      <c r="I49" s="205"/>
      <c r="J49" s="205">
        <f>Summary_BO!K172</f>
        <v>0</v>
      </c>
      <c r="K49" s="204"/>
      <c r="L49" s="176">
        <f>Summary_BO!M172</f>
        <v>0</v>
      </c>
      <c r="M49" s="176"/>
      <c r="N49" s="206">
        <f>Summary_BO!O172</f>
        <v>0</v>
      </c>
    </row>
    <row r="50" spans="3:14" ht="14.4" thickBot="1" x14ac:dyDescent="0.35">
      <c r="C50" s="207" t="s">
        <v>402</v>
      </c>
      <c r="D50" s="198"/>
      <c r="E50" s="198"/>
      <c r="F50" s="198"/>
      <c r="G50" s="198"/>
      <c r="H50" s="199">
        <f>SUM(H42:H49)</f>
        <v>0</v>
      </c>
      <c r="I50" s="198"/>
      <c r="J50" s="199">
        <f>SUM(J42:J49)</f>
        <v>0</v>
      </c>
      <c r="K50" s="198"/>
      <c r="L50" s="186">
        <f>SUM(L42:L49)</f>
        <v>0</v>
      </c>
      <c r="M50" s="186"/>
      <c r="N50" s="208">
        <f>SUM(N42:N49)</f>
        <v>0</v>
      </c>
    </row>
    <row r="51" spans="3:14" ht="15" thickTop="1" thickBot="1" x14ac:dyDescent="0.35">
      <c r="C51" s="209"/>
      <c r="D51" s="210"/>
      <c r="E51" s="210"/>
      <c r="F51" s="210"/>
      <c r="G51" s="210"/>
      <c r="H51" s="210"/>
      <c r="I51" s="210"/>
      <c r="J51" s="210"/>
      <c r="K51" s="210"/>
      <c r="L51" s="210"/>
      <c r="M51" s="210"/>
      <c r="N51" s="211"/>
    </row>
    <row r="53" spans="3:14" ht="27.6" x14ac:dyDescent="0.3">
      <c r="C53" s="246" t="s">
        <v>608</v>
      </c>
      <c r="D53" s="236"/>
      <c r="E53" s="236"/>
      <c r="F53" s="236"/>
      <c r="G53" s="236"/>
      <c r="H53" s="237" t="str">
        <f>Summary_BO!I155</f>
        <v>FINANCIAL COST (GOZ)</v>
      </c>
      <c r="I53" s="237"/>
      <c r="J53" s="237" t="str">
        <f>Summary_BO!K155</f>
        <v>ECONOMIC COST (GOZ)</v>
      </c>
      <c r="K53" s="237"/>
      <c r="L53" s="237" t="str">
        <f>Summary_BO!M155</f>
        <v>FINANCIAL COST (USD)</v>
      </c>
      <c r="M53" s="237"/>
      <c r="N53" s="238" t="str">
        <f>Summary_BO!O155</f>
        <v>ECONOMIC COST (USD)</v>
      </c>
    </row>
    <row r="54" spans="3:14" s="235" customFormat="1" ht="26.4" customHeight="1" x14ac:dyDescent="0.3">
      <c r="C54" s="441" t="str">
        <f>Summary_BO!B156</f>
        <v>Cost per Vaccine Administered (including vaccine)</v>
      </c>
      <c r="D54" s="442"/>
      <c r="E54" s="442"/>
      <c r="F54" s="442"/>
      <c r="G54" s="442"/>
      <c r="H54" s="300" t="str">
        <f>IF(ISERR(Summary_BO!I156),"",Summary_BO!I156)</f>
        <v/>
      </c>
      <c r="I54" s="239"/>
      <c r="J54" s="300" t="str">
        <f>IF(ISERR(Summary_BO!K156),"",Summary_BO!K156)</f>
        <v/>
      </c>
      <c r="K54" s="240"/>
      <c r="L54" s="302" t="str">
        <f>IF(ISERR(Summary_BO!M156),"",Summary_BO!M156)</f>
        <v/>
      </c>
      <c r="M54" s="241"/>
      <c r="N54" s="304" t="str">
        <f>IF(ISERR(Summary_BO!O156),"",Summary_BO!O156)</f>
        <v/>
      </c>
    </row>
    <row r="55" spans="3:14" s="235" customFormat="1" ht="26.4" customHeight="1" x14ac:dyDescent="0.3">
      <c r="C55" s="441" t="str">
        <f>Summary_BO!B157</f>
        <v>Cost per Vaccine Administered (without vaccine cost)</v>
      </c>
      <c r="D55" s="442"/>
      <c r="E55" s="442"/>
      <c r="F55" s="442"/>
      <c r="G55" s="442"/>
      <c r="H55" s="300" t="str">
        <f>IF(ISERR(Summary_BO!I157),"",Summary_BO!I157)</f>
        <v/>
      </c>
      <c r="I55" s="239"/>
      <c r="J55" s="300" t="str">
        <f>IF(ISERR(Summary_BO!K157),"",Summary_BO!K157)</f>
        <v/>
      </c>
      <c r="K55" s="240"/>
      <c r="L55" s="302" t="str">
        <f>IF(ISERR(Summary_BO!M157),"",Summary_BO!M157)</f>
        <v/>
      </c>
      <c r="M55" s="241"/>
      <c r="N55" s="304" t="str">
        <f>IF(ISERR(Summary_BO!O157),"",Summary_BO!O157)</f>
        <v/>
      </c>
    </row>
    <row r="56" spans="3:14" s="235" customFormat="1" ht="26.4" customHeight="1" x14ac:dyDescent="0.3">
      <c r="C56" s="441" t="str">
        <f>Summary_BO!B158</f>
        <v>Cost per Partially Immunised Person</v>
      </c>
      <c r="D56" s="442"/>
      <c r="E56" s="442"/>
      <c r="F56" s="442"/>
      <c r="G56" s="442"/>
      <c r="H56" s="300" t="str">
        <f>IF(ISERR(Summary_BO!I158),"",Summary_BO!I158)</f>
        <v/>
      </c>
      <c r="I56" s="239"/>
      <c r="J56" s="300" t="str">
        <f>IF(ISERR(Summary_BO!K158),"",Summary_BO!K158)</f>
        <v/>
      </c>
      <c r="K56" s="240"/>
      <c r="L56" s="302" t="str">
        <f>IF(ISERR(Summary_BO!M158),"",Summary_BO!M158)</f>
        <v/>
      </c>
      <c r="M56" s="241"/>
      <c r="N56" s="304" t="str">
        <f>IF(ISERR(Summary_BO!O158),"",Summary_BO!O158)</f>
        <v/>
      </c>
    </row>
    <row r="57" spans="3:14" s="235" customFormat="1" ht="26.4" customHeight="1" x14ac:dyDescent="0.3">
      <c r="C57" s="441" t="str">
        <f>Summary_BO!B159</f>
        <v>Cost per Fully Immunised Person (with vaccine)</v>
      </c>
      <c r="D57" s="442"/>
      <c r="E57" s="442"/>
      <c r="F57" s="442"/>
      <c r="G57" s="442"/>
      <c r="H57" s="300" t="str">
        <f>IF(ISERR(Summary_BO!I159),"",Summary_BO!I159)</f>
        <v/>
      </c>
      <c r="I57" s="239"/>
      <c r="J57" s="300" t="str">
        <f>IF(ISERR(Summary_BO!K159),"",Summary_BO!K159)</f>
        <v/>
      </c>
      <c r="K57" s="240"/>
      <c r="L57" s="302" t="str">
        <f>IF(ISERR(Summary_BO!M159),"",Summary_BO!M159)</f>
        <v/>
      </c>
      <c r="M57" s="241"/>
      <c r="N57" s="304" t="str">
        <f>IF(ISERR(Summary_BO!O159),"",Summary_BO!O159)</f>
        <v/>
      </c>
    </row>
    <row r="58" spans="3:14" s="235" customFormat="1" ht="26.4" customHeight="1" x14ac:dyDescent="0.3">
      <c r="C58" s="443" t="str">
        <f>Summary_BO!B160</f>
        <v>Cost per Fully Immunised Person (without vaccine)</v>
      </c>
      <c r="D58" s="444"/>
      <c r="E58" s="444"/>
      <c r="F58" s="444"/>
      <c r="G58" s="444"/>
      <c r="H58" s="301" t="str">
        <f>IF(ISERR(Summary_BO!I160),"",Summary_BO!I160)</f>
        <v/>
      </c>
      <c r="I58" s="242"/>
      <c r="J58" s="301" t="str">
        <f>IF(ISERR(Summary_BO!K160),"",Summary_BO!K160)</f>
        <v/>
      </c>
      <c r="K58" s="243"/>
      <c r="L58" s="303" t="str">
        <f>IF(ISERR(Summary_BO!M160),"",Summary_BO!M160)</f>
        <v/>
      </c>
      <c r="M58" s="244"/>
      <c r="N58" s="305" t="str">
        <f>IF(ISERR(Summary_BO!O160),"",Summary_BO!O160)</f>
        <v/>
      </c>
    </row>
    <row r="59" spans="3:14" x14ac:dyDescent="0.3">
      <c r="C59" s="233"/>
    </row>
    <row r="65" spans="2:2" ht="18" x14ac:dyDescent="0.3">
      <c r="B65" s="121" t="s">
        <v>639</v>
      </c>
    </row>
    <row r="107" spans="15:15" x14ac:dyDescent="0.3">
      <c r="O107" s="197"/>
    </row>
    <row r="113" customFormat="1" x14ac:dyDescent="0.3"/>
    <row r="114" customFormat="1" x14ac:dyDescent="0.3"/>
    <row r="115" customFormat="1" x14ac:dyDescent="0.3"/>
    <row r="116" customFormat="1" x14ac:dyDescent="0.3"/>
    <row r="117" customFormat="1" x14ac:dyDescent="0.3"/>
    <row r="118" customFormat="1" x14ac:dyDescent="0.3"/>
  </sheetData>
  <mergeCells count="6">
    <mergeCell ref="C55:G55"/>
    <mergeCell ref="C56:G56"/>
    <mergeCell ref="C57:G57"/>
    <mergeCell ref="C58:G58"/>
    <mergeCell ref="B3:F3"/>
    <mergeCell ref="C54:G54"/>
  </mergeCells>
  <hyperlinks>
    <hyperlink ref="A4" location="$B$5" tooltip="Go to Top of Sheet" display="$B$5" xr:uid="{00000000-0004-0000-4200-000000000000}"/>
    <hyperlink ref="B4" location="HL_Sheet_Main_12" tooltip="Go to Previous Sheet" display="HL_Sheet_Main_12" xr:uid="{00000000-0004-0000-4200-000001000000}"/>
    <hyperlink ref="C4" location="HL_Sheet_Main_67" tooltip="Go to Next Sheet" display="HL_Sheet_Main_67" xr:uid="{00000000-0004-0000-4200-000002000000}"/>
    <hyperlink ref="B3" location="HL_Home" tooltip="Go to Table of Contents" display="HL_Home" xr:uid="{00000000-0004-0000-4200-000003000000}"/>
    <hyperlink ref="D4" location="HL_Err_Chk" tooltip="Go to Error Checks" display="HL_Err_Chk" xr:uid="{00000000-0004-0000-4200-000004000000}"/>
    <hyperlink ref="F4" location="HL_Alt_Chk" tooltip="Go to Alert Checks" display="HL_Alt_Chk" xr:uid="{00000000-0004-0000-4200-000005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9">
    <pageSetUpPr autoPageBreaks="0" fitToPage="1"/>
  </sheetPr>
  <dimension ref="C9:G20"/>
  <sheetViews>
    <sheetView showGridLines="0" zoomScaleNormal="100" workbookViewId="0"/>
  </sheetViews>
  <sheetFormatPr defaultColWidth="11.6640625" defaultRowHeight="13.8" x14ac:dyDescent="0.3"/>
  <cols>
    <col min="3" max="6" width="3.6640625" customWidth="1"/>
  </cols>
  <sheetData>
    <row r="9" spans="3:7" ht="23.4" x14ac:dyDescent="0.3">
      <c r="C9" s="2" t="s">
        <v>12</v>
      </c>
    </row>
    <row r="10" spans="3:7" ht="21" x14ac:dyDescent="0.3">
      <c r="C10" s="10" t="s">
        <v>531</v>
      </c>
    </row>
    <row r="11" spans="3:7" ht="18" x14ac:dyDescent="0.3">
      <c r="C11" s="6" t="str">
        <f>Model_Name</f>
        <v>Oral Cholera Vaccine Activity-Based Costing</v>
      </c>
    </row>
    <row r="12" spans="3:7" x14ac:dyDescent="0.3">
      <c r="C12" s="331" t="s">
        <v>2</v>
      </c>
      <c r="D12" s="331"/>
      <c r="E12" s="331"/>
      <c r="F12" s="331"/>
      <c r="G12" s="331"/>
    </row>
    <row r="13" spans="3:7" x14ac:dyDescent="0.3">
      <c r="C13" s="8" t="s">
        <v>10</v>
      </c>
      <c r="D13" s="9" t="s">
        <v>11</v>
      </c>
    </row>
    <row r="17" spans="3:3" ht="14.4" x14ac:dyDescent="0.3">
      <c r="C17" s="3" t="s">
        <v>6</v>
      </c>
    </row>
    <row r="18" spans="3:3" x14ac:dyDescent="0.3">
      <c r="C18" s="4" t="s">
        <v>7</v>
      </c>
    </row>
    <row r="19" spans="3:3" x14ac:dyDescent="0.3">
      <c r="C19" s="4" t="s">
        <v>8</v>
      </c>
    </row>
    <row r="20" spans="3:3" x14ac:dyDescent="0.3">
      <c r="C20" s="4" t="s">
        <v>9</v>
      </c>
    </row>
  </sheetData>
  <mergeCells count="1">
    <mergeCell ref="C12:G12"/>
  </mergeCells>
  <hyperlinks>
    <hyperlink ref="D13" location="HL_Sheet_Main_6" tooltip="Go to Next Sheet" display="HL_Sheet_Main_6" xr:uid="{00000000-0004-0000-4300-000000000000}"/>
    <hyperlink ref="C13" location="HL_Sheet_Main_65" tooltip="Go to Previous Sheet" display="HL_Sheet_Main_65" xr:uid="{00000000-0004-0000-4300-000001000000}"/>
    <hyperlink ref="C12" location="HL_Home" tooltip="Go to Table of Contents" display="HL_Home" xr:uid="{00000000-0004-0000-4300-000002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2">
    <pageSetUpPr autoPageBreaks="0"/>
  </sheetPr>
  <dimension ref="A1:M38"/>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1.6640625" defaultRowHeight="13.8" x14ac:dyDescent="0.3"/>
  <cols>
    <col min="1" max="5" width="3.6640625" customWidth="1"/>
  </cols>
  <sheetData>
    <row r="1" spans="1:9" ht="23.4" x14ac:dyDescent="0.3">
      <c r="B1" s="2" t="s">
        <v>13</v>
      </c>
    </row>
    <row r="2" spans="1:9" ht="18" x14ac:dyDescent="0.3">
      <c r="B2" s="6" t="str">
        <f>Model_Name</f>
        <v>Oral Cholera Vaccine Activity-Based Costing</v>
      </c>
    </row>
    <row r="3" spans="1:9" x14ac:dyDescent="0.3">
      <c r="B3" s="331" t="s">
        <v>2</v>
      </c>
      <c r="C3" s="331"/>
      <c r="D3" s="331"/>
      <c r="E3" s="331"/>
      <c r="F3" s="331"/>
    </row>
    <row r="4" spans="1:9" x14ac:dyDescent="0.3">
      <c r="A4" s="7" t="s">
        <v>5</v>
      </c>
      <c r="B4" s="8" t="s">
        <v>10</v>
      </c>
      <c r="C4" s="9"/>
      <c r="D4" s="38" t="s">
        <v>25</v>
      </c>
      <c r="F4" s="39" t="s">
        <v>26</v>
      </c>
    </row>
    <row r="7" spans="1:9" ht="18" x14ac:dyDescent="0.3">
      <c r="B7" s="1" t="s">
        <v>14</v>
      </c>
    </row>
    <row r="9" spans="1:9" x14ac:dyDescent="0.3">
      <c r="C9" s="11" t="b">
        <v>1</v>
      </c>
    </row>
    <row r="11" spans="1:9" ht="15.6" x14ac:dyDescent="0.3">
      <c r="C11" s="12" t="s">
        <v>15</v>
      </c>
    </row>
    <row r="13" spans="1:9" ht="14.4" x14ac:dyDescent="0.3">
      <c r="D13" s="17" t="str">
        <f>D20</f>
        <v>Total Errors:</v>
      </c>
      <c r="I13" s="18">
        <f>Err_Chks_Ttl_Areas</f>
        <v>0</v>
      </c>
    </row>
    <row r="14" spans="1:9" ht="14.4" x14ac:dyDescent="0.3">
      <c r="D14" s="19" t="s">
        <v>20</v>
      </c>
      <c r="I14" s="20" t="str">
        <f>IF(OR(NOT(CB_Err_Chks_Show_Msg),Err_Chks_Ttl_Areas=0),"",IF(Err_Chks_Ttl_Areas=1," (Error in "&amp;INDEX(CA_Err_Chks_Area_Names,MATCH(1,CA_Err_Chks_Flags,0))&amp;")"," ("&amp;TEXT(Err_Chks_Ttl_Areas,"#,##0")&amp;" Errors Detected)"))</f>
        <v/>
      </c>
    </row>
    <row r="16" spans="1:9" ht="15.6" x14ac:dyDescent="0.3">
      <c r="C16" s="12" t="s">
        <v>14</v>
      </c>
    </row>
    <row r="18" spans="2:13" ht="14.4" x14ac:dyDescent="0.3">
      <c r="D18" s="13" t="s">
        <v>14</v>
      </c>
      <c r="E18" s="14"/>
      <c r="F18" s="14"/>
      <c r="G18" s="14"/>
      <c r="H18" s="14"/>
      <c r="I18" s="14"/>
      <c r="J18" s="14"/>
      <c r="K18" s="15" t="s">
        <v>16</v>
      </c>
      <c r="L18" s="15" t="s">
        <v>17</v>
      </c>
      <c r="M18" s="15" t="s">
        <v>18</v>
      </c>
    </row>
    <row r="20" spans="2:13" ht="14.4" x14ac:dyDescent="0.3">
      <c r="D20" s="3" t="s">
        <v>19</v>
      </c>
      <c r="M20" s="16">
        <f>SUMIF(CA_Err_Chks_Inc,"Yes",CA_Err_Chks_Flags)</f>
        <v>0</v>
      </c>
    </row>
    <row r="23" spans="2:13" ht="18" x14ac:dyDescent="0.3">
      <c r="B23" s="1" t="s">
        <v>21</v>
      </c>
    </row>
    <row r="25" spans="2:13" x14ac:dyDescent="0.3">
      <c r="C25" s="11" t="b">
        <v>1</v>
      </c>
    </row>
    <row r="27" spans="2:13" ht="15.6" x14ac:dyDescent="0.3">
      <c r="C27" s="12" t="s">
        <v>22</v>
      </c>
    </row>
    <row r="29" spans="2:13" ht="14.4" x14ac:dyDescent="0.3">
      <c r="D29" s="17" t="str">
        <f>D38</f>
        <v>Total Alerts:</v>
      </c>
      <c r="I29" s="18">
        <f>Alt_Chks_Ttl_Areas</f>
        <v>0</v>
      </c>
    </row>
    <row r="30" spans="2:13" ht="14.4" x14ac:dyDescent="0.3">
      <c r="D30" s="19" t="s">
        <v>24</v>
      </c>
      <c r="I30" s="20" t="str">
        <f>IF(OR(NOT(CB_Alt_Chks_Show_Msg),Alt_Chks_Ttl_Areas=0),"",IF(Alt_Chks_Ttl_Areas=1," (Alert in "&amp;INDEX(CA_Alt_Chks_Area_Names,MATCH(1,CA_Alt_Chks_Flags,0))&amp;")"," ("&amp;TEXT(Alt_Chks_Ttl_Areas,"#,##0")&amp;" Alerts Detected)"))</f>
        <v/>
      </c>
    </row>
    <row r="32" spans="2:13" ht="15.6" x14ac:dyDescent="0.3">
      <c r="C32" s="12" t="s">
        <v>21</v>
      </c>
    </row>
    <row r="34" spans="4:13" ht="14.4" x14ac:dyDescent="0.3">
      <c r="D34" s="13" t="s">
        <v>21</v>
      </c>
      <c r="E34" s="14"/>
      <c r="F34" s="14"/>
      <c r="G34" s="14"/>
      <c r="H34" s="14"/>
      <c r="I34" s="14"/>
      <c r="J34" s="14"/>
      <c r="K34" s="15" t="s">
        <v>16</v>
      </c>
      <c r="L34" s="15" t="s">
        <v>17</v>
      </c>
      <c r="M34" s="15" t="s">
        <v>18</v>
      </c>
    </row>
    <row r="35" spans="4:13" ht="14.4" x14ac:dyDescent="0.3">
      <c r="D35" s="79"/>
      <c r="E35" s="36"/>
      <c r="F35" s="36"/>
      <c r="G35" s="36"/>
      <c r="H35" s="36"/>
      <c r="I35" s="36"/>
      <c r="J35" s="36"/>
      <c r="K35" s="80"/>
      <c r="L35" s="80"/>
      <c r="M35" s="80"/>
    </row>
    <row r="36" spans="4:13" x14ac:dyDescent="0.3">
      <c r="D36" s="5" t="str">
        <f>IF(ISERROR(Alt_Chk_1_Hdg),"Miscellaneous Check",Alt_Chk_1_Hdg)</f>
        <v>Resource List</v>
      </c>
      <c r="E36" s="70"/>
      <c r="F36" s="70"/>
      <c r="G36" s="70"/>
      <c r="H36" s="70"/>
      <c r="I36" s="70"/>
      <c r="J36" s="70"/>
      <c r="K36" s="81">
        <f>IF(ISERROR(HL_Alt_Chk_1),1,(HL_Alt_Chk_1&lt;&gt;0)*1)</f>
        <v>0</v>
      </c>
      <c r="L36" s="82" t="s">
        <v>149</v>
      </c>
      <c r="M36" s="83">
        <f>K36*(L36="Yes")</f>
        <v>0</v>
      </c>
    </row>
    <row r="38" spans="4:13" ht="14.4" x14ac:dyDescent="0.3">
      <c r="D38" s="3" t="s">
        <v>23</v>
      </c>
      <c r="M38" s="16">
        <f>SUMIF(CA_Alt_Chks_Inc,"Yes",CA_Alt_Chks_Flags)</f>
        <v>0</v>
      </c>
    </row>
  </sheetData>
  <sheetProtection algorithmName="SHA-512" hashValue="cYZDHnyy8bQP98VLwW3+94OajMM+cUhIkWUd79JWo1IaQO2b7hXnWPpvpncGqRIn1VZs8rd6HBeqSE1OcNintg==" saltValue="ubYglZI9h16bg8AZVGQ7tg==" spinCount="100000" sheet="1" objects="1" scenarios="1" formatColumns="0" formatRows="0"/>
  <mergeCells count="1">
    <mergeCell ref="B3:F3"/>
  </mergeCells>
  <conditionalFormatting sqref="D36">
    <cfRule type="expression" dxfId="7" priority="5" stopIfTrue="1">
      <formula>K36&lt;&gt;0</formula>
    </cfRule>
  </conditionalFormatting>
  <conditionalFormatting sqref="I13">
    <cfRule type="cellIs" dxfId="6" priority="2" stopIfTrue="1" operator="notEqual">
      <formula>0</formula>
    </cfRule>
  </conditionalFormatting>
  <conditionalFormatting sqref="I29">
    <cfRule type="cellIs" dxfId="5" priority="4" stopIfTrue="1" operator="notEqual">
      <formula>0</formula>
    </cfRule>
  </conditionalFormatting>
  <conditionalFormatting sqref="K36">
    <cfRule type="cellIs" dxfId="4" priority="6" stopIfTrue="1" operator="notEqual">
      <formula>0</formula>
    </cfRule>
  </conditionalFormatting>
  <conditionalFormatting sqref="L36">
    <cfRule type="expression" dxfId="3" priority="7" stopIfTrue="1">
      <formula>K36&lt;&gt;0</formula>
    </cfRule>
  </conditionalFormatting>
  <conditionalFormatting sqref="M20">
    <cfRule type="cellIs" dxfId="2" priority="1" stopIfTrue="1" operator="notEqual">
      <formula>0</formula>
    </cfRule>
  </conditionalFormatting>
  <conditionalFormatting sqref="M36">
    <cfRule type="expression" dxfId="1" priority="8" stopIfTrue="1">
      <formula>K36&lt;&gt;0</formula>
    </cfRule>
  </conditionalFormatting>
  <conditionalFormatting sqref="M38">
    <cfRule type="cellIs" dxfId="0" priority="3" stopIfTrue="1" operator="notEqual">
      <formula>0</formula>
    </cfRule>
  </conditionalFormatting>
  <dataValidations count="2">
    <dataValidation type="custom" showDropDown="1" showErrorMessage="1" errorTitle="Check Box Cell Link" error="The value in an option button cell link must be either &quot;TRUE&quot; or &quot;FALSE&quot;" sqref="C9 C25" xr:uid="{00000000-0002-0000-4400-000000000000}">
      <formula1>ISLOGICAL(C9)</formula1>
    </dataValidation>
    <dataValidation type="list" showErrorMessage="1" errorTitle="Include Alert Check" error="The include alert check trigger must correspond with one of the options provided in the drop down list." sqref="L36" xr:uid="{00000000-0002-0000-4400-000001000000}">
      <formula1>"Yes,No"</formula1>
    </dataValidation>
  </dataValidations>
  <hyperlinks>
    <hyperlink ref="A4" location="$B$5" tooltip="Go to Top of Sheet" display="$B$5" xr:uid="{00000000-0004-0000-4400-000000000000}"/>
    <hyperlink ref="D36:J36" location="HL_Alt_Chk_1" tooltip="Go to Prices - Assumptions" display="HL_Alt_Chk_1" xr:uid="{00000000-0004-0000-4400-000001000000}"/>
    <hyperlink ref="B4" location="HL_Sheet_Main_67" tooltip="Go to Previous Sheet" display="HL_Sheet_Main_67" xr:uid="{00000000-0004-0000-4400-000002000000}"/>
    <hyperlink ref="B3" location="HL_Home" tooltip="Go to Table of Contents" display="HL_Home" xr:uid="{00000000-0004-0000-4400-000003000000}"/>
    <hyperlink ref="D4" location="HL_Err_Chk" tooltip="Go to Error Checks" display="HL_Err_Chk" xr:uid="{00000000-0004-0000-4400-000004000000}"/>
    <hyperlink ref="F4" location="HL_Alt_Chk" tooltip="Go to Alert Checks" display="HL_Alt_Chk" xr:uid="{00000000-0004-0000-4400-000005000000}"/>
  </hyperlinks>
  <pageMargins left="0.39370078740157499" right="0.39370078740157499" top="0.59055118110236204" bottom="0.98425196850393704" header="0" footer="0.31496062992126"/>
  <pageSetup paperSize="9" orientation="landscape" horizontalDpi="4294967292" verticalDpi="0" r:id="rId1"/>
  <headerFooter>
    <oddFooter>&amp;L&amp;F
&amp;A
Printed: &amp;T on &amp;D&amp;CPage &amp;P of &amp;N</oddFooter>
  </headerFooter>
  <rowBreaks count="1" manualBreakCount="1">
    <brk id="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B_Err_Chks_Show_Msg">
              <controlPr defaultSize="0" autoFill="0" autoLine="0" autoPict="0">
                <anchor moveWithCells="1">
                  <from>
                    <xdr:col>2</xdr:col>
                    <xdr:colOff>0</xdr:colOff>
                    <xdr:row>8</xdr:row>
                    <xdr:rowOff>0</xdr:rowOff>
                  </from>
                  <to>
                    <xdr:col>8</xdr:col>
                    <xdr:colOff>0</xdr:colOff>
                    <xdr:row>9</xdr:row>
                    <xdr:rowOff>0</xdr:rowOff>
                  </to>
                </anchor>
              </controlPr>
            </control>
          </mc:Choice>
        </mc:AlternateContent>
        <mc:AlternateContent xmlns:mc="http://schemas.openxmlformats.org/markup-compatibility/2006">
          <mc:Choice Requires="x14">
            <control shapeId="1026" r:id="rId5" name="CB_Alt_Chks_Show_Msg">
              <controlPr defaultSize="0" autoFill="0" autoLine="0" autoPict="0">
                <anchor moveWithCells="1">
                  <from>
                    <xdr:col>2</xdr:col>
                    <xdr:colOff>0</xdr:colOff>
                    <xdr:row>24</xdr:row>
                    <xdr:rowOff>0</xdr:rowOff>
                  </from>
                  <to>
                    <xdr:col>8</xdr:col>
                    <xdr:colOff>0</xdr:colOff>
                    <xdr:row>25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4">
    <pageSetUpPr autoPageBreaks="0"/>
  </sheetPr>
  <dimension ref="A1:K29"/>
  <sheetViews>
    <sheetView showGridLines="0" zoomScaleNormal="100" workbookViewId="0">
      <pane xSplit="1" ySplit="11" topLeftCell="B12" activePane="bottomRight" state="frozen"/>
      <selection activeCell="H63" sqref="H63:P63"/>
      <selection pane="topRight" activeCell="H63" sqref="H63:P63"/>
      <selection pane="bottomLeft" activeCell="H63" sqref="H63:P63"/>
      <selection pane="bottomRight" activeCell="K15" sqref="K15"/>
    </sheetView>
  </sheetViews>
  <sheetFormatPr defaultColWidth="11.6640625" defaultRowHeight="13.8" outlineLevelRow="2" x14ac:dyDescent="0.3"/>
  <cols>
    <col min="1" max="5" width="3.6640625" style="22" customWidth="1"/>
    <col min="6" max="16384" width="11.6640625" style="22"/>
  </cols>
  <sheetData>
    <row r="1" spans="1:11" ht="23.4" x14ac:dyDescent="0.3">
      <c r="B1" s="24" t="s">
        <v>368</v>
      </c>
    </row>
    <row r="2" spans="1:11" ht="18" x14ac:dyDescent="0.3">
      <c r="B2" s="23" t="str">
        <f>Model_Name</f>
        <v>Oral Cholera Vaccine Activity-Based Costing</v>
      </c>
    </row>
    <row r="3" spans="1:11" x14ac:dyDescent="0.3">
      <c r="B3" s="349" t="s">
        <v>2</v>
      </c>
      <c r="C3" s="349"/>
      <c r="D3" s="349"/>
      <c r="E3" s="349"/>
      <c r="F3" s="349"/>
    </row>
    <row r="4" spans="1:11" x14ac:dyDescent="0.3">
      <c r="A4" s="25" t="s">
        <v>5</v>
      </c>
      <c r="B4" s="26" t="s">
        <v>10</v>
      </c>
      <c r="C4" s="27" t="s">
        <v>11</v>
      </c>
      <c r="D4" s="28" t="s">
        <v>25</v>
      </c>
      <c r="F4" s="29" t="s">
        <v>26</v>
      </c>
    </row>
    <row r="7" spans="1:11" x14ac:dyDescent="0.3">
      <c r="B7" s="63" t="str">
        <f>"Year Ending "&amp;INDEX(LU_TS_Mth_Names,DD_TS_Fin_Yr_End_Mth)</f>
        <v>Year Ending December</v>
      </c>
      <c r="C7" s="64"/>
      <c r="D7" s="64"/>
      <c r="E7" s="64"/>
      <c r="F7" s="64"/>
      <c r="G7" s="64"/>
      <c r="H7" s="64"/>
      <c r="I7" s="64"/>
      <c r="J7" s="64"/>
      <c r="K7" s="65">
        <f>K11</f>
        <v>2020</v>
      </c>
    </row>
    <row r="8" spans="1:11" hidden="1" outlineLevel="2" x14ac:dyDescent="0.3">
      <c r="B8" s="91" t="s">
        <v>98</v>
      </c>
      <c r="K8" s="62">
        <f>EDATE(TS_Start_Date,(K10-1)*TS_Mths_In_Yr)</f>
        <v>43831</v>
      </c>
    </row>
    <row r="9" spans="1:11" hidden="1" outlineLevel="2" x14ac:dyDescent="0.3">
      <c r="B9" s="91" t="s">
        <v>99</v>
      </c>
      <c r="K9" s="62">
        <f>EDATE(K8,TS_Mths_In_Yr)-1</f>
        <v>44196</v>
      </c>
    </row>
    <row r="10" spans="1:11" hidden="1" outlineLevel="2" x14ac:dyDescent="0.3">
      <c r="B10" s="91" t="s">
        <v>100</v>
      </c>
      <c r="K10" s="45">
        <f>COLUMNS($K10:K10)</f>
        <v>1</v>
      </c>
    </row>
    <row r="11" spans="1:11" hidden="1" outlineLevel="2" x14ac:dyDescent="0.3">
      <c r="B11" s="66" t="s">
        <v>101</v>
      </c>
      <c r="C11" s="64"/>
      <c r="D11" s="64"/>
      <c r="E11" s="64"/>
      <c r="F11" s="64"/>
      <c r="G11" s="64"/>
      <c r="H11" s="64"/>
      <c r="I11" s="64"/>
      <c r="J11" s="64"/>
      <c r="K11" s="67">
        <f>YEAR(K9)</f>
        <v>2020</v>
      </c>
    </row>
    <row r="12" spans="1:11" collapsed="1" x14ac:dyDescent="0.3"/>
    <row r="14" spans="1:11" ht="18" x14ac:dyDescent="0.3">
      <c r="B14" s="99" t="s">
        <v>368</v>
      </c>
    </row>
    <row r="15" spans="1:11" x14ac:dyDescent="0.3">
      <c r="C15" s="383" t="s">
        <v>377</v>
      </c>
      <c r="D15" s="384"/>
      <c r="E15" s="384"/>
      <c r="F15" s="384"/>
      <c r="G15" s="384"/>
      <c r="K15" s="97">
        <v>0</v>
      </c>
    </row>
    <row r="27" spans="3:10" x14ac:dyDescent="0.3">
      <c r="C27" s="349" t="str">
        <f>"Go to "&amp;HL_Count_Ass</f>
        <v>Go to Counts - Assumptions</v>
      </c>
      <c r="D27" s="374"/>
      <c r="E27" s="374"/>
      <c r="F27" s="374"/>
      <c r="G27" s="374"/>
      <c r="H27" s="374"/>
      <c r="I27" s="374"/>
      <c r="J27" s="374"/>
    </row>
    <row r="28" spans="3:10" x14ac:dyDescent="0.3">
      <c r="C28" s="349" t="str">
        <f>"Go to "&amp;HL_Count_Out</f>
        <v>Go to Vaccination Counts - Prospective by Rates</v>
      </c>
      <c r="D28" s="374"/>
      <c r="E28" s="374"/>
      <c r="F28" s="374"/>
      <c r="G28" s="374"/>
      <c r="H28" s="374"/>
      <c r="I28" s="374"/>
      <c r="J28" s="374"/>
    </row>
    <row r="29" spans="3:10" x14ac:dyDescent="0.3">
      <c r="C29" s="349" t="str">
        <f>"Go to "&amp;HL_Count_Out_A</f>
        <v>Go to Counts - Outputs</v>
      </c>
      <c r="D29" s="374"/>
      <c r="E29" s="374"/>
      <c r="F29" s="374"/>
      <c r="G29" s="374"/>
      <c r="H29" s="374"/>
      <c r="I29" s="374"/>
      <c r="J29" s="374"/>
    </row>
  </sheetData>
  <sheetProtection algorithmName="SHA-512" hashValue="1EnIhBU/G/Kk3Io4af/yre/xUWLbk6q0iNqdgYhmcrR/My9mZ1uufz+23/7GO3n9+tAGnvW8nWV0M+bm22JAYw==" saltValue="nN0lpOTxrDAu1uh+SAQ0ew==" spinCount="100000" sheet="1" objects="1" scenarios="1" formatColumns="0" formatRows="0"/>
  <mergeCells count="5">
    <mergeCell ref="C27:J27"/>
    <mergeCell ref="C28:J28"/>
    <mergeCell ref="C29:J29"/>
    <mergeCell ref="B3:F3"/>
    <mergeCell ref="C15:G15"/>
  </mergeCells>
  <hyperlinks>
    <hyperlink ref="C27:I27" location="HL_Count_Ass" tooltip="Click to follow hyperlink." display="HL_Count_Ass" xr:uid="{00000000-0004-0000-0600-000000000000}"/>
    <hyperlink ref="C28:I28" location="HL_Count_Out" tooltip="Click to follow hyperlink." display="HL_Count_Out" xr:uid="{00000000-0004-0000-0600-000001000000}"/>
    <hyperlink ref="C29:I29" location="HL_Count_Out_A" tooltip="Click to follow hyperlink." display="HL_Count_Out_A" xr:uid="{00000000-0004-0000-0600-000002000000}"/>
    <hyperlink ref="A4" location="$B$12" tooltip="Go to Top of Sheet" display="$B$12" xr:uid="{00000000-0004-0000-0600-000003000000}"/>
    <hyperlink ref="C27:J27" location="HL_Count_Ass" tooltip="Click to follow hyperlink." display="HL_Count_Ass" xr:uid="{00000000-0004-0000-0600-000004000000}"/>
    <hyperlink ref="C28:J28" location="HL_Count_Out" tooltip="Click to follow hyperlink." display="HL_Count_Out" xr:uid="{00000000-0004-0000-0600-000005000000}"/>
    <hyperlink ref="C29:J29" location="HL_Count_Out_A" tooltip="Click to follow hyperlink." display="HL_Count_Out_A" xr:uid="{00000000-0004-0000-0600-000006000000}"/>
    <hyperlink ref="C4" location="HL_Sheet_Main_9" tooltip="Go to Next Sheet" display="HL_Sheet_Main_9" xr:uid="{00000000-0004-0000-0600-000007000000}"/>
    <hyperlink ref="B4" location="HL_Sheet_Main_43" tooltip="Go to Previous Sheet" display="HL_Sheet_Main_43" xr:uid="{00000000-0004-0000-0600-000008000000}"/>
    <hyperlink ref="B3" location="HL_Home" tooltip="Go to Table of Contents" display="HL_Home" xr:uid="{00000000-0004-0000-0600-000009000000}"/>
    <hyperlink ref="D4" location="HL_Err_Chk" tooltip="Go to Error Checks" display="HL_Err_Chk" xr:uid="{00000000-0004-0000-0600-00000A000000}"/>
    <hyperlink ref="F4" location="HL_Alt_Chk" tooltip="Go to Alert Checks" display="HL_Alt_Chk" xr:uid="{00000000-0004-0000-0600-00000B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A157"/>
  <sheetViews>
    <sheetView workbookViewId="0"/>
  </sheetViews>
  <sheetFormatPr defaultRowHeight="13.8" x14ac:dyDescent="0.3"/>
  <sheetData>
    <row r="1" spans="1:1" x14ac:dyDescent="0.3">
      <c r="A1" s="271" t="s">
        <v>1021</v>
      </c>
    </row>
    <row r="2" spans="1:1" x14ac:dyDescent="0.3">
      <c r="A2" s="271"/>
    </row>
    <row r="3" spans="1:1" x14ac:dyDescent="0.3">
      <c r="A3" s="271"/>
    </row>
    <row r="4" spans="1:1" x14ac:dyDescent="0.3">
      <c r="A4" s="271"/>
    </row>
    <row r="5" spans="1:1" x14ac:dyDescent="0.3">
      <c r="A5" s="271"/>
    </row>
    <row r="6" spans="1:1" x14ac:dyDescent="0.3">
      <c r="A6" s="271"/>
    </row>
    <row r="7" spans="1:1" x14ac:dyDescent="0.3">
      <c r="A7" s="271"/>
    </row>
    <row r="8" spans="1:1" x14ac:dyDescent="0.3">
      <c r="A8" s="271"/>
    </row>
    <row r="9" spans="1:1" x14ac:dyDescent="0.3">
      <c r="A9" s="271"/>
    </row>
    <row r="10" spans="1:1" x14ac:dyDescent="0.3">
      <c r="A10" s="271"/>
    </row>
    <row r="11" spans="1:1" x14ac:dyDescent="0.3">
      <c r="A11" s="271"/>
    </row>
    <row r="12" spans="1:1" x14ac:dyDescent="0.3">
      <c r="A12" s="271"/>
    </row>
    <row r="13" spans="1:1" x14ac:dyDescent="0.3">
      <c r="A13" s="271"/>
    </row>
    <row r="14" spans="1:1" x14ac:dyDescent="0.3">
      <c r="A14" s="271"/>
    </row>
    <row r="15" spans="1:1" x14ac:dyDescent="0.3">
      <c r="A15" s="271"/>
    </row>
    <row r="16" spans="1:1" x14ac:dyDescent="0.3">
      <c r="A16" s="271"/>
    </row>
    <row r="17" spans="1:1" x14ac:dyDescent="0.3">
      <c r="A17" s="271"/>
    </row>
    <row r="18" spans="1:1" x14ac:dyDescent="0.3">
      <c r="A18" s="271"/>
    </row>
    <row r="19" spans="1:1" x14ac:dyDescent="0.3">
      <c r="A19" s="271"/>
    </row>
    <row r="20" spans="1:1" x14ac:dyDescent="0.3">
      <c r="A20" s="271"/>
    </row>
    <row r="21" spans="1:1" x14ac:dyDescent="0.3">
      <c r="A21" s="271"/>
    </row>
    <row r="22" spans="1:1" x14ac:dyDescent="0.3">
      <c r="A22" s="271"/>
    </row>
    <row r="23" spans="1:1" x14ac:dyDescent="0.3">
      <c r="A23" s="271"/>
    </row>
    <row r="24" spans="1:1" x14ac:dyDescent="0.3">
      <c r="A24" s="271"/>
    </row>
    <row r="25" spans="1:1" x14ac:dyDescent="0.3">
      <c r="A25" s="271"/>
    </row>
    <row r="26" spans="1:1" x14ac:dyDescent="0.3">
      <c r="A26" s="271"/>
    </row>
    <row r="27" spans="1:1" x14ac:dyDescent="0.3">
      <c r="A27" s="271"/>
    </row>
    <row r="28" spans="1:1" x14ac:dyDescent="0.3">
      <c r="A28" s="271"/>
    </row>
    <row r="29" spans="1:1" x14ac:dyDescent="0.3">
      <c r="A29" s="271"/>
    </row>
    <row r="30" spans="1:1" x14ac:dyDescent="0.3">
      <c r="A30" s="271"/>
    </row>
    <row r="31" spans="1:1" x14ac:dyDescent="0.3">
      <c r="A31" s="271"/>
    </row>
    <row r="32" spans="1:1" x14ac:dyDescent="0.3">
      <c r="A32" s="271"/>
    </row>
    <row r="33" spans="1:1" x14ac:dyDescent="0.3">
      <c r="A33" s="271"/>
    </row>
    <row r="34" spans="1:1" x14ac:dyDescent="0.3">
      <c r="A34" s="271"/>
    </row>
    <row r="35" spans="1:1" x14ac:dyDescent="0.3">
      <c r="A35" s="271"/>
    </row>
    <row r="36" spans="1:1" x14ac:dyDescent="0.3">
      <c r="A36" s="271"/>
    </row>
    <row r="37" spans="1:1" x14ac:dyDescent="0.3">
      <c r="A37" s="271"/>
    </row>
    <row r="38" spans="1:1" x14ac:dyDescent="0.3">
      <c r="A38" s="271"/>
    </row>
    <row r="39" spans="1:1" x14ac:dyDescent="0.3">
      <c r="A39" s="271"/>
    </row>
    <row r="40" spans="1:1" x14ac:dyDescent="0.3">
      <c r="A40" s="271"/>
    </row>
    <row r="41" spans="1:1" x14ac:dyDescent="0.3">
      <c r="A41" s="271"/>
    </row>
    <row r="42" spans="1:1" x14ac:dyDescent="0.3">
      <c r="A42" s="271"/>
    </row>
    <row r="43" spans="1:1" x14ac:dyDescent="0.3">
      <c r="A43" s="271"/>
    </row>
    <row r="44" spans="1:1" x14ac:dyDescent="0.3">
      <c r="A44" s="271"/>
    </row>
    <row r="45" spans="1:1" x14ac:dyDescent="0.3">
      <c r="A45" s="271"/>
    </row>
    <row r="46" spans="1:1" x14ac:dyDescent="0.3">
      <c r="A46" s="271"/>
    </row>
    <row r="47" spans="1:1" x14ac:dyDescent="0.3">
      <c r="A47" s="271"/>
    </row>
    <row r="48" spans="1:1" x14ac:dyDescent="0.3">
      <c r="A48" s="271"/>
    </row>
    <row r="49" spans="1:1" x14ac:dyDescent="0.3">
      <c r="A49" s="271"/>
    </row>
    <row r="50" spans="1:1" x14ac:dyDescent="0.3">
      <c r="A50" s="271"/>
    </row>
    <row r="51" spans="1:1" x14ac:dyDescent="0.3">
      <c r="A51" s="271"/>
    </row>
    <row r="52" spans="1:1" x14ac:dyDescent="0.3">
      <c r="A52" s="271"/>
    </row>
    <row r="53" spans="1:1" x14ac:dyDescent="0.3">
      <c r="A53" s="271"/>
    </row>
    <row r="54" spans="1:1" x14ac:dyDescent="0.3">
      <c r="A54" s="271"/>
    </row>
    <row r="55" spans="1:1" x14ac:dyDescent="0.3">
      <c r="A55" s="271"/>
    </row>
    <row r="56" spans="1:1" x14ac:dyDescent="0.3">
      <c r="A56" s="271"/>
    </row>
    <row r="57" spans="1:1" x14ac:dyDescent="0.3">
      <c r="A57" s="271"/>
    </row>
    <row r="58" spans="1:1" x14ac:dyDescent="0.3">
      <c r="A58" s="271"/>
    </row>
    <row r="59" spans="1:1" x14ac:dyDescent="0.3">
      <c r="A59" s="271"/>
    </row>
    <row r="60" spans="1:1" x14ac:dyDescent="0.3">
      <c r="A60" s="271"/>
    </row>
    <row r="61" spans="1:1" x14ac:dyDescent="0.3">
      <c r="A61" s="271"/>
    </row>
    <row r="62" spans="1:1" x14ac:dyDescent="0.3">
      <c r="A62" s="271"/>
    </row>
    <row r="63" spans="1:1" x14ac:dyDescent="0.3">
      <c r="A63" s="271"/>
    </row>
    <row r="64" spans="1:1" x14ac:dyDescent="0.3">
      <c r="A64" s="271"/>
    </row>
    <row r="65" spans="1:1" x14ac:dyDescent="0.3">
      <c r="A65" s="271"/>
    </row>
    <row r="66" spans="1:1" x14ac:dyDescent="0.3">
      <c r="A66" s="271"/>
    </row>
    <row r="67" spans="1:1" x14ac:dyDescent="0.3">
      <c r="A67" s="271"/>
    </row>
    <row r="68" spans="1:1" x14ac:dyDescent="0.3">
      <c r="A68" s="271"/>
    </row>
    <row r="69" spans="1:1" x14ac:dyDescent="0.3">
      <c r="A69" s="271"/>
    </row>
    <row r="70" spans="1:1" x14ac:dyDescent="0.3">
      <c r="A70" s="271"/>
    </row>
    <row r="71" spans="1:1" x14ac:dyDescent="0.3">
      <c r="A71" s="271"/>
    </row>
    <row r="72" spans="1:1" x14ac:dyDescent="0.3">
      <c r="A72" s="271"/>
    </row>
    <row r="73" spans="1:1" x14ac:dyDescent="0.3">
      <c r="A73" s="271"/>
    </row>
    <row r="74" spans="1:1" x14ac:dyDescent="0.3">
      <c r="A74" s="271"/>
    </row>
    <row r="75" spans="1:1" x14ac:dyDescent="0.3">
      <c r="A75" s="271"/>
    </row>
    <row r="76" spans="1:1" x14ac:dyDescent="0.3">
      <c r="A76" s="271"/>
    </row>
    <row r="77" spans="1:1" x14ac:dyDescent="0.3">
      <c r="A77" s="271"/>
    </row>
    <row r="78" spans="1:1" x14ac:dyDescent="0.3">
      <c r="A78" s="271"/>
    </row>
    <row r="79" spans="1:1" x14ac:dyDescent="0.3">
      <c r="A79" s="271"/>
    </row>
    <row r="80" spans="1:1" x14ac:dyDescent="0.3">
      <c r="A80" s="271"/>
    </row>
    <row r="81" spans="1:1" x14ac:dyDescent="0.3">
      <c r="A81" s="271"/>
    </row>
    <row r="82" spans="1:1" x14ac:dyDescent="0.3">
      <c r="A82" s="271"/>
    </row>
    <row r="83" spans="1:1" x14ac:dyDescent="0.3">
      <c r="A83" s="271"/>
    </row>
    <row r="84" spans="1:1" x14ac:dyDescent="0.3">
      <c r="A84" s="271"/>
    </row>
    <row r="85" spans="1:1" x14ac:dyDescent="0.3">
      <c r="A85" s="271"/>
    </row>
    <row r="86" spans="1:1" x14ac:dyDescent="0.3">
      <c r="A86" s="271"/>
    </row>
    <row r="87" spans="1:1" x14ac:dyDescent="0.3">
      <c r="A87" s="271"/>
    </row>
    <row r="88" spans="1:1" x14ac:dyDescent="0.3">
      <c r="A88" s="271"/>
    </row>
    <row r="89" spans="1:1" x14ac:dyDescent="0.3">
      <c r="A89" s="271"/>
    </row>
    <row r="90" spans="1:1" x14ac:dyDescent="0.3">
      <c r="A90" s="271"/>
    </row>
    <row r="91" spans="1:1" x14ac:dyDescent="0.3">
      <c r="A91" s="271"/>
    </row>
    <row r="92" spans="1:1" x14ac:dyDescent="0.3">
      <c r="A92" s="271"/>
    </row>
    <row r="93" spans="1:1" x14ac:dyDescent="0.3">
      <c r="A93" s="271"/>
    </row>
    <row r="94" spans="1:1" x14ac:dyDescent="0.3">
      <c r="A94" s="271"/>
    </row>
    <row r="95" spans="1:1" x14ac:dyDescent="0.3">
      <c r="A95" s="271"/>
    </row>
    <row r="96" spans="1:1" x14ac:dyDescent="0.3">
      <c r="A96" s="271"/>
    </row>
    <row r="97" spans="1:1" x14ac:dyDescent="0.3">
      <c r="A97" s="271"/>
    </row>
    <row r="98" spans="1:1" x14ac:dyDescent="0.3">
      <c r="A98" s="271"/>
    </row>
    <row r="99" spans="1:1" x14ac:dyDescent="0.3">
      <c r="A99" s="271"/>
    </row>
    <row r="100" spans="1:1" x14ac:dyDescent="0.3">
      <c r="A100" s="271"/>
    </row>
    <row r="101" spans="1:1" x14ac:dyDescent="0.3">
      <c r="A101" s="271"/>
    </row>
    <row r="102" spans="1:1" x14ac:dyDescent="0.3">
      <c r="A102" s="271"/>
    </row>
    <row r="103" spans="1:1" x14ac:dyDescent="0.3">
      <c r="A103" s="271"/>
    </row>
    <row r="104" spans="1:1" x14ac:dyDescent="0.3">
      <c r="A104" s="271"/>
    </row>
    <row r="105" spans="1:1" x14ac:dyDescent="0.3">
      <c r="A105" s="271"/>
    </row>
    <row r="106" spans="1:1" x14ac:dyDescent="0.3">
      <c r="A106" s="271"/>
    </row>
    <row r="107" spans="1:1" x14ac:dyDescent="0.3">
      <c r="A107" s="271"/>
    </row>
    <row r="108" spans="1:1" x14ac:dyDescent="0.3">
      <c r="A108" s="271"/>
    </row>
    <row r="109" spans="1:1" x14ac:dyDescent="0.3">
      <c r="A109" s="271"/>
    </row>
    <row r="110" spans="1:1" x14ac:dyDescent="0.3">
      <c r="A110" s="271"/>
    </row>
    <row r="111" spans="1:1" x14ac:dyDescent="0.3">
      <c r="A111" s="271"/>
    </row>
    <row r="112" spans="1:1" x14ac:dyDescent="0.3">
      <c r="A112" s="271"/>
    </row>
    <row r="113" spans="1:1" x14ac:dyDescent="0.3">
      <c r="A113" s="271"/>
    </row>
    <row r="114" spans="1:1" x14ac:dyDescent="0.3">
      <c r="A114" s="271"/>
    </row>
    <row r="115" spans="1:1" x14ac:dyDescent="0.3">
      <c r="A115" s="271"/>
    </row>
    <row r="116" spans="1:1" x14ac:dyDescent="0.3">
      <c r="A116" s="271"/>
    </row>
    <row r="117" spans="1:1" x14ac:dyDescent="0.3">
      <c r="A117" s="271"/>
    </row>
    <row r="118" spans="1:1" x14ac:dyDescent="0.3">
      <c r="A118" s="271"/>
    </row>
    <row r="119" spans="1:1" x14ac:dyDescent="0.3">
      <c r="A119" s="271"/>
    </row>
    <row r="120" spans="1:1" x14ac:dyDescent="0.3">
      <c r="A120" s="271"/>
    </row>
    <row r="121" spans="1:1" x14ac:dyDescent="0.3">
      <c r="A121" s="271"/>
    </row>
    <row r="122" spans="1:1" x14ac:dyDescent="0.3">
      <c r="A122" s="271"/>
    </row>
    <row r="123" spans="1:1" x14ac:dyDescent="0.3">
      <c r="A123" s="271"/>
    </row>
    <row r="124" spans="1:1" x14ac:dyDescent="0.3">
      <c r="A124" s="271"/>
    </row>
    <row r="125" spans="1:1" x14ac:dyDescent="0.3">
      <c r="A125" s="271"/>
    </row>
    <row r="126" spans="1:1" x14ac:dyDescent="0.3">
      <c r="A126" s="271"/>
    </row>
    <row r="127" spans="1:1" x14ac:dyDescent="0.3">
      <c r="A127" s="271"/>
    </row>
    <row r="128" spans="1:1" x14ac:dyDescent="0.3">
      <c r="A128" s="271"/>
    </row>
    <row r="129" spans="1:1" x14ac:dyDescent="0.3">
      <c r="A129" s="271"/>
    </row>
    <row r="130" spans="1:1" x14ac:dyDescent="0.3">
      <c r="A130" s="271"/>
    </row>
    <row r="131" spans="1:1" x14ac:dyDescent="0.3">
      <c r="A131" s="271"/>
    </row>
    <row r="132" spans="1:1" x14ac:dyDescent="0.3">
      <c r="A132" s="271"/>
    </row>
    <row r="133" spans="1:1" x14ac:dyDescent="0.3">
      <c r="A133" s="271"/>
    </row>
    <row r="134" spans="1:1" x14ac:dyDescent="0.3">
      <c r="A134" s="271"/>
    </row>
    <row r="135" spans="1:1" x14ac:dyDescent="0.3">
      <c r="A135" s="271"/>
    </row>
    <row r="136" spans="1:1" x14ac:dyDescent="0.3">
      <c r="A136" s="271"/>
    </row>
    <row r="137" spans="1:1" x14ac:dyDescent="0.3">
      <c r="A137" s="271"/>
    </row>
    <row r="138" spans="1:1" x14ac:dyDescent="0.3">
      <c r="A138" s="271"/>
    </row>
    <row r="139" spans="1:1" x14ac:dyDescent="0.3">
      <c r="A139" s="271"/>
    </row>
    <row r="140" spans="1:1" x14ac:dyDescent="0.3">
      <c r="A140" s="271"/>
    </row>
    <row r="141" spans="1:1" x14ac:dyDescent="0.3">
      <c r="A141" s="271"/>
    </row>
    <row r="142" spans="1:1" x14ac:dyDescent="0.3">
      <c r="A142" s="271"/>
    </row>
    <row r="143" spans="1:1" x14ac:dyDescent="0.3">
      <c r="A143" s="271"/>
    </row>
    <row r="144" spans="1:1" x14ac:dyDescent="0.3">
      <c r="A144" s="271"/>
    </row>
    <row r="145" spans="1:1" x14ac:dyDescent="0.3">
      <c r="A145" s="271"/>
    </row>
    <row r="146" spans="1:1" x14ac:dyDescent="0.3">
      <c r="A146" s="271"/>
    </row>
    <row r="147" spans="1:1" x14ac:dyDescent="0.3">
      <c r="A147" s="271"/>
    </row>
    <row r="148" spans="1:1" x14ac:dyDescent="0.3">
      <c r="A148" s="271"/>
    </row>
    <row r="149" spans="1:1" x14ac:dyDescent="0.3">
      <c r="A149" s="271"/>
    </row>
    <row r="150" spans="1:1" x14ac:dyDescent="0.3">
      <c r="A150" s="271"/>
    </row>
    <row r="151" spans="1:1" x14ac:dyDescent="0.3">
      <c r="A151" s="271"/>
    </row>
    <row r="152" spans="1:1" x14ac:dyDescent="0.3">
      <c r="A152" s="271"/>
    </row>
    <row r="153" spans="1:1" x14ac:dyDescent="0.3">
      <c r="A153" s="271"/>
    </row>
    <row r="154" spans="1:1" x14ac:dyDescent="0.3">
      <c r="A154" s="271"/>
    </row>
    <row r="155" spans="1:1" x14ac:dyDescent="0.3">
      <c r="A155" s="271"/>
    </row>
    <row r="156" spans="1:1" x14ac:dyDescent="0.3">
      <c r="A156" s="271"/>
    </row>
    <row r="157" spans="1:1" x14ac:dyDescent="0.3">
      <c r="A157" s="271"/>
    </row>
  </sheetData>
  <sheetProtection algorithmName="SHA-512" hashValue="N13vbtqlDGhfqtNn/3BUvnoVFvzGBY3vOlI9blDZv2s8ydfrFaz+LmKxYvDGob9EuF6IOlcd+gxMuRePS/wn2g==" saltValue="T4h4GI9pO8RV8INRsjaWSw==" spinCount="100000" sheet="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autoPageBreaks="0"/>
  </sheetPr>
  <dimension ref="A1:J24"/>
  <sheetViews>
    <sheetView showGridLines="0" zoomScaleNormal="100" workbookViewId="0">
      <pane ySplit="9" topLeftCell="A10" activePane="bottomLeft" state="frozen"/>
      <selection pane="bottomLeft" activeCell="A19" sqref="A19:XFD23"/>
    </sheetView>
  </sheetViews>
  <sheetFormatPr defaultColWidth="11.6640625" defaultRowHeight="13.8" outlineLevelRow="2" x14ac:dyDescent="0.3"/>
  <cols>
    <col min="1" max="1" width="3.6640625" style="22" customWidth="1"/>
    <col min="2" max="2" width="5.6640625" style="22" customWidth="1"/>
    <col min="3" max="5" width="3.6640625" style="22" customWidth="1"/>
    <col min="6" max="9" width="11.6640625" style="22"/>
    <col min="10" max="10" width="11.6640625" style="22" customWidth="1"/>
    <col min="11" max="16384" width="11.6640625" style="22"/>
  </cols>
  <sheetData>
    <row r="1" spans="1:10" ht="23.4" x14ac:dyDescent="0.3">
      <c r="B1" s="275" t="s">
        <v>690</v>
      </c>
    </row>
    <row r="2" spans="1:10" ht="18" x14ac:dyDescent="0.3">
      <c r="B2" s="23" t="str">
        <f>Model_Name</f>
        <v>Oral Cholera Vaccine Activity-Based Costing</v>
      </c>
    </row>
    <row r="3" spans="1:10" x14ac:dyDescent="0.3">
      <c r="B3" s="349" t="s">
        <v>2</v>
      </c>
      <c r="C3" s="349"/>
      <c r="D3" s="349"/>
      <c r="E3" s="349"/>
      <c r="F3" s="349"/>
    </row>
    <row r="4" spans="1:10" x14ac:dyDescent="0.3">
      <c r="A4" s="25" t="s">
        <v>5</v>
      </c>
      <c r="B4" s="26" t="s">
        <v>10</v>
      </c>
      <c r="C4" s="27" t="s">
        <v>11</v>
      </c>
      <c r="D4" s="28" t="s">
        <v>25</v>
      </c>
      <c r="F4" s="29" t="s">
        <v>26</v>
      </c>
    </row>
    <row r="5" spans="1:10" x14ac:dyDescent="0.3">
      <c r="B5" s="63" t="str">
        <f>"Year Ending "&amp;INDEX(LU_TS_Mth_Names,DD_TS_Fin_Yr_End_Mth)</f>
        <v>Year Ending December</v>
      </c>
      <c r="C5" s="64"/>
      <c r="D5" s="64"/>
      <c r="E5" s="64"/>
      <c r="F5" s="64"/>
      <c r="G5" s="64"/>
      <c r="H5" s="64"/>
      <c r="I5" s="64"/>
      <c r="J5" s="126">
        <f>J9</f>
        <v>2020</v>
      </c>
    </row>
    <row r="6" spans="1:10" hidden="1" outlineLevel="2" x14ac:dyDescent="0.3">
      <c r="B6" s="91" t="s">
        <v>98</v>
      </c>
      <c r="J6" s="62">
        <f>EDATE(TS_Start_Date,(J8-1)*TS_Mths_In_Yr)</f>
        <v>43831</v>
      </c>
    </row>
    <row r="7" spans="1:10" hidden="1" outlineLevel="2" x14ac:dyDescent="0.3">
      <c r="B7" s="91" t="s">
        <v>99</v>
      </c>
      <c r="J7" s="62">
        <f>EDATE(J6,TS_Mths_In_Yr)-1</f>
        <v>44196</v>
      </c>
    </row>
    <row r="8" spans="1:10" hidden="1" outlineLevel="2" x14ac:dyDescent="0.3">
      <c r="B8" s="91" t="s">
        <v>100</v>
      </c>
      <c r="J8" s="45">
        <f>COLUMNS($J8:J8)</f>
        <v>1</v>
      </c>
    </row>
    <row r="9" spans="1:10" hidden="1" outlineLevel="2" x14ac:dyDescent="0.3">
      <c r="B9" s="66" t="s">
        <v>101</v>
      </c>
      <c r="C9" s="64"/>
      <c r="D9" s="64"/>
      <c r="E9" s="64"/>
      <c r="F9" s="64"/>
      <c r="G9" s="64"/>
      <c r="H9" s="64"/>
      <c r="I9" s="64"/>
      <c r="J9" s="67">
        <f>YEAR(J7)</f>
        <v>2020</v>
      </c>
    </row>
    <row r="10" spans="1:10" collapsed="1" x14ac:dyDescent="0.3"/>
    <row r="11" spans="1:10" ht="15.6" x14ac:dyDescent="0.3">
      <c r="C11" s="92" t="s">
        <v>139</v>
      </c>
    </row>
    <row r="12" spans="1:10" x14ac:dyDescent="0.3">
      <c r="D12" s="379" t="s">
        <v>140</v>
      </c>
      <c r="E12" s="380"/>
      <c r="F12" s="380"/>
      <c r="G12" s="380"/>
      <c r="J12" s="91" t="s">
        <v>141</v>
      </c>
    </row>
    <row r="13" spans="1:10" x14ac:dyDescent="0.3">
      <c r="D13" s="356" t="s">
        <v>710</v>
      </c>
      <c r="E13" s="356"/>
      <c r="F13" s="356"/>
      <c r="G13" s="356"/>
      <c r="J13" s="86">
        <v>1</v>
      </c>
    </row>
    <row r="14" spans="1:10" x14ac:dyDescent="0.3">
      <c r="D14" s="356" t="s">
        <v>709</v>
      </c>
      <c r="E14" s="356"/>
      <c r="F14" s="356"/>
      <c r="G14" s="356"/>
      <c r="J14" s="86">
        <v>0</v>
      </c>
    </row>
    <row r="15" spans="1:10" x14ac:dyDescent="0.3">
      <c r="J15" s="91" t="s">
        <v>142</v>
      </c>
    </row>
    <row r="16" spans="1:10" ht="14.4" x14ac:dyDescent="0.3">
      <c r="D16" s="90" t="s">
        <v>143</v>
      </c>
    </row>
    <row r="17" spans="1:10" x14ac:dyDescent="0.3">
      <c r="D17" s="356"/>
      <c r="E17" s="356"/>
      <c r="F17" s="356"/>
      <c r="G17" s="356"/>
      <c r="H17" s="356"/>
      <c r="I17" s="356"/>
      <c r="J17" s="356"/>
    </row>
    <row r="19" spans="1:10" ht="14.4" hidden="1" x14ac:dyDescent="0.3">
      <c r="A19" s="90" t="s">
        <v>612</v>
      </c>
    </row>
    <row r="20" spans="1:10" ht="15.6" hidden="1" outlineLevel="1" x14ac:dyDescent="0.3">
      <c r="C20" s="92" t="s">
        <v>144</v>
      </c>
      <c r="I20" s="88" t="s">
        <v>145</v>
      </c>
    </row>
    <row r="21" spans="1:10" ht="14.4" hidden="1" outlineLevel="1" x14ac:dyDescent="0.3">
      <c r="D21" s="90" t="s">
        <v>146</v>
      </c>
      <c r="I21" s="97">
        <v>0</v>
      </c>
    </row>
    <row r="22" spans="1:10" hidden="1" outlineLevel="1" x14ac:dyDescent="0.3">
      <c r="D22" s="91" t="s">
        <v>147</v>
      </c>
      <c r="I22" s="98">
        <v>0</v>
      </c>
    </row>
    <row r="23" spans="1:10" hidden="1" collapsed="1" x14ac:dyDescent="0.3"/>
    <row r="24" spans="1:10" x14ac:dyDescent="0.3">
      <c r="C24" s="349" t="str">
        <f>"Go to "&amp;HL_RES_Ass</f>
        <v>Go to Resource List</v>
      </c>
      <c r="D24" s="374"/>
      <c r="E24" s="374"/>
      <c r="F24" s="374"/>
      <c r="G24" s="374"/>
      <c r="H24" s="374"/>
      <c r="I24" s="374"/>
    </row>
  </sheetData>
  <sheetProtection algorithmName="SHA-512" hashValue="hdp7QcQSO/o1rvek2vu4Wmoo19B4I1Rw6OL0I+fGWcv/i1hImvlTtCCm5nibpqLnn58zciyfwwMukri9CvSBsw==" saltValue="/twxviZxcBINpWwTLB/jPQ==" spinCount="100000" sheet="1" objects="1" scenarios="1" formatColumns="0" formatRows="0"/>
  <mergeCells count="6">
    <mergeCell ref="D14:G14"/>
    <mergeCell ref="C24:I24"/>
    <mergeCell ref="B3:F3"/>
    <mergeCell ref="D12:G12"/>
    <mergeCell ref="D13:G13"/>
    <mergeCell ref="D17:J17"/>
  </mergeCells>
  <dataValidations count="2">
    <dataValidation type="custom" showErrorMessage="1" errorTitle="Invalid Assumption" error="Assumption must be a number." sqref="I22" xr:uid="{00000000-0002-0000-0700-000000000000}">
      <formula1>NOT(ISERROR(I22/1))</formula1>
    </dataValidation>
    <dataValidation type="decimal" operator="greaterThanOrEqual" allowBlank="1" showDropDown="1" showErrorMessage="1" errorTitle="Invalid Assumption" error="Assumption must be a value greater than or equal to zero." sqref="J13:J14" xr:uid="{00000000-0002-0000-0700-000001000000}">
      <formula1>0</formula1>
    </dataValidation>
  </dataValidations>
  <hyperlinks>
    <hyperlink ref="A4" location="$A$10" tooltip="Go to Top of Sheet" display="$A$10" xr:uid="{00000000-0004-0000-0700-000000000000}"/>
    <hyperlink ref="C24:I24" location="HL_RES_Ass" tooltip="Click to follow hyperlink." display="HL_RES_Ass" xr:uid="{00000000-0004-0000-0700-000001000000}"/>
    <hyperlink ref="B4" location="HL_Sheet_Main_43" tooltip="Go to Previous Sheet" display="HL_Sheet_Main_43" xr:uid="{00000000-0004-0000-0700-000002000000}"/>
    <hyperlink ref="C4" location="HL_Sheet_Main_9" tooltip="Go to Next Sheet" display="HL_Sheet_Main_9" xr:uid="{00000000-0004-0000-0700-000003000000}"/>
    <hyperlink ref="B3" location="HL_Home" tooltip="Go to Table of Contents" display="HL_Home" xr:uid="{00000000-0004-0000-0700-000004000000}"/>
    <hyperlink ref="D4" location="HL_Err_Chk" tooltip="Go to Error Checks" display="HL_Err_Chk" xr:uid="{00000000-0004-0000-0700-000005000000}"/>
    <hyperlink ref="F4" location="HL_Alt_Chk" tooltip="Go to Alert Checks" display="HL_Alt_Chk" xr:uid="{00000000-0004-0000-0700-000006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autoPageBreaks="0"/>
  </sheetPr>
  <dimension ref="A1:AC221"/>
  <sheetViews>
    <sheetView showGridLines="0" zoomScaleNormal="100" workbookViewId="0">
      <pane xSplit="1" ySplit="4" topLeftCell="B5" activePane="bottomRight" state="frozen"/>
      <selection pane="topRight" activeCell="B1" sqref="B1"/>
      <selection pane="bottomLeft" activeCell="A5" sqref="A5"/>
      <selection pane="bottomRight" activeCell="Q6" sqref="Q6"/>
    </sheetView>
  </sheetViews>
  <sheetFormatPr defaultColWidth="11.6640625" defaultRowHeight="13.8" outlineLevelRow="2" outlineLevelCol="1" x14ac:dyDescent="0.3"/>
  <cols>
    <col min="1" max="1" width="3.6640625" style="22" customWidth="1"/>
    <col min="2" max="2" width="2.44140625" style="22" customWidth="1"/>
    <col min="3" max="3" width="2.5546875" style="22" customWidth="1"/>
    <col min="4" max="4" width="3.33203125" style="22" customWidth="1"/>
    <col min="5" max="5" width="3.6640625" style="22" customWidth="1"/>
    <col min="6" max="6" width="10.109375" style="22" bestFit="1" customWidth="1"/>
    <col min="7" max="7" width="11.6640625" style="22" customWidth="1"/>
    <col min="8" max="8" width="4.109375" style="22" customWidth="1"/>
    <col min="9" max="9" width="25.6640625" style="22" customWidth="1"/>
    <col min="10" max="13" width="11.6640625" style="22"/>
    <col min="14" max="14" width="2.6640625" style="22" bestFit="1" customWidth="1"/>
    <col min="15" max="15" width="12.5546875" style="22" customWidth="1" outlineLevel="1"/>
    <col min="16" max="16" width="11.6640625" style="22" customWidth="1" outlineLevel="1"/>
    <col min="17" max="17" width="5" style="22" customWidth="1" outlineLevel="1"/>
    <col min="18" max="22" width="11.6640625" style="22" customWidth="1" outlineLevel="1"/>
    <col min="23" max="23" width="7.109375" style="22" customWidth="1" outlineLevel="1"/>
    <col min="24" max="25" width="11.6640625" style="22"/>
    <col min="26" max="26" width="5.44140625" style="22" customWidth="1"/>
    <col min="27" max="16384" width="11.6640625" style="22"/>
  </cols>
  <sheetData>
    <row r="1" spans="1:26" ht="23.4" x14ac:dyDescent="0.3">
      <c r="B1" s="275" t="s">
        <v>689</v>
      </c>
      <c r="O1" s="107"/>
      <c r="P1" s="107"/>
      <c r="Q1" s="107"/>
      <c r="R1" s="107"/>
      <c r="S1" s="107"/>
      <c r="T1" s="107"/>
      <c r="U1" s="107"/>
    </row>
    <row r="2" spans="1:26" ht="18.600000000000001" thickBot="1" x14ac:dyDescent="0.35">
      <c r="B2" s="23" t="str">
        <f>Model_Name</f>
        <v>Oral Cholera Vaccine Activity-Based Costing</v>
      </c>
      <c r="O2" s="107"/>
      <c r="P2" s="107"/>
      <c r="Q2" s="107"/>
      <c r="R2" s="107"/>
      <c r="S2" s="107"/>
      <c r="T2" s="107"/>
      <c r="U2" s="107"/>
    </row>
    <row r="3" spans="1:26" ht="16.2" thickBot="1" x14ac:dyDescent="0.35">
      <c r="B3" s="349" t="s">
        <v>2</v>
      </c>
      <c r="C3" s="349"/>
      <c r="D3" s="349"/>
      <c r="E3" s="349"/>
      <c r="F3" s="349"/>
      <c r="G3" s="69"/>
      <c r="I3" s="90" t="s">
        <v>183</v>
      </c>
      <c r="J3" s="127" t="str">
        <f>RES_Appl_Currency</f>
        <v>GOZ</v>
      </c>
      <c r="K3" s="255" t="s">
        <v>573</v>
      </c>
      <c r="O3" s="107"/>
      <c r="P3" s="107"/>
      <c r="Q3" s="107"/>
      <c r="R3" s="107"/>
      <c r="S3" s="107"/>
      <c r="T3" s="107"/>
      <c r="U3" s="107"/>
    </row>
    <row r="4" spans="1:26" x14ac:dyDescent="0.3">
      <c r="A4" s="25" t="s">
        <v>5</v>
      </c>
      <c r="B4" s="26" t="s">
        <v>10</v>
      </c>
      <c r="C4" s="27" t="s">
        <v>11</v>
      </c>
      <c r="D4" s="28" t="s">
        <v>25</v>
      </c>
      <c r="F4" s="29" t="s">
        <v>26</v>
      </c>
      <c r="G4" s="29"/>
      <c r="O4" s="107"/>
      <c r="P4" s="107"/>
      <c r="Q4" s="107"/>
      <c r="R4" s="107"/>
      <c r="S4" s="107"/>
      <c r="T4" s="107"/>
      <c r="U4" s="107"/>
    </row>
    <row r="6" spans="1:26" ht="18" x14ac:dyDescent="0.3">
      <c r="B6" s="99" t="s">
        <v>163</v>
      </c>
    </row>
    <row r="8" spans="1:26" ht="15.6" x14ac:dyDescent="0.3">
      <c r="C8" s="92" t="s">
        <v>128</v>
      </c>
    </row>
    <row r="10" spans="1:26" ht="14.4" x14ac:dyDescent="0.3">
      <c r="D10" s="90" t="s">
        <v>128</v>
      </c>
      <c r="I10" s="224" t="s">
        <v>709</v>
      </c>
    </row>
    <row r="11" spans="1:26" x14ac:dyDescent="0.3">
      <c r="D11" s="69" t="str">
        <f>"Go to "&amp;HL_RES_Curr_Options</f>
        <v>Go to Currency Rates</v>
      </c>
    </row>
    <row r="12" spans="1:26" ht="15.6" x14ac:dyDescent="0.3">
      <c r="C12" s="92" t="s">
        <v>77</v>
      </c>
    </row>
    <row r="13" spans="1:26" ht="27.6" x14ac:dyDescent="0.3">
      <c r="D13" s="397" t="s">
        <v>166</v>
      </c>
      <c r="E13" s="398"/>
      <c r="F13" s="398"/>
      <c r="G13" s="398"/>
      <c r="I13" s="42" t="s">
        <v>126</v>
      </c>
      <c r="J13" s="42" t="s">
        <v>178</v>
      </c>
      <c r="K13" s="42" t="s">
        <v>179</v>
      </c>
      <c r="L13" s="42" t="s">
        <v>127</v>
      </c>
      <c r="M13" s="42" t="s">
        <v>165</v>
      </c>
      <c r="O13" s="44" t="str">
        <f>"Financial "&amp;$I$10</f>
        <v>Financial GOZ</v>
      </c>
      <c r="P13" s="44" t="str">
        <f>"Economic "&amp;$I$10</f>
        <v>Economic GOZ</v>
      </c>
      <c r="R13" s="44" t="str">
        <f>"Financial "&amp;$D$216</f>
        <v>Financial USD</v>
      </c>
      <c r="S13" s="44" t="str">
        <f>"Economic "&amp;$D$216</f>
        <v>Economic USD</v>
      </c>
      <c r="T13" s="44" t="str">
        <f>"Financial "&amp;$D$217</f>
        <v>Financial GOZ</v>
      </c>
      <c r="U13" s="44" t="str">
        <f>"Economic "&amp;$D$217</f>
        <v>Economic GOZ</v>
      </c>
      <c r="V13" s="88" t="s">
        <v>127</v>
      </c>
      <c r="X13" s="381" t="s">
        <v>129</v>
      </c>
      <c r="Y13" s="382"/>
      <c r="Z13" s="382"/>
    </row>
    <row r="14" spans="1:26" x14ac:dyDescent="0.3">
      <c r="D14" s="388" t="s">
        <v>895</v>
      </c>
      <c r="E14" s="388"/>
      <c r="F14" s="388"/>
      <c r="G14" s="388"/>
      <c r="I14" s="249" t="s">
        <v>126</v>
      </c>
      <c r="J14" s="250">
        <v>0</v>
      </c>
      <c r="K14" s="133">
        <v>0</v>
      </c>
      <c r="L14" s="251" t="s">
        <v>173</v>
      </c>
      <c r="M14" s="250">
        <v>0</v>
      </c>
      <c r="O14" s="71">
        <f t="shared" ref="O14:O48" si="0">IFERROR(J14/M14,0)</f>
        <v>0</v>
      </c>
      <c r="P14" s="40">
        <f t="shared" ref="P14:P48" si="1">IFERROR(K14/M14,0)</f>
        <v>0</v>
      </c>
      <c r="R14" s="290">
        <f t="shared" ref="R14:R48" si="2">IFERROR(IF(RES_Appl_Currency=$D$216,O14,O14/$J$217), 0)</f>
        <v>0</v>
      </c>
      <c r="S14" s="290">
        <f t="shared" ref="S14:S48" si="3">IFERROR(IF(RES_Appl_Currency=$D$216,P14,P14/$J$217), 0)</f>
        <v>0</v>
      </c>
      <c r="T14" s="40">
        <f t="shared" ref="T14:T48" si="4">IF(RES_Appl_Currency=$D$216,O14*$J$217,O14)</f>
        <v>0</v>
      </c>
      <c r="U14" s="40">
        <f t="shared" ref="U14:U48" si="5">IF(RES_Appl_Currency=$D$216,P14*$J$217,P14)</f>
        <v>0</v>
      </c>
      <c r="V14" s="72" t="str">
        <f t="shared" ref="V14:V48" si="6">"per "&amp;$L14&amp;""</f>
        <v>per Day</v>
      </c>
      <c r="X14" s="356"/>
      <c r="Y14" s="356"/>
      <c r="Z14" s="356"/>
    </row>
    <row r="15" spans="1:26" x14ac:dyDescent="0.3">
      <c r="D15" s="388" t="s">
        <v>896</v>
      </c>
      <c r="E15" s="388"/>
      <c r="F15" s="388"/>
      <c r="G15" s="388"/>
      <c r="I15" s="249" t="s">
        <v>126</v>
      </c>
      <c r="J15" s="250">
        <v>0</v>
      </c>
      <c r="K15" s="133">
        <v>0</v>
      </c>
      <c r="L15" s="251" t="s">
        <v>173</v>
      </c>
      <c r="M15" s="250">
        <v>0</v>
      </c>
      <c r="O15" s="71">
        <f t="shared" si="0"/>
        <v>0</v>
      </c>
      <c r="P15" s="40">
        <f t="shared" si="1"/>
        <v>0</v>
      </c>
      <c r="R15" s="290">
        <f t="shared" si="2"/>
        <v>0</v>
      </c>
      <c r="S15" s="290">
        <f t="shared" si="3"/>
        <v>0</v>
      </c>
      <c r="T15" s="40">
        <f t="shared" si="4"/>
        <v>0</v>
      </c>
      <c r="U15" s="40">
        <f t="shared" si="5"/>
        <v>0</v>
      </c>
      <c r="V15" s="72" t="str">
        <f t="shared" si="6"/>
        <v>per Day</v>
      </c>
      <c r="X15" s="356"/>
      <c r="Y15" s="356"/>
      <c r="Z15" s="356"/>
    </row>
    <row r="16" spans="1:26" x14ac:dyDescent="0.3">
      <c r="D16" s="388" t="s">
        <v>897</v>
      </c>
      <c r="E16" s="388"/>
      <c r="F16" s="388"/>
      <c r="G16" s="388"/>
      <c r="I16" s="249" t="s">
        <v>126</v>
      </c>
      <c r="J16" s="250">
        <v>0</v>
      </c>
      <c r="K16" s="133">
        <v>0</v>
      </c>
      <c r="L16" s="251" t="s">
        <v>173</v>
      </c>
      <c r="M16" s="250">
        <v>0</v>
      </c>
      <c r="O16" s="71">
        <f t="shared" si="0"/>
        <v>0</v>
      </c>
      <c r="P16" s="40">
        <f t="shared" si="1"/>
        <v>0</v>
      </c>
      <c r="R16" s="290">
        <f t="shared" si="2"/>
        <v>0</v>
      </c>
      <c r="S16" s="290">
        <f t="shared" si="3"/>
        <v>0</v>
      </c>
      <c r="T16" s="40">
        <f t="shared" si="4"/>
        <v>0</v>
      </c>
      <c r="U16" s="40">
        <f t="shared" si="5"/>
        <v>0</v>
      </c>
      <c r="V16" s="72" t="str">
        <f t="shared" si="6"/>
        <v>per Day</v>
      </c>
      <c r="X16" s="356"/>
      <c r="Y16" s="356"/>
      <c r="Z16" s="356"/>
    </row>
    <row r="17" spans="4:26" x14ac:dyDescent="0.3">
      <c r="D17" s="388" t="s">
        <v>898</v>
      </c>
      <c r="E17" s="388"/>
      <c r="F17" s="388"/>
      <c r="G17" s="388"/>
      <c r="I17" s="249" t="s">
        <v>126</v>
      </c>
      <c r="J17" s="250">
        <v>0</v>
      </c>
      <c r="K17" s="133">
        <v>0</v>
      </c>
      <c r="L17" s="251" t="s">
        <v>173</v>
      </c>
      <c r="M17" s="250">
        <v>0</v>
      </c>
      <c r="O17" s="71">
        <f t="shared" si="0"/>
        <v>0</v>
      </c>
      <c r="P17" s="40">
        <f t="shared" si="1"/>
        <v>0</v>
      </c>
      <c r="R17" s="290">
        <f t="shared" si="2"/>
        <v>0</v>
      </c>
      <c r="S17" s="290">
        <f t="shared" si="3"/>
        <v>0</v>
      </c>
      <c r="T17" s="40">
        <f t="shared" si="4"/>
        <v>0</v>
      </c>
      <c r="U17" s="40">
        <f t="shared" si="5"/>
        <v>0</v>
      </c>
      <c r="V17" s="72" t="str">
        <f t="shared" si="6"/>
        <v>per Day</v>
      </c>
      <c r="X17" s="356"/>
      <c r="Y17" s="356"/>
      <c r="Z17" s="356"/>
    </row>
    <row r="18" spans="4:26" x14ac:dyDescent="0.3">
      <c r="D18" s="388" t="s">
        <v>899</v>
      </c>
      <c r="E18" s="388"/>
      <c r="F18" s="388"/>
      <c r="G18" s="388"/>
      <c r="I18" s="249" t="s">
        <v>126</v>
      </c>
      <c r="J18" s="250"/>
      <c r="K18" s="133">
        <v>0</v>
      </c>
      <c r="L18" s="251" t="s">
        <v>173</v>
      </c>
      <c r="M18" s="250">
        <v>0</v>
      </c>
      <c r="O18" s="71">
        <f t="shared" si="0"/>
        <v>0</v>
      </c>
      <c r="P18" s="40">
        <f t="shared" si="1"/>
        <v>0</v>
      </c>
      <c r="R18" s="290">
        <f t="shared" si="2"/>
        <v>0</v>
      </c>
      <c r="S18" s="290">
        <f t="shared" si="3"/>
        <v>0</v>
      </c>
      <c r="T18" s="40">
        <f t="shared" si="4"/>
        <v>0</v>
      </c>
      <c r="U18" s="40">
        <f t="shared" si="5"/>
        <v>0</v>
      </c>
      <c r="V18" s="72" t="str">
        <f t="shared" si="6"/>
        <v>per Day</v>
      </c>
      <c r="X18" s="356"/>
      <c r="Y18" s="356"/>
      <c r="Z18" s="356"/>
    </row>
    <row r="19" spans="4:26" x14ac:dyDescent="0.3">
      <c r="D19" s="388" t="s">
        <v>900</v>
      </c>
      <c r="E19" s="388"/>
      <c r="F19" s="388"/>
      <c r="G19" s="388"/>
      <c r="I19" s="249" t="s">
        <v>126</v>
      </c>
      <c r="J19" s="250">
        <v>0</v>
      </c>
      <c r="K19" s="133">
        <v>0</v>
      </c>
      <c r="L19" s="251" t="s">
        <v>173</v>
      </c>
      <c r="M19" s="250">
        <v>0</v>
      </c>
      <c r="O19" s="71">
        <f t="shared" si="0"/>
        <v>0</v>
      </c>
      <c r="P19" s="40">
        <f t="shared" si="1"/>
        <v>0</v>
      </c>
      <c r="R19" s="290">
        <f t="shared" si="2"/>
        <v>0</v>
      </c>
      <c r="S19" s="290">
        <f t="shared" si="3"/>
        <v>0</v>
      </c>
      <c r="T19" s="40">
        <f t="shared" si="4"/>
        <v>0</v>
      </c>
      <c r="U19" s="40">
        <f t="shared" si="5"/>
        <v>0</v>
      </c>
      <c r="V19" s="72" t="str">
        <f t="shared" si="6"/>
        <v>per Day</v>
      </c>
      <c r="X19" s="356"/>
      <c r="Y19" s="356"/>
      <c r="Z19" s="356"/>
    </row>
    <row r="20" spans="4:26" x14ac:dyDescent="0.3">
      <c r="D20" s="388" t="s">
        <v>901</v>
      </c>
      <c r="E20" s="388"/>
      <c r="F20" s="388"/>
      <c r="G20" s="388"/>
      <c r="I20" s="249" t="s">
        <v>126</v>
      </c>
      <c r="J20" s="250">
        <v>0</v>
      </c>
      <c r="K20" s="133">
        <v>0</v>
      </c>
      <c r="L20" s="251" t="s">
        <v>173</v>
      </c>
      <c r="M20" s="250">
        <v>0</v>
      </c>
      <c r="O20" s="71">
        <f t="shared" si="0"/>
        <v>0</v>
      </c>
      <c r="P20" s="40">
        <f t="shared" si="1"/>
        <v>0</v>
      </c>
      <c r="R20" s="290">
        <f t="shared" si="2"/>
        <v>0</v>
      </c>
      <c r="S20" s="290">
        <f t="shared" si="3"/>
        <v>0</v>
      </c>
      <c r="T20" s="40">
        <f t="shared" si="4"/>
        <v>0</v>
      </c>
      <c r="U20" s="40">
        <f t="shared" si="5"/>
        <v>0</v>
      </c>
      <c r="V20" s="72" t="str">
        <f t="shared" si="6"/>
        <v>per Day</v>
      </c>
      <c r="X20" s="356"/>
      <c r="Y20" s="356"/>
      <c r="Z20" s="356"/>
    </row>
    <row r="21" spans="4:26" x14ac:dyDescent="0.3">
      <c r="D21" s="388" t="s">
        <v>902</v>
      </c>
      <c r="E21" s="388"/>
      <c r="F21" s="388"/>
      <c r="G21" s="388"/>
      <c r="I21" s="249" t="s">
        <v>126</v>
      </c>
      <c r="J21" s="250">
        <v>0</v>
      </c>
      <c r="K21" s="133">
        <v>0</v>
      </c>
      <c r="L21" s="251" t="s">
        <v>173</v>
      </c>
      <c r="M21" s="250">
        <v>0</v>
      </c>
      <c r="O21" s="71">
        <f t="shared" si="0"/>
        <v>0</v>
      </c>
      <c r="P21" s="40">
        <f t="shared" si="1"/>
        <v>0</v>
      </c>
      <c r="R21" s="290">
        <f t="shared" si="2"/>
        <v>0</v>
      </c>
      <c r="S21" s="290">
        <f t="shared" si="3"/>
        <v>0</v>
      </c>
      <c r="T21" s="40">
        <f t="shared" si="4"/>
        <v>0</v>
      </c>
      <c r="U21" s="40">
        <f t="shared" si="5"/>
        <v>0</v>
      </c>
      <c r="V21" s="72" t="str">
        <f t="shared" si="6"/>
        <v>per Day</v>
      </c>
      <c r="X21" s="356"/>
      <c r="Y21" s="356"/>
      <c r="Z21" s="356"/>
    </row>
    <row r="22" spans="4:26" x14ac:dyDescent="0.3">
      <c r="D22" s="388" t="s">
        <v>903</v>
      </c>
      <c r="E22" s="388"/>
      <c r="F22" s="388"/>
      <c r="G22" s="388"/>
      <c r="I22" s="249" t="s">
        <v>126</v>
      </c>
      <c r="J22" s="250">
        <v>0</v>
      </c>
      <c r="K22" s="133">
        <v>0</v>
      </c>
      <c r="L22" s="251" t="s">
        <v>173</v>
      </c>
      <c r="M22" s="250">
        <v>0</v>
      </c>
      <c r="O22" s="71">
        <f t="shared" si="0"/>
        <v>0</v>
      </c>
      <c r="P22" s="40">
        <f t="shared" si="1"/>
        <v>0</v>
      </c>
      <c r="R22" s="290">
        <f t="shared" si="2"/>
        <v>0</v>
      </c>
      <c r="S22" s="290">
        <f t="shared" si="3"/>
        <v>0</v>
      </c>
      <c r="T22" s="40">
        <f t="shared" si="4"/>
        <v>0</v>
      </c>
      <c r="U22" s="40">
        <f t="shared" si="5"/>
        <v>0</v>
      </c>
      <c r="V22" s="72" t="str">
        <f t="shared" si="6"/>
        <v>per Day</v>
      </c>
      <c r="X22" s="356"/>
      <c r="Y22" s="356"/>
      <c r="Z22" s="356"/>
    </row>
    <row r="23" spans="4:26" x14ac:dyDescent="0.3">
      <c r="D23" s="388" t="s">
        <v>904</v>
      </c>
      <c r="E23" s="388"/>
      <c r="F23" s="388"/>
      <c r="G23" s="388"/>
      <c r="I23" s="249" t="s">
        <v>126</v>
      </c>
      <c r="J23" s="250">
        <v>0</v>
      </c>
      <c r="K23" s="133">
        <v>0</v>
      </c>
      <c r="L23" s="251" t="s">
        <v>173</v>
      </c>
      <c r="M23" s="250">
        <v>0</v>
      </c>
      <c r="O23" s="71">
        <f t="shared" si="0"/>
        <v>0</v>
      </c>
      <c r="P23" s="40">
        <f t="shared" si="1"/>
        <v>0</v>
      </c>
      <c r="R23" s="290">
        <f t="shared" si="2"/>
        <v>0</v>
      </c>
      <c r="S23" s="290">
        <f t="shared" si="3"/>
        <v>0</v>
      </c>
      <c r="T23" s="40">
        <f t="shared" si="4"/>
        <v>0</v>
      </c>
      <c r="U23" s="40">
        <f t="shared" si="5"/>
        <v>0</v>
      </c>
      <c r="V23" s="72" t="str">
        <f t="shared" si="6"/>
        <v>per Day</v>
      </c>
      <c r="X23" s="356"/>
      <c r="Y23" s="356"/>
      <c r="Z23" s="356"/>
    </row>
    <row r="24" spans="4:26" x14ac:dyDescent="0.3">
      <c r="D24" s="388" t="s">
        <v>905</v>
      </c>
      <c r="E24" s="388"/>
      <c r="F24" s="388"/>
      <c r="G24" s="388"/>
      <c r="I24" s="249" t="s">
        <v>126</v>
      </c>
      <c r="J24" s="250"/>
      <c r="K24" s="133">
        <v>0</v>
      </c>
      <c r="L24" s="251" t="s">
        <v>173</v>
      </c>
      <c r="M24" s="250">
        <v>0</v>
      </c>
      <c r="O24" s="71">
        <f t="shared" si="0"/>
        <v>0</v>
      </c>
      <c r="P24" s="40">
        <f t="shared" si="1"/>
        <v>0</v>
      </c>
      <c r="R24" s="290">
        <f t="shared" si="2"/>
        <v>0</v>
      </c>
      <c r="S24" s="290">
        <f t="shared" si="3"/>
        <v>0</v>
      </c>
      <c r="T24" s="40">
        <f t="shared" si="4"/>
        <v>0</v>
      </c>
      <c r="U24" s="40">
        <f t="shared" si="5"/>
        <v>0</v>
      </c>
      <c r="V24" s="72" t="str">
        <f t="shared" si="6"/>
        <v>per Day</v>
      </c>
      <c r="X24" s="356"/>
      <c r="Y24" s="356"/>
      <c r="Z24" s="356"/>
    </row>
    <row r="25" spans="4:26" x14ac:dyDescent="0.3">
      <c r="D25" s="388" t="s">
        <v>906</v>
      </c>
      <c r="E25" s="388"/>
      <c r="F25" s="388"/>
      <c r="G25" s="388"/>
      <c r="I25" s="249" t="s">
        <v>126</v>
      </c>
      <c r="J25" s="250"/>
      <c r="K25" s="133">
        <v>0</v>
      </c>
      <c r="L25" s="251" t="s">
        <v>173</v>
      </c>
      <c r="M25" s="250">
        <v>0</v>
      </c>
      <c r="O25" s="71">
        <f t="shared" si="0"/>
        <v>0</v>
      </c>
      <c r="P25" s="40">
        <f t="shared" si="1"/>
        <v>0</v>
      </c>
      <c r="R25" s="290">
        <f t="shared" si="2"/>
        <v>0</v>
      </c>
      <c r="S25" s="290">
        <f t="shared" si="3"/>
        <v>0</v>
      </c>
      <c r="T25" s="40">
        <f t="shared" si="4"/>
        <v>0</v>
      </c>
      <c r="U25" s="40">
        <f t="shared" si="5"/>
        <v>0</v>
      </c>
      <c r="V25" s="72" t="str">
        <f t="shared" si="6"/>
        <v>per Day</v>
      </c>
      <c r="X25" s="356"/>
      <c r="Y25" s="356"/>
      <c r="Z25" s="356"/>
    </row>
    <row r="26" spans="4:26" x14ac:dyDescent="0.3">
      <c r="D26" s="388" t="s">
        <v>907</v>
      </c>
      <c r="E26" s="388"/>
      <c r="F26" s="388"/>
      <c r="G26" s="388"/>
      <c r="I26" s="249" t="s">
        <v>126</v>
      </c>
      <c r="J26" s="250">
        <v>0</v>
      </c>
      <c r="K26" s="133">
        <v>0</v>
      </c>
      <c r="L26" s="251" t="s">
        <v>173</v>
      </c>
      <c r="M26" s="250">
        <v>0</v>
      </c>
      <c r="O26" s="71">
        <f t="shared" si="0"/>
        <v>0</v>
      </c>
      <c r="P26" s="40">
        <f t="shared" si="1"/>
        <v>0</v>
      </c>
      <c r="R26" s="290">
        <f t="shared" si="2"/>
        <v>0</v>
      </c>
      <c r="S26" s="290">
        <f t="shared" si="3"/>
        <v>0</v>
      </c>
      <c r="T26" s="40">
        <f t="shared" si="4"/>
        <v>0</v>
      </c>
      <c r="U26" s="40">
        <f t="shared" si="5"/>
        <v>0</v>
      </c>
      <c r="V26" s="72" t="str">
        <f t="shared" si="6"/>
        <v>per Day</v>
      </c>
      <c r="X26" s="369"/>
      <c r="Y26" s="389"/>
      <c r="Z26" s="390"/>
    </row>
    <row r="27" spans="4:26" x14ac:dyDescent="0.3">
      <c r="D27" s="388" t="s">
        <v>908</v>
      </c>
      <c r="E27" s="388"/>
      <c r="F27" s="388"/>
      <c r="G27" s="388"/>
      <c r="I27" s="249" t="s">
        <v>126</v>
      </c>
      <c r="J27" s="250">
        <v>0</v>
      </c>
      <c r="K27" s="133">
        <v>0</v>
      </c>
      <c r="L27" s="251" t="s">
        <v>173</v>
      </c>
      <c r="M27" s="250">
        <v>0</v>
      </c>
      <c r="O27" s="71">
        <f t="shared" si="0"/>
        <v>0</v>
      </c>
      <c r="P27" s="40">
        <f t="shared" si="1"/>
        <v>0</v>
      </c>
      <c r="R27" s="290">
        <f t="shared" si="2"/>
        <v>0</v>
      </c>
      <c r="S27" s="290">
        <f t="shared" si="3"/>
        <v>0</v>
      </c>
      <c r="T27" s="40">
        <f t="shared" si="4"/>
        <v>0</v>
      </c>
      <c r="U27" s="40">
        <f t="shared" si="5"/>
        <v>0</v>
      </c>
      <c r="V27" s="72" t="str">
        <f t="shared" si="6"/>
        <v>per Day</v>
      </c>
      <c r="X27" s="369"/>
      <c r="Y27" s="389"/>
      <c r="Z27" s="390"/>
    </row>
    <row r="28" spans="4:26" x14ac:dyDescent="0.3">
      <c r="D28" s="388" t="s">
        <v>909</v>
      </c>
      <c r="E28" s="388"/>
      <c r="F28" s="388"/>
      <c r="G28" s="388"/>
      <c r="I28" s="249" t="s">
        <v>126</v>
      </c>
      <c r="J28" s="250">
        <v>0</v>
      </c>
      <c r="K28" s="133">
        <v>0</v>
      </c>
      <c r="L28" s="251" t="s">
        <v>173</v>
      </c>
      <c r="M28" s="250">
        <v>0</v>
      </c>
      <c r="O28" s="71">
        <f t="shared" si="0"/>
        <v>0</v>
      </c>
      <c r="P28" s="40">
        <f t="shared" si="1"/>
        <v>0</v>
      </c>
      <c r="R28" s="290">
        <f t="shared" si="2"/>
        <v>0</v>
      </c>
      <c r="S28" s="290">
        <f t="shared" si="3"/>
        <v>0</v>
      </c>
      <c r="T28" s="40">
        <f t="shared" si="4"/>
        <v>0</v>
      </c>
      <c r="U28" s="40">
        <f t="shared" si="5"/>
        <v>0</v>
      </c>
      <c r="V28" s="72" t="str">
        <f t="shared" si="6"/>
        <v>per Day</v>
      </c>
      <c r="X28" s="356"/>
      <c r="Y28" s="356"/>
      <c r="Z28" s="356"/>
    </row>
    <row r="29" spans="4:26" s="277" customFormat="1" x14ac:dyDescent="0.3">
      <c r="D29" s="388" t="s">
        <v>711</v>
      </c>
      <c r="E29" s="388"/>
      <c r="F29" s="388"/>
      <c r="G29" s="388"/>
      <c r="I29" s="249" t="s">
        <v>126</v>
      </c>
      <c r="J29" s="250">
        <v>0</v>
      </c>
      <c r="K29" s="133">
        <v>0</v>
      </c>
      <c r="L29" s="251" t="s">
        <v>173</v>
      </c>
      <c r="M29" s="250">
        <v>0</v>
      </c>
      <c r="O29" s="281">
        <f t="shared" si="0"/>
        <v>0</v>
      </c>
      <c r="P29" s="279">
        <f t="shared" si="1"/>
        <v>0</v>
      </c>
      <c r="R29" s="279">
        <f t="shared" si="2"/>
        <v>0</v>
      </c>
      <c r="S29" s="279">
        <f t="shared" si="3"/>
        <v>0</v>
      </c>
      <c r="T29" s="279">
        <f t="shared" si="4"/>
        <v>0</v>
      </c>
      <c r="U29" s="279">
        <f t="shared" si="5"/>
        <v>0</v>
      </c>
      <c r="V29" s="297" t="str">
        <f t="shared" si="6"/>
        <v>per Day</v>
      </c>
      <c r="X29" s="385"/>
      <c r="Y29" s="385"/>
      <c r="Z29" s="385"/>
    </row>
    <row r="30" spans="4:26" s="277" customFormat="1" x14ac:dyDescent="0.3">
      <c r="D30" s="388" t="s">
        <v>712</v>
      </c>
      <c r="E30" s="388"/>
      <c r="F30" s="388"/>
      <c r="G30" s="388"/>
      <c r="I30" s="249" t="s">
        <v>126</v>
      </c>
      <c r="J30" s="250">
        <v>0</v>
      </c>
      <c r="K30" s="133">
        <v>0</v>
      </c>
      <c r="L30" s="251" t="s">
        <v>173</v>
      </c>
      <c r="M30" s="250">
        <v>0</v>
      </c>
      <c r="O30" s="281">
        <f t="shared" si="0"/>
        <v>0</v>
      </c>
      <c r="P30" s="279">
        <f t="shared" si="1"/>
        <v>0</v>
      </c>
      <c r="R30" s="279">
        <f t="shared" si="2"/>
        <v>0</v>
      </c>
      <c r="S30" s="279">
        <f t="shared" si="3"/>
        <v>0</v>
      </c>
      <c r="T30" s="279">
        <f t="shared" si="4"/>
        <v>0</v>
      </c>
      <c r="U30" s="279">
        <f t="shared" si="5"/>
        <v>0</v>
      </c>
      <c r="V30" s="297" t="str">
        <f t="shared" si="6"/>
        <v>per Day</v>
      </c>
      <c r="X30" s="385"/>
      <c r="Y30" s="385"/>
      <c r="Z30" s="385"/>
    </row>
    <row r="31" spans="4:26" s="277" customFormat="1" x14ac:dyDescent="0.3">
      <c r="D31" s="388" t="s">
        <v>724</v>
      </c>
      <c r="E31" s="388"/>
      <c r="F31" s="388"/>
      <c r="G31" s="388"/>
      <c r="I31" s="249" t="s">
        <v>126</v>
      </c>
      <c r="J31" s="250">
        <v>0</v>
      </c>
      <c r="K31" s="133">
        <v>0</v>
      </c>
      <c r="L31" s="251" t="s">
        <v>173</v>
      </c>
      <c r="M31" s="250">
        <v>0</v>
      </c>
      <c r="O31" s="281">
        <f t="shared" si="0"/>
        <v>0</v>
      </c>
      <c r="P31" s="279">
        <f t="shared" si="1"/>
        <v>0</v>
      </c>
      <c r="R31" s="279">
        <f t="shared" si="2"/>
        <v>0</v>
      </c>
      <c r="S31" s="279">
        <f t="shared" si="3"/>
        <v>0</v>
      </c>
      <c r="T31" s="279">
        <f t="shared" si="4"/>
        <v>0</v>
      </c>
      <c r="U31" s="279">
        <f t="shared" si="5"/>
        <v>0</v>
      </c>
      <c r="V31" s="297" t="str">
        <f t="shared" si="6"/>
        <v>per Day</v>
      </c>
      <c r="X31" s="385"/>
      <c r="Y31" s="385"/>
      <c r="Z31" s="385"/>
    </row>
    <row r="32" spans="4:26" s="277" customFormat="1" x14ac:dyDescent="0.3">
      <c r="D32" s="388" t="s">
        <v>725</v>
      </c>
      <c r="E32" s="388"/>
      <c r="F32" s="388"/>
      <c r="G32" s="388"/>
      <c r="I32" s="249" t="s">
        <v>126</v>
      </c>
      <c r="J32" s="250">
        <v>0</v>
      </c>
      <c r="K32" s="133">
        <v>0</v>
      </c>
      <c r="L32" s="251" t="s">
        <v>173</v>
      </c>
      <c r="M32" s="250">
        <v>0</v>
      </c>
      <c r="O32" s="281">
        <f t="shared" si="0"/>
        <v>0</v>
      </c>
      <c r="P32" s="279">
        <f t="shared" si="1"/>
        <v>0</v>
      </c>
      <c r="R32" s="279">
        <f t="shared" si="2"/>
        <v>0</v>
      </c>
      <c r="S32" s="279">
        <f t="shared" si="3"/>
        <v>0</v>
      </c>
      <c r="T32" s="279">
        <f t="shared" si="4"/>
        <v>0</v>
      </c>
      <c r="U32" s="279">
        <f t="shared" si="5"/>
        <v>0</v>
      </c>
      <c r="V32" s="297" t="str">
        <f t="shared" si="6"/>
        <v>per Day</v>
      </c>
      <c r="X32" s="385"/>
      <c r="Y32" s="385"/>
      <c r="Z32" s="385"/>
    </row>
    <row r="33" spans="4:26" s="277" customFormat="1" x14ac:dyDescent="0.3">
      <c r="D33" s="388" t="s">
        <v>726</v>
      </c>
      <c r="E33" s="388"/>
      <c r="F33" s="388"/>
      <c r="G33" s="388"/>
      <c r="I33" s="249" t="s">
        <v>126</v>
      </c>
      <c r="J33" s="250">
        <v>0</v>
      </c>
      <c r="K33" s="133">
        <v>0</v>
      </c>
      <c r="L33" s="251" t="s">
        <v>173</v>
      </c>
      <c r="M33" s="250">
        <v>0</v>
      </c>
      <c r="O33" s="281">
        <f t="shared" si="0"/>
        <v>0</v>
      </c>
      <c r="P33" s="279">
        <f t="shared" si="1"/>
        <v>0</v>
      </c>
      <c r="R33" s="279">
        <f t="shared" si="2"/>
        <v>0</v>
      </c>
      <c r="S33" s="279">
        <f t="shared" si="3"/>
        <v>0</v>
      </c>
      <c r="T33" s="279">
        <f t="shared" si="4"/>
        <v>0</v>
      </c>
      <c r="U33" s="279">
        <f t="shared" si="5"/>
        <v>0</v>
      </c>
      <c r="V33" s="297" t="str">
        <f t="shared" si="6"/>
        <v>per Day</v>
      </c>
      <c r="X33" s="385"/>
      <c r="Y33" s="385"/>
      <c r="Z33" s="385"/>
    </row>
    <row r="34" spans="4:26" s="277" customFormat="1" x14ac:dyDescent="0.3">
      <c r="D34" s="388" t="s">
        <v>727</v>
      </c>
      <c r="E34" s="388"/>
      <c r="F34" s="388"/>
      <c r="G34" s="388"/>
      <c r="I34" s="249" t="s">
        <v>126</v>
      </c>
      <c r="J34" s="250">
        <v>0</v>
      </c>
      <c r="K34" s="133">
        <v>0</v>
      </c>
      <c r="L34" s="251" t="s">
        <v>173</v>
      </c>
      <c r="M34" s="250">
        <v>0</v>
      </c>
      <c r="O34" s="281">
        <f t="shared" si="0"/>
        <v>0</v>
      </c>
      <c r="P34" s="279">
        <f t="shared" si="1"/>
        <v>0</v>
      </c>
      <c r="R34" s="279">
        <f t="shared" si="2"/>
        <v>0</v>
      </c>
      <c r="S34" s="279">
        <f t="shared" si="3"/>
        <v>0</v>
      </c>
      <c r="T34" s="279">
        <f t="shared" si="4"/>
        <v>0</v>
      </c>
      <c r="U34" s="279">
        <f t="shared" si="5"/>
        <v>0</v>
      </c>
      <c r="V34" s="297" t="str">
        <f t="shared" si="6"/>
        <v>per Day</v>
      </c>
      <c r="X34" s="385"/>
      <c r="Y34" s="385"/>
      <c r="Z34" s="385"/>
    </row>
    <row r="35" spans="4:26" s="277" customFormat="1" x14ac:dyDescent="0.3">
      <c r="D35" s="388" t="s">
        <v>728</v>
      </c>
      <c r="E35" s="388"/>
      <c r="F35" s="388"/>
      <c r="G35" s="388"/>
      <c r="I35" s="249" t="s">
        <v>126</v>
      </c>
      <c r="J35" s="250">
        <v>0</v>
      </c>
      <c r="K35" s="133">
        <v>0</v>
      </c>
      <c r="L35" s="251" t="s">
        <v>173</v>
      </c>
      <c r="M35" s="250">
        <v>0</v>
      </c>
      <c r="O35" s="281">
        <f t="shared" si="0"/>
        <v>0</v>
      </c>
      <c r="P35" s="279">
        <f t="shared" si="1"/>
        <v>0</v>
      </c>
      <c r="R35" s="279">
        <f t="shared" si="2"/>
        <v>0</v>
      </c>
      <c r="S35" s="279">
        <f t="shared" si="3"/>
        <v>0</v>
      </c>
      <c r="T35" s="279">
        <f t="shared" si="4"/>
        <v>0</v>
      </c>
      <c r="U35" s="279">
        <f t="shared" si="5"/>
        <v>0</v>
      </c>
      <c r="V35" s="297" t="str">
        <f t="shared" si="6"/>
        <v>per Day</v>
      </c>
      <c r="X35" s="385"/>
      <c r="Y35" s="385"/>
      <c r="Z35" s="385"/>
    </row>
    <row r="36" spans="4:26" s="277" customFormat="1" x14ac:dyDescent="0.3">
      <c r="D36" s="388" t="s">
        <v>729</v>
      </c>
      <c r="E36" s="388"/>
      <c r="F36" s="388"/>
      <c r="G36" s="388"/>
      <c r="I36" s="249" t="s">
        <v>126</v>
      </c>
      <c r="J36" s="250">
        <v>0</v>
      </c>
      <c r="K36" s="133">
        <v>0</v>
      </c>
      <c r="L36" s="251" t="s">
        <v>173</v>
      </c>
      <c r="M36" s="250">
        <v>0</v>
      </c>
      <c r="O36" s="281">
        <f t="shared" si="0"/>
        <v>0</v>
      </c>
      <c r="P36" s="279">
        <f t="shared" si="1"/>
        <v>0</v>
      </c>
      <c r="R36" s="279">
        <f t="shared" si="2"/>
        <v>0</v>
      </c>
      <c r="S36" s="279">
        <f t="shared" si="3"/>
        <v>0</v>
      </c>
      <c r="T36" s="279">
        <f t="shared" si="4"/>
        <v>0</v>
      </c>
      <c r="U36" s="279">
        <f t="shared" si="5"/>
        <v>0</v>
      </c>
      <c r="V36" s="297" t="str">
        <f t="shared" si="6"/>
        <v>per Day</v>
      </c>
      <c r="X36" s="385"/>
      <c r="Y36" s="385"/>
      <c r="Z36" s="385"/>
    </row>
    <row r="37" spans="4:26" s="277" customFormat="1" x14ac:dyDescent="0.3">
      <c r="D37" s="388" t="s">
        <v>730</v>
      </c>
      <c r="E37" s="388"/>
      <c r="F37" s="388"/>
      <c r="G37" s="388"/>
      <c r="I37" s="249" t="s">
        <v>126</v>
      </c>
      <c r="J37" s="250">
        <v>0</v>
      </c>
      <c r="K37" s="133">
        <v>0</v>
      </c>
      <c r="L37" s="251" t="s">
        <v>173</v>
      </c>
      <c r="M37" s="250">
        <v>0</v>
      </c>
      <c r="O37" s="281">
        <f t="shared" si="0"/>
        <v>0</v>
      </c>
      <c r="P37" s="279">
        <f t="shared" si="1"/>
        <v>0</v>
      </c>
      <c r="R37" s="279">
        <f t="shared" si="2"/>
        <v>0</v>
      </c>
      <c r="S37" s="279">
        <f t="shared" si="3"/>
        <v>0</v>
      </c>
      <c r="T37" s="279">
        <f t="shared" si="4"/>
        <v>0</v>
      </c>
      <c r="U37" s="279">
        <f t="shared" si="5"/>
        <v>0</v>
      </c>
      <c r="V37" s="297" t="str">
        <f t="shared" si="6"/>
        <v>per Day</v>
      </c>
      <c r="X37" s="385"/>
      <c r="Y37" s="385"/>
      <c r="Z37" s="385"/>
    </row>
    <row r="38" spans="4:26" s="277" customFormat="1" x14ac:dyDescent="0.3">
      <c r="D38" s="388" t="s">
        <v>731</v>
      </c>
      <c r="E38" s="388"/>
      <c r="F38" s="388"/>
      <c r="G38" s="388"/>
      <c r="I38" s="249" t="s">
        <v>126</v>
      </c>
      <c r="J38" s="250">
        <v>0</v>
      </c>
      <c r="K38" s="133">
        <v>0</v>
      </c>
      <c r="L38" s="251" t="s">
        <v>173</v>
      </c>
      <c r="M38" s="250">
        <v>0</v>
      </c>
      <c r="O38" s="281">
        <f t="shared" si="0"/>
        <v>0</v>
      </c>
      <c r="P38" s="279">
        <f t="shared" si="1"/>
        <v>0</v>
      </c>
      <c r="R38" s="279">
        <f t="shared" si="2"/>
        <v>0</v>
      </c>
      <c r="S38" s="279">
        <f t="shared" si="3"/>
        <v>0</v>
      </c>
      <c r="T38" s="279">
        <f t="shared" si="4"/>
        <v>0</v>
      </c>
      <c r="U38" s="279">
        <f t="shared" si="5"/>
        <v>0</v>
      </c>
      <c r="V38" s="297" t="str">
        <f t="shared" si="6"/>
        <v>per Day</v>
      </c>
      <c r="X38" s="385"/>
      <c r="Y38" s="385"/>
      <c r="Z38" s="385"/>
    </row>
    <row r="39" spans="4:26" s="277" customFormat="1" x14ac:dyDescent="0.3">
      <c r="D39" s="388" t="s">
        <v>732</v>
      </c>
      <c r="E39" s="388"/>
      <c r="F39" s="388"/>
      <c r="G39" s="388"/>
      <c r="I39" s="249" t="s">
        <v>126</v>
      </c>
      <c r="J39" s="250">
        <v>0</v>
      </c>
      <c r="K39" s="133">
        <v>0</v>
      </c>
      <c r="L39" s="251" t="s">
        <v>173</v>
      </c>
      <c r="M39" s="250">
        <v>0</v>
      </c>
      <c r="O39" s="281">
        <f t="shared" si="0"/>
        <v>0</v>
      </c>
      <c r="P39" s="279">
        <f t="shared" si="1"/>
        <v>0</v>
      </c>
      <c r="R39" s="279">
        <f t="shared" si="2"/>
        <v>0</v>
      </c>
      <c r="S39" s="279">
        <f t="shared" si="3"/>
        <v>0</v>
      </c>
      <c r="T39" s="279">
        <f t="shared" si="4"/>
        <v>0</v>
      </c>
      <c r="U39" s="279">
        <f t="shared" si="5"/>
        <v>0</v>
      </c>
      <c r="V39" s="297" t="str">
        <f t="shared" si="6"/>
        <v>per Day</v>
      </c>
      <c r="X39" s="385"/>
      <c r="Y39" s="385"/>
      <c r="Z39" s="385"/>
    </row>
    <row r="40" spans="4:26" s="277" customFormat="1" x14ac:dyDescent="0.3">
      <c r="D40" s="388" t="s">
        <v>733</v>
      </c>
      <c r="E40" s="388"/>
      <c r="F40" s="388"/>
      <c r="G40" s="388"/>
      <c r="I40" s="249" t="s">
        <v>126</v>
      </c>
      <c r="J40" s="250">
        <v>0</v>
      </c>
      <c r="K40" s="133">
        <v>0</v>
      </c>
      <c r="L40" s="251" t="s">
        <v>173</v>
      </c>
      <c r="M40" s="250">
        <v>0</v>
      </c>
      <c r="O40" s="281">
        <f t="shared" si="0"/>
        <v>0</v>
      </c>
      <c r="P40" s="279">
        <f t="shared" si="1"/>
        <v>0</v>
      </c>
      <c r="R40" s="279">
        <f t="shared" si="2"/>
        <v>0</v>
      </c>
      <c r="S40" s="279">
        <f t="shared" si="3"/>
        <v>0</v>
      </c>
      <c r="T40" s="279">
        <f t="shared" si="4"/>
        <v>0</v>
      </c>
      <c r="U40" s="279">
        <f t="shared" si="5"/>
        <v>0</v>
      </c>
      <c r="V40" s="297" t="str">
        <f t="shared" si="6"/>
        <v>per Day</v>
      </c>
      <c r="X40" s="385"/>
      <c r="Y40" s="385"/>
      <c r="Z40" s="385"/>
    </row>
    <row r="41" spans="4:26" s="277" customFormat="1" x14ac:dyDescent="0.3">
      <c r="D41" s="388" t="s">
        <v>734</v>
      </c>
      <c r="E41" s="388"/>
      <c r="F41" s="388"/>
      <c r="G41" s="388"/>
      <c r="I41" s="249" t="s">
        <v>126</v>
      </c>
      <c r="J41" s="250">
        <v>0</v>
      </c>
      <c r="K41" s="133">
        <v>0</v>
      </c>
      <c r="L41" s="251" t="s">
        <v>173</v>
      </c>
      <c r="M41" s="250">
        <v>0</v>
      </c>
      <c r="O41" s="281">
        <f t="shared" si="0"/>
        <v>0</v>
      </c>
      <c r="P41" s="279">
        <f t="shared" si="1"/>
        <v>0</v>
      </c>
      <c r="R41" s="279">
        <f t="shared" si="2"/>
        <v>0</v>
      </c>
      <c r="S41" s="279">
        <f t="shared" si="3"/>
        <v>0</v>
      </c>
      <c r="T41" s="279">
        <f t="shared" si="4"/>
        <v>0</v>
      </c>
      <c r="U41" s="279">
        <f t="shared" si="5"/>
        <v>0</v>
      </c>
      <c r="V41" s="297" t="str">
        <f t="shared" si="6"/>
        <v>per Day</v>
      </c>
      <c r="X41" s="385"/>
      <c r="Y41" s="385"/>
      <c r="Z41" s="385"/>
    </row>
    <row r="42" spans="4:26" s="277" customFormat="1" x14ac:dyDescent="0.3">
      <c r="D42" s="388" t="s">
        <v>735</v>
      </c>
      <c r="E42" s="388"/>
      <c r="F42" s="388"/>
      <c r="G42" s="388"/>
      <c r="I42" s="249" t="s">
        <v>126</v>
      </c>
      <c r="J42" s="250">
        <v>0</v>
      </c>
      <c r="K42" s="133">
        <v>0</v>
      </c>
      <c r="L42" s="251" t="s">
        <v>173</v>
      </c>
      <c r="M42" s="250">
        <v>0</v>
      </c>
      <c r="O42" s="281">
        <f t="shared" si="0"/>
        <v>0</v>
      </c>
      <c r="P42" s="279">
        <f t="shared" si="1"/>
        <v>0</v>
      </c>
      <c r="R42" s="279">
        <f t="shared" si="2"/>
        <v>0</v>
      </c>
      <c r="S42" s="279">
        <f t="shared" si="3"/>
        <v>0</v>
      </c>
      <c r="T42" s="279">
        <f t="shared" si="4"/>
        <v>0</v>
      </c>
      <c r="U42" s="279">
        <f t="shared" si="5"/>
        <v>0</v>
      </c>
      <c r="V42" s="297" t="str">
        <f t="shared" si="6"/>
        <v>per Day</v>
      </c>
      <c r="X42" s="385"/>
      <c r="Y42" s="385"/>
      <c r="Z42" s="385"/>
    </row>
    <row r="43" spans="4:26" s="277" customFormat="1" x14ac:dyDescent="0.3">
      <c r="D43" s="388" t="s">
        <v>736</v>
      </c>
      <c r="E43" s="388"/>
      <c r="F43" s="388"/>
      <c r="G43" s="388"/>
      <c r="I43" s="249" t="s">
        <v>126</v>
      </c>
      <c r="J43" s="250">
        <v>0</v>
      </c>
      <c r="K43" s="133">
        <v>0</v>
      </c>
      <c r="L43" s="251" t="s">
        <v>173</v>
      </c>
      <c r="M43" s="250">
        <v>0</v>
      </c>
      <c r="O43" s="281">
        <f t="shared" si="0"/>
        <v>0</v>
      </c>
      <c r="P43" s="279">
        <f t="shared" si="1"/>
        <v>0</v>
      </c>
      <c r="R43" s="279">
        <f t="shared" si="2"/>
        <v>0</v>
      </c>
      <c r="S43" s="279">
        <f t="shared" si="3"/>
        <v>0</v>
      </c>
      <c r="T43" s="279">
        <f t="shared" si="4"/>
        <v>0</v>
      </c>
      <c r="U43" s="279">
        <f t="shared" si="5"/>
        <v>0</v>
      </c>
      <c r="V43" s="297" t="str">
        <f t="shared" si="6"/>
        <v>per Day</v>
      </c>
      <c r="X43" s="385"/>
      <c r="Y43" s="385"/>
      <c r="Z43" s="385"/>
    </row>
    <row r="44" spans="4:26" s="277" customFormat="1" x14ac:dyDescent="0.3">
      <c r="D44" s="388" t="s">
        <v>737</v>
      </c>
      <c r="E44" s="388"/>
      <c r="F44" s="388"/>
      <c r="G44" s="388"/>
      <c r="I44" s="249" t="s">
        <v>126</v>
      </c>
      <c r="J44" s="250">
        <v>0</v>
      </c>
      <c r="K44" s="133">
        <v>0</v>
      </c>
      <c r="L44" s="251" t="s">
        <v>173</v>
      </c>
      <c r="M44" s="250">
        <v>0</v>
      </c>
      <c r="O44" s="281">
        <f t="shared" si="0"/>
        <v>0</v>
      </c>
      <c r="P44" s="279">
        <f t="shared" si="1"/>
        <v>0</v>
      </c>
      <c r="R44" s="279">
        <f t="shared" si="2"/>
        <v>0</v>
      </c>
      <c r="S44" s="279">
        <f t="shared" si="3"/>
        <v>0</v>
      </c>
      <c r="T44" s="279">
        <f t="shared" si="4"/>
        <v>0</v>
      </c>
      <c r="U44" s="279">
        <f t="shared" si="5"/>
        <v>0</v>
      </c>
      <c r="V44" s="297" t="str">
        <f t="shared" si="6"/>
        <v>per Day</v>
      </c>
      <c r="X44" s="385"/>
      <c r="Y44" s="385"/>
      <c r="Z44" s="385"/>
    </row>
    <row r="45" spans="4:26" s="277" customFormat="1" x14ac:dyDescent="0.3">
      <c r="D45" s="388" t="s">
        <v>738</v>
      </c>
      <c r="E45" s="388"/>
      <c r="F45" s="388"/>
      <c r="G45" s="388"/>
      <c r="I45" s="249" t="s">
        <v>126</v>
      </c>
      <c r="J45" s="250">
        <v>0</v>
      </c>
      <c r="K45" s="133">
        <v>0</v>
      </c>
      <c r="L45" s="251" t="s">
        <v>173</v>
      </c>
      <c r="M45" s="250">
        <v>0</v>
      </c>
      <c r="O45" s="281">
        <f t="shared" si="0"/>
        <v>0</v>
      </c>
      <c r="P45" s="279">
        <f t="shared" si="1"/>
        <v>0</v>
      </c>
      <c r="R45" s="279">
        <f t="shared" si="2"/>
        <v>0</v>
      </c>
      <c r="S45" s="279">
        <f t="shared" si="3"/>
        <v>0</v>
      </c>
      <c r="T45" s="279">
        <f t="shared" si="4"/>
        <v>0</v>
      </c>
      <c r="U45" s="279">
        <f t="shared" si="5"/>
        <v>0</v>
      </c>
      <c r="V45" s="297" t="str">
        <f t="shared" si="6"/>
        <v>per Day</v>
      </c>
      <c r="X45" s="385"/>
      <c r="Y45" s="385"/>
      <c r="Z45" s="385"/>
    </row>
    <row r="46" spans="4:26" s="277" customFormat="1" x14ac:dyDescent="0.3">
      <c r="D46" s="388" t="s">
        <v>739</v>
      </c>
      <c r="E46" s="388"/>
      <c r="F46" s="388"/>
      <c r="G46" s="388"/>
      <c r="I46" s="249" t="s">
        <v>126</v>
      </c>
      <c r="J46" s="250">
        <v>0</v>
      </c>
      <c r="K46" s="133">
        <v>0</v>
      </c>
      <c r="L46" s="251" t="s">
        <v>173</v>
      </c>
      <c r="M46" s="250">
        <v>0</v>
      </c>
      <c r="O46" s="281">
        <f t="shared" si="0"/>
        <v>0</v>
      </c>
      <c r="P46" s="279">
        <f t="shared" si="1"/>
        <v>0</v>
      </c>
      <c r="R46" s="279">
        <f t="shared" si="2"/>
        <v>0</v>
      </c>
      <c r="S46" s="279">
        <f t="shared" si="3"/>
        <v>0</v>
      </c>
      <c r="T46" s="279">
        <f t="shared" si="4"/>
        <v>0</v>
      </c>
      <c r="U46" s="279">
        <f t="shared" si="5"/>
        <v>0</v>
      </c>
      <c r="V46" s="297" t="str">
        <f t="shared" si="6"/>
        <v>per Day</v>
      </c>
      <c r="X46" s="385"/>
      <c r="Y46" s="385"/>
      <c r="Z46" s="385"/>
    </row>
    <row r="47" spans="4:26" s="277" customFormat="1" x14ac:dyDescent="0.3">
      <c r="D47" s="388" t="s">
        <v>740</v>
      </c>
      <c r="E47" s="388"/>
      <c r="F47" s="388"/>
      <c r="G47" s="388"/>
      <c r="I47" s="249" t="s">
        <v>126</v>
      </c>
      <c r="J47" s="250">
        <v>0</v>
      </c>
      <c r="K47" s="133">
        <v>0</v>
      </c>
      <c r="L47" s="251" t="s">
        <v>173</v>
      </c>
      <c r="M47" s="250">
        <v>0</v>
      </c>
      <c r="O47" s="281">
        <f t="shared" si="0"/>
        <v>0</v>
      </c>
      <c r="P47" s="279">
        <f t="shared" si="1"/>
        <v>0</v>
      </c>
      <c r="R47" s="279">
        <f t="shared" si="2"/>
        <v>0</v>
      </c>
      <c r="S47" s="279">
        <f t="shared" si="3"/>
        <v>0</v>
      </c>
      <c r="T47" s="279">
        <f t="shared" si="4"/>
        <v>0</v>
      </c>
      <c r="U47" s="279">
        <f t="shared" si="5"/>
        <v>0</v>
      </c>
      <c r="V47" s="297" t="str">
        <f t="shared" si="6"/>
        <v>per Day</v>
      </c>
      <c r="X47" s="385"/>
      <c r="Y47" s="385"/>
      <c r="Z47" s="385"/>
    </row>
    <row r="48" spans="4:26" s="277" customFormat="1" x14ac:dyDescent="0.3">
      <c r="D48" s="388" t="s">
        <v>741</v>
      </c>
      <c r="E48" s="388"/>
      <c r="F48" s="388"/>
      <c r="G48" s="388"/>
      <c r="I48" s="249" t="s">
        <v>126</v>
      </c>
      <c r="J48" s="250">
        <v>0</v>
      </c>
      <c r="K48" s="133">
        <v>0</v>
      </c>
      <c r="L48" s="251" t="s">
        <v>173</v>
      </c>
      <c r="M48" s="250">
        <v>0</v>
      </c>
      <c r="O48" s="281">
        <f t="shared" si="0"/>
        <v>0</v>
      </c>
      <c r="P48" s="279">
        <f t="shared" si="1"/>
        <v>0</v>
      </c>
      <c r="R48" s="279">
        <f t="shared" si="2"/>
        <v>0</v>
      </c>
      <c r="S48" s="279">
        <f t="shared" si="3"/>
        <v>0</v>
      </c>
      <c r="T48" s="279">
        <f t="shared" si="4"/>
        <v>0</v>
      </c>
      <c r="U48" s="279">
        <f t="shared" si="5"/>
        <v>0</v>
      </c>
      <c r="V48" s="297" t="str">
        <f t="shared" si="6"/>
        <v>per Day</v>
      </c>
      <c r="X48" s="385"/>
      <c r="Y48" s="385"/>
      <c r="Z48" s="385"/>
    </row>
    <row r="50" spans="3:26" ht="14.4" x14ac:dyDescent="0.3">
      <c r="D50" s="90" t="s">
        <v>574</v>
      </c>
    </row>
    <row r="51" spans="3:26" ht="15.6" x14ac:dyDescent="0.3">
      <c r="C51" s="92" t="s">
        <v>164</v>
      </c>
    </row>
    <row r="52" spans="3:26" ht="27.6" x14ac:dyDescent="0.3">
      <c r="D52" s="381" t="s">
        <v>167</v>
      </c>
      <c r="E52" s="382"/>
      <c r="F52" s="382"/>
      <c r="G52" s="382"/>
      <c r="I52" s="91" t="s">
        <v>168</v>
      </c>
      <c r="J52" s="42" t="s">
        <v>178</v>
      </c>
      <c r="K52" s="42" t="s">
        <v>179</v>
      </c>
      <c r="L52" s="91" t="s">
        <v>169</v>
      </c>
      <c r="M52" s="91" t="s">
        <v>170</v>
      </c>
      <c r="O52" s="44" t="str">
        <f>"Financial "&amp;$I$10</f>
        <v>Financial GOZ</v>
      </c>
      <c r="P52" s="44" t="str">
        <f>"Economic "&amp;$I$10</f>
        <v>Economic GOZ</v>
      </c>
      <c r="R52" s="44" t="str">
        <f>"Financial "&amp;$D$216</f>
        <v>Financial USD</v>
      </c>
      <c r="S52" s="44" t="str">
        <f>"Economic "&amp;$D$216</f>
        <v>Economic USD</v>
      </c>
      <c r="T52" s="44" t="str">
        <f>"Financial "&amp;$D$217</f>
        <v>Financial GOZ</v>
      </c>
      <c r="U52" s="44" t="str">
        <f>"Economic "&amp;$D$217</f>
        <v>Economic GOZ</v>
      </c>
      <c r="V52" s="91" t="s">
        <v>171</v>
      </c>
      <c r="X52" s="381" t="s">
        <v>172</v>
      </c>
      <c r="Y52" s="382"/>
      <c r="Z52" s="382"/>
    </row>
    <row r="53" spans="3:26" x14ac:dyDescent="0.3">
      <c r="D53" s="388" t="s">
        <v>910</v>
      </c>
      <c r="E53" s="388"/>
      <c r="F53" s="388"/>
      <c r="G53" s="388"/>
      <c r="I53" s="276"/>
      <c r="J53" s="48">
        <v>0</v>
      </c>
      <c r="K53" s="48">
        <v>0</v>
      </c>
      <c r="L53" s="276"/>
      <c r="M53" s="48">
        <v>0</v>
      </c>
      <c r="O53" s="40">
        <f t="shared" ref="O53:O87" si="7">IFERROR(J53/M53,0)</f>
        <v>0</v>
      </c>
      <c r="P53" s="40">
        <f t="shared" ref="P53:P87" si="8">IFERROR(K53/M53,0)</f>
        <v>0</v>
      </c>
      <c r="R53" s="320">
        <f t="shared" ref="R53:R87" si="9">IFERROR(IF(RES_Appl_Currency=$D$216,O53,O53/$J$217), 0)</f>
        <v>0</v>
      </c>
      <c r="S53" s="320">
        <f t="shared" ref="S53:S87" si="10">IFERROR(IF(RES_Appl_Currency=$D$216,P53,P53/$J$217), 0)</f>
        <v>0</v>
      </c>
      <c r="T53" s="40">
        <f t="shared" ref="T53:T87" si="11">IF(RES_Appl_Currency=$D$216,O53*$J$217,O53)</f>
        <v>0</v>
      </c>
      <c r="U53" s="40">
        <f t="shared" ref="U53:U87" si="12">IF(RES_Appl_Currency=$D$216,P53*$J$217,P53)</f>
        <v>0</v>
      </c>
      <c r="V53" s="106" t="str">
        <f t="shared" ref="V53:V87" si="13">"per "&amp;$L53&amp;""</f>
        <v xml:space="preserve">per </v>
      </c>
      <c r="X53" s="356"/>
      <c r="Y53" s="356"/>
      <c r="Z53" s="356"/>
    </row>
    <row r="54" spans="3:26" x14ac:dyDescent="0.3">
      <c r="D54" s="388" t="s">
        <v>911</v>
      </c>
      <c r="E54" s="388"/>
      <c r="F54" s="388"/>
      <c r="G54" s="388"/>
      <c r="I54" s="276"/>
      <c r="J54" s="48">
        <v>0</v>
      </c>
      <c r="K54" s="48">
        <v>0</v>
      </c>
      <c r="L54" s="276"/>
      <c r="M54" s="48">
        <v>0</v>
      </c>
      <c r="O54" s="40">
        <f t="shared" si="7"/>
        <v>0</v>
      </c>
      <c r="P54" s="40">
        <f t="shared" si="8"/>
        <v>0</v>
      </c>
      <c r="R54" s="320">
        <f t="shared" si="9"/>
        <v>0</v>
      </c>
      <c r="S54" s="320">
        <f t="shared" si="10"/>
        <v>0</v>
      </c>
      <c r="T54" s="40">
        <f t="shared" si="11"/>
        <v>0</v>
      </c>
      <c r="U54" s="40">
        <f t="shared" si="12"/>
        <v>0</v>
      </c>
      <c r="V54" s="106" t="str">
        <f t="shared" si="13"/>
        <v xml:space="preserve">per </v>
      </c>
      <c r="X54" s="356"/>
      <c r="Y54" s="356"/>
      <c r="Z54" s="356"/>
    </row>
    <row r="55" spans="3:26" x14ac:dyDescent="0.3">
      <c r="D55" s="388" t="s">
        <v>912</v>
      </c>
      <c r="E55" s="388"/>
      <c r="F55" s="388"/>
      <c r="G55" s="388"/>
      <c r="I55" s="276"/>
      <c r="J55" s="48">
        <v>0</v>
      </c>
      <c r="K55" s="48">
        <v>0</v>
      </c>
      <c r="L55" s="276"/>
      <c r="M55" s="48">
        <v>0</v>
      </c>
      <c r="O55" s="40">
        <f t="shared" si="7"/>
        <v>0</v>
      </c>
      <c r="P55" s="40">
        <f t="shared" si="8"/>
        <v>0</v>
      </c>
      <c r="R55" s="320">
        <f t="shared" si="9"/>
        <v>0</v>
      </c>
      <c r="S55" s="320">
        <f t="shared" si="10"/>
        <v>0</v>
      </c>
      <c r="T55" s="40">
        <f t="shared" si="11"/>
        <v>0</v>
      </c>
      <c r="U55" s="40">
        <f t="shared" si="12"/>
        <v>0</v>
      </c>
      <c r="V55" s="106" t="str">
        <f t="shared" si="13"/>
        <v xml:space="preserve">per </v>
      </c>
      <c r="X55" s="356"/>
      <c r="Y55" s="356"/>
      <c r="Z55" s="356"/>
    </row>
    <row r="56" spans="3:26" x14ac:dyDescent="0.3">
      <c r="D56" s="388" t="s">
        <v>913</v>
      </c>
      <c r="E56" s="388"/>
      <c r="F56" s="388"/>
      <c r="G56" s="388"/>
      <c r="I56" s="276"/>
      <c r="J56" s="48">
        <v>0</v>
      </c>
      <c r="K56" s="48">
        <v>0</v>
      </c>
      <c r="L56" s="276"/>
      <c r="M56" s="48">
        <v>0</v>
      </c>
      <c r="O56" s="40">
        <f t="shared" si="7"/>
        <v>0</v>
      </c>
      <c r="P56" s="40">
        <f t="shared" si="8"/>
        <v>0</v>
      </c>
      <c r="R56" s="320">
        <f t="shared" si="9"/>
        <v>0</v>
      </c>
      <c r="S56" s="320">
        <f t="shared" si="10"/>
        <v>0</v>
      </c>
      <c r="T56" s="40">
        <f t="shared" si="11"/>
        <v>0</v>
      </c>
      <c r="U56" s="40">
        <f t="shared" si="12"/>
        <v>0</v>
      </c>
      <c r="V56" s="106" t="str">
        <f t="shared" si="13"/>
        <v xml:space="preserve">per </v>
      </c>
      <c r="X56" s="356"/>
      <c r="Y56" s="356"/>
      <c r="Z56" s="356"/>
    </row>
    <row r="57" spans="3:26" x14ac:dyDescent="0.3">
      <c r="D57" s="388" t="s">
        <v>914</v>
      </c>
      <c r="E57" s="388"/>
      <c r="F57" s="388"/>
      <c r="G57" s="388"/>
      <c r="I57" s="276"/>
      <c r="J57" s="48">
        <v>0</v>
      </c>
      <c r="K57" s="48">
        <v>0</v>
      </c>
      <c r="L57" s="276"/>
      <c r="M57" s="48">
        <v>0</v>
      </c>
      <c r="O57" s="40">
        <f t="shared" si="7"/>
        <v>0</v>
      </c>
      <c r="P57" s="40">
        <f t="shared" si="8"/>
        <v>0</v>
      </c>
      <c r="R57" s="320">
        <f t="shared" si="9"/>
        <v>0</v>
      </c>
      <c r="S57" s="320">
        <f t="shared" si="10"/>
        <v>0</v>
      </c>
      <c r="T57" s="40">
        <f t="shared" si="11"/>
        <v>0</v>
      </c>
      <c r="U57" s="40">
        <f t="shared" si="12"/>
        <v>0</v>
      </c>
      <c r="V57" s="106" t="str">
        <f t="shared" si="13"/>
        <v xml:space="preserve">per </v>
      </c>
      <c r="X57" s="356"/>
      <c r="Y57" s="356"/>
      <c r="Z57" s="356"/>
    </row>
    <row r="58" spans="3:26" s="277" customFormat="1" x14ac:dyDescent="0.3">
      <c r="D58" s="356" t="s">
        <v>713</v>
      </c>
      <c r="E58" s="356"/>
      <c r="F58" s="356"/>
      <c r="G58" s="356"/>
      <c r="I58" s="298"/>
      <c r="J58" s="48">
        <v>0</v>
      </c>
      <c r="K58" s="48">
        <v>0</v>
      </c>
      <c r="L58" s="298"/>
      <c r="M58" s="48">
        <v>0</v>
      </c>
      <c r="O58" s="279">
        <f t="shared" si="7"/>
        <v>0</v>
      </c>
      <c r="P58" s="279">
        <f t="shared" si="8"/>
        <v>0</v>
      </c>
      <c r="R58" s="284">
        <f t="shared" si="9"/>
        <v>0</v>
      </c>
      <c r="S58" s="284">
        <f t="shared" si="10"/>
        <v>0</v>
      </c>
      <c r="T58" s="279">
        <f t="shared" si="11"/>
        <v>0</v>
      </c>
      <c r="U58" s="279">
        <f t="shared" si="12"/>
        <v>0</v>
      </c>
      <c r="V58" s="285" t="str">
        <f t="shared" si="13"/>
        <v xml:space="preserve">per </v>
      </c>
      <c r="X58" s="385"/>
      <c r="Y58" s="385"/>
      <c r="Z58" s="385"/>
    </row>
    <row r="59" spans="3:26" s="277" customFormat="1" x14ac:dyDescent="0.3">
      <c r="D59" s="356" t="s">
        <v>714</v>
      </c>
      <c r="E59" s="356"/>
      <c r="F59" s="356"/>
      <c r="G59" s="356"/>
      <c r="I59" s="298"/>
      <c r="J59" s="48">
        <v>0</v>
      </c>
      <c r="K59" s="48">
        <v>0</v>
      </c>
      <c r="L59" s="298"/>
      <c r="M59" s="48">
        <v>0</v>
      </c>
      <c r="O59" s="279">
        <f t="shared" si="7"/>
        <v>0</v>
      </c>
      <c r="P59" s="279">
        <f t="shared" si="8"/>
        <v>0</v>
      </c>
      <c r="R59" s="284">
        <f t="shared" si="9"/>
        <v>0</v>
      </c>
      <c r="S59" s="284">
        <f t="shared" si="10"/>
        <v>0</v>
      </c>
      <c r="T59" s="279">
        <f t="shared" si="11"/>
        <v>0</v>
      </c>
      <c r="U59" s="279">
        <f t="shared" si="12"/>
        <v>0</v>
      </c>
      <c r="V59" s="285" t="str">
        <f t="shared" si="13"/>
        <v xml:space="preserve">per </v>
      </c>
      <c r="X59" s="385"/>
      <c r="Y59" s="385"/>
      <c r="Z59" s="385"/>
    </row>
    <row r="60" spans="3:26" s="277" customFormat="1" x14ac:dyDescent="0.3">
      <c r="D60" s="356" t="s">
        <v>715</v>
      </c>
      <c r="E60" s="356"/>
      <c r="F60" s="356"/>
      <c r="G60" s="356"/>
      <c r="I60" s="298"/>
      <c r="J60" s="48">
        <v>0</v>
      </c>
      <c r="K60" s="48">
        <v>0</v>
      </c>
      <c r="L60" s="298"/>
      <c r="M60" s="48">
        <v>0</v>
      </c>
      <c r="O60" s="279">
        <f t="shared" si="7"/>
        <v>0</v>
      </c>
      <c r="P60" s="279">
        <f t="shared" si="8"/>
        <v>0</v>
      </c>
      <c r="R60" s="284">
        <f t="shared" si="9"/>
        <v>0</v>
      </c>
      <c r="S60" s="284">
        <f t="shared" si="10"/>
        <v>0</v>
      </c>
      <c r="T60" s="279">
        <f t="shared" si="11"/>
        <v>0</v>
      </c>
      <c r="U60" s="279">
        <f t="shared" si="12"/>
        <v>0</v>
      </c>
      <c r="V60" s="285" t="str">
        <f t="shared" si="13"/>
        <v xml:space="preserve">per </v>
      </c>
      <c r="X60" s="385"/>
      <c r="Y60" s="385"/>
      <c r="Z60" s="385"/>
    </row>
    <row r="61" spans="3:26" s="277" customFormat="1" x14ac:dyDescent="0.3">
      <c r="D61" s="356" t="s">
        <v>716</v>
      </c>
      <c r="E61" s="356"/>
      <c r="F61" s="356"/>
      <c r="G61" s="356"/>
      <c r="I61" s="298"/>
      <c r="J61" s="48">
        <v>0</v>
      </c>
      <c r="K61" s="48">
        <v>0</v>
      </c>
      <c r="L61" s="298"/>
      <c r="M61" s="48">
        <v>0</v>
      </c>
      <c r="O61" s="279">
        <f t="shared" si="7"/>
        <v>0</v>
      </c>
      <c r="P61" s="279">
        <f t="shared" si="8"/>
        <v>0</v>
      </c>
      <c r="R61" s="284">
        <f t="shared" si="9"/>
        <v>0</v>
      </c>
      <c r="S61" s="284">
        <f t="shared" si="10"/>
        <v>0</v>
      </c>
      <c r="T61" s="279">
        <f t="shared" si="11"/>
        <v>0</v>
      </c>
      <c r="U61" s="279">
        <f t="shared" si="12"/>
        <v>0</v>
      </c>
      <c r="V61" s="285" t="str">
        <f t="shared" si="13"/>
        <v xml:space="preserve">per </v>
      </c>
      <c r="X61" s="385"/>
      <c r="Y61" s="385"/>
      <c r="Z61" s="385"/>
    </row>
    <row r="62" spans="3:26" s="277" customFormat="1" x14ac:dyDescent="0.3">
      <c r="D62" s="356" t="s">
        <v>717</v>
      </c>
      <c r="E62" s="356"/>
      <c r="F62" s="356"/>
      <c r="G62" s="356"/>
      <c r="I62" s="298"/>
      <c r="J62" s="48">
        <v>0</v>
      </c>
      <c r="K62" s="48">
        <v>0</v>
      </c>
      <c r="L62" s="298"/>
      <c r="M62" s="48">
        <v>0</v>
      </c>
      <c r="O62" s="279">
        <f t="shared" si="7"/>
        <v>0</v>
      </c>
      <c r="P62" s="279">
        <f t="shared" si="8"/>
        <v>0</v>
      </c>
      <c r="R62" s="284">
        <f t="shared" si="9"/>
        <v>0</v>
      </c>
      <c r="S62" s="284">
        <f t="shared" si="10"/>
        <v>0</v>
      </c>
      <c r="T62" s="279">
        <f t="shared" si="11"/>
        <v>0</v>
      </c>
      <c r="U62" s="279">
        <f t="shared" si="12"/>
        <v>0</v>
      </c>
      <c r="V62" s="285" t="str">
        <f t="shared" si="13"/>
        <v xml:space="preserve">per </v>
      </c>
      <c r="X62" s="385"/>
      <c r="Y62" s="385"/>
      <c r="Z62" s="385"/>
    </row>
    <row r="63" spans="3:26" s="277" customFormat="1" x14ac:dyDescent="0.3">
      <c r="D63" s="356" t="s">
        <v>718</v>
      </c>
      <c r="E63" s="356"/>
      <c r="F63" s="356"/>
      <c r="G63" s="356"/>
      <c r="I63" s="298"/>
      <c r="J63" s="48">
        <v>0</v>
      </c>
      <c r="K63" s="48">
        <v>0</v>
      </c>
      <c r="L63" s="298"/>
      <c r="M63" s="48">
        <v>0</v>
      </c>
      <c r="O63" s="279">
        <f t="shared" si="7"/>
        <v>0</v>
      </c>
      <c r="P63" s="279">
        <f t="shared" si="8"/>
        <v>0</v>
      </c>
      <c r="R63" s="284">
        <f t="shared" si="9"/>
        <v>0</v>
      </c>
      <c r="S63" s="284">
        <f t="shared" si="10"/>
        <v>0</v>
      </c>
      <c r="T63" s="279">
        <f t="shared" si="11"/>
        <v>0</v>
      </c>
      <c r="U63" s="279">
        <f t="shared" si="12"/>
        <v>0</v>
      </c>
      <c r="V63" s="285" t="str">
        <f t="shared" si="13"/>
        <v xml:space="preserve">per </v>
      </c>
      <c r="X63" s="385"/>
      <c r="Y63" s="385"/>
      <c r="Z63" s="385"/>
    </row>
    <row r="64" spans="3:26" s="277" customFormat="1" x14ac:dyDescent="0.3">
      <c r="D64" s="356" t="s">
        <v>719</v>
      </c>
      <c r="E64" s="356"/>
      <c r="F64" s="356"/>
      <c r="G64" s="356"/>
      <c r="I64" s="298"/>
      <c r="J64" s="48">
        <v>0</v>
      </c>
      <c r="K64" s="48">
        <v>0</v>
      </c>
      <c r="L64" s="298"/>
      <c r="M64" s="48">
        <v>0</v>
      </c>
      <c r="O64" s="279">
        <f t="shared" si="7"/>
        <v>0</v>
      </c>
      <c r="P64" s="279">
        <f t="shared" si="8"/>
        <v>0</v>
      </c>
      <c r="R64" s="284">
        <f t="shared" si="9"/>
        <v>0</v>
      </c>
      <c r="S64" s="284">
        <f t="shared" si="10"/>
        <v>0</v>
      </c>
      <c r="T64" s="279">
        <f t="shared" si="11"/>
        <v>0</v>
      </c>
      <c r="U64" s="279">
        <f t="shared" si="12"/>
        <v>0</v>
      </c>
      <c r="V64" s="285" t="str">
        <f t="shared" si="13"/>
        <v xml:space="preserve">per </v>
      </c>
      <c r="X64" s="385"/>
      <c r="Y64" s="385"/>
      <c r="Z64" s="385"/>
    </row>
    <row r="65" spans="4:26" s="277" customFormat="1" x14ac:dyDescent="0.3">
      <c r="D65" s="356" t="s">
        <v>720</v>
      </c>
      <c r="E65" s="356"/>
      <c r="F65" s="356"/>
      <c r="G65" s="356"/>
      <c r="I65" s="298"/>
      <c r="J65" s="48">
        <v>0</v>
      </c>
      <c r="K65" s="48">
        <v>0</v>
      </c>
      <c r="L65" s="298"/>
      <c r="M65" s="48">
        <v>0</v>
      </c>
      <c r="O65" s="279">
        <f t="shared" si="7"/>
        <v>0</v>
      </c>
      <c r="P65" s="279">
        <f t="shared" si="8"/>
        <v>0</v>
      </c>
      <c r="R65" s="284">
        <f t="shared" si="9"/>
        <v>0</v>
      </c>
      <c r="S65" s="284">
        <f t="shared" si="10"/>
        <v>0</v>
      </c>
      <c r="T65" s="279">
        <f t="shared" si="11"/>
        <v>0</v>
      </c>
      <c r="U65" s="279">
        <f t="shared" si="12"/>
        <v>0</v>
      </c>
      <c r="V65" s="285" t="str">
        <f t="shared" si="13"/>
        <v xml:space="preserve">per </v>
      </c>
      <c r="X65" s="385"/>
      <c r="Y65" s="385"/>
      <c r="Z65" s="385"/>
    </row>
    <row r="66" spans="4:26" s="277" customFormat="1" x14ac:dyDescent="0.3">
      <c r="D66" s="356" t="s">
        <v>721</v>
      </c>
      <c r="E66" s="356"/>
      <c r="F66" s="356"/>
      <c r="G66" s="356"/>
      <c r="I66" s="298"/>
      <c r="J66" s="48">
        <v>0</v>
      </c>
      <c r="K66" s="48">
        <v>0</v>
      </c>
      <c r="L66" s="298"/>
      <c r="M66" s="48">
        <v>0</v>
      </c>
      <c r="O66" s="279">
        <f t="shared" si="7"/>
        <v>0</v>
      </c>
      <c r="P66" s="279">
        <f t="shared" si="8"/>
        <v>0</v>
      </c>
      <c r="R66" s="284">
        <f t="shared" si="9"/>
        <v>0</v>
      </c>
      <c r="S66" s="284">
        <f t="shared" si="10"/>
        <v>0</v>
      </c>
      <c r="T66" s="279">
        <f t="shared" si="11"/>
        <v>0</v>
      </c>
      <c r="U66" s="279">
        <f t="shared" si="12"/>
        <v>0</v>
      </c>
      <c r="V66" s="285" t="str">
        <f t="shared" si="13"/>
        <v xml:space="preserve">per </v>
      </c>
      <c r="X66" s="385"/>
      <c r="Y66" s="385"/>
      <c r="Z66" s="385"/>
    </row>
    <row r="67" spans="4:26" s="277" customFormat="1" x14ac:dyDescent="0.3">
      <c r="D67" s="356" t="s">
        <v>722</v>
      </c>
      <c r="E67" s="356"/>
      <c r="F67" s="356"/>
      <c r="G67" s="356"/>
      <c r="I67" s="298"/>
      <c r="J67" s="48">
        <v>0</v>
      </c>
      <c r="K67" s="48">
        <v>0</v>
      </c>
      <c r="L67" s="298"/>
      <c r="M67" s="48">
        <v>0</v>
      </c>
      <c r="O67" s="279">
        <f t="shared" si="7"/>
        <v>0</v>
      </c>
      <c r="P67" s="279">
        <f t="shared" si="8"/>
        <v>0</v>
      </c>
      <c r="R67" s="284">
        <f t="shared" si="9"/>
        <v>0</v>
      </c>
      <c r="S67" s="284">
        <f t="shared" si="10"/>
        <v>0</v>
      </c>
      <c r="T67" s="279">
        <f t="shared" si="11"/>
        <v>0</v>
      </c>
      <c r="U67" s="279">
        <f t="shared" si="12"/>
        <v>0</v>
      </c>
      <c r="V67" s="285" t="str">
        <f t="shared" si="13"/>
        <v xml:space="preserve">per </v>
      </c>
      <c r="X67" s="385"/>
      <c r="Y67" s="385"/>
      <c r="Z67" s="385"/>
    </row>
    <row r="68" spans="4:26" s="277" customFormat="1" x14ac:dyDescent="0.3">
      <c r="D68" s="356" t="s">
        <v>723</v>
      </c>
      <c r="E68" s="356"/>
      <c r="F68" s="356"/>
      <c r="G68" s="356"/>
      <c r="I68" s="298"/>
      <c r="J68" s="48">
        <v>0</v>
      </c>
      <c r="K68" s="48">
        <v>0</v>
      </c>
      <c r="L68" s="298"/>
      <c r="M68" s="48">
        <v>0</v>
      </c>
      <c r="O68" s="279">
        <f t="shared" si="7"/>
        <v>0</v>
      </c>
      <c r="P68" s="279">
        <f t="shared" si="8"/>
        <v>0</v>
      </c>
      <c r="R68" s="284">
        <f t="shared" si="9"/>
        <v>0</v>
      </c>
      <c r="S68" s="284">
        <f t="shared" si="10"/>
        <v>0</v>
      </c>
      <c r="T68" s="279">
        <f t="shared" si="11"/>
        <v>0</v>
      </c>
      <c r="U68" s="279">
        <f t="shared" si="12"/>
        <v>0</v>
      </c>
      <c r="V68" s="285" t="str">
        <f t="shared" si="13"/>
        <v xml:space="preserve">per </v>
      </c>
      <c r="X68" s="385"/>
      <c r="Y68" s="385"/>
      <c r="Z68" s="385"/>
    </row>
    <row r="69" spans="4:26" x14ac:dyDescent="0.3">
      <c r="D69" s="388" t="s">
        <v>915</v>
      </c>
      <c r="E69" s="388"/>
      <c r="F69" s="388"/>
      <c r="G69" s="388"/>
      <c r="I69" s="276"/>
      <c r="J69" s="48">
        <v>0</v>
      </c>
      <c r="K69" s="48">
        <v>0</v>
      </c>
      <c r="L69" s="276"/>
      <c r="M69" s="48">
        <v>0</v>
      </c>
      <c r="O69" s="40">
        <f t="shared" si="7"/>
        <v>0</v>
      </c>
      <c r="P69" s="40">
        <f t="shared" si="8"/>
        <v>0</v>
      </c>
      <c r="R69" s="320">
        <f t="shared" si="9"/>
        <v>0</v>
      </c>
      <c r="S69" s="320">
        <f t="shared" si="10"/>
        <v>0</v>
      </c>
      <c r="T69" s="40">
        <f t="shared" si="11"/>
        <v>0</v>
      </c>
      <c r="U69" s="40">
        <f t="shared" si="12"/>
        <v>0</v>
      </c>
      <c r="V69" s="106" t="str">
        <f t="shared" si="13"/>
        <v xml:space="preserve">per </v>
      </c>
      <c r="X69" s="356"/>
      <c r="Y69" s="356"/>
      <c r="Z69" s="356"/>
    </row>
    <row r="70" spans="4:26" x14ac:dyDescent="0.3">
      <c r="D70" s="388" t="s">
        <v>916</v>
      </c>
      <c r="E70" s="388"/>
      <c r="F70" s="388"/>
      <c r="G70" s="388"/>
      <c r="I70" s="276"/>
      <c r="J70" s="48">
        <v>0</v>
      </c>
      <c r="K70" s="48">
        <v>0</v>
      </c>
      <c r="L70" s="276"/>
      <c r="M70" s="48">
        <v>0</v>
      </c>
      <c r="O70" s="40">
        <f t="shared" si="7"/>
        <v>0</v>
      </c>
      <c r="P70" s="40">
        <f t="shared" si="8"/>
        <v>0</v>
      </c>
      <c r="R70" s="320">
        <f t="shared" si="9"/>
        <v>0</v>
      </c>
      <c r="S70" s="320">
        <f t="shared" si="10"/>
        <v>0</v>
      </c>
      <c r="T70" s="40">
        <f t="shared" si="11"/>
        <v>0</v>
      </c>
      <c r="U70" s="40">
        <f t="shared" si="12"/>
        <v>0</v>
      </c>
      <c r="V70" s="106" t="str">
        <f t="shared" si="13"/>
        <v xml:space="preserve">per </v>
      </c>
      <c r="X70" s="356"/>
      <c r="Y70" s="356"/>
      <c r="Z70" s="356"/>
    </row>
    <row r="71" spans="4:26" x14ac:dyDescent="0.3">
      <c r="D71" s="388" t="s">
        <v>917</v>
      </c>
      <c r="E71" s="388"/>
      <c r="F71" s="388"/>
      <c r="G71" s="388"/>
      <c r="I71" s="276"/>
      <c r="J71" s="48">
        <v>0</v>
      </c>
      <c r="K71" s="48">
        <v>0</v>
      </c>
      <c r="L71" s="276"/>
      <c r="M71" s="48">
        <v>0</v>
      </c>
      <c r="O71" s="40">
        <f t="shared" si="7"/>
        <v>0</v>
      </c>
      <c r="P71" s="40">
        <f t="shared" si="8"/>
        <v>0</v>
      </c>
      <c r="R71" s="320">
        <f t="shared" si="9"/>
        <v>0</v>
      </c>
      <c r="S71" s="320">
        <f t="shared" si="10"/>
        <v>0</v>
      </c>
      <c r="T71" s="40">
        <f t="shared" si="11"/>
        <v>0</v>
      </c>
      <c r="U71" s="40">
        <f t="shared" si="12"/>
        <v>0</v>
      </c>
      <c r="V71" s="106" t="str">
        <f t="shared" si="13"/>
        <v xml:space="preserve">per </v>
      </c>
      <c r="X71" s="356"/>
      <c r="Y71" s="356"/>
      <c r="Z71" s="356"/>
    </row>
    <row r="72" spans="4:26" x14ac:dyDescent="0.3">
      <c r="D72" s="388" t="s">
        <v>918</v>
      </c>
      <c r="E72" s="388"/>
      <c r="F72" s="388"/>
      <c r="G72" s="388"/>
      <c r="I72" s="276"/>
      <c r="J72" s="48">
        <v>0</v>
      </c>
      <c r="K72" s="48">
        <v>0</v>
      </c>
      <c r="L72" s="276"/>
      <c r="M72" s="48">
        <v>0</v>
      </c>
      <c r="O72" s="40">
        <f t="shared" si="7"/>
        <v>0</v>
      </c>
      <c r="P72" s="40">
        <f t="shared" si="8"/>
        <v>0</v>
      </c>
      <c r="R72" s="320">
        <f t="shared" si="9"/>
        <v>0</v>
      </c>
      <c r="S72" s="320">
        <f t="shared" si="10"/>
        <v>0</v>
      </c>
      <c r="T72" s="40">
        <f t="shared" si="11"/>
        <v>0</v>
      </c>
      <c r="U72" s="40">
        <f t="shared" si="12"/>
        <v>0</v>
      </c>
      <c r="V72" s="106" t="str">
        <f t="shared" si="13"/>
        <v xml:space="preserve">per </v>
      </c>
      <c r="X72" s="356"/>
      <c r="Y72" s="356"/>
      <c r="Z72" s="356"/>
    </row>
    <row r="73" spans="4:26" x14ac:dyDescent="0.3">
      <c r="D73" s="388" t="s">
        <v>919</v>
      </c>
      <c r="E73" s="388"/>
      <c r="F73" s="388"/>
      <c r="G73" s="388"/>
      <c r="I73" s="276"/>
      <c r="J73" s="48">
        <v>0</v>
      </c>
      <c r="K73" s="48">
        <v>0</v>
      </c>
      <c r="L73" s="276"/>
      <c r="M73" s="48">
        <v>0</v>
      </c>
      <c r="O73" s="40">
        <f t="shared" si="7"/>
        <v>0</v>
      </c>
      <c r="P73" s="40">
        <f t="shared" si="8"/>
        <v>0</v>
      </c>
      <c r="R73" s="320">
        <f t="shared" si="9"/>
        <v>0</v>
      </c>
      <c r="S73" s="320">
        <f t="shared" si="10"/>
        <v>0</v>
      </c>
      <c r="T73" s="40">
        <f t="shared" si="11"/>
        <v>0</v>
      </c>
      <c r="U73" s="40">
        <f t="shared" si="12"/>
        <v>0</v>
      </c>
      <c r="V73" s="106" t="str">
        <f t="shared" si="13"/>
        <v xml:space="preserve">per </v>
      </c>
      <c r="X73" s="356"/>
      <c r="Y73" s="356"/>
      <c r="Z73" s="356"/>
    </row>
    <row r="74" spans="4:26" x14ac:dyDescent="0.3">
      <c r="D74" s="388" t="s">
        <v>920</v>
      </c>
      <c r="E74" s="388"/>
      <c r="F74" s="388"/>
      <c r="G74" s="388"/>
      <c r="I74" s="276"/>
      <c r="J74" s="48">
        <v>0</v>
      </c>
      <c r="K74" s="48">
        <v>0</v>
      </c>
      <c r="L74" s="276"/>
      <c r="M74" s="48">
        <v>0</v>
      </c>
      <c r="O74" s="40">
        <f t="shared" si="7"/>
        <v>0</v>
      </c>
      <c r="P74" s="40">
        <f t="shared" si="8"/>
        <v>0</v>
      </c>
      <c r="R74" s="320">
        <f t="shared" si="9"/>
        <v>0</v>
      </c>
      <c r="S74" s="320">
        <f t="shared" si="10"/>
        <v>0</v>
      </c>
      <c r="T74" s="40">
        <f t="shared" si="11"/>
        <v>0</v>
      </c>
      <c r="U74" s="40">
        <f t="shared" si="12"/>
        <v>0</v>
      </c>
      <c r="V74" s="106" t="str">
        <f t="shared" si="13"/>
        <v xml:space="preserve">per </v>
      </c>
      <c r="X74" s="356"/>
      <c r="Y74" s="356"/>
      <c r="Z74" s="356"/>
    </row>
    <row r="75" spans="4:26" x14ac:dyDescent="0.3">
      <c r="D75" s="356" t="s">
        <v>921</v>
      </c>
      <c r="E75" s="356"/>
      <c r="F75" s="356"/>
      <c r="G75" s="356"/>
      <c r="I75" s="276"/>
      <c r="J75" s="48">
        <v>0</v>
      </c>
      <c r="K75" s="48">
        <v>0</v>
      </c>
      <c r="L75" s="276"/>
      <c r="M75" s="48">
        <v>0</v>
      </c>
      <c r="O75" s="40">
        <f t="shared" si="7"/>
        <v>0</v>
      </c>
      <c r="P75" s="40">
        <f t="shared" si="8"/>
        <v>0</v>
      </c>
      <c r="R75" s="320">
        <f t="shared" si="9"/>
        <v>0</v>
      </c>
      <c r="S75" s="320">
        <f t="shared" si="10"/>
        <v>0</v>
      </c>
      <c r="T75" s="40">
        <f t="shared" si="11"/>
        <v>0</v>
      </c>
      <c r="U75" s="40">
        <f t="shared" si="12"/>
        <v>0</v>
      </c>
      <c r="V75" s="106" t="str">
        <f t="shared" si="13"/>
        <v xml:space="preserve">per </v>
      </c>
      <c r="X75" s="356"/>
      <c r="Y75" s="356"/>
      <c r="Z75" s="356"/>
    </row>
    <row r="76" spans="4:26" s="277" customFormat="1" x14ac:dyDescent="0.3">
      <c r="D76" s="356" t="s">
        <v>742</v>
      </c>
      <c r="E76" s="356"/>
      <c r="F76" s="356"/>
      <c r="G76" s="356"/>
      <c r="I76" s="298"/>
      <c r="J76" s="48">
        <v>0</v>
      </c>
      <c r="K76" s="48">
        <v>0</v>
      </c>
      <c r="L76" s="298"/>
      <c r="M76" s="48">
        <v>0</v>
      </c>
      <c r="O76" s="279">
        <f t="shared" si="7"/>
        <v>0</v>
      </c>
      <c r="P76" s="279">
        <f t="shared" si="8"/>
        <v>0</v>
      </c>
      <c r="R76" s="284">
        <f t="shared" si="9"/>
        <v>0</v>
      </c>
      <c r="S76" s="284">
        <f t="shared" si="10"/>
        <v>0</v>
      </c>
      <c r="T76" s="279">
        <f t="shared" si="11"/>
        <v>0</v>
      </c>
      <c r="U76" s="279">
        <f t="shared" si="12"/>
        <v>0</v>
      </c>
      <c r="V76" s="285" t="str">
        <f t="shared" si="13"/>
        <v xml:space="preserve">per </v>
      </c>
      <c r="X76" s="385"/>
      <c r="Y76" s="385"/>
      <c r="Z76" s="385"/>
    </row>
    <row r="77" spans="4:26" s="277" customFormat="1" x14ac:dyDescent="0.3">
      <c r="D77" s="356" t="s">
        <v>743</v>
      </c>
      <c r="E77" s="356"/>
      <c r="F77" s="356"/>
      <c r="G77" s="356"/>
      <c r="I77" s="298"/>
      <c r="J77" s="48">
        <v>0</v>
      </c>
      <c r="K77" s="48">
        <v>0</v>
      </c>
      <c r="L77" s="298"/>
      <c r="M77" s="48">
        <v>0</v>
      </c>
      <c r="O77" s="279">
        <f t="shared" si="7"/>
        <v>0</v>
      </c>
      <c r="P77" s="279">
        <f t="shared" si="8"/>
        <v>0</v>
      </c>
      <c r="R77" s="284">
        <f t="shared" si="9"/>
        <v>0</v>
      </c>
      <c r="S77" s="284">
        <f t="shared" si="10"/>
        <v>0</v>
      </c>
      <c r="T77" s="279">
        <f t="shared" si="11"/>
        <v>0</v>
      </c>
      <c r="U77" s="279">
        <f t="shared" si="12"/>
        <v>0</v>
      </c>
      <c r="V77" s="285" t="str">
        <f t="shared" si="13"/>
        <v xml:space="preserve">per </v>
      </c>
      <c r="X77" s="385"/>
      <c r="Y77" s="385"/>
      <c r="Z77" s="385"/>
    </row>
    <row r="78" spans="4:26" s="277" customFormat="1" x14ac:dyDescent="0.3">
      <c r="D78" s="356" t="s">
        <v>744</v>
      </c>
      <c r="E78" s="356"/>
      <c r="F78" s="356"/>
      <c r="G78" s="356"/>
      <c r="I78" s="298"/>
      <c r="J78" s="48">
        <v>0</v>
      </c>
      <c r="K78" s="48">
        <v>0</v>
      </c>
      <c r="L78" s="298"/>
      <c r="M78" s="48">
        <v>0</v>
      </c>
      <c r="O78" s="279">
        <f t="shared" si="7"/>
        <v>0</v>
      </c>
      <c r="P78" s="279">
        <f t="shared" si="8"/>
        <v>0</v>
      </c>
      <c r="R78" s="284">
        <f t="shared" si="9"/>
        <v>0</v>
      </c>
      <c r="S78" s="284">
        <f t="shared" si="10"/>
        <v>0</v>
      </c>
      <c r="T78" s="279">
        <f t="shared" si="11"/>
        <v>0</v>
      </c>
      <c r="U78" s="279">
        <f t="shared" si="12"/>
        <v>0</v>
      </c>
      <c r="V78" s="285" t="str">
        <f t="shared" si="13"/>
        <v xml:space="preserve">per </v>
      </c>
      <c r="X78" s="385"/>
      <c r="Y78" s="385"/>
      <c r="Z78" s="385"/>
    </row>
    <row r="79" spans="4:26" s="277" customFormat="1" x14ac:dyDescent="0.3">
      <c r="D79" s="356" t="s">
        <v>745</v>
      </c>
      <c r="E79" s="356"/>
      <c r="F79" s="356"/>
      <c r="G79" s="356"/>
      <c r="I79" s="298"/>
      <c r="J79" s="48">
        <v>0</v>
      </c>
      <c r="K79" s="48">
        <v>0</v>
      </c>
      <c r="L79" s="298"/>
      <c r="M79" s="48">
        <v>0</v>
      </c>
      <c r="O79" s="279">
        <f t="shared" si="7"/>
        <v>0</v>
      </c>
      <c r="P79" s="279">
        <f t="shared" si="8"/>
        <v>0</v>
      </c>
      <c r="R79" s="284">
        <f t="shared" si="9"/>
        <v>0</v>
      </c>
      <c r="S79" s="284">
        <f t="shared" si="10"/>
        <v>0</v>
      </c>
      <c r="T79" s="279">
        <f t="shared" si="11"/>
        <v>0</v>
      </c>
      <c r="U79" s="279">
        <f t="shared" si="12"/>
        <v>0</v>
      </c>
      <c r="V79" s="285" t="str">
        <f t="shared" si="13"/>
        <v xml:space="preserve">per </v>
      </c>
      <c r="X79" s="385"/>
      <c r="Y79" s="385"/>
      <c r="Z79" s="385"/>
    </row>
    <row r="80" spans="4:26" s="277" customFormat="1" x14ac:dyDescent="0.3">
      <c r="D80" s="356" t="s">
        <v>746</v>
      </c>
      <c r="E80" s="356"/>
      <c r="F80" s="356"/>
      <c r="G80" s="356"/>
      <c r="I80" s="298"/>
      <c r="J80" s="48">
        <v>0</v>
      </c>
      <c r="K80" s="48">
        <v>0</v>
      </c>
      <c r="L80" s="298"/>
      <c r="M80" s="48">
        <v>0</v>
      </c>
      <c r="O80" s="279">
        <f t="shared" si="7"/>
        <v>0</v>
      </c>
      <c r="P80" s="279">
        <f t="shared" si="8"/>
        <v>0</v>
      </c>
      <c r="R80" s="284">
        <f t="shared" si="9"/>
        <v>0</v>
      </c>
      <c r="S80" s="284">
        <f t="shared" si="10"/>
        <v>0</v>
      </c>
      <c r="T80" s="279">
        <f t="shared" si="11"/>
        <v>0</v>
      </c>
      <c r="U80" s="279">
        <f t="shared" si="12"/>
        <v>0</v>
      </c>
      <c r="V80" s="285" t="str">
        <f t="shared" si="13"/>
        <v xml:space="preserve">per </v>
      </c>
      <c r="X80" s="385"/>
      <c r="Y80" s="385"/>
      <c r="Z80" s="385"/>
    </row>
    <row r="81" spans="1:26" s="277" customFormat="1" x14ac:dyDescent="0.3">
      <c r="D81" s="356" t="s">
        <v>747</v>
      </c>
      <c r="E81" s="356"/>
      <c r="F81" s="356"/>
      <c r="G81" s="356"/>
      <c r="I81" s="298"/>
      <c r="J81" s="48">
        <v>0</v>
      </c>
      <c r="K81" s="48">
        <v>0</v>
      </c>
      <c r="L81" s="298"/>
      <c r="M81" s="48">
        <v>0</v>
      </c>
      <c r="O81" s="279">
        <f t="shared" si="7"/>
        <v>0</v>
      </c>
      <c r="P81" s="279">
        <f t="shared" si="8"/>
        <v>0</v>
      </c>
      <c r="R81" s="284">
        <f t="shared" si="9"/>
        <v>0</v>
      </c>
      <c r="S81" s="284">
        <f t="shared" si="10"/>
        <v>0</v>
      </c>
      <c r="T81" s="279">
        <f t="shared" si="11"/>
        <v>0</v>
      </c>
      <c r="U81" s="279">
        <f t="shared" si="12"/>
        <v>0</v>
      </c>
      <c r="V81" s="285" t="str">
        <f t="shared" si="13"/>
        <v xml:space="preserve">per </v>
      </c>
      <c r="X81" s="385"/>
      <c r="Y81" s="385"/>
      <c r="Z81" s="385"/>
    </row>
    <row r="82" spans="1:26" s="277" customFormat="1" x14ac:dyDescent="0.3">
      <c r="D82" s="356" t="s">
        <v>748</v>
      </c>
      <c r="E82" s="356"/>
      <c r="F82" s="356"/>
      <c r="G82" s="356"/>
      <c r="I82" s="298"/>
      <c r="J82" s="48">
        <v>0</v>
      </c>
      <c r="K82" s="48">
        <v>0</v>
      </c>
      <c r="L82" s="298"/>
      <c r="M82" s="48">
        <v>0</v>
      </c>
      <c r="O82" s="279">
        <f t="shared" si="7"/>
        <v>0</v>
      </c>
      <c r="P82" s="279">
        <f t="shared" si="8"/>
        <v>0</v>
      </c>
      <c r="R82" s="284">
        <f t="shared" si="9"/>
        <v>0</v>
      </c>
      <c r="S82" s="284">
        <f t="shared" si="10"/>
        <v>0</v>
      </c>
      <c r="T82" s="279">
        <f t="shared" si="11"/>
        <v>0</v>
      </c>
      <c r="U82" s="279">
        <f t="shared" si="12"/>
        <v>0</v>
      </c>
      <c r="V82" s="285" t="str">
        <f t="shared" si="13"/>
        <v xml:space="preserve">per </v>
      </c>
      <c r="X82" s="385"/>
      <c r="Y82" s="385"/>
      <c r="Z82" s="385"/>
    </row>
    <row r="83" spans="1:26" x14ac:dyDescent="0.3">
      <c r="D83" s="369" t="s">
        <v>922</v>
      </c>
      <c r="E83" s="391"/>
      <c r="F83" s="391"/>
      <c r="G83" s="392"/>
      <c r="I83" s="276"/>
      <c r="J83" s="48">
        <v>0</v>
      </c>
      <c r="K83" s="48">
        <v>0</v>
      </c>
      <c r="L83" s="276"/>
      <c r="M83" s="48">
        <v>0</v>
      </c>
      <c r="O83" s="40">
        <f t="shared" si="7"/>
        <v>0</v>
      </c>
      <c r="P83" s="40">
        <f t="shared" si="8"/>
        <v>0</v>
      </c>
      <c r="R83" s="320">
        <f t="shared" si="9"/>
        <v>0</v>
      </c>
      <c r="S83" s="320">
        <f t="shared" si="10"/>
        <v>0</v>
      </c>
      <c r="T83" s="40">
        <f t="shared" si="11"/>
        <v>0</v>
      </c>
      <c r="U83" s="40">
        <f t="shared" si="12"/>
        <v>0</v>
      </c>
      <c r="V83" s="106" t="str">
        <f t="shared" si="13"/>
        <v xml:space="preserve">per </v>
      </c>
      <c r="X83" s="369"/>
      <c r="Y83" s="389"/>
      <c r="Z83" s="390"/>
    </row>
    <row r="84" spans="1:26" x14ac:dyDescent="0.3">
      <c r="D84" s="369" t="s">
        <v>923</v>
      </c>
      <c r="E84" s="391"/>
      <c r="F84" s="391"/>
      <c r="G84" s="392"/>
      <c r="I84" s="276"/>
      <c r="J84" s="48">
        <v>0</v>
      </c>
      <c r="K84" s="48">
        <v>0</v>
      </c>
      <c r="L84" s="276"/>
      <c r="M84" s="48">
        <v>0</v>
      </c>
      <c r="O84" s="40">
        <f t="shared" si="7"/>
        <v>0</v>
      </c>
      <c r="P84" s="40">
        <f t="shared" si="8"/>
        <v>0</v>
      </c>
      <c r="R84" s="320">
        <f t="shared" si="9"/>
        <v>0</v>
      </c>
      <c r="S84" s="320">
        <f t="shared" si="10"/>
        <v>0</v>
      </c>
      <c r="T84" s="40">
        <f t="shared" si="11"/>
        <v>0</v>
      </c>
      <c r="U84" s="40">
        <f t="shared" si="12"/>
        <v>0</v>
      </c>
      <c r="V84" s="106" t="str">
        <f t="shared" si="13"/>
        <v xml:space="preserve">per </v>
      </c>
      <c r="X84" s="369"/>
      <c r="Y84" s="389"/>
      <c r="Z84" s="390"/>
    </row>
    <row r="85" spans="1:26" x14ac:dyDescent="0.3">
      <c r="D85" s="369" t="s">
        <v>924</v>
      </c>
      <c r="E85" s="391"/>
      <c r="F85" s="391"/>
      <c r="G85" s="392"/>
      <c r="I85" s="276"/>
      <c r="J85" s="48">
        <v>0</v>
      </c>
      <c r="K85" s="48">
        <v>0</v>
      </c>
      <c r="L85" s="276"/>
      <c r="M85" s="48">
        <v>0</v>
      </c>
      <c r="O85" s="40">
        <f t="shared" si="7"/>
        <v>0</v>
      </c>
      <c r="P85" s="40">
        <f t="shared" si="8"/>
        <v>0</v>
      </c>
      <c r="R85" s="320">
        <f t="shared" si="9"/>
        <v>0</v>
      </c>
      <c r="S85" s="320">
        <f t="shared" si="10"/>
        <v>0</v>
      </c>
      <c r="T85" s="40">
        <f t="shared" si="11"/>
        <v>0</v>
      </c>
      <c r="U85" s="40">
        <f t="shared" si="12"/>
        <v>0</v>
      </c>
      <c r="V85" s="106" t="str">
        <f t="shared" si="13"/>
        <v xml:space="preserve">per </v>
      </c>
      <c r="X85" s="369"/>
      <c r="Y85" s="389"/>
      <c r="Z85" s="390"/>
    </row>
    <row r="86" spans="1:26" x14ac:dyDescent="0.3">
      <c r="D86" s="369" t="s">
        <v>925</v>
      </c>
      <c r="E86" s="391"/>
      <c r="F86" s="391"/>
      <c r="G86" s="392"/>
      <c r="I86" s="276"/>
      <c r="J86" s="48">
        <v>0</v>
      </c>
      <c r="K86" s="48">
        <v>0</v>
      </c>
      <c r="L86" s="276"/>
      <c r="M86" s="48">
        <v>0</v>
      </c>
      <c r="O86" s="40">
        <f t="shared" si="7"/>
        <v>0</v>
      </c>
      <c r="P86" s="40">
        <f t="shared" si="8"/>
        <v>0</v>
      </c>
      <c r="R86" s="320">
        <f t="shared" si="9"/>
        <v>0</v>
      </c>
      <c r="S86" s="320">
        <f t="shared" si="10"/>
        <v>0</v>
      </c>
      <c r="T86" s="40">
        <f t="shared" si="11"/>
        <v>0</v>
      </c>
      <c r="U86" s="40">
        <f t="shared" si="12"/>
        <v>0</v>
      </c>
      <c r="V86" s="106" t="str">
        <f t="shared" si="13"/>
        <v xml:space="preserve">per </v>
      </c>
      <c r="X86" s="369"/>
      <c r="Y86" s="389"/>
      <c r="Z86" s="390"/>
    </row>
    <row r="87" spans="1:26" x14ac:dyDescent="0.3">
      <c r="D87" s="356" t="s">
        <v>926</v>
      </c>
      <c r="E87" s="356"/>
      <c r="F87" s="356"/>
      <c r="G87" s="356"/>
      <c r="I87" s="276"/>
      <c r="J87" s="48">
        <v>0</v>
      </c>
      <c r="K87" s="48">
        <v>0</v>
      </c>
      <c r="L87" s="276"/>
      <c r="M87" s="48">
        <v>0</v>
      </c>
      <c r="O87" s="40">
        <f t="shared" si="7"/>
        <v>0</v>
      </c>
      <c r="P87" s="40">
        <f t="shared" si="8"/>
        <v>0</v>
      </c>
      <c r="R87" s="320">
        <f t="shared" si="9"/>
        <v>0</v>
      </c>
      <c r="S87" s="320">
        <f t="shared" si="10"/>
        <v>0</v>
      </c>
      <c r="T87" s="40">
        <f t="shared" si="11"/>
        <v>0</v>
      </c>
      <c r="U87" s="40">
        <f t="shared" si="12"/>
        <v>0</v>
      </c>
      <c r="V87" s="106" t="str">
        <f t="shared" si="13"/>
        <v xml:space="preserve">per </v>
      </c>
      <c r="X87" s="356"/>
      <c r="Y87" s="356"/>
      <c r="Z87" s="356"/>
    </row>
    <row r="88" spans="1:26" ht="14.4" x14ac:dyDescent="0.3">
      <c r="D88" s="90" t="s">
        <v>574</v>
      </c>
    </row>
    <row r="89" spans="1:26" ht="15.6" x14ac:dyDescent="0.3">
      <c r="C89" s="92" t="s">
        <v>132</v>
      </c>
    </row>
    <row r="90" spans="1:26" ht="27.6" x14ac:dyDescent="0.3">
      <c r="D90" s="406" t="s">
        <v>133</v>
      </c>
      <c r="E90" s="407"/>
      <c r="F90" s="407"/>
      <c r="I90" s="91" t="s">
        <v>168</v>
      </c>
      <c r="J90" s="42" t="s">
        <v>178</v>
      </c>
      <c r="K90" s="42" t="s">
        <v>179</v>
      </c>
      <c r="L90" s="91" t="s">
        <v>169</v>
      </c>
      <c r="M90" s="91" t="s">
        <v>170</v>
      </c>
      <c r="O90" s="44" t="str">
        <f>"Financial "&amp;$I$10</f>
        <v>Financial GOZ</v>
      </c>
      <c r="P90" s="44" t="str">
        <f>"Economic "&amp;$I$10</f>
        <v>Economic GOZ</v>
      </c>
      <c r="R90" s="44" t="str">
        <f>"Financial "&amp;$D$216</f>
        <v>Financial USD</v>
      </c>
      <c r="S90" s="44" t="str">
        <f>"Economic "&amp;$D$216</f>
        <v>Economic USD</v>
      </c>
      <c r="T90" s="44" t="str">
        <f>"Financial "&amp;$D$217</f>
        <v>Financial GOZ</v>
      </c>
      <c r="U90" s="44" t="str">
        <f>"Economic "&amp;$D$217</f>
        <v>Economic GOZ</v>
      </c>
      <c r="V90" s="91" t="s">
        <v>171</v>
      </c>
      <c r="X90" s="379" t="s">
        <v>172</v>
      </c>
      <c r="Y90" s="380"/>
      <c r="Z90" s="380"/>
    </row>
    <row r="91" spans="1:26" x14ac:dyDescent="0.3">
      <c r="A91" s="40"/>
      <c r="D91" s="387" t="s">
        <v>927</v>
      </c>
      <c r="E91" s="387"/>
      <c r="F91" s="387"/>
      <c r="G91" s="387"/>
      <c r="I91" s="68" t="s">
        <v>126</v>
      </c>
      <c r="J91" s="86">
        <v>0</v>
      </c>
      <c r="K91" s="48">
        <v>0</v>
      </c>
      <c r="L91" s="68" t="s">
        <v>126</v>
      </c>
      <c r="M91" s="84">
        <v>0</v>
      </c>
      <c r="O91" s="108">
        <f t="shared" ref="O91:O125" si="14">IFERROR(J91/M91,0)</f>
        <v>0</v>
      </c>
      <c r="P91" s="40">
        <f t="shared" ref="P91:P125" si="15">IFERROR(K91/M91,0)</f>
        <v>0</v>
      </c>
      <c r="R91" s="321">
        <f t="shared" ref="R91:R125" si="16">IFERROR(IF(RES_Appl_Currency=$D$216,O91,O91/$J$217), 0)</f>
        <v>0</v>
      </c>
      <c r="S91" s="321">
        <f t="shared" ref="S91:S125" si="17">IFERROR(IF(RES_Appl_Currency=$D$216,P91,P91/$J$217), 0)</f>
        <v>0</v>
      </c>
      <c r="T91" s="40">
        <f t="shared" ref="T91:T125" si="18">IF(RES_Appl_Currency=$D$216,O91*$J$217,O91)</f>
        <v>0</v>
      </c>
      <c r="U91" s="40">
        <f t="shared" ref="U91:U125" si="19">IF(RES_Appl_Currency=$D$216,P91*$J$217,P91)</f>
        <v>0</v>
      </c>
      <c r="V91" s="106" t="str">
        <f t="shared" ref="V91:V125" si="20">"per "&amp;$L91&amp;""</f>
        <v>per SKU</v>
      </c>
      <c r="X91" s="356"/>
      <c r="Y91" s="356"/>
      <c r="Z91" s="356"/>
    </row>
    <row r="92" spans="1:26" x14ac:dyDescent="0.3">
      <c r="A92" s="40"/>
      <c r="D92" s="387" t="s">
        <v>928</v>
      </c>
      <c r="E92" s="387"/>
      <c r="F92" s="387"/>
      <c r="G92" s="387"/>
      <c r="I92" s="68" t="s">
        <v>126</v>
      </c>
      <c r="J92" s="86">
        <v>0</v>
      </c>
      <c r="K92" s="48">
        <v>0</v>
      </c>
      <c r="L92" s="68" t="s">
        <v>126</v>
      </c>
      <c r="M92" s="84">
        <v>0</v>
      </c>
      <c r="O92" s="108">
        <f t="shared" si="14"/>
        <v>0</v>
      </c>
      <c r="P92" s="40">
        <f t="shared" si="15"/>
        <v>0</v>
      </c>
      <c r="R92" s="321">
        <f t="shared" si="16"/>
        <v>0</v>
      </c>
      <c r="S92" s="321">
        <f t="shared" si="17"/>
        <v>0</v>
      </c>
      <c r="T92" s="40">
        <f t="shared" si="18"/>
        <v>0</v>
      </c>
      <c r="U92" s="40">
        <f t="shared" si="19"/>
        <v>0</v>
      </c>
      <c r="V92" s="106" t="str">
        <f t="shared" si="20"/>
        <v>per SKU</v>
      </c>
      <c r="X92" s="356"/>
      <c r="Y92" s="356"/>
      <c r="Z92" s="356"/>
    </row>
    <row r="93" spans="1:26" x14ac:dyDescent="0.3">
      <c r="A93" s="40"/>
      <c r="D93" s="387" t="s">
        <v>929</v>
      </c>
      <c r="E93" s="387"/>
      <c r="F93" s="387"/>
      <c r="G93" s="387"/>
      <c r="I93" s="68" t="s">
        <v>126</v>
      </c>
      <c r="J93" s="86">
        <v>0</v>
      </c>
      <c r="K93" s="48">
        <v>0</v>
      </c>
      <c r="L93" s="68" t="s">
        <v>126</v>
      </c>
      <c r="M93" s="84">
        <v>0</v>
      </c>
      <c r="O93" s="108">
        <f t="shared" si="14"/>
        <v>0</v>
      </c>
      <c r="P93" s="40">
        <f t="shared" si="15"/>
        <v>0</v>
      </c>
      <c r="R93" s="321">
        <f t="shared" si="16"/>
        <v>0</v>
      </c>
      <c r="S93" s="321">
        <f t="shared" si="17"/>
        <v>0</v>
      </c>
      <c r="T93" s="40">
        <f t="shared" si="18"/>
        <v>0</v>
      </c>
      <c r="U93" s="40">
        <f t="shared" si="19"/>
        <v>0</v>
      </c>
      <c r="V93" s="106" t="str">
        <f t="shared" si="20"/>
        <v>per SKU</v>
      </c>
      <c r="X93" s="356"/>
      <c r="Y93" s="356"/>
      <c r="Z93" s="356"/>
    </row>
    <row r="94" spans="1:26" x14ac:dyDescent="0.3">
      <c r="A94" s="40"/>
      <c r="D94" s="387" t="s">
        <v>930</v>
      </c>
      <c r="E94" s="387"/>
      <c r="F94" s="387"/>
      <c r="G94" s="387"/>
      <c r="I94" s="68" t="s">
        <v>126</v>
      </c>
      <c r="J94" s="86">
        <v>0</v>
      </c>
      <c r="K94" s="48">
        <v>0</v>
      </c>
      <c r="L94" s="68" t="s">
        <v>126</v>
      </c>
      <c r="M94" s="84">
        <v>0</v>
      </c>
      <c r="O94" s="108">
        <f t="shared" si="14"/>
        <v>0</v>
      </c>
      <c r="P94" s="40">
        <f t="shared" si="15"/>
        <v>0</v>
      </c>
      <c r="R94" s="321">
        <f t="shared" si="16"/>
        <v>0</v>
      </c>
      <c r="S94" s="321">
        <f t="shared" si="17"/>
        <v>0</v>
      </c>
      <c r="T94" s="40">
        <f t="shared" si="18"/>
        <v>0</v>
      </c>
      <c r="U94" s="40">
        <f t="shared" si="19"/>
        <v>0</v>
      </c>
      <c r="V94" s="106" t="str">
        <f t="shared" si="20"/>
        <v>per SKU</v>
      </c>
      <c r="X94" s="356"/>
      <c r="Y94" s="356"/>
      <c r="Z94" s="356"/>
    </row>
    <row r="95" spans="1:26" x14ac:dyDescent="0.3">
      <c r="A95" s="40"/>
      <c r="D95" s="387" t="s">
        <v>931</v>
      </c>
      <c r="E95" s="387"/>
      <c r="F95" s="387"/>
      <c r="G95" s="387"/>
      <c r="I95" s="68" t="s">
        <v>126</v>
      </c>
      <c r="J95" s="86">
        <v>0</v>
      </c>
      <c r="K95" s="48">
        <v>0</v>
      </c>
      <c r="L95" s="68" t="s">
        <v>126</v>
      </c>
      <c r="M95" s="84">
        <v>0</v>
      </c>
      <c r="O95" s="108">
        <f t="shared" si="14"/>
        <v>0</v>
      </c>
      <c r="P95" s="40">
        <f t="shared" si="15"/>
        <v>0</v>
      </c>
      <c r="R95" s="321">
        <f t="shared" si="16"/>
        <v>0</v>
      </c>
      <c r="S95" s="321">
        <f t="shared" si="17"/>
        <v>0</v>
      </c>
      <c r="T95" s="40">
        <f t="shared" si="18"/>
        <v>0</v>
      </c>
      <c r="U95" s="40">
        <f t="shared" si="19"/>
        <v>0</v>
      </c>
      <c r="V95" s="106" t="str">
        <f t="shared" si="20"/>
        <v>per SKU</v>
      </c>
      <c r="X95" s="356"/>
      <c r="Y95" s="356"/>
      <c r="Z95" s="356"/>
    </row>
    <row r="96" spans="1:26" x14ac:dyDescent="0.3">
      <c r="A96" s="40"/>
      <c r="D96" s="387" t="s">
        <v>932</v>
      </c>
      <c r="E96" s="387"/>
      <c r="F96" s="387"/>
      <c r="G96" s="387"/>
      <c r="I96" s="68" t="s">
        <v>126</v>
      </c>
      <c r="J96" s="86">
        <v>0</v>
      </c>
      <c r="K96" s="48">
        <v>0</v>
      </c>
      <c r="L96" s="68" t="s">
        <v>126</v>
      </c>
      <c r="M96" s="84">
        <v>0</v>
      </c>
      <c r="O96" s="108">
        <f t="shared" si="14"/>
        <v>0</v>
      </c>
      <c r="P96" s="40">
        <f t="shared" si="15"/>
        <v>0</v>
      </c>
      <c r="R96" s="321">
        <f t="shared" si="16"/>
        <v>0</v>
      </c>
      <c r="S96" s="321">
        <f t="shared" si="17"/>
        <v>0</v>
      </c>
      <c r="T96" s="40">
        <f t="shared" si="18"/>
        <v>0</v>
      </c>
      <c r="U96" s="40">
        <f t="shared" si="19"/>
        <v>0</v>
      </c>
      <c r="V96" s="106" t="str">
        <f t="shared" si="20"/>
        <v>per SKU</v>
      </c>
      <c r="X96" s="356"/>
      <c r="Y96" s="356"/>
      <c r="Z96" s="356"/>
    </row>
    <row r="97" spans="1:26" x14ac:dyDescent="0.3">
      <c r="A97" s="40"/>
      <c r="D97" s="387" t="s">
        <v>933</v>
      </c>
      <c r="E97" s="387"/>
      <c r="F97" s="387"/>
      <c r="G97" s="387"/>
      <c r="I97" s="68" t="s">
        <v>126</v>
      </c>
      <c r="J97" s="86">
        <v>0</v>
      </c>
      <c r="K97" s="48">
        <v>0</v>
      </c>
      <c r="L97" s="68" t="s">
        <v>126</v>
      </c>
      <c r="M97" s="84">
        <v>0</v>
      </c>
      <c r="O97" s="108">
        <f t="shared" si="14"/>
        <v>0</v>
      </c>
      <c r="P97" s="40">
        <f t="shared" si="15"/>
        <v>0</v>
      </c>
      <c r="R97" s="321">
        <f t="shared" si="16"/>
        <v>0</v>
      </c>
      <c r="S97" s="321">
        <f t="shared" si="17"/>
        <v>0</v>
      </c>
      <c r="T97" s="40">
        <f t="shared" si="18"/>
        <v>0</v>
      </c>
      <c r="U97" s="40">
        <f t="shared" si="19"/>
        <v>0</v>
      </c>
      <c r="V97" s="106" t="str">
        <f t="shared" si="20"/>
        <v>per SKU</v>
      </c>
      <c r="X97" s="356"/>
      <c r="Y97" s="356"/>
      <c r="Z97" s="356"/>
    </row>
    <row r="98" spans="1:26" x14ac:dyDescent="0.3">
      <c r="A98" s="40"/>
      <c r="D98" s="387" t="s">
        <v>934</v>
      </c>
      <c r="E98" s="387"/>
      <c r="F98" s="387"/>
      <c r="G98" s="387"/>
      <c r="I98" s="68" t="s">
        <v>126</v>
      </c>
      <c r="J98" s="86">
        <v>0</v>
      </c>
      <c r="K98" s="48">
        <v>0</v>
      </c>
      <c r="L98" s="68" t="s">
        <v>126</v>
      </c>
      <c r="M98" s="84">
        <v>0</v>
      </c>
      <c r="O98" s="108">
        <f t="shared" si="14"/>
        <v>0</v>
      </c>
      <c r="P98" s="40">
        <f t="shared" si="15"/>
        <v>0</v>
      </c>
      <c r="R98" s="321">
        <f t="shared" si="16"/>
        <v>0</v>
      </c>
      <c r="S98" s="321">
        <f t="shared" si="17"/>
        <v>0</v>
      </c>
      <c r="T98" s="40">
        <f t="shared" si="18"/>
        <v>0</v>
      </c>
      <c r="U98" s="40">
        <f t="shared" si="19"/>
        <v>0</v>
      </c>
      <c r="V98" s="106" t="str">
        <f t="shared" si="20"/>
        <v>per SKU</v>
      </c>
      <c r="X98" s="356"/>
      <c r="Y98" s="356"/>
      <c r="Z98" s="356"/>
    </row>
    <row r="99" spans="1:26" x14ac:dyDescent="0.3">
      <c r="A99" s="40"/>
      <c r="D99" s="387" t="s">
        <v>935</v>
      </c>
      <c r="E99" s="387"/>
      <c r="F99" s="387"/>
      <c r="G99" s="387"/>
      <c r="I99" s="68" t="s">
        <v>126</v>
      </c>
      <c r="J99" s="86">
        <v>0</v>
      </c>
      <c r="K99" s="48">
        <v>0</v>
      </c>
      <c r="L99" s="68" t="s">
        <v>126</v>
      </c>
      <c r="M99" s="84">
        <v>0</v>
      </c>
      <c r="O99" s="108">
        <f t="shared" si="14"/>
        <v>0</v>
      </c>
      <c r="P99" s="40">
        <f t="shared" si="15"/>
        <v>0</v>
      </c>
      <c r="R99" s="321">
        <f t="shared" si="16"/>
        <v>0</v>
      </c>
      <c r="S99" s="321">
        <f t="shared" si="17"/>
        <v>0</v>
      </c>
      <c r="T99" s="40">
        <f t="shared" si="18"/>
        <v>0</v>
      </c>
      <c r="U99" s="40">
        <f t="shared" si="19"/>
        <v>0</v>
      </c>
      <c r="V99" s="106" t="str">
        <f t="shared" si="20"/>
        <v>per SKU</v>
      </c>
      <c r="X99" s="356"/>
      <c r="Y99" s="356"/>
      <c r="Z99" s="356"/>
    </row>
    <row r="100" spans="1:26" x14ac:dyDescent="0.3">
      <c r="A100" s="40"/>
      <c r="D100" s="401" t="s">
        <v>936</v>
      </c>
      <c r="E100" s="402"/>
      <c r="F100" s="402"/>
      <c r="G100" s="403"/>
      <c r="I100" s="68" t="s">
        <v>126</v>
      </c>
      <c r="J100" s="86">
        <v>0</v>
      </c>
      <c r="K100" s="48">
        <v>0</v>
      </c>
      <c r="L100" s="68" t="s">
        <v>126</v>
      </c>
      <c r="M100" s="84">
        <v>0</v>
      </c>
      <c r="O100" s="108">
        <f t="shared" si="14"/>
        <v>0</v>
      </c>
      <c r="P100" s="40">
        <f t="shared" si="15"/>
        <v>0</v>
      </c>
      <c r="R100" s="321">
        <f t="shared" si="16"/>
        <v>0</v>
      </c>
      <c r="S100" s="321">
        <f t="shared" si="17"/>
        <v>0</v>
      </c>
      <c r="T100" s="40">
        <f t="shared" si="18"/>
        <v>0</v>
      </c>
      <c r="U100" s="40">
        <f t="shared" si="19"/>
        <v>0</v>
      </c>
      <c r="V100" s="106" t="str">
        <f t="shared" si="20"/>
        <v>per SKU</v>
      </c>
      <c r="X100" s="356"/>
      <c r="Y100" s="356"/>
      <c r="Z100" s="356"/>
    </row>
    <row r="101" spans="1:26" x14ac:dyDescent="0.3">
      <c r="A101" s="40"/>
      <c r="D101" s="401" t="s">
        <v>937</v>
      </c>
      <c r="E101" s="402"/>
      <c r="F101" s="402"/>
      <c r="G101" s="403"/>
      <c r="I101" s="68" t="s">
        <v>126</v>
      </c>
      <c r="J101" s="86">
        <v>0</v>
      </c>
      <c r="K101" s="48">
        <v>0</v>
      </c>
      <c r="L101" s="68" t="s">
        <v>126</v>
      </c>
      <c r="M101" s="84">
        <v>0</v>
      </c>
      <c r="O101" s="108">
        <f t="shared" si="14"/>
        <v>0</v>
      </c>
      <c r="P101" s="40">
        <f t="shared" si="15"/>
        <v>0</v>
      </c>
      <c r="R101" s="321">
        <f t="shared" si="16"/>
        <v>0</v>
      </c>
      <c r="S101" s="321">
        <f t="shared" si="17"/>
        <v>0</v>
      </c>
      <c r="T101" s="40">
        <f t="shared" si="18"/>
        <v>0</v>
      </c>
      <c r="U101" s="40">
        <f t="shared" si="19"/>
        <v>0</v>
      </c>
      <c r="V101" s="106" t="str">
        <f t="shared" si="20"/>
        <v>per SKU</v>
      </c>
      <c r="X101" s="356"/>
      <c r="Y101" s="356"/>
      <c r="Z101" s="356"/>
    </row>
    <row r="102" spans="1:26" x14ac:dyDescent="0.3">
      <c r="A102" s="40"/>
      <c r="D102" s="401" t="s">
        <v>938</v>
      </c>
      <c r="E102" s="402"/>
      <c r="F102" s="402"/>
      <c r="G102" s="403"/>
      <c r="I102" s="68" t="s">
        <v>126</v>
      </c>
      <c r="J102" s="86">
        <v>0</v>
      </c>
      <c r="K102" s="48">
        <v>0</v>
      </c>
      <c r="L102" s="68" t="s">
        <v>126</v>
      </c>
      <c r="M102" s="84">
        <v>0</v>
      </c>
      <c r="O102" s="108">
        <f t="shared" si="14"/>
        <v>0</v>
      </c>
      <c r="P102" s="40">
        <f t="shared" si="15"/>
        <v>0</v>
      </c>
      <c r="R102" s="321">
        <f t="shared" si="16"/>
        <v>0</v>
      </c>
      <c r="S102" s="321">
        <f t="shared" si="17"/>
        <v>0</v>
      </c>
      <c r="T102" s="40">
        <f t="shared" si="18"/>
        <v>0</v>
      </c>
      <c r="U102" s="40">
        <f t="shared" si="19"/>
        <v>0</v>
      </c>
      <c r="V102" s="106" t="str">
        <f t="shared" si="20"/>
        <v>per SKU</v>
      </c>
      <c r="X102" s="356"/>
      <c r="Y102" s="356"/>
      <c r="Z102" s="356"/>
    </row>
    <row r="103" spans="1:26" x14ac:dyDescent="0.3">
      <c r="A103" s="40"/>
      <c r="D103" s="401" t="s">
        <v>939</v>
      </c>
      <c r="E103" s="402"/>
      <c r="F103" s="402"/>
      <c r="G103" s="403"/>
      <c r="I103" s="68" t="s">
        <v>126</v>
      </c>
      <c r="J103" s="86">
        <v>0</v>
      </c>
      <c r="K103" s="48">
        <v>0</v>
      </c>
      <c r="L103" s="68" t="s">
        <v>126</v>
      </c>
      <c r="M103" s="84">
        <v>0</v>
      </c>
      <c r="O103" s="108">
        <f t="shared" si="14"/>
        <v>0</v>
      </c>
      <c r="P103" s="40">
        <f t="shared" si="15"/>
        <v>0</v>
      </c>
      <c r="R103" s="321">
        <f t="shared" si="16"/>
        <v>0</v>
      </c>
      <c r="S103" s="321">
        <f t="shared" si="17"/>
        <v>0</v>
      </c>
      <c r="T103" s="40">
        <f t="shared" si="18"/>
        <v>0</v>
      </c>
      <c r="U103" s="40">
        <f t="shared" si="19"/>
        <v>0</v>
      </c>
      <c r="V103" s="106" t="str">
        <f t="shared" si="20"/>
        <v>per SKU</v>
      </c>
      <c r="X103" s="356"/>
      <c r="Y103" s="356"/>
      <c r="Z103" s="356"/>
    </row>
    <row r="104" spans="1:26" x14ac:dyDescent="0.3">
      <c r="A104" s="40"/>
      <c r="D104" s="401" t="s">
        <v>940</v>
      </c>
      <c r="E104" s="404"/>
      <c r="F104" s="404"/>
      <c r="G104" s="405"/>
      <c r="I104" s="68" t="s">
        <v>126</v>
      </c>
      <c r="J104" s="86">
        <v>0</v>
      </c>
      <c r="K104" s="48">
        <v>0</v>
      </c>
      <c r="L104" s="68" t="s">
        <v>126</v>
      </c>
      <c r="M104" s="84">
        <v>0</v>
      </c>
      <c r="O104" s="108">
        <f t="shared" si="14"/>
        <v>0</v>
      </c>
      <c r="P104" s="40">
        <f t="shared" si="15"/>
        <v>0</v>
      </c>
      <c r="R104" s="321">
        <f t="shared" si="16"/>
        <v>0</v>
      </c>
      <c r="S104" s="321">
        <f t="shared" si="17"/>
        <v>0</v>
      </c>
      <c r="T104" s="40">
        <f t="shared" si="18"/>
        <v>0</v>
      </c>
      <c r="U104" s="40">
        <f t="shared" si="19"/>
        <v>0</v>
      </c>
      <c r="V104" s="106" t="str">
        <f t="shared" si="20"/>
        <v>per SKU</v>
      </c>
      <c r="X104" s="356"/>
      <c r="Y104" s="356"/>
      <c r="Z104" s="356"/>
    </row>
    <row r="105" spans="1:26" x14ac:dyDescent="0.3">
      <c r="A105" s="40"/>
      <c r="D105" s="401" t="s">
        <v>941</v>
      </c>
      <c r="E105" s="402"/>
      <c r="F105" s="402"/>
      <c r="G105" s="403"/>
      <c r="I105" s="68" t="s">
        <v>126</v>
      </c>
      <c r="J105" s="86">
        <v>0</v>
      </c>
      <c r="K105" s="48">
        <v>0</v>
      </c>
      <c r="L105" s="68" t="s">
        <v>126</v>
      </c>
      <c r="M105" s="84">
        <v>0</v>
      </c>
      <c r="O105" s="108">
        <f t="shared" si="14"/>
        <v>0</v>
      </c>
      <c r="P105" s="40">
        <f t="shared" si="15"/>
        <v>0</v>
      </c>
      <c r="R105" s="321">
        <f t="shared" si="16"/>
        <v>0</v>
      </c>
      <c r="S105" s="321">
        <f t="shared" si="17"/>
        <v>0</v>
      </c>
      <c r="T105" s="40">
        <f t="shared" si="18"/>
        <v>0</v>
      </c>
      <c r="U105" s="40">
        <f t="shared" si="19"/>
        <v>0</v>
      </c>
      <c r="V105" s="106" t="str">
        <f t="shared" si="20"/>
        <v>per SKU</v>
      </c>
      <c r="X105" s="356"/>
      <c r="Y105" s="356"/>
      <c r="Z105" s="356"/>
    </row>
    <row r="106" spans="1:26" x14ac:dyDescent="0.3">
      <c r="A106" s="40"/>
      <c r="D106" s="401" t="s">
        <v>942</v>
      </c>
      <c r="E106" s="402"/>
      <c r="F106" s="402"/>
      <c r="G106" s="403"/>
      <c r="I106" s="68" t="s">
        <v>126</v>
      </c>
      <c r="J106" s="86">
        <v>0</v>
      </c>
      <c r="K106" s="48">
        <v>0</v>
      </c>
      <c r="L106" s="68" t="s">
        <v>126</v>
      </c>
      <c r="M106" s="84">
        <v>0</v>
      </c>
      <c r="O106" s="108">
        <f t="shared" si="14"/>
        <v>0</v>
      </c>
      <c r="P106" s="40">
        <f t="shared" si="15"/>
        <v>0</v>
      </c>
      <c r="R106" s="321">
        <f t="shared" si="16"/>
        <v>0</v>
      </c>
      <c r="S106" s="321">
        <f t="shared" si="17"/>
        <v>0</v>
      </c>
      <c r="T106" s="40">
        <f t="shared" si="18"/>
        <v>0</v>
      </c>
      <c r="U106" s="40">
        <f t="shared" si="19"/>
        <v>0</v>
      </c>
      <c r="V106" s="106" t="str">
        <f t="shared" si="20"/>
        <v>per SKU</v>
      </c>
      <c r="X106" s="356"/>
      <c r="Y106" s="356"/>
      <c r="Z106" s="356"/>
    </row>
    <row r="107" spans="1:26" s="277" customFormat="1" x14ac:dyDescent="0.3">
      <c r="A107" s="286"/>
      <c r="D107" s="387" t="s">
        <v>749</v>
      </c>
      <c r="E107" s="387"/>
      <c r="F107" s="387"/>
      <c r="G107" s="387"/>
      <c r="I107" s="68" t="s">
        <v>126</v>
      </c>
      <c r="J107" s="86">
        <v>0</v>
      </c>
      <c r="K107" s="48">
        <v>0</v>
      </c>
      <c r="L107" s="68" t="s">
        <v>126</v>
      </c>
      <c r="M107" s="84">
        <v>0</v>
      </c>
      <c r="O107" s="287">
        <f t="shared" si="14"/>
        <v>0</v>
      </c>
      <c r="P107" s="279">
        <f t="shared" si="15"/>
        <v>0</v>
      </c>
      <c r="R107" s="280">
        <f t="shared" si="16"/>
        <v>0</v>
      </c>
      <c r="S107" s="280">
        <f t="shared" si="17"/>
        <v>0</v>
      </c>
      <c r="T107" s="279">
        <f t="shared" si="18"/>
        <v>0</v>
      </c>
      <c r="U107" s="279">
        <f t="shared" si="19"/>
        <v>0</v>
      </c>
      <c r="V107" s="285" t="str">
        <f t="shared" si="20"/>
        <v>per SKU</v>
      </c>
      <c r="X107" s="385"/>
      <c r="Y107" s="385"/>
      <c r="Z107" s="385"/>
    </row>
    <row r="108" spans="1:26" s="277" customFormat="1" x14ac:dyDescent="0.3">
      <c r="A108" s="286"/>
      <c r="D108" s="387" t="s">
        <v>750</v>
      </c>
      <c r="E108" s="387"/>
      <c r="F108" s="387"/>
      <c r="G108" s="387"/>
      <c r="I108" s="68" t="s">
        <v>126</v>
      </c>
      <c r="J108" s="86">
        <v>0</v>
      </c>
      <c r="K108" s="48">
        <v>0</v>
      </c>
      <c r="L108" s="68" t="s">
        <v>126</v>
      </c>
      <c r="M108" s="84">
        <v>0</v>
      </c>
      <c r="O108" s="287">
        <f t="shared" si="14"/>
        <v>0</v>
      </c>
      <c r="P108" s="279">
        <f t="shared" si="15"/>
        <v>0</v>
      </c>
      <c r="R108" s="280">
        <f t="shared" si="16"/>
        <v>0</v>
      </c>
      <c r="S108" s="280">
        <f t="shared" si="17"/>
        <v>0</v>
      </c>
      <c r="T108" s="279">
        <f t="shared" si="18"/>
        <v>0</v>
      </c>
      <c r="U108" s="279">
        <f t="shared" si="19"/>
        <v>0</v>
      </c>
      <c r="V108" s="285" t="str">
        <f t="shared" si="20"/>
        <v>per SKU</v>
      </c>
      <c r="X108" s="385"/>
      <c r="Y108" s="385"/>
      <c r="Z108" s="385"/>
    </row>
    <row r="109" spans="1:26" s="277" customFormat="1" x14ac:dyDescent="0.3">
      <c r="A109" s="286"/>
      <c r="D109" s="387" t="s">
        <v>751</v>
      </c>
      <c r="E109" s="387"/>
      <c r="F109" s="387"/>
      <c r="G109" s="387"/>
      <c r="I109" s="68" t="s">
        <v>126</v>
      </c>
      <c r="J109" s="86">
        <v>0</v>
      </c>
      <c r="K109" s="48">
        <v>0</v>
      </c>
      <c r="L109" s="68" t="s">
        <v>126</v>
      </c>
      <c r="M109" s="84">
        <v>0</v>
      </c>
      <c r="O109" s="287">
        <f t="shared" si="14"/>
        <v>0</v>
      </c>
      <c r="P109" s="279">
        <f t="shared" si="15"/>
        <v>0</v>
      </c>
      <c r="R109" s="280">
        <f t="shared" si="16"/>
        <v>0</v>
      </c>
      <c r="S109" s="280">
        <f t="shared" si="17"/>
        <v>0</v>
      </c>
      <c r="T109" s="279">
        <f t="shared" si="18"/>
        <v>0</v>
      </c>
      <c r="U109" s="279">
        <f t="shared" si="19"/>
        <v>0</v>
      </c>
      <c r="V109" s="285" t="str">
        <f t="shared" si="20"/>
        <v>per SKU</v>
      </c>
      <c r="X109" s="385"/>
      <c r="Y109" s="385"/>
      <c r="Z109" s="385"/>
    </row>
    <row r="110" spans="1:26" s="277" customFormat="1" x14ac:dyDescent="0.3">
      <c r="A110" s="286"/>
      <c r="D110" s="387" t="s">
        <v>752</v>
      </c>
      <c r="E110" s="387"/>
      <c r="F110" s="387"/>
      <c r="G110" s="387"/>
      <c r="I110" s="68" t="s">
        <v>126</v>
      </c>
      <c r="J110" s="86">
        <v>0</v>
      </c>
      <c r="K110" s="48">
        <v>0</v>
      </c>
      <c r="L110" s="68" t="s">
        <v>126</v>
      </c>
      <c r="M110" s="84">
        <v>0</v>
      </c>
      <c r="O110" s="287">
        <f t="shared" si="14"/>
        <v>0</v>
      </c>
      <c r="P110" s="279">
        <f t="shared" si="15"/>
        <v>0</v>
      </c>
      <c r="R110" s="280">
        <f t="shared" si="16"/>
        <v>0</v>
      </c>
      <c r="S110" s="280">
        <f t="shared" si="17"/>
        <v>0</v>
      </c>
      <c r="T110" s="279">
        <f t="shared" si="18"/>
        <v>0</v>
      </c>
      <c r="U110" s="279">
        <f t="shared" si="19"/>
        <v>0</v>
      </c>
      <c r="V110" s="285" t="str">
        <f t="shared" si="20"/>
        <v>per SKU</v>
      </c>
      <c r="X110" s="385"/>
      <c r="Y110" s="385"/>
      <c r="Z110" s="385"/>
    </row>
    <row r="111" spans="1:26" s="277" customFormat="1" x14ac:dyDescent="0.3">
      <c r="A111" s="286"/>
      <c r="D111" s="387" t="s">
        <v>753</v>
      </c>
      <c r="E111" s="387"/>
      <c r="F111" s="387"/>
      <c r="G111" s="387"/>
      <c r="I111" s="68" t="s">
        <v>126</v>
      </c>
      <c r="J111" s="86">
        <v>0</v>
      </c>
      <c r="K111" s="48">
        <v>0</v>
      </c>
      <c r="L111" s="68" t="s">
        <v>126</v>
      </c>
      <c r="M111" s="84">
        <v>0</v>
      </c>
      <c r="O111" s="287">
        <f t="shared" si="14"/>
        <v>0</v>
      </c>
      <c r="P111" s="279">
        <f t="shared" si="15"/>
        <v>0</v>
      </c>
      <c r="R111" s="280">
        <f t="shared" si="16"/>
        <v>0</v>
      </c>
      <c r="S111" s="280">
        <f t="shared" si="17"/>
        <v>0</v>
      </c>
      <c r="T111" s="279">
        <f t="shared" si="18"/>
        <v>0</v>
      </c>
      <c r="U111" s="279">
        <f t="shared" si="19"/>
        <v>0</v>
      </c>
      <c r="V111" s="285" t="str">
        <f t="shared" si="20"/>
        <v>per SKU</v>
      </c>
      <c r="X111" s="385"/>
      <c r="Y111" s="385"/>
      <c r="Z111" s="385"/>
    </row>
    <row r="112" spans="1:26" s="277" customFormat="1" x14ac:dyDescent="0.3">
      <c r="A112" s="286"/>
      <c r="D112" s="387" t="s">
        <v>754</v>
      </c>
      <c r="E112" s="387"/>
      <c r="F112" s="387"/>
      <c r="G112" s="387"/>
      <c r="I112" s="68" t="s">
        <v>126</v>
      </c>
      <c r="J112" s="86">
        <v>0</v>
      </c>
      <c r="K112" s="48">
        <v>0</v>
      </c>
      <c r="L112" s="68" t="s">
        <v>126</v>
      </c>
      <c r="M112" s="84">
        <v>0</v>
      </c>
      <c r="O112" s="287">
        <f t="shared" si="14"/>
        <v>0</v>
      </c>
      <c r="P112" s="279">
        <f t="shared" si="15"/>
        <v>0</v>
      </c>
      <c r="R112" s="280">
        <f t="shared" si="16"/>
        <v>0</v>
      </c>
      <c r="S112" s="280">
        <f t="shared" si="17"/>
        <v>0</v>
      </c>
      <c r="T112" s="279">
        <f t="shared" si="18"/>
        <v>0</v>
      </c>
      <c r="U112" s="279">
        <f t="shared" si="19"/>
        <v>0</v>
      </c>
      <c r="V112" s="285" t="str">
        <f t="shared" si="20"/>
        <v>per SKU</v>
      </c>
      <c r="X112" s="385"/>
      <c r="Y112" s="385"/>
      <c r="Z112" s="385"/>
    </row>
    <row r="113" spans="1:26" s="277" customFormat="1" x14ac:dyDescent="0.3">
      <c r="A113" s="286"/>
      <c r="D113" s="387" t="s">
        <v>755</v>
      </c>
      <c r="E113" s="387"/>
      <c r="F113" s="387"/>
      <c r="G113" s="387"/>
      <c r="I113" s="68" t="s">
        <v>126</v>
      </c>
      <c r="J113" s="86">
        <v>0</v>
      </c>
      <c r="K113" s="48">
        <v>0</v>
      </c>
      <c r="L113" s="68" t="s">
        <v>126</v>
      </c>
      <c r="M113" s="84">
        <v>0</v>
      </c>
      <c r="O113" s="287">
        <f t="shared" si="14"/>
        <v>0</v>
      </c>
      <c r="P113" s="279">
        <f t="shared" si="15"/>
        <v>0</v>
      </c>
      <c r="R113" s="280">
        <f t="shared" si="16"/>
        <v>0</v>
      </c>
      <c r="S113" s="280">
        <f t="shared" si="17"/>
        <v>0</v>
      </c>
      <c r="T113" s="279">
        <f t="shared" si="18"/>
        <v>0</v>
      </c>
      <c r="U113" s="279">
        <f t="shared" si="19"/>
        <v>0</v>
      </c>
      <c r="V113" s="285" t="str">
        <f t="shared" si="20"/>
        <v>per SKU</v>
      </c>
      <c r="X113" s="385"/>
      <c r="Y113" s="385"/>
      <c r="Z113" s="385"/>
    </row>
    <row r="114" spans="1:26" s="277" customFormat="1" x14ac:dyDescent="0.3">
      <c r="A114" s="286"/>
      <c r="D114" s="387" t="s">
        <v>756</v>
      </c>
      <c r="E114" s="387"/>
      <c r="F114" s="387"/>
      <c r="G114" s="387"/>
      <c r="I114" s="68" t="s">
        <v>126</v>
      </c>
      <c r="J114" s="86">
        <v>0</v>
      </c>
      <c r="K114" s="48">
        <v>0</v>
      </c>
      <c r="L114" s="68" t="s">
        <v>126</v>
      </c>
      <c r="M114" s="84">
        <v>0</v>
      </c>
      <c r="O114" s="287">
        <f t="shared" si="14"/>
        <v>0</v>
      </c>
      <c r="P114" s="279">
        <f t="shared" si="15"/>
        <v>0</v>
      </c>
      <c r="R114" s="280">
        <f t="shared" si="16"/>
        <v>0</v>
      </c>
      <c r="S114" s="280">
        <f t="shared" si="17"/>
        <v>0</v>
      </c>
      <c r="T114" s="279">
        <f t="shared" si="18"/>
        <v>0</v>
      </c>
      <c r="U114" s="279">
        <f t="shared" si="19"/>
        <v>0</v>
      </c>
      <c r="V114" s="285" t="str">
        <f t="shared" si="20"/>
        <v>per SKU</v>
      </c>
      <c r="X114" s="385"/>
      <c r="Y114" s="385"/>
      <c r="Z114" s="385"/>
    </row>
    <row r="115" spans="1:26" s="277" customFormat="1" x14ac:dyDescent="0.3">
      <c r="A115" s="286"/>
      <c r="D115" s="387" t="s">
        <v>757</v>
      </c>
      <c r="E115" s="387"/>
      <c r="F115" s="387"/>
      <c r="G115" s="387"/>
      <c r="I115" s="68" t="s">
        <v>126</v>
      </c>
      <c r="J115" s="86">
        <v>0</v>
      </c>
      <c r="K115" s="48">
        <v>0</v>
      </c>
      <c r="L115" s="68" t="s">
        <v>126</v>
      </c>
      <c r="M115" s="84">
        <v>0</v>
      </c>
      <c r="O115" s="287">
        <f t="shared" si="14"/>
        <v>0</v>
      </c>
      <c r="P115" s="279">
        <f t="shared" si="15"/>
        <v>0</v>
      </c>
      <c r="R115" s="280">
        <f t="shared" si="16"/>
        <v>0</v>
      </c>
      <c r="S115" s="280">
        <f t="shared" si="17"/>
        <v>0</v>
      </c>
      <c r="T115" s="279">
        <f t="shared" si="18"/>
        <v>0</v>
      </c>
      <c r="U115" s="279">
        <f t="shared" si="19"/>
        <v>0</v>
      </c>
      <c r="V115" s="285" t="str">
        <f t="shared" si="20"/>
        <v>per SKU</v>
      </c>
      <c r="X115" s="385"/>
      <c r="Y115" s="385"/>
      <c r="Z115" s="385"/>
    </row>
    <row r="116" spans="1:26" s="277" customFormat="1" x14ac:dyDescent="0.3">
      <c r="A116" s="286"/>
      <c r="D116" s="387" t="s">
        <v>758</v>
      </c>
      <c r="E116" s="387"/>
      <c r="F116" s="387"/>
      <c r="G116" s="387"/>
      <c r="I116" s="68" t="s">
        <v>126</v>
      </c>
      <c r="J116" s="86">
        <v>0</v>
      </c>
      <c r="K116" s="48">
        <v>0</v>
      </c>
      <c r="L116" s="68" t="s">
        <v>126</v>
      </c>
      <c r="M116" s="84">
        <v>0</v>
      </c>
      <c r="O116" s="287">
        <f t="shared" si="14"/>
        <v>0</v>
      </c>
      <c r="P116" s="279">
        <f t="shared" si="15"/>
        <v>0</v>
      </c>
      <c r="R116" s="280">
        <f t="shared" si="16"/>
        <v>0</v>
      </c>
      <c r="S116" s="280">
        <f t="shared" si="17"/>
        <v>0</v>
      </c>
      <c r="T116" s="279">
        <f t="shared" si="18"/>
        <v>0</v>
      </c>
      <c r="U116" s="279">
        <f t="shared" si="19"/>
        <v>0</v>
      </c>
      <c r="V116" s="285" t="str">
        <f t="shared" si="20"/>
        <v>per SKU</v>
      </c>
      <c r="X116" s="385"/>
      <c r="Y116" s="385"/>
      <c r="Z116" s="385"/>
    </row>
    <row r="117" spans="1:26" s="277" customFormat="1" x14ac:dyDescent="0.3">
      <c r="A117" s="286"/>
      <c r="D117" s="387" t="s">
        <v>759</v>
      </c>
      <c r="E117" s="387"/>
      <c r="F117" s="387"/>
      <c r="G117" s="387"/>
      <c r="I117" s="68" t="s">
        <v>126</v>
      </c>
      <c r="J117" s="86">
        <v>0</v>
      </c>
      <c r="K117" s="48">
        <v>0</v>
      </c>
      <c r="L117" s="68" t="s">
        <v>126</v>
      </c>
      <c r="M117" s="84">
        <v>0</v>
      </c>
      <c r="O117" s="287">
        <f t="shared" si="14"/>
        <v>0</v>
      </c>
      <c r="P117" s="279">
        <f t="shared" si="15"/>
        <v>0</v>
      </c>
      <c r="R117" s="280">
        <f t="shared" si="16"/>
        <v>0</v>
      </c>
      <c r="S117" s="280">
        <f t="shared" si="17"/>
        <v>0</v>
      </c>
      <c r="T117" s="279">
        <f t="shared" si="18"/>
        <v>0</v>
      </c>
      <c r="U117" s="279">
        <f t="shared" si="19"/>
        <v>0</v>
      </c>
      <c r="V117" s="285" t="str">
        <f t="shared" si="20"/>
        <v>per SKU</v>
      </c>
      <c r="X117" s="385"/>
      <c r="Y117" s="385"/>
      <c r="Z117" s="385"/>
    </row>
    <row r="118" spans="1:26" s="277" customFormat="1" x14ac:dyDescent="0.3">
      <c r="A118" s="286"/>
      <c r="D118" s="387" t="s">
        <v>760</v>
      </c>
      <c r="E118" s="387"/>
      <c r="F118" s="387"/>
      <c r="G118" s="387"/>
      <c r="I118" s="68" t="s">
        <v>126</v>
      </c>
      <c r="J118" s="86">
        <v>0</v>
      </c>
      <c r="K118" s="48">
        <v>0</v>
      </c>
      <c r="L118" s="68" t="s">
        <v>126</v>
      </c>
      <c r="M118" s="84">
        <v>0</v>
      </c>
      <c r="O118" s="287">
        <f t="shared" si="14"/>
        <v>0</v>
      </c>
      <c r="P118" s="279">
        <f t="shared" si="15"/>
        <v>0</v>
      </c>
      <c r="R118" s="280">
        <f t="shared" si="16"/>
        <v>0</v>
      </c>
      <c r="S118" s="280">
        <f t="shared" si="17"/>
        <v>0</v>
      </c>
      <c r="T118" s="279">
        <f t="shared" si="18"/>
        <v>0</v>
      </c>
      <c r="U118" s="279">
        <f t="shared" si="19"/>
        <v>0</v>
      </c>
      <c r="V118" s="285" t="str">
        <f t="shared" si="20"/>
        <v>per SKU</v>
      </c>
      <c r="X118" s="385"/>
      <c r="Y118" s="385"/>
      <c r="Z118" s="385"/>
    </row>
    <row r="119" spans="1:26" s="277" customFormat="1" x14ac:dyDescent="0.3">
      <c r="A119" s="286"/>
      <c r="D119" s="387" t="s">
        <v>761</v>
      </c>
      <c r="E119" s="387"/>
      <c r="F119" s="387"/>
      <c r="G119" s="387"/>
      <c r="I119" s="68" t="s">
        <v>126</v>
      </c>
      <c r="J119" s="86">
        <v>0</v>
      </c>
      <c r="K119" s="48">
        <v>0</v>
      </c>
      <c r="L119" s="68" t="s">
        <v>126</v>
      </c>
      <c r="M119" s="84">
        <v>0</v>
      </c>
      <c r="O119" s="287">
        <f t="shared" si="14"/>
        <v>0</v>
      </c>
      <c r="P119" s="279">
        <f t="shared" si="15"/>
        <v>0</v>
      </c>
      <c r="R119" s="280">
        <f t="shared" si="16"/>
        <v>0</v>
      </c>
      <c r="S119" s="280">
        <f t="shared" si="17"/>
        <v>0</v>
      </c>
      <c r="T119" s="279">
        <f t="shared" si="18"/>
        <v>0</v>
      </c>
      <c r="U119" s="279">
        <f t="shared" si="19"/>
        <v>0</v>
      </c>
      <c r="V119" s="285" t="str">
        <f t="shared" si="20"/>
        <v>per SKU</v>
      </c>
      <c r="X119" s="385"/>
      <c r="Y119" s="385"/>
      <c r="Z119" s="385"/>
    </row>
    <row r="120" spans="1:26" s="277" customFormat="1" x14ac:dyDescent="0.3">
      <c r="A120" s="286"/>
      <c r="D120" s="387" t="s">
        <v>762</v>
      </c>
      <c r="E120" s="387"/>
      <c r="F120" s="387"/>
      <c r="G120" s="387"/>
      <c r="I120" s="68" t="s">
        <v>126</v>
      </c>
      <c r="J120" s="86">
        <v>0</v>
      </c>
      <c r="K120" s="48">
        <v>0</v>
      </c>
      <c r="L120" s="68" t="s">
        <v>126</v>
      </c>
      <c r="M120" s="84">
        <v>0</v>
      </c>
      <c r="O120" s="287">
        <f t="shared" si="14"/>
        <v>0</v>
      </c>
      <c r="P120" s="279">
        <f t="shared" si="15"/>
        <v>0</v>
      </c>
      <c r="R120" s="280">
        <f t="shared" si="16"/>
        <v>0</v>
      </c>
      <c r="S120" s="280">
        <f t="shared" si="17"/>
        <v>0</v>
      </c>
      <c r="T120" s="279">
        <f t="shared" si="18"/>
        <v>0</v>
      </c>
      <c r="U120" s="279">
        <f t="shared" si="19"/>
        <v>0</v>
      </c>
      <c r="V120" s="285" t="str">
        <f t="shared" si="20"/>
        <v>per SKU</v>
      </c>
      <c r="X120" s="385"/>
      <c r="Y120" s="385"/>
      <c r="Z120" s="385"/>
    </row>
    <row r="121" spans="1:26" s="277" customFormat="1" x14ac:dyDescent="0.3">
      <c r="A121" s="286"/>
      <c r="D121" s="387" t="s">
        <v>763</v>
      </c>
      <c r="E121" s="387"/>
      <c r="F121" s="387"/>
      <c r="G121" s="387"/>
      <c r="I121" s="68" t="s">
        <v>126</v>
      </c>
      <c r="J121" s="86">
        <v>0</v>
      </c>
      <c r="K121" s="48">
        <v>0</v>
      </c>
      <c r="L121" s="68" t="s">
        <v>126</v>
      </c>
      <c r="M121" s="84">
        <v>0</v>
      </c>
      <c r="O121" s="287">
        <f t="shared" si="14"/>
        <v>0</v>
      </c>
      <c r="P121" s="279">
        <f t="shared" si="15"/>
        <v>0</v>
      </c>
      <c r="R121" s="280">
        <f t="shared" si="16"/>
        <v>0</v>
      </c>
      <c r="S121" s="280">
        <f t="shared" si="17"/>
        <v>0</v>
      </c>
      <c r="T121" s="279">
        <f t="shared" si="18"/>
        <v>0</v>
      </c>
      <c r="U121" s="279">
        <f t="shared" si="19"/>
        <v>0</v>
      </c>
      <c r="V121" s="285" t="str">
        <f t="shared" si="20"/>
        <v>per SKU</v>
      </c>
      <c r="X121" s="385"/>
      <c r="Y121" s="385"/>
      <c r="Z121" s="385"/>
    </row>
    <row r="122" spans="1:26" s="277" customFormat="1" x14ac:dyDescent="0.3">
      <c r="A122" s="286"/>
      <c r="D122" s="387" t="s">
        <v>764</v>
      </c>
      <c r="E122" s="387"/>
      <c r="F122" s="387"/>
      <c r="G122" s="387"/>
      <c r="I122" s="68" t="s">
        <v>126</v>
      </c>
      <c r="J122" s="86">
        <v>0</v>
      </c>
      <c r="K122" s="48">
        <v>0</v>
      </c>
      <c r="L122" s="68" t="s">
        <v>126</v>
      </c>
      <c r="M122" s="84">
        <v>0</v>
      </c>
      <c r="O122" s="287">
        <f t="shared" si="14"/>
        <v>0</v>
      </c>
      <c r="P122" s="279">
        <f t="shared" si="15"/>
        <v>0</v>
      </c>
      <c r="R122" s="280">
        <f t="shared" si="16"/>
        <v>0</v>
      </c>
      <c r="S122" s="280">
        <f t="shared" si="17"/>
        <v>0</v>
      </c>
      <c r="T122" s="279">
        <f t="shared" si="18"/>
        <v>0</v>
      </c>
      <c r="U122" s="279">
        <f t="shared" si="19"/>
        <v>0</v>
      </c>
      <c r="V122" s="285" t="str">
        <f t="shared" si="20"/>
        <v>per SKU</v>
      </c>
      <c r="X122" s="385"/>
      <c r="Y122" s="385"/>
      <c r="Z122" s="385"/>
    </row>
    <row r="123" spans="1:26" s="277" customFormat="1" x14ac:dyDescent="0.3">
      <c r="A123" s="286"/>
      <c r="D123" s="387" t="s">
        <v>765</v>
      </c>
      <c r="E123" s="387"/>
      <c r="F123" s="387"/>
      <c r="G123" s="387"/>
      <c r="I123" s="68" t="s">
        <v>126</v>
      </c>
      <c r="J123" s="86">
        <v>0</v>
      </c>
      <c r="K123" s="48">
        <v>0</v>
      </c>
      <c r="L123" s="68" t="s">
        <v>126</v>
      </c>
      <c r="M123" s="84">
        <v>0</v>
      </c>
      <c r="O123" s="287">
        <f t="shared" si="14"/>
        <v>0</v>
      </c>
      <c r="P123" s="279">
        <f t="shared" si="15"/>
        <v>0</v>
      </c>
      <c r="R123" s="280">
        <f t="shared" si="16"/>
        <v>0</v>
      </c>
      <c r="S123" s="280">
        <f t="shared" si="17"/>
        <v>0</v>
      </c>
      <c r="T123" s="279">
        <f t="shared" si="18"/>
        <v>0</v>
      </c>
      <c r="U123" s="279">
        <f t="shared" si="19"/>
        <v>0</v>
      </c>
      <c r="V123" s="285" t="str">
        <f t="shared" si="20"/>
        <v>per SKU</v>
      </c>
      <c r="X123" s="385"/>
      <c r="Y123" s="385"/>
      <c r="Z123" s="385"/>
    </row>
    <row r="124" spans="1:26" s="277" customFormat="1" x14ac:dyDescent="0.3">
      <c r="A124" s="286"/>
      <c r="D124" s="387" t="s">
        <v>766</v>
      </c>
      <c r="E124" s="387"/>
      <c r="F124" s="387"/>
      <c r="G124" s="387"/>
      <c r="I124" s="68" t="s">
        <v>126</v>
      </c>
      <c r="J124" s="86">
        <v>0</v>
      </c>
      <c r="K124" s="48">
        <v>0</v>
      </c>
      <c r="L124" s="68" t="s">
        <v>126</v>
      </c>
      <c r="M124" s="84">
        <v>0</v>
      </c>
      <c r="O124" s="287">
        <f t="shared" si="14"/>
        <v>0</v>
      </c>
      <c r="P124" s="279">
        <f t="shared" si="15"/>
        <v>0</v>
      </c>
      <c r="R124" s="280">
        <f t="shared" si="16"/>
        <v>0</v>
      </c>
      <c r="S124" s="280">
        <f t="shared" si="17"/>
        <v>0</v>
      </c>
      <c r="T124" s="279">
        <f t="shared" si="18"/>
        <v>0</v>
      </c>
      <c r="U124" s="279">
        <f t="shared" si="19"/>
        <v>0</v>
      </c>
      <c r="V124" s="285" t="str">
        <f t="shared" si="20"/>
        <v>per SKU</v>
      </c>
      <c r="X124" s="385"/>
      <c r="Y124" s="385"/>
      <c r="Z124" s="385"/>
    </row>
    <row r="125" spans="1:26" s="277" customFormat="1" x14ac:dyDescent="0.3">
      <c r="A125" s="286"/>
      <c r="D125" s="387" t="s">
        <v>767</v>
      </c>
      <c r="E125" s="387"/>
      <c r="F125" s="387"/>
      <c r="G125" s="387"/>
      <c r="I125" s="68" t="s">
        <v>126</v>
      </c>
      <c r="J125" s="86">
        <v>0</v>
      </c>
      <c r="K125" s="48">
        <v>0</v>
      </c>
      <c r="L125" s="68" t="s">
        <v>126</v>
      </c>
      <c r="M125" s="84">
        <v>0</v>
      </c>
      <c r="O125" s="287">
        <f t="shared" si="14"/>
        <v>0</v>
      </c>
      <c r="P125" s="279">
        <f t="shared" si="15"/>
        <v>0</v>
      </c>
      <c r="R125" s="280">
        <f t="shared" si="16"/>
        <v>0</v>
      </c>
      <c r="S125" s="280">
        <f t="shared" si="17"/>
        <v>0</v>
      </c>
      <c r="T125" s="279">
        <f t="shared" si="18"/>
        <v>0</v>
      </c>
      <c r="U125" s="279">
        <f t="shared" si="19"/>
        <v>0</v>
      </c>
      <c r="V125" s="285" t="str">
        <f t="shared" si="20"/>
        <v>per SKU</v>
      </c>
      <c r="X125" s="385"/>
      <c r="Y125" s="385"/>
      <c r="Z125" s="385"/>
    </row>
    <row r="126" spans="1:26" ht="14.4" x14ac:dyDescent="0.3">
      <c r="D126" s="90" t="s">
        <v>574</v>
      </c>
    </row>
    <row r="127" spans="1:26" ht="15.6" x14ac:dyDescent="0.3">
      <c r="C127" s="92" t="s">
        <v>130</v>
      </c>
    </row>
    <row r="129" spans="4:29" ht="41.4" x14ac:dyDescent="0.3">
      <c r="D129" s="90" t="s">
        <v>131</v>
      </c>
      <c r="I129" s="91" t="s">
        <v>168</v>
      </c>
      <c r="J129" s="42" t="s">
        <v>178</v>
      </c>
      <c r="K129" s="42" t="s">
        <v>179</v>
      </c>
      <c r="L129" s="91" t="s">
        <v>169</v>
      </c>
      <c r="M129" s="91" t="s">
        <v>170</v>
      </c>
      <c r="O129" s="44" t="str">
        <f>"Financial "&amp;$I$10</f>
        <v>Financial GOZ</v>
      </c>
      <c r="P129" s="44" t="str">
        <f>"Economic "&amp;$I$10</f>
        <v>Economic GOZ</v>
      </c>
      <c r="R129" s="44" t="str">
        <f>"Financial "&amp;$D$216</f>
        <v>Financial USD</v>
      </c>
      <c r="S129" s="44" t="str">
        <f>"Economic "&amp;$D$216</f>
        <v>Economic USD</v>
      </c>
      <c r="T129" s="44" t="str">
        <f>"Financial "&amp;$D$217</f>
        <v>Financial GOZ</v>
      </c>
      <c r="U129" s="44" t="str">
        <f>"Economic "&amp;$D$217</f>
        <v>Economic GOZ</v>
      </c>
      <c r="V129" s="91" t="s">
        <v>171</v>
      </c>
      <c r="W129" s="42" t="s">
        <v>174</v>
      </c>
      <c r="X129" s="44" t="str">
        <f>"Annual Cost (FIN) ("&amp;$I$10&amp;"/SU)"</f>
        <v>Annual Cost (FIN) (GOZ/SU)</v>
      </c>
      <c r="Y129" s="44" t="str">
        <f>"Annual Cost (ECON) ("&amp;$I$10&amp;"/SU)"</f>
        <v>Annual Cost (ECON) (GOZ/SU)</v>
      </c>
      <c r="AA129" s="91" t="s">
        <v>129</v>
      </c>
    </row>
    <row r="130" spans="4:29" x14ac:dyDescent="0.3">
      <c r="D130" s="356" t="s">
        <v>70</v>
      </c>
      <c r="E130" s="356"/>
      <c r="F130" s="356"/>
      <c r="G130" s="356"/>
      <c r="I130" s="68" t="s">
        <v>126</v>
      </c>
      <c r="J130" s="85">
        <v>0</v>
      </c>
      <c r="K130" s="48">
        <v>0</v>
      </c>
      <c r="L130" s="68" t="s">
        <v>126</v>
      </c>
      <c r="M130" s="84">
        <v>0</v>
      </c>
      <c r="O130" s="74">
        <f t="shared" ref="O130:O164" si="21">IFERROR(J130/M130,0)</f>
        <v>0</v>
      </c>
      <c r="P130" s="40">
        <f t="shared" ref="P130:P164" si="22">IFERROR(K130/M130,0)</f>
        <v>0</v>
      </c>
      <c r="R130" s="320">
        <f t="shared" ref="R130:R164" si="23">IFERROR(IF(RES_Appl_Currency=$D$216,O130,O130/$J$217), 0)</f>
        <v>0</v>
      </c>
      <c r="S130" s="320">
        <f t="shared" ref="S130:S164" si="24">IFERROR(IF(RES_Appl_Currency=$D$216,P130,P130/$J$217), 0)</f>
        <v>0</v>
      </c>
      <c r="T130" s="40">
        <f t="shared" ref="T130:T164" si="25">IF(RES_Appl_Currency=$D$216,O130*$J$217,O130)</f>
        <v>0</v>
      </c>
      <c r="U130" s="40">
        <f t="shared" ref="U130:U164" si="26">IF(RES_Appl_Currency=$D$216,P130*$J$217,P130)</f>
        <v>0</v>
      </c>
      <c r="V130" s="223" t="str">
        <f t="shared" ref="V130:V164" si="27">"per "&amp;$L130&amp;""</f>
        <v>per SKU</v>
      </c>
      <c r="W130" s="84">
        <v>0</v>
      </c>
      <c r="X130" s="222">
        <f t="shared" ref="X130:X164" si="28" xml:space="preserve"> IFERROR(O130/W130,0)</f>
        <v>0</v>
      </c>
      <c r="Y130" s="222">
        <f>IFERROR(O130/(((1+CURR_TA!$I$22)^W130-1)/(CURR_TA!$I$22*(1+CURR_TA!$I$22)^W130)),0)</f>
        <v>0</v>
      </c>
      <c r="Z130" s="73"/>
      <c r="AA130" s="393"/>
      <c r="AB130" s="393"/>
      <c r="AC130" s="393"/>
    </row>
    <row r="131" spans="4:29" x14ac:dyDescent="0.3">
      <c r="D131" s="356" t="s">
        <v>122</v>
      </c>
      <c r="E131" s="356"/>
      <c r="F131" s="356"/>
      <c r="G131" s="356"/>
      <c r="I131" s="68" t="s">
        <v>126</v>
      </c>
      <c r="J131" s="85">
        <v>0</v>
      </c>
      <c r="K131" s="48">
        <v>0</v>
      </c>
      <c r="L131" s="68" t="s">
        <v>126</v>
      </c>
      <c r="M131" s="84">
        <v>0</v>
      </c>
      <c r="O131" s="74">
        <f t="shared" si="21"/>
        <v>0</v>
      </c>
      <c r="P131" s="40">
        <f t="shared" si="22"/>
        <v>0</v>
      </c>
      <c r="R131" s="320">
        <f t="shared" si="23"/>
        <v>0</v>
      </c>
      <c r="S131" s="320">
        <f t="shared" si="24"/>
        <v>0</v>
      </c>
      <c r="T131" s="40">
        <f t="shared" si="25"/>
        <v>0</v>
      </c>
      <c r="U131" s="40">
        <f t="shared" si="26"/>
        <v>0</v>
      </c>
      <c r="V131" s="223" t="str">
        <f t="shared" si="27"/>
        <v>per SKU</v>
      </c>
      <c r="W131" s="84">
        <v>0</v>
      </c>
      <c r="X131" s="222">
        <f t="shared" si="28"/>
        <v>0</v>
      </c>
      <c r="Y131" s="222">
        <f>IFERROR(O131/(((1+CURR_TA!$I$22)^W131-1)/(CURR_TA!$I$22*(1+CURR_TA!$I$22)^W131)),0)</f>
        <v>0</v>
      </c>
      <c r="Z131" s="73"/>
      <c r="AA131" s="393"/>
      <c r="AB131" s="393"/>
      <c r="AC131" s="393"/>
    </row>
    <row r="132" spans="4:29" x14ac:dyDescent="0.3">
      <c r="D132" s="356" t="s">
        <v>872</v>
      </c>
      <c r="E132" s="356"/>
      <c r="F132" s="356"/>
      <c r="G132" s="356"/>
      <c r="I132" s="68" t="s">
        <v>126</v>
      </c>
      <c r="J132" s="85">
        <v>0</v>
      </c>
      <c r="K132" s="48">
        <v>0</v>
      </c>
      <c r="L132" s="68" t="s">
        <v>126</v>
      </c>
      <c r="M132" s="84">
        <v>0</v>
      </c>
      <c r="O132" s="74">
        <f t="shared" si="21"/>
        <v>0</v>
      </c>
      <c r="P132" s="40">
        <f t="shared" si="22"/>
        <v>0</v>
      </c>
      <c r="R132" s="320">
        <f t="shared" si="23"/>
        <v>0</v>
      </c>
      <c r="S132" s="320">
        <f t="shared" si="24"/>
        <v>0</v>
      </c>
      <c r="T132" s="40">
        <f t="shared" si="25"/>
        <v>0</v>
      </c>
      <c r="U132" s="40">
        <f t="shared" si="26"/>
        <v>0</v>
      </c>
      <c r="V132" s="223" t="str">
        <f t="shared" si="27"/>
        <v>per SKU</v>
      </c>
      <c r="W132" s="84">
        <v>0</v>
      </c>
      <c r="X132" s="222">
        <f t="shared" si="28"/>
        <v>0</v>
      </c>
      <c r="Y132" s="222">
        <f>IFERROR(O132/(((1+CURR_TA!$I$22)^W132-1)/(CURR_TA!$I$22*(1+CURR_TA!$I$22)^W132)),0)</f>
        <v>0</v>
      </c>
      <c r="Z132" s="73"/>
      <c r="AA132" s="393"/>
      <c r="AB132" s="393"/>
      <c r="AC132" s="393"/>
    </row>
    <row r="133" spans="4:29" x14ac:dyDescent="0.3">
      <c r="D133" s="356" t="s">
        <v>873</v>
      </c>
      <c r="E133" s="356"/>
      <c r="F133" s="356"/>
      <c r="G133" s="356"/>
      <c r="I133" s="68" t="s">
        <v>126</v>
      </c>
      <c r="J133" s="85">
        <v>0</v>
      </c>
      <c r="K133" s="48">
        <v>0</v>
      </c>
      <c r="L133" s="68" t="s">
        <v>126</v>
      </c>
      <c r="M133" s="84">
        <v>0</v>
      </c>
      <c r="O133" s="74">
        <f t="shared" si="21"/>
        <v>0</v>
      </c>
      <c r="P133" s="40">
        <f t="shared" si="22"/>
        <v>0</v>
      </c>
      <c r="R133" s="320">
        <f t="shared" si="23"/>
        <v>0</v>
      </c>
      <c r="S133" s="320">
        <f t="shared" si="24"/>
        <v>0</v>
      </c>
      <c r="T133" s="40">
        <f t="shared" si="25"/>
        <v>0</v>
      </c>
      <c r="U133" s="40">
        <f t="shared" si="26"/>
        <v>0</v>
      </c>
      <c r="V133" s="223" t="str">
        <f t="shared" si="27"/>
        <v>per SKU</v>
      </c>
      <c r="W133" s="84">
        <v>0</v>
      </c>
      <c r="X133" s="222">
        <f t="shared" si="28"/>
        <v>0</v>
      </c>
      <c r="Y133" s="222">
        <f>IFERROR(O133/(((1+CURR_TA!$I$22)^W133-1)/(CURR_TA!$I$22*(1+CURR_TA!$I$22)^W133)),0)</f>
        <v>0</v>
      </c>
      <c r="Z133" s="73"/>
      <c r="AA133" s="393"/>
      <c r="AB133" s="393"/>
      <c r="AC133" s="393"/>
    </row>
    <row r="134" spans="4:29" x14ac:dyDescent="0.3">
      <c r="D134" s="356" t="s">
        <v>874</v>
      </c>
      <c r="E134" s="356"/>
      <c r="F134" s="356"/>
      <c r="G134" s="356"/>
      <c r="I134" s="68" t="s">
        <v>126</v>
      </c>
      <c r="J134" s="85">
        <v>0</v>
      </c>
      <c r="K134" s="48">
        <v>0</v>
      </c>
      <c r="L134" s="68" t="s">
        <v>126</v>
      </c>
      <c r="M134" s="84">
        <v>0</v>
      </c>
      <c r="O134" s="74">
        <f t="shared" si="21"/>
        <v>0</v>
      </c>
      <c r="P134" s="40">
        <f t="shared" si="22"/>
        <v>0</v>
      </c>
      <c r="R134" s="320">
        <f t="shared" si="23"/>
        <v>0</v>
      </c>
      <c r="S134" s="320">
        <f t="shared" si="24"/>
        <v>0</v>
      </c>
      <c r="T134" s="40">
        <f t="shared" si="25"/>
        <v>0</v>
      </c>
      <c r="U134" s="40">
        <f t="shared" si="26"/>
        <v>0</v>
      </c>
      <c r="V134" s="223" t="str">
        <f t="shared" si="27"/>
        <v>per SKU</v>
      </c>
      <c r="W134" s="84">
        <v>0</v>
      </c>
      <c r="X134" s="222">
        <f t="shared" si="28"/>
        <v>0</v>
      </c>
      <c r="Y134" s="222">
        <f>IFERROR(O134/(((1+CURR_TA!$I$22)^W134-1)/(CURR_TA!$I$22*(1+CURR_TA!$I$22)^W134)),0)</f>
        <v>0</v>
      </c>
      <c r="Z134" s="73"/>
      <c r="AA134" s="393"/>
      <c r="AB134" s="393"/>
      <c r="AC134" s="393"/>
    </row>
    <row r="135" spans="4:29" x14ac:dyDescent="0.3">
      <c r="D135" s="356" t="s">
        <v>875</v>
      </c>
      <c r="E135" s="356"/>
      <c r="F135" s="356"/>
      <c r="G135" s="356"/>
      <c r="I135" s="68" t="s">
        <v>126</v>
      </c>
      <c r="J135" s="85">
        <v>0</v>
      </c>
      <c r="K135" s="48">
        <v>0</v>
      </c>
      <c r="L135" s="68" t="s">
        <v>126</v>
      </c>
      <c r="M135" s="84">
        <v>0</v>
      </c>
      <c r="O135" s="74">
        <f t="shared" si="21"/>
        <v>0</v>
      </c>
      <c r="P135" s="40">
        <f t="shared" si="22"/>
        <v>0</v>
      </c>
      <c r="R135" s="320">
        <f t="shared" si="23"/>
        <v>0</v>
      </c>
      <c r="S135" s="320">
        <f t="shared" si="24"/>
        <v>0</v>
      </c>
      <c r="T135" s="40">
        <f t="shared" si="25"/>
        <v>0</v>
      </c>
      <c r="U135" s="40">
        <f t="shared" si="26"/>
        <v>0</v>
      </c>
      <c r="V135" s="223" t="str">
        <f t="shared" si="27"/>
        <v>per SKU</v>
      </c>
      <c r="W135" s="84">
        <v>0</v>
      </c>
      <c r="X135" s="222">
        <f t="shared" si="28"/>
        <v>0</v>
      </c>
      <c r="Y135" s="222">
        <f>IFERROR(O135/(((1+CURR_TA!$I$22)^W135-1)/(CURR_TA!$I$22*(1+CURR_TA!$I$22)^W135)),0)</f>
        <v>0</v>
      </c>
      <c r="Z135" s="73"/>
      <c r="AA135" s="393"/>
      <c r="AB135" s="393"/>
      <c r="AC135" s="393"/>
    </row>
    <row r="136" spans="4:29" s="277" customFormat="1" x14ac:dyDescent="0.3">
      <c r="D136" s="356" t="s">
        <v>778</v>
      </c>
      <c r="E136" s="356"/>
      <c r="F136" s="356"/>
      <c r="G136" s="356"/>
      <c r="I136" s="68" t="s">
        <v>126</v>
      </c>
      <c r="J136" s="85">
        <v>0</v>
      </c>
      <c r="K136" s="48">
        <v>0</v>
      </c>
      <c r="L136" s="68" t="s">
        <v>126</v>
      </c>
      <c r="M136" s="84">
        <v>0</v>
      </c>
      <c r="O136" s="291">
        <f t="shared" si="21"/>
        <v>0</v>
      </c>
      <c r="P136" s="279">
        <f t="shared" si="22"/>
        <v>0</v>
      </c>
      <c r="R136" s="284">
        <f t="shared" si="23"/>
        <v>0</v>
      </c>
      <c r="S136" s="284">
        <f t="shared" si="24"/>
        <v>0</v>
      </c>
      <c r="T136" s="279">
        <f t="shared" si="25"/>
        <v>0</v>
      </c>
      <c r="U136" s="279">
        <f t="shared" si="26"/>
        <v>0</v>
      </c>
      <c r="V136" s="292" t="str">
        <f t="shared" si="27"/>
        <v>per SKU</v>
      </c>
      <c r="W136" s="84">
        <v>0</v>
      </c>
      <c r="X136" s="288">
        <f t="shared" si="28"/>
        <v>0</v>
      </c>
      <c r="Y136" s="288">
        <f>IFERROR(O136/(((1+CURR_TA!$I$22)^W136-1)/(CURR_TA!$I$22*(1+CURR_TA!$I$22)^W136)),0)</f>
        <v>0</v>
      </c>
      <c r="Z136" s="286"/>
      <c r="AA136" s="386"/>
      <c r="AB136" s="386"/>
      <c r="AC136" s="386"/>
    </row>
    <row r="137" spans="4:29" s="277" customFormat="1" x14ac:dyDescent="0.3">
      <c r="D137" s="356" t="s">
        <v>779</v>
      </c>
      <c r="E137" s="356"/>
      <c r="F137" s="356"/>
      <c r="G137" s="356"/>
      <c r="I137" s="68" t="s">
        <v>126</v>
      </c>
      <c r="J137" s="85">
        <v>0</v>
      </c>
      <c r="K137" s="48">
        <v>0</v>
      </c>
      <c r="L137" s="68" t="s">
        <v>126</v>
      </c>
      <c r="M137" s="84">
        <v>0</v>
      </c>
      <c r="O137" s="291">
        <f t="shared" si="21"/>
        <v>0</v>
      </c>
      <c r="P137" s="279">
        <f t="shared" si="22"/>
        <v>0</v>
      </c>
      <c r="R137" s="284">
        <f t="shared" si="23"/>
        <v>0</v>
      </c>
      <c r="S137" s="284">
        <f t="shared" si="24"/>
        <v>0</v>
      </c>
      <c r="T137" s="279">
        <f t="shared" si="25"/>
        <v>0</v>
      </c>
      <c r="U137" s="279">
        <f t="shared" si="26"/>
        <v>0</v>
      </c>
      <c r="V137" s="292" t="str">
        <f t="shared" si="27"/>
        <v>per SKU</v>
      </c>
      <c r="W137" s="84">
        <v>0</v>
      </c>
      <c r="X137" s="288">
        <f t="shared" si="28"/>
        <v>0</v>
      </c>
      <c r="Y137" s="288">
        <f>IFERROR(O137/(((1+CURR_TA!$I$22)^W137-1)/(CURR_TA!$I$22*(1+CURR_TA!$I$22)^W137)),0)</f>
        <v>0</v>
      </c>
      <c r="Z137" s="286"/>
      <c r="AA137" s="386"/>
      <c r="AB137" s="386"/>
      <c r="AC137" s="386"/>
    </row>
    <row r="138" spans="4:29" s="277" customFormat="1" x14ac:dyDescent="0.3">
      <c r="D138" s="356" t="s">
        <v>780</v>
      </c>
      <c r="E138" s="356"/>
      <c r="F138" s="356"/>
      <c r="G138" s="356"/>
      <c r="I138" s="68" t="s">
        <v>126</v>
      </c>
      <c r="J138" s="85">
        <v>0</v>
      </c>
      <c r="K138" s="48">
        <v>0</v>
      </c>
      <c r="L138" s="68" t="s">
        <v>126</v>
      </c>
      <c r="M138" s="84">
        <v>0</v>
      </c>
      <c r="O138" s="291">
        <f t="shared" si="21"/>
        <v>0</v>
      </c>
      <c r="P138" s="279">
        <f t="shared" si="22"/>
        <v>0</v>
      </c>
      <c r="R138" s="284">
        <f t="shared" si="23"/>
        <v>0</v>
      </c>
      <c r="S138" s="284">
        <f t="shared" si="24"/>
        <v>0</v>
      </c>
      <c r="T138" s="279">
        <f t="shared" si="25"/>
        <v>0</v>
      </c>
      <c r="U138" s="279">
        <f t="shared" si="26"/>
        <v>0</v>
      </c>
      <c r="V138" s="292" t="str">
        <f t="shared" si="27"/>
        <v>per SKU</v>
      </c>
      <c r="W138" s="84">
        <v>0</v>
      </c>
      <c r="X138" s="288">
        <f t="shared" si="28"/>
        <v>0</v>
      </c>
      <c r="Y138" s="288">
        <f>IFERROR(O138/(((1+CURR_TA!$I$22)^W138-1)/(CURR_TA!$I$22*(1+CURR_TA!$I$22)^W138)),0)</f>
        <v>0</v>
      </c>
      <c r="Z138" s="286"/>
      <c r="AA138" s="386"/>
      <c r="AB138" s="386"/>
      <c r="AC138" s="386"/>
    </row>
    <row r="139" spans="4:29" s="277" customFormat="1" x14ac:dyDescent="0.3">
      <c r="D139" s="356" t="s">
        <v>781</v>
      </c>
      <c r="E139" s="356"/>
      <c r="F139" s="356"/>
      <c r="G139" s="356"/>
      <c r="I139" s="68" t="s">
        <v>126</v>
      </c>
      <c r="J139" s="85">
        <v>0</v>
      </c>
      <c r="K139" s="48">
        <v>0</v>
      </c>
      <c r="L139" s="68" t="s">
        <v>126</v>
      </c>
      <c r="M139" s="84">
        <v>0</v>
      </c>
      <c r="O139" s="291">
        <f t="shared" si="21"/>
        <v>0</v>
      </c>
      <c r="P139" s="279">
        <f t="shared" si="22"/>
        <v>0</v>
      </c>
      <c r="R139" s="284">
        <f t="shared" si="23"/>
        <v>0</v>
      </c>
      <c r="S139" s="284">
        <f t="shared" si="24"/>
        <v>0</v>
      </c>
      <c r="T139" s="279">
        <f t="shared" si="25"/>
        <v>0</v>
      </c>
      <c r="U139" s="279">
        <f t="shared" si="26"/>
        <v>0</v>
      </c>
      <c r="V139" s="292" t="str">
        <f t="shared" si="27"/>
        <v>per SKU</v>
      </c>
      <c r="W139" s="84">
        <v>0</v>
      </c>
      <c r="X139" s="288">
        <f t="shared" si="28"/>
        <v>0</v>
      </c>
      <c r="Y139" s="288">
        <f>IFERROR(O139/(((1+CURR_TA!$I$22)^W139-1)/(CURR_TA!$I$22*(1+CURR_TA!$I$22)^W139)),0)</f>
        <v>0</v>
      </c>
      <c r="Z139" s="286"/>
      <c r="AA139" s="386"/>
      <c r="AB139" s="386"/>
      <c r="AC139" s="386"/>
    </row>
    <row r="140" spans="4:29" s="277" customFormat="1" x14ac:dyDescent="0.3">
      <c r="D140" s="356" t="s">
        <v>782</v>
      </c>
      <c r="E140" s="356"/>
      <c r="F140" s="356"/>
      <c r="G140" s="356"/>
      <c r="I140" s="68" t="s">
        <v>126</v>
      </c>
      <c r="J140" s="85">
        <v>0</v>
      </c>
      <c r="K140" s="48">
        <v>0</v>
      </c>
      <c r="L140" s="68" t="s">
        <v>126</v>
      </c>
      <c r="M140" s="84">
        <v>0</v>
      </c>
      <c r="O140" s="291">
        <f t="shared" si="21"/>
        <v>0</v>
      </c>
      <c r="P140" s="279">
        <f t="shared" si="22"/>
        <v>0</v>
      </c>
      <c r="R140" s="284">
        <f t="shared" si="23"/>
        <v>0</v>
      </c>
      <c r="S140" s="284">
        <f t="shared" si="24"/>
        <v>0</v>
      </c>
      <c r="T140" s="279">
        <f t="shared" si="25"/>
        <v>0</v>
      </c>
      <c r="U140" s="279">
        <f t="shared" si="26"/>
        <v>0</v>
      </c>
      <c r="V140" s="292" t="str">
        <f t="shared" si="27"/>
        <v>per SKU</v>
      </c>
      <c r="W140" s="84">
        <v>0</v>
      </c>
      <c r="X140" s="288">
        <f t="shared" si="28"/>
        <v>0</v>
      </c>
      <c r="Y140" s="288">
        <f>IFERROR(O140/(((1+CURR_TA!$I$22)^W140-1)/(CURR_TA!$I$22*(1+CURR_TA!$I$22)^W140)),0)</f>
        <v>0</v>
      </c>
      <c r="Z140" s="286"/>
      <c r="AA140" s="386"/>
      <c r="AB140" s="386"/>
      <c r="AC140" s="386"/>
    </row>
    <row r="141" spans="4:29" s="277" customFormat="1" x14ac:dyDescent="0.3">
      <c r="D141" s="356" t="s">
        <v>783</v>
      </c>
      <c r="E141" s="356"/>
      <c r="F141" s="356"/>
      <c r="G141" s="356"/>
      <c r="I141" s="68" t="s">
        <v>126</v>
      </c>
      <c r="J141" s="85">
        <v>0</v>
      </c>
      <c r="K141" s="48">
        <v>0</v>
      </c>
      <c r="L141" s="68" t="s">
        <v>126</v>
      </c>
      <c r="M141" s="84">
        <v>0</v>
      </c>
      <c r="O141" s="291">
        <f t="shared" si="21"/>
        <v>0</v>
      </c>
      <c r="P141" s="279">
        <f t="shared" si="22"/>
        <v>0</v>
      </c>
      <c r="R141" s="284">
        <f t="shared" si="23"/>
        <v>0</v>
      </c>
      <c r="S141" s="284">
        <f t="shared" si="24"/>
        <v>0</v>
      </c>
      <c r="T141" s="279">
        <f t="shared" si="25"/>
        <v>0</v>
      </c>
      <c r="U141" s="279">
        <f t="shared" si="26"/>
        <v>0</v>
      </c>
      <c r="V141" s="292" t="str">
        <f t="shared" si="27"/>
        <v>per SKU</v>
      </c>
      <c r="W141" s="84">
        <v>0</v>
      </c>
      <c r="X141" s="288">
        <f t="shared" si="28"/>
        <v>0</v>
      </c>
      <c r="Y141" s="288">
        <f>IFERROR(O141/(((1+CURR_TA!$I$22)^W141-1)/(CURR_TA!$I$22*(1+CURR_TA!$I$22)^W141)),0)</f>
        <v>0</v>
      </c>
      <c r="Z141" s="286"/>
      <c r="AA141" s="386"/>
      <c r="AB141" s="386"/>
      <c r="AC141" s="386"/>
    </row>
    <row r="142" spans="4:29" s="277" customFormat="1" x14ac:dyDescent="0.3">
      <c r="D142" s="356" t="s">
        <v>784</v>
      </c>
      <c r="E142" s="356"/>
      <c r="F142" s="356"/>
      <c r="G142" s="356"/>
      <c r="I142" s="68" t="s">
        <v>126</v>
      </c>
      <c r="J142" s="85">
        <v>0</v>
      </c>
      <c r="K142" s="48">
        <v>0</v>
      </c>
      <c r="L142" s="68" t="s">
        <v>126</v>
      </c>
      <c r="M142" s="84">
        <v>0</v>
      </c>
      <c r="O142" s="291">
        <f t="shared" si="21"/>
        <v>0</v>
      </c>
      <c r="P142" s="279">
        <f t="shared" si="22"/>
        <v>0</v>
      </c>
      <c r="R142" s="284">
        <f t="shared" si="23"/>
        <v>0</v>
      </c>
      <c r="S142" s="284">
        <f t="shared" si="24"/>
        <v>0</v>
      </c>
      <c r="T142" s="279">
        <f t="shared" si="25"/>
        <v>0</v>
      </c>
      <c r="U142" s="279">
        <f t="shared" si="26"/>
        <v>0</v>
      </c>
      <c r="V142" s="292" t="str">
        <f t="shared" si="27"/>
        <v>per SKU</v>
      </c>
      <c r="W142" s="84">
        <v>0</v>
      </c>
      <c r="X142" s="288">
        <f t="shared" si="28"/>
        <v>0</v>
      </c>
      <c r="Y142" s="288">
        <f>IFERROR(O142/(((1+CURR_TA!$I$22)^W142-1)/(CURR_TA!$I$22*(1+CURR_TA!$I$22)^W142)),0)</f>
        <v>0</v>
      </c>
      <c r="Z142" s="286"/>
      <c r="AA142" s="386"/>
      <c r="AB142" s="386"/>
      <c r="AC142" s="386"/>
    </row>
    <row r="143" spans="4:29" s="277" customFormat="1" x14ac:dyDescent="0.3">
      <c r="D143" s="356" t="s">
        <v>785</v>
      </c>
      <c r="E143" s="356"/>
      <c r="F143" s="356"/>
      <c r="G143" s="356"/>
      <c r="I143" s="68" t="s">
        <v>126</v>
      </c>
      <c r="J143" s="85">
        <v>0</v>
      </c>
      <c r="K143" s="48">
        <v>0</v>
      </c>
      <c r="L143" s="68" t="s">
        <v>126</v>
      </c>
      <c r="M143" s="84">
        <v>0</v>
      </c>
      <c r="O143" s="291">
        <f t="shared" si="21"/>
        <v>0</v>
      </c>
      <c r="P143" s="279">
        <f t="shared" si="22"/>
        <v>0</v>
      </c>
      <c r="R143" s="284">
        <f t="shared" si="23"/>
        <v>0</v>
      </c>
      <c r="S143" s="284">
        <f t="shared" si="24"/>
        <v>0</v>
      </c>
      <c r="T143" s="279">
        <f t="shared" si="25"/>
        <v>0</v>
      </c>
      <c r="U143" s="279">
        <f t="shared" si="26"/>
        <v>0</v>
      </c>
      <c r="V143" s="292" t="str">
        <f t="shared" si="27"/>
        <v>per SKU</v>
      </c>
      <c r="W143" s="84">
        <v>0</v>
      </c>
      <c r="X143" s="288">
        <f t="shared" si="28"/>
        <v>0</v>
      </c>
      <c r="Y143" s="288">
        <f>IFERROR(O143/(((1+CURR_TA!$I$22)^W143-1)/(CURR_TA!$I$22*(1+CURR_TA!$I$22)^W143)),0)</f>
        <v>0</v>
      </c>
      <c r="Z143" s="286"/>
      <c r="AA143" s="386"/>
      <c r="AB143" s="386"/>
      <c r="AC143" s="386"/>
    </row>
    <row r="144" spans="4:29" s="277" customFormat="1" x14ac:dyDescent="0.3">
      <c r="D144" s="356" t="s">
        <v>786</v>
      </c>
      <c r="E144" s="356"/>
      <c r="F144" s="356"/>
      <c r="G144" s="356"/>
      <c r="I144" s="68" t="s">
        <v>126</v>
      </c>
      <c r="J144" s="85">
        <v>0</v>
      </c>
      <c r="K144" s="48">
        <v>0</v>
      </c>
      <c r="L144" s="68" t="s">
        <v>126</v>
      </c>
      <c r="M144" s="84">
        <v>0</v>
      </c>
      <c r="O144" s="291">
        <f t="shared" si="21"/>
        <v>0</v>
      </c>
      <c r="P144" s="279">
        <f t="shared" si="22"/>
        <v>0</v>
      </c>
      <c r="R144" s="284">
        <f t="shared" si="23"/>
        <v>0</v>
      </c>
      <c r="S144" s="284">
        <f t="shared" si="24"/>
        <v>0</v>
      </c>
      <c r="T144" s="279">
        <f t="shared" si="25"/>
        <v>0</v>
      </c>
      <c r="U144" s="279">
        <f t="shared" si="26"/>
        <v>0</v>
      </c>
      <c r="V144" s="292" t="str">
        <f t="shared" si="27"/>
        <v>per SKU</v>
      </c>
      <c r="W144" s="84">
        <v>0</v>
      </c>
      <c r="X144" s="288">
        <f t="shared" si="28"/>
        <v>0</v>
      </c>
      <c r="Y144" s="288">
        <f>IFERROR(O144/(((1+CURR_TA!$I$22)^W144-1)/(CURR_TA!$I$22*(1+CURR_TA!$I$22)^W144)),0)</f>
        <v>0</v>
      </c>
      <c r="Z144" s="286"/>
      <c r="AA144" s="386"/>
      <c r="AB144" s="386"/>
      <c r="AC144" s="386"/>
    </row>
    <row r="145" spans="4:29" s="277" customFormat="1" x14ac:dyDescent="0.3">
      <c r="D145" s="356" t="s">
        <v>787</v>
      </c>
      <c r="E145" s="356"/>
      <c r="F145" s="356"/>
      <c r="G145" s="356"/>
      <c r="I145" s="68" t="s">
        <v>126</v>
      </c>
      <c r="J145" s="85">
        <v>0</v>
      </c>
      <c r="K145" s="48">
        <v>0</v>
      </c>
      <c r="L145" s="68" t="s">
        <v>126</v>
      </c>
      <c r="M145" s="84">
        <v>0</v>
      </c>
      <c r="O145" s="291">
        <f t="shared" si="21"/>
        <v>0</v>
      </c>
      <c r="P145" s="279">
        <f t="shared" si="22"/>
        <v>0</v>
      </c>
      <c r="R145" s="284">
        <f t="shared" si="23"/>
        <v>0</v>
      </c>
      <c r="S145" s="284">
        <f t="shared" si="24"/>
        <v>0</v>
      </c>
      <c r="T145" s="279">
        <f t="shared" si="25"/>
        <v>0</v>
      </c>
      <c r="U145" s="279">
        <f t="shared" si="26"/>
        <v>0</v>
      </c>
      <c r="V145" s="292" t="str">
        <f t="shared" si="27"/>
        <v>per SKU</v>
      </c>
      <c r="W145" s="84">
        <v>0</v>
      </c>
      <c r="X145" s="288">
        <f t="shared" si="28"/>
        <v>0</v>
      </c>
      <c r="Y145" s="288">
        <f>IFERROR(O145/(((1+CURR_TA!$I$22)^W145-1)/(CURR_TA!$I$22*(1+CURR_TA!$I$22)^W145)),0)</f>
        <v>0</v>
      </c>
      <c r="Z145" s="286"/>
      <c r="AA145" s="386"/>
      <c r="AB145" s="386"/>
      <c r="AC145" s="386"/>
    </row>
    <row r="146" spans="4:29" s="277" customFormat="1" x14ac:dyDescent="0.3">
      <c r="D146" s="356" t="s">
        <v>788</v>
      </c>
      <c r="E146" s="356"/>
      <c r="F146" s="356"/>
      <c r="G146" s="356"/>
      <c r="I146" s="68" t="s">
        <v>126</v>
      </c>
      <c r="J146" s="85">
        <v>0</v>
      </c>
      <c r="K146" s="48">
        <v>0</v>
      </c>
      <c r="L146" s="68" t="s">
        <v>126</v>
      </c>
      <c r="M146" s="84">
        <v>0</v>
      </c>
      <c r="O146" s="291">
        <f t="shared" si="21"/>
        <v>0</v>
      </c>
      <c r="P146" s="279">
        <f t="shared" si="22"/>
        <v>0</v>
      </c>
      <c r="R146" s="284">
        <f t="shared" si="23"/>
        <v>0</v>
      </c>
      <c r="S146" s="284">
        <f t="shared" si="24"/>
        <v>0</v>
      </c>
      <c r="T146" s="279">
        <f t="shared" si="25"/>
        <v>0</v>
      </c>
      <c r="U146" s="279">
        <f t="shared" si="26"/>
        <v>0</v>
      </c>
      <c r="V146" s="292" t="str">
        <f t="shared" si="27"/>
        <v>per SKU</v>
      </c>
      <c r="W146" s="84">
        <v>0</v>
      </c>
      <c r="X146" s="288">
        <f t="shared" si="28"/>
        <v>0</v>
      </c>
      <c r="Y146" s="288">
        <f>IFERROR(O146/(((1+CURR_TA!$I$22)^W146-1)/(CURR_TA!$I$22*(1+CURR_TA!$I$22)^W146)),0)</f>
        <v>0</v>
      </c>
      <c r="Z146" s="286"/>
      <c r="AA146" s="386"/>
      <c r="AB146" s="386"/>
      <c r="AC146" s="386"/>
    </row>
    <row r="147" spans="4:29" s="277" customFormat="1" x14ac:dyDescent="0.3">
      <c r="D147" s="356" t="s">
        <v>789</v>
      </c>
      <c r="E147" s="356"/>
      <c r="F147" s="356"/>
      <c r="G147" s="356"/>
      <c r="I147" s="68" t="s">
        <v>126</v>
      </c>
      <c r="J147" s="85">
        <v>0</v>
      </c>
      <c r="K147" s="48">
        <v>0</v>
      </c>
      <c r="L147" s="68" t="s">
        <v>126</v>
      </c>
      <c r="M147" s="84">
        <v>0</v>
      </c>
      <c r="O147" s="291">
        <f t="shared" si="21"/>
        <v>0</v>
      </c>
      <c r="P147" s="279">
        <f t="shared" si="22"/>
        <v>0</v>
      </c>
      <c r="R147" s="284">
        <f t="shared" si="23"/>
        <v>0</v>
      </c>
      <c r="S147" s="284">
        <f t="shared" si="24"/>
        <v>0</v>
      </c>
      <c r="T147" s="279">
        <f t="shared" si="25"/>
        <v>0</v>
      </c>
      <c r="U147" s="279">
        <f t="shared" si="26"/>
        <v>0</v>
      </c>
      <c r="V147" s="292" t="str">
        <f t="shared" si="27"/>
        <v>per SKU</v>
      </c>
      <c r="W147" s="84">
        <v>0</v>
      </c>
      <c r="X147" s="288">
        <f t="shared" si="28"/>
        <v>0</v>
      </c>
      <c r="Y147" s="288">
        <f>IFERROR(O147/(((1+CURR_TA!$I$22)^W147-1)/(CURR_TA!$I$22*(1+CURR_TA!$I$22)^W147)),0)</f>
        <v>0</v>
      </c>
      <c r="Z147" s="286"/>
      <c r="AA147" s="386"/>
      <c r="AB147" s="386"/>
      <c r="AC147" s="386"/>
    </row>
    <row r="148" spans="4:29" s="277" customFormat="1" x14ac:dyDescent="0.3">
      <c r="D148" s="356" t="s">
        <v>790</v>
      </c>
      <c r="E148" s="356"/>
      <c r="F148" s="356"/>
      <c r="G148" s="356"/>
      <c r="I148" s="68" t="s">
        <v>126</v>
      </c>
      <c r="J148" s="85">
        <v>0</v>
      </c>
      <c r="K148" s="48">
        <v>0</v>
      </c>
      <c r="L148" s="68" t="s">
        <v>126</v>
      </c>
      <c r="M148" s="84">
        <v>0</v>
      </c>
      <c r="O148" s="291">
        <f t="shared" si="21"/>
        <v>0</v>
      </c>
      <c r="P148" s="279">
        <f t="shared" si="22"/>
        <v>0</v>
      </c>
      <c r="R148" s="284">
        <f t="shared" si="23"/>
        <v>0</v>
      </c>
      <c r="S148" s="284">
        <f t="shared" si="24"/>
        <v>0</v>
      </c>
      <c r="T148" s="279">
        <f t="shared" si="25"/>
        <v>0</v>
      </c>
      <c r="U148" s="279">
        <f t="shared" si="26"/>
        <v>0</v>
      </c>
      <c r="V148" s="292" t="str">
        <f t="shared" si="27"/>
        <v>per SKU</v>
      </c>
      <c r="W148" s="84">
        <v>0</v>
      </c>
      <c r="X148" s="288">
        <f t="shared" si="28"/>
        <v>0</v>
      </c>
      <c r="Y148" s="288">
        <f>IFERROR(O148/(((1+CURR_TA!$I$22)^W148-1)/(CURR_TA!$I$22*(1+CURR_TA!$I$22)^W148)),0)</f>
        <v>0</v>
      </c>
      <c r="Z148" s="286"/>
      <c r="AA148" s="386"/>
      <c r="AB148" s="386"/>
      <c r="AC148" s="386"/>
    </row>
    <row r="149" spans="4:29" s="277" customFormat="1" x14ac:dyDescent="0.3">
      <c r="D149" s="356" t="s">
        <v>791</v>
      </c>
      <c r="E149" s="356"/>
      <c r="F149" s="356"/>
      <c r="G149" s="356"/>
      <c r="I149" s="68" t="s">
        <v>126</v>
      </c>
      <c r="J149" s="85">
        <v>0</v>
      </c>
      <c r="K149" s="48">
        <v>0</v>
      </c>
      <c r="L149" s="68" t="s">
        <v>126</v>
      </c>
      <c r="M149" s="84">
        <v>0</v>
      </c>
      <c r="O149" s="291">
        <f t="shared" si="21"/>
        <v>0</v>
      </c>
      <c r="P149" s="279">
        <f t="shared" si="22"/>
        <v>0</v>
      </c>
      <c r="R149" s="284">
        <f t="shared" si="23"/>
        <v>0</v>
      </c>
      <c r="S149" s="284">
        <f t="shared" si="24"/>
        <v>0</v>
      </c>
      <c r="T149" s="279">
        <f t="shared" si="25"/>
        <v>0</v>
      </c>
      <c r="U149" s="279">
        <f t="shared" si="26"/>
        <v>0</v>
      </c>
      <c r="V149" s="292" t="str">
        <f t="shared" si="27"/>
        <v>per SKU</v>
      </c>
      <c r="W149" s="84">
        <v>0</v>
      </c>
      <c r="X149" s="288">
        <f t="shared" si="28"/>
        <v>0</v>
      </c>
      <c r="Y149" s="288">
        <f>IFERROR(O149/(((1+CURR_TA!$I$22)^W149-1)/(CURR_TA!$I$22*(1+CURR_TA!$I$22)^W149)),0)</f>
        <v>0</v>
      </c>
      <c r="Z149" s="286"/>
      <c r="AA149" s="386"/>
      <c r="AB149" s="386"/>
      <c r="AC149" s="386"/>
    </row>
    <row r="150" spans="4:29" s="277" customFormat="1" x14ac:dyDescent="0.3">
      <c r="D150" s="356" t="s">
        <v>792</v>
      </c>
      <c r="E150" s="356"/>
      <c r="F150" s="356"/>
      <c r="G150" s="356"/>
      <c r="I150" s="68" t="s">
        <v>126</v>
      </c>
      <c r="J150" s="85">
        <v>0</v>
      </c>
      <c r="K150" s="48">
        <v>0</v>
      </c>
      <c r="L150" s="68" t="s">
        <v>126</v>
      </c>
      <c r="M150" s="84">
        <v>0</v>
      </c>
      <c r="O150" s="291">
        <f t="shared" si="21"/>
        <v>0</v>
      </c>
      <c r="P150" s="279">
        <f t="shared" si="22"/>
        <v>0</v>
      </c>
      <c r="R150" s="284">
        <f t="shared" si="23"/>
        <v>0</v>
      </c>
      <c r="S150" s="284">
        <f t="shared" si="24"/>
        <v>0</v>
      </c>
      <c r="T150" s="279">
        <f t="shared" si="25"/>
        <v>0</v>
      </c>
      <c r="U150" s="279">
        <f t="shared" si="26"/>
        <v>0</v>
      </c>
      <c r="V150" s="292" t="str">
        <f t="shared" si="27"/>
        <v>per SKU</v>
      </c>
      <c r="W150" s="84">
        <v>0</v>
      </c>
      <c r="X150" s="288">
        <f t="shared" si="28"/>
        <v>0</v>
      </c>
      <c r="Y150" s="288">
        <f>IFERROR(O150/(((1+CURR_TA!$I$22)^W150-1)/(CURR_TA!$I$22*(1+CURR_TA!$I$22)^W150)),0)</f>
        <v>0</v>
      </c>
      <c r="Z150" s="286"/>
      <c r="AA150" s="386"/>
      <c r="AB150" s="386"/>
      <c r="AC150" s="386"/>
    </row>
    <row r="151" spans="4:29" s="277" customFormat="1" x14ac:dyDescent="0.3">
      <c r="D151" s="356" t="s">
        <v>793</v>
      </c>
      <c r="E151" s="356"/>
      <c r="F151" s="356"/>
      <c r="G151" s="356"/>
      <c r="I151" s="68" t="s">
        <v>126</v>
      </c>
      <c r="J151" s="85">
        <v>0</v>
      </c>
      <c r="K151" s="48">
        <v>0</v>
      </c>
      <c r="L151" s="68" t="s">
        <v>126</v>
      </c>
      <c r="M151" s="84">
        <v>0</v>
      </c>
      <c r="O151" s="291">
        <f t="shared" si="21"/>
        <v>0</v>
      </c>
      <c r="P151" s="279">
        <f t="shared" si="22"/>
        <v>0</v>
      </c>
      <c r="R151" s="284">
        <f t="shared" si="23"/>
        <v>0</v>
      </c>
      <c r="S151" s="284">
        <f t="shared" si="24"/>
        <v>0</v>
      </c>
      <c r="T151" s="279">
        <f t="shared" si="25"/>
        <v>0</v>
      </c>
      <c r="U151" s="279">
        <f t="shared" si="26"/>
        <v>0</v>
      </c>
      <c r="V151" s="292" t="str">
        <f t="shared" si="27"/>
        <v>per SKU</v>
      </c>
      <c r="W151" s="84">
        <v>0</v>
      </c>
      <c r="X151" s="288">
        <f t="shared" si="28"/>
        <v>0</v>
      </c>
      <c r="Y151" s="288">
        <f>IFERROR(O151/(((1+CURR_TA!$I$22)^W151-1)/(CURR_TA!$I$22*(1+CURR_TA!$I$22)^W151)),0)</f>
        <v>0</v>
      </c>
      <c r="Z151" s="286"/>
      <c r="AA151" s="386"/>
      <c r="AB151" s="386"/>
      <c r="AC151" s="386"/>
    </row>
    <row r="152" spans="4:29" s="277" customFormat="1" x14ac:dyDescent="0.3">
      <c r="D152" s="356" t="s">
        <v>794</v>
      </c>
      <c r="E152" s="356"/>
      <c r="F152" s="356"/>
      <c r="G152" s="356"/>
      <c r="I152" s="68" t="s">
        <v>126</v>
      </c>
      <c r="J152" s="85">
        <v>0</v>
      </c>
      <c r="K152" s="48">
        <v>0</v>
      </c>
      <c r="L152" s="68" t="s">
        <v>126</v>
      </c>
      <c r="M152" s="84">
        <v>0</v>
      </c>
      <c r="O152" s="291">
        <f t="shared" si="21"/>
        <v>0</v>
      </c>
      <c r="P152" s="279">
        <f t="shared" si="22"/>
        <v>0</v>
      </c>
      <c r="R152" s="284">
        <f t="shared" si="23"/>
        <v>0</v>
      </c>
      <c r="S152" s="284">
        <f t="shared" si="24"/>
        <v>0</v>
      </c>
      <c r="T152" s="279">
        <f t="shared" si="25"/>
        <v>0</v>
      </c>
      <c r="U152" s="279">
        <f t="shared" si="26"/>
        <v>0</v>
      </c>
      <c r="V152" s="292" t="str">
        <f t="shared" si="27"/>
        <v>per SKU</v>
      </c>
      <c r="W152" s="84">
        <v>0</v>
      </c>
      <c r="X152" s="288">
        <f t="shared" si="28"/>
        <v>0</v>
      </c>
      <c r="Y152" s="288">
        <f>IFERROR(O152/(((1+CURR_TA!$I$22)^W152-1)/(CURR_TA!$I$22*(1+CURR_TA!$I$22)^W152)),0)</f>
        <v>0</v>
      </c>
      <c r="Z152" s="286"/>
      <c r="AA152" s="386"/>
      <c r="AB152" s="386"/>
      <c r="AC152" s="386"/>
    </row>
    <row r="153" spans="4:29" s="277" customFormat="1" x14ac:dyDescent="0.3">
      <c r="D153" s="356" t="s">
        <v>795</v>
      </c>
      <c r="E153" s="356"/>
      <c r="F153" s="356"/>
      <c r="G153" s="356"/>
      <c r="I153" s="68" t="s">
        <v>126</v>
      </c>
      <c r="J153" s="85">
        <v>0</v>
      </c>
      <c r="K153" s="48">
        <v>0</v>
      </c>
      <c r="L153" s="68" t="s">
        <v>126</v>
      </c>
      <c r="M153" s="84">
        <v>0</v>
      </c>
      <c r="O153" s="291">
        <f t="shared" si="21"/>
        <v>0</v>
      </c>
      <c r="P153" s="279">
        <f t="shared" si="22"/>
        <v>0</v>
      </c>
      <c r="R153" s="284">
        <f t="shared" si="23"/>
        <v>0</v>
      </c>
      <c r="S153" s="284">
        <f t="shared" si="24"/>
        <v>0</v>
      </c>
      <c r="T153" s="279">
        <f t="shared" si="25"/>
        <v>0</v>
      </c>
      <c r="U153" s="279">
        <f t="shared" si="26"/>
        <v>0</v>
      </c>
      <c r="V153" s="292" t="str">
        <f t="shared" si="27"/>
        <v>per SKU</v>
      </c>
      <c r="W153" s="84">
        <v>0</v>
      </c>
      <c r="X153" s="288">
        <f t="shared" si="28"/>
        <v>0</v>
      </c>
      <c r="Y153" s="288">
        <f>IFERROR(O153/(((1+CURR_TA!$I$22)^W153-1)/(CURR_TA!$I$22*(1+CURR_TA!$I$22)^W153)),0)</f>
        <v>0</v>
      </c>
      <c r="Z153" s="286"/>
      <c r="AA153" s="386"/>
      <c r="AB153" s="386"/>
      <c r="AC153" s="386"/>
    </row>
    <row r="154" spans="4:29" s="277" customFormat="1" x14ac:dyDescent="0.3">
      <c r="D154" s="356" t="s">
        <v>796</v>
      </c>
      <c r="E154" s="356"/>
      <c r="F154" s="356"/>
      <c r="G154" s="356"/>
      <c r="I154" s="68" t="s">
        <v>126</v>
      </c>
      <c r="J154" s="85">
        <v>0</v>
      </c>
      <c r="K154" s="48">
        <v>0</v>
      </c>
      <c r="L154" s="68" t="s">
        <v>126</v>
      </c>
      <c r="M154" s="84">
        <v>0</v>
      </c>
      <c r="O154" s="291">
        <f t="shared" si="21"/>
        <v>0</v>
      </c>
      <c r="P154" s="279">
        <f t="shared" si="22"/>
        <v>0</v>
      </c>
      <c r="R154" s="284">
        <f t="shared" si="23"/>
        <v>0</v>
      </c>
      <c r="S154" s="284">
        <f t="shared" si="24"/>
        <v>0</v>
      </c>
      <c r="T154" s="279">
        <f t="shared" si="25"/>
        <v>0</v>
      </c>
      <c r="U154" s="279">
        <f t="shared" si="26"/>
        <v>0</v>
      </c>
      <c r="V154" s="292" t="str">
        <f t="shared" si="27"/>
        <v>per SKU</v>
      </c>
      <c r="W154" s="84">
        <v>0</v>
      </c>
      <c r="X154" s="288">
        <f t="shared" si="28"/>
        <v>0</v>
      </c>
      <c r="Y154" s="288">
        <f>IFERROR(O154/(((1+CURR_TA!$I$22)^W154-1)/(CURR_TA!$I$22*(1+CURR_TA!$I$22)^W154)),0)</f>
        <v>0</v>
      </c>
      <c r="Z154" s="286"/>
      <c r="AA154" s="386"/>
      <c r="AB154" s="386"/>
      <c r="AC154" s="386"/>
    </row>
    <row r="155" spans="4:29" s="277" customFormat="1" x14ac:dyDescent="0.3">
      <c r="D155" s="356" t="s">
        <v>797</v>
      </c>
      <c r="E155" s="356"/>
      <c r="F155" s="356"/>
      <c r="G155" s="356"/>
      <c r="I155" s="68" t="s">
        <v>126</v>
      </c>
      <c r="J155" s="85">
        <v>0</v>
      </c>
      <c r="K155" s="48">
        <v>0</v>
      </c>
      <c r="L155" s="68" t="s">
        <v>126</v>
      </c>
      <c r="M155" s="84">
        <v>0</v>
      </c>
      <c r="O155" s="291">
        <f t="shared" si="21"/>
        <v>0</v>
      </c>
      <c r="P155" s="279">
        <f t="shared" si="22"/>
        <v>0</v>
      </c>
      <c r="R155" s="284">
        <f t="shared" si="23"/>
        <v>0</v>
      </c>
      <c r="S155" s="284">
        <f t="shared" si="24"/>
        <v>0</v>
      </c>
      <c r="T155" s="279">
        <f t="shared" si="25"/>
        <v>0</v>
      </c>
      <c r="U155" s="279">
        <f t="shared" si="26"/>
        <v>0</v>
      </c>
      <c r="V155" s="292" t="str">
        <f t="shared" si="27"/>
        <v>per SKU</v>
      </c>
      <c r="W155" s="84">
        <v>0</v>
      </c>
      <c r="X155" s="288">
        <f t="shared" si="28"/>
        <v>0</v>
      </c>
      <c r="Y155" s="288">
        <f>IFERROR(O155/(((1+CURR_TA!$I$22)^W155-1)/(CURR_TA!$I$22*(1+CURR_TA!$I$22)^W155)),0)</f>
        <v>0</v>
      </c>
      <c r="Z155" s="286"/>
      <c r="AA155" s="386"/>
      <c r="AB155" s="386"/>
      <c r="AC155" s="386"/>
    </row>
    <row r="156" spans="4:29" s="277" customFormat="1" x14ac:dyDescent="0.3">
      <c r="D156" s="356" t="s">
        <v>798</v>
      </c>
      <c r="E156" s="356"/>
      <c r="F156" s="356"/>
      <c r="G156" s="356"/>
      <c r="I156" s="68" t="s">
        <v>126</v>
      </c>
      <c r="J156" s="85">
        <v>0</v>
      </c>
      <c r="K156" s="48">
        <v>0</v>
      </c>
      <c r="L156" s="68" t="s">
        <v>126</v>
      </c>
      <c r="M156" s="84">
        <v>0</v>
      </c>
      <c r="O156" s="291">
        <f t="shared" si="21"/>
        <v>0</v>
      </c>
      <c r="P156" s="279">
        <f t="shared" si="22"/>
        <v>0</v>
      </c>
      <c r="R156" s="284">
        <f t="shared" si="23"/>
        <v>0</v>
      </c>
      <c r="S156" s="284">
        <f t="shared" si="24"/>
        <v>0</v>
      </c>
      <c r="T156" s="279">
        <f t="shared" si="25"/>
        <v>0</v>
      </c>
      <c r="U156" s="279">
        <f t="shared" si="26"/>
        <v>0</v>
      </c>
      <c r="V156" s="292" t="str">
        <f t="shared" si="27"/>
        <v>per SKU</v>
      </c>
      <c r="W156" s="84">
        <v>0</v>
      </c>
      <c r="X156" s="288">
        <f t="shared" si="28"/>
        <v>0</v>
      </c>
      <c r="Y156" s="288">
        <f>IFERROR(O156/(((1+CURR_TA!$I$22)^W156-1)/(CURR_TA!$I$22*(1+CURR_TA!$I$22)^W156)),0)</f>
        <v>0</v>
      </c>
      <c r="Z156" s="286"/>
      <c r="AA156" s="386"/>
      <c r="AB156" s="386"/>
      <c r="AC156" s="386"/>
    </row>
    <row r="157" spans="4:29" s="277" customFormat="1" x14ac:dyDescent="0.3">
      <c r="D157" s="356" t="s">
        <v>799</v>
      </c>
      <c r="E157" s="356"/>
      <c r="F157" s="356"/>
      <c r="G157" s="356"/>
      <c r="I157" s="68" t="s">
        <v>126</v>
      </c>
      <c r="J157" s="85">
        <v>0</v>
      </c>
      <c r="K157" s="48">
        <v>0</v>
      </c>
      <c r="L157" s="68" t="s">
        <v>126</v>
      </c>
      <c r="M157" s="84">
        <v>0</v>
      </c>
      <c r="O157" s="291">
        <f t="shared" si="21"/>
        <v>0</v>
      </c>
      <c r="P157" s="279">
        <f t="shared" si="22"/>
        <v>0</v>
      </c>
      <c r="R157" s="284">
        <f t="shared" si="23"/>
        <v>0</v>
      </c>
      <c r="S157" s="284">
        <f t="shared" si="24"/>
        <v>0</v>
      </c>
      <c r="T157" s="279">
        <f t="shared" si="25"/>
        <v>0</v>
      </c>
      <c r="U157" s="279">
        <f t="shared" si="26"/>
        <v>0</v>
      </c>
      <c r="V157" s="292" t="str">
        <f t="shared" si="27"/>
        <v>per SKU</v>
      </c>
      <c r="W157" s="84">
        <v>0</v>
      </c>
      <c r="X157" s="288">
        <f t="shared" si="28"/>
        <v>0</v>
      </c>
      <c r="Y157" s="288">
        <f>IFERROR(O157/(((1+CURR_TA!$I$22)^W157-1)/(CURR_TA!$I$22*(1+CURR_TA!$I$22)^W157)),0)</f>
        <v>0</v>
      </c>
      <c r="Z157" s="286"/>
      <c r="AA157" s="386"/>
      <c r="AB157" s="386"/>
      <c r="AC157" s="386"/>
    </row>
    <row r="158" spans="4:29" s="277" customFormat="1" x14ac:dyDescent="0.3">
      <c r="D158" s="356" t="s">
        <v>800</v>
      </c>
      <c r="E158" s="356"/>
      <c r="F158" s="356"/>
      <c r="G158" s="356"/>
      <c r="I158" s="68" t="s">
        <v>126</v>
      </c>
      <c r="J158" s="85">
        <v>0</v>
      </c>
      <c r="K158" s="48">
        <v>0</v>
      </c>
      <c r="L158" s="68" t="s">
        <v>126</v>
      </c>
      <c r="M158" s="84">
        <v>0</v>
      </c>
      <c r="O158" s="291">
        <f t="shared" si="21"/>
        <v>0</v>
      </c>
      <c r="P158" s="279">
        <f t="shared" si="22"/>
        <v>0</v>
      </c>
      <c r="R158" s="284">
        <f t="shared" si="23"/>
        <v>0</v>
      </c>
      <c r="S158" s="284">
        <f t="shared" si="24"/>
        <v>0</v>
      </c>
      <c r="T158" s="279">
        <f t="shared" si="25"/>
        <v>0</v>
      </c>
      <c r="U158" s="279">
        <f t="shared" si="26"/>
        <v>0</v>
      </c>
      <c r="V158" s="292" t="str">
        <f t="shared" si="27"/>
        <v>per SKU</v>
      </c>
      <c r="W158" s="84">
        <v>0</v>
      </c>
      <c r="X158" s="288">
        <f t="shared" si="28"/>
        <v>0</v>
      </c>
      <c r="Y158" s="288">
        <f>IFERROR(O158/(((1+CURR_TA!$I$22)^W158-1)/(CURR_TA!$I$22*(1+CURR_TA!$I$22)^W158)),0)</f>
        <v>0</v>
      </c>
      <c r="Z158" s="286"/>
      <c r="AA158" s="386"/>
      <c r="AB158" s="386"/>
      <c r="AC158" s="386"/>
    </row>
    <row r="159" spans="4:29" s="277" customFormat="1" x14ac:dyDescent="0.3">
      <c r="D159" s="356" t="s">
        <v>801</v>
      </c>
      <c r="E159" s="356"/>
      <c r="F159" s="356"/>
      <c r="G159" s="356"/>
      <c r="I159" s="68" t="s">
        <v>126</v>
      </c>
      <c r="J159" s="85">
        <v>0</v>
      </c>
      <c r="K159" s="48">
        <v>0</v>
      </c>
      <c r="L159" s="68" t="s">
        <v>126</v>
      </c>
      <c r="M159" s="84">
        <v>0</v>
      </c>
      <c r="O159" s="291">
        <f t="shared" si="21"/>
        <v>0</v>
      </c>
      <c r="P159" s="279">
        <f t="shared" si="22"/>
        <v>0</v>
      </c>
      <c r="R159" s="284">
        <f t="shared" si="23"/>
        <v>0</v>
      </c>
      <c r="S159" s="284">
        <f t="shared" si="24"/>
        <v>0</v>
      </c>
      <c r="T159" s="279">
        <f t="shared" si="25"/>
        <v>0</v>
      </c>
      <c r="U159" s="279">
        <f t="shared" si="26"/>
        <v>0</v>
      </c>
      <c r="V159" s="292" t="str">
        <f t="shared" si="27"/>
        <v>per SKU</v>
      </c>
      <c r="W159" s="84">
        <v>0</v>
      </c>
      <c r="X159" s="288">
        <f t="shared" si="28"/>
        <v>0</v>
      </c>
      <c r="Y159" s="288">
        <f>IFERROR(O159/(((1+CURR_TA!$I$22)^W159-1)/(CURR_TA!$I$22*(1+CURR_TA!$I$22)^W159)),0)</f>
        <v>0</v>
      </c>
      <c r="Z159" s="286"/>
      <c r="AA159" s="386"/>
      <c r="AB159" s="386"/>
      <c r="AC159" s="386"/>
    </row>
    <row r="160" spans="4:29" s="277" customFormat="1" x14ac:dyDescent="0.3">
      <c r="D160" s="356" t="s">
        <v>802</v>
      </c>
      <c r="E160" s="356"/>
      <c r="F160" s="356"/>
      <c r="G160" s="356"/>
      <c r="I160" s="68" t="s">
        <v>126</v>
      </c>
      <c r="J160" s="85">
        <v>0</v>
      </c>
      <c r="K160" s="48">
        <v>0</v>
      </c>
      <c r="L160" s="68" t="s">
        <v>126</v>
      </c>
      <c r="M160" s="84">
        <v>0</v>
      </c>
      <c r="O160" s="291">
        <f t="shared" si="21"/>
        <v>0</v>
      </c>
      <c r="P160" s="279">
        <f t="shared" si="22"/>
        <v>0</v>
      </c>
      <c r="R160" s="284">
        <f t="shared" si="23"/>
        <v>0</v>
      </c>
      <c r="S160" s="284">
        <f t="shared" si="24"/>
        <v>0</v>
      </c>
      <c r="T160" s="279">
        <f t="shared" si="25"/>
        <v>0</v>
      </c>
      <c r="U160" s="279">
        <f t="shared" si="26"/>
        <v>0</v>
      </c>
      <c r="V160" s="292" t="str">
        <f t="shared" si="27"/>
        <v>per SKU</v>
      </c>
      <c r="W160" s="84">
        <v>0</v>
      </c>
      <c r="X160" s="288">
        <f t="shared" si="28"/>
        <v>0</v>
      </c>
      <c r="Y160" s="288">
        <f>IFERROR(O160/(((1+CURR_TA!$I$22)^W160-1)/(CURR_TA!$I$22*(1+CURR_TA!$I$22)^W160)),0)</f>
        <v>0</v>
      </c>
      <c r="Z160" s="286"/>
      <c r="AA160" s="386"/>
      <c r="AB160" s="386"/>
      <c r="AC160" s="386"/>
    </row>
    <row r="161" spans="3:29" s="277" customFormat="1" x14ac:dyDescent="0.3">
      <c r="D161" s="356" t="s">
        <v>803</v>
      </c>
      <c r="E161" s="356"/>
      <c r="F161" s="356"/>
      <c r="G161" s="356"/>
      <c r="I161" s="68" t="s">
        <v>126</v>
      </c>
      <c r="J161" s="85">
        <v>0</v>
      </c>
      <c r="K161" s="48">
        <v>0</v>
      </c>
      <c r="L161" s="68" t="s">
        <v>126</v>
      </c>
      <c r="M161" s="84">
        <v>0</v>
      </c>
      <c r="O161" s="291">
        <f t="shared" si="21"/>
        <v>0</v>
      </c>
      <c r="P161" s="279">
        <f t="shared" si="22"/>
        <v>0</v>
      </c>
      <c r="R161" s="284">
        <f t="shared" si="23"/>
        <v>0</v>
      </c>
      <c r="S161" s="284">
        <f t="shared" si="24"/>
        <v>0</v>
      </c>
      <c r="T161" s="279">
        <f t="shared" si="25"/>
        <v>0</v>
      </c>
      <c r="U161" s="279">
        <f t="shared" si="26"/>
        <v>0</v>
      </c>
      <c r="V161" s="292" t="str">
        <f t="shared" si="27"/>
        <v>per SKU</v>
      </c>
      <c r="W161" s="84">
        <v>0</v>
      </c>
      <c r="X161" s="288">
        <f t="shared" si="28"/>
        <v>0</v>
      </c>
      <c r="Y161" s="288">
        <f>IFERROR(O161/(((1+CURR_TA!$I$22)^W161-1)/(CURR_TA!$I$22*(1+CURR_TA!$I$22)^W161)),0)</f>
        <v>0</v>
      </c>
      <c r="Z161" s="286"/>
      <c r="AA161" s="386"/>
      <c r="AB161" s="386"/>
      <c r="AC161" s="386"/>
    </row>
    <row r="162" spans="3:29" s="277" customFormat="1" x14ac:dyDescent="0.3">
      <c r="D162" s="356" t="s">
        <v>804</v>
      </c>
      <c r="E162" s="356"/>
      <c r="F162" s="356"/>
      <c r="G162" s="356"/>
      <c r="I162" s="68" t="s">
        <v>126</v>
      </c>
      <c r="J162" s="85">
        <v>0</v>
      </c>
      <c r="K162" s="48">
        <v>0</v>
      </c>
      <c r="L162" s="68" t="s">
        <v>126</v>
      </c>
      <c r="M162" s="84">
        <v>0</v>
      </c>
      <c r="O162" s="291">
        <f t="shared" si="21"/>
        <v>0</v>
      </c>
      <c r="P162" s="279">
        <f t="shared" si="22"/>
        <v>0</v>
      </c>
      <c r="R162" s="284">
        <f t="shared" si="23"/>
        <v>0</v>
      </c>
      <c r="S162" s="284">
        <f t="shared" si="24"/>
        <v>0</v>
      </c>
      <c r="T162" s="279">
        <f t="shared" si="25"/>
        <v>0</v>
      </c>
      <c r="U162" s="279">
        <f t="shared" si="26"/>
        <v>0</v>
      </c>
      <c r="V162" s="292" t="str">
        <f t="shared" si="27"/>
        <v>per SKU</v>
      </c>
      <c r="W162" s="84">
        <v>0</v>
      </c>
      <c r="X162" s="288">
        <f t="shared" si="28"/>
        <v>0</v>
      </c>
      <c r="Y162" s="288">
        <f>IFERROR(O162/(((1+CURR_TA!$I$22)^W162-1)/(CURR_TA!$I$22*(1+CURR_TA!$I$22)^W162)),0)</f>
        <v>0</v>
      </c>
      <c r="Z162" s="286"/>
      <c r="AA162" s="386"/>
      <c r="AB162" s="386"/>
      <c r="AC162" s="386"/>
    </row>
    <row r="163" spans="3:29" s="277" customFormat="1" x14ac:dyDescent="0.3">
      <c r="D163" s="356" t="s">
        <v>805</v>
      </c>
      <c r="E163" s="356"/>
      <c r="F163" s="356"/>
      <c r="G163" s="356"/>
      <c r="I163" s="68" t="s">
        <v>126</v>
      </c>
      <c r="J163" s="85">
        <v>0</v>
      </c>
      <c r="K163" s="48">
        <v>0</v>
      </c>
      <c r="L163" s="68" t="s">
        <v>126</v>
      </c>
      <c r="M163" s="84">
        <v>0</v>
      </c>
      <c r="O163" s="291">
        <f t="shared" si="21"/>
        <v>0</v>
      </c>
      <c r="P163" s="279">
        <f t="shared" si="22"/>
        <v>0</v>
      </c>
      <c r="R163" s="284">
        <f t="shared" si="23"/>
        <v>0</v>
      </c>
      <c r="S163" s="284">
        <f t="shared" si="24"/>
        <v>0</v>
      </c>
      <c r="T163" s="279">
        <f t="shared" si="25"/>
        <v>0</v>
      </c>
      <c r="U163" s="279">
        <f t="shared" si="26"/>
        <v>0</v>
      </c>
      <c r="V163" s="292" t="str">
        <f t="shared" si="27"/>
        <v>per SKU</v>
      </c>
      <c r="W163" s="84">
        <v>0</v>
      </c>
      <c r="X163" s="288">
        <f t="shared" si="28"/>
        <v>0</v>
      </c>
      <c r="Y163" s="288">
        <f>IFERROR(O163/(((1+CURR_TA!$I$22)^W163-1)/(CURR_TA!$I$22*(1+CURR_TA!$I$22)^W163)),0)</f>
        <v>0</v>
      </c>
      <c r="Z163" s="286"/>
      <c r="AA163" s="386"/>
      <c r="AB163" s="386"/>
      <c r="AC163" s="386"/>
    </row>
    <row r="164" spans="3:29" s="277" customFormat="1" x14ac:dyDescent="0.3">
      <c r="D164" s="356" t="s">
        <v>806</v>
      </c>
      <c r="E164" s="356"/>
      <c r="F164" s="356"/>
      <c r="G164" s="356"/>
      <c r="I164" s="68" t="s">
        <v>126</v>
      </c>
      <c r="J164" s="85">
        <v>0</v>
      </c>
      <c r="K164" s="48">
        <v>0</v>
      </c>
      <c r="L164" s="68" t="s">
        <v>126</v>
      </c>
      <c r="M164" s="84">
        <v>0</v>
      </c>
      <c r="O164" s="291">
        <f t="shared" si="21"/>
        <v>0</v>
      </c>
      <c r="P164" s="279">
        <f t="shared" si="22"/>
        <v>0</v>
      </c>
      <c r="R164" s="284">
        <f t="shared" si="23"/>
        <v>0</v>
      </c>
      <c r="S164" s="284">
        <f t="shared" si="24"/>
        <v>0</v>
      </c>
      <c r="T164" s="279">
        <f t="shared" si="25"/>
        <v>0</v>
      </c>
      <c r="U164" s="279">
        <f t="shared" si="26"/>
        <v>0</v>
      </c>
      <c r="V164" s="292" t="str">
        <f t="shared" si="27"/>
        <v>per SKU</v>
      </c>
      <c r="W164" s="84">
        <v>0</v>
      </c>
      <c r="X164" s="288">
        <f t="shared" si="28"/>
        <v>0</v>
      </c>
      <c r="Y164" s="288">
        <f>IFERROR(O164/(((1+CURR_TA!$I$22)^W164-1)/(CURR_TA!$I$22*(1+CURR_TA!$I$22)^W164)),0)</f>
        <v>0</v>
      </c>
      <c r="Z164" s="286"/>
      <c r="AA164" s="386"/>
      <c r="AB164" s="386"/>
      <c r="AC164" s="386"/>
    </row>
    <row r="165" spans="3:29" ht="14.4" x14ac:dyDescent="0.3">
      <c r="D165" s="90" t="s">
        <v>574</v>
      </c>
    </row>
    <row r="166" spans="3:29" ht="15.6" x14ac:dyDescent="0.3">
      <c r="C166" s="92" t="s">
        <v>89</v>
      </c>
    </row>
    <row r="168" spans="3:29" ht="27.6" x14ac:dyDescent="0.3">
      <c r="D168" s="90" t="s">
        <v>134</v>
      </c>
      <c r="I168" s="91" t="s">
        <v>168</v>
      </c>
      <c r="J168" s="42" t="s">
        <v>178</v>
      </c>
      <c r="K168" s="42" t="s">
        <v>179</v>
      </c>
      <c r="L168" s="91" t="s">
        <v>169</v>
      </c>
      <c r="M168" s="91" t="s">
        <v>170</v>
      </c>
      <c r="O168" s="44" t="str">
        <f>"Financial "&amp;$I$10</f>
        <v>Financial GOZ</v>
      </c>
      <c r="P168" s="44" t="str">
        <f>"Economic "&amp;$I$10</f>
        <v>Economic GOZ</v>
      </c>
      <c r="R168" s="44" t="str">
        <f>"Financial "&amp;$D$216</f>
        <v>Financial USD</v>
      </c>
      <c r="S168" s="44" t="str">
        <f>"Economic "&amp;$D$216</f>
        <v>Economic USD</v>
      </c>
      <c r="T168" s="44" t="str">
        <f>"Financial "&amp;$D$217</f>
        <v>Financial GOZ</v>
      </c>
      <c r="U168" s="44" t="str">
        <f>"Economic "&amp;$D$217</f>
        <v>Economic GOZ</v>
      </c>
      <c r="V168" s="91" t="s">
        <v>171</v>
      </c>
      <c r="W168" s="91" t="s">
        <v>129</v>
      </c>
    </row>
    <row r="169" spans="3:29" x14ac:dyDescent="0.3">
      <c r="D169" s="356" t="s">
        <v>943</v>
      </c>
      <c r="E169" s="356"/>
      <c r="F169" s="356"/>
      <c r="G169" s="356"/>
      <c r="I169" s="87" t="s">
        <v>126</v>
      </c>
      <c r="J169" s="86">
        <v>0</v>
      </c>
      <c r="K169" s="48">
        <v>0</v>
      </c>
      <c r="L169" s="87" t="s">
        <v>126</v>
      </c>
      <c r="M169" s="84">
        <v>0</v>
      </c>
      <c r="O169" s="222">
        <f t="shared" ref="O169:O203" si="29">IFERROR(J169/M169,0)</f>
        <v>0</v>
      </c>
      <c r="P169" s="40">
        <f t="shared" ref="P169:P203" si="30">IFERROR(K169/M169,0)</f>
        <v>0</v>
      </c>
      <c r="R169" s="321">
        <f t="shared" ref="R169:R203" si="31">IFERROR(IF(RES_Appl_Currency=$D$216,O169,O169/$J$217), 0)</f>
        <v>0</v>
      </c>
      <c r="S169" s="321">
        <f t="shared" ref="S169:S203" si="32">IFERROR(IF(RES_Appl_Currency=$D$216,P169,P169/$J$217), 0)</f>
        <v>0</v>
      </c>
      <c r="T169" s="40">
        <f t="shared" ref="T169:T203" si="33">IF(RES_Appl_Currency=$D$216,O169*$J$217,O169)</f>
        <v>0</v>
      </c>
      <c r="U169" s="40">
        <f t="shared" ref="U169:U203" si="34">IF(RES_Appl_Currency=$D$216,P169*$J$217,P169)</f>
        <v>0</v>
      </c>
      <c r="V169" s="72" t="str">
        <f t="shared" ref="V169:V203" si="35">"per "&amp;$L169&amp;""</f>
        <v>per SKU</v>
      </c>
      <c r="W169" s="356"/>
      <c r="X169" s="356"/>
      <c r="Y169" s="356"/>
    </row>
    <row r="170" spans="3:29" x14ac:dyDescent="0.3">
      <c r="D170" s="356" t="s">
        <v>944</v>
      </c>
      <c r="E170" s="356"/>
      <c r="F170" s="356"/>
      <c r="G170" s="356"/>
      <c r="I170" s="87" t="s">
        <v>126</v>
      </c>
      <c r="J170" s="86">
        <v>0</v>
      </c>
      <c r="K170" s="48">
        <v>0</v>
      </c>
      <c r="L170" s="87" t="s">
        <v>126</v>
      </c>
      <c r="M170" s="84">
        <v>0</v>
      </c>
      <c r="O170" s="222">
        <f t="shared" si="29"/>
        <v>0</v>
      </c>
      <c r="P170" s="40">
        <f t="shared" si="30"/>
        <v>0</v>
      </c>
      <c r="R170" s="321">
        <f t="shared" si="31"/>
        <v>0</v>
      </c>
      <c r="S170" s="321">
        <f t="shared" si="32"/>
        <v>0</v>
      </c>
      <c r="T170" s="40">
        <f t="shared" si="33"/>
        <v>0</v>
      </c>
      <c r="U170" s="40">
        <f t="shared" si="34"/>
        <v>0</v>
      </c>
      <c r="V170" s="72" t="str">
        <f t="shared" si="35"/>
        <v>per SKU</v>
      </c>
      <c r="W170" s="356"/>
      <c r="X170" s="356"/>
      <c r="Y170" s="356"/>
    </row>
    <row r="171" spans="3:29" x14ac:dyDescent="0.3">
      <c r="D171" s="356" t="s">
        <v>945</v>
      </c>
      <c r="E171" s="356"/>
      <c r="F171" s="356"/>
      <c r="G171" s="356"/>
      <c r="I171" s="87" t="s">
        <v>126</v>
      </c>
      <c r="J171" s="86">
        <v>0</v>
      </c>
      <c r="K171" s="48">
        <v>0</v>
      </c>
      <c r="L171" s="87" t="s">
        <v>126</v>
      </c>
      <c r="M171" s="84">
        <v>0</v>
      </c>
      <c r="O171" s="222">
        <f t="shared" si="29"/>
        <v>0</v>
      </c>
      <c r="P171" s="40">
        <f t="shared" si="30"/>
        <v>0</v>
      </c>
      <c r="R171" s="321">
        <f t="shared" si="31"/>
        <v>0</v>
      </c>
      <c r="S171" s="321">
        <f t="shared" si="32"/>
        <v>0</v>
      </c>
      <c r="T171" s="40">
        <f t="shared" si="33"/>
        <v>0</v>
      </c>
      <c r="U171" s="40">
        <f t="shared" si="34"/>
        <v>0</v>
      </c>
      <c r="V171" s="72" t="str">
        <f t="shared" si="35"/>
        <v>per SKU</v>
      </c>
      <c r="W171" s="356"/>
      <c r="X171" s="356"/>
      <c r="Y171" s="356"/>
    </row>
    <row r="172" spans="3:29" s="277" customFormat="1" x14ac:dyDescent="0.3">
      <c r="D172" s="356" t="s">
        <v>768</v>
      </c>
      <c r="E172" s="356"/>
      <c r="F172" s="356"/>
      <c r="G172" s="356"/>
      <c r="I172" s="87" t="s">
        <v>126</v>
      </c>
      <c r="J172" s="86">
        <v>0</v>
      </c>
      <c r="K172" s="48">
        <v>0</v>
      </c>
      <c r="L172" s="87" t="s">
        <v>126</v>
      </c>
      <c r="M172" s="84">
        <v>0</v>
      </c>
      <c r="O172" s="288">
        <f t="shared" si="29"/>
        <v>0</v>
      </c>
      <c r="P172" s="279">
        <f t="shared" si="30"/>
        <v>0</v>
      </c>
      <c r="R172" s="280">
        <f t="shared" si="31"/>
        <v>0</v>
      </c>
      <c r="S172" s="280">
        <f t="shared" si="32"/>
        <v>0</v>
      </c>
      <c r="T172" s="279">
        <f t="shared" si="33"/>
        <v>0</v>
      </c>
      <c r="U172" s="279">
        <f t="shared" si="34"/>
        <v>0</v>
      </c>
      <c r="V172" s="297" t="str">
        <f t="shared" si="35"/>
        <v>per SKU</v>
      </c>
      <c r="W172" s="385"/>
      <c r="X172" s="385"/>
      <c r="Y172" s="385"/>
    </row>
    <row r="173" spans="3:29" s="277" customFormat="1" x14ac:dyDescent="0.3">
      <c r="D173" s="356" t="s">
        <v>769</v>
      </c>
      <c r="E173" s="356"/>
      <c r="F173" s="356"/>
      <c r="G173" s="356"/>
      <c r="I173" s="87" t="s">
        <v>126</v>
      </c>
      <c r="J173" s="86">
        <v>0</v>
      </c>
      <c r="K173" s="48">
        <v>0</v>
      </c>
      <c r="L173" s="87" t="s">
        <v>126</v>
      </c>
      <c r="M173" s="84">
        <v>0</v>
      </c>
      <c r="O173" s="288">
        <f t="shared" si="29"/>
        <v>0</v>
      </c>
      <c r="P173" s="279">
        <f t="shared" si="30"/>
        <v>0</v>
      </c>
      <c r="R173" s="280">
        <f t="shared" si="31"/>
        <v>0</v>
      </c>
      <c r="S173" s="280">
        <f t="shared" si="32"/>
        <v>0</v>
      </c>
      <c r="T173" s="279">
        <f t="shared" si="33"/>
        <v>0</v>
      </c>
      <c r="U173" s="279">
        <f t="shared" si="34"/>
        <v>0</v>
      </c>
      <c r="V173" s="297" t="str">
        <f t="shared" si="35"/>
        <v>per SKU</v>
      </c>
      <c r="W173" s="385"/>
      <c r="X173" s="385"/>
      <c r="Y173" s="385"/>
    </row>
    <row r="174" spans="3:29" s="277" customFormat="1" x14ac:dyDescent="0.3">
      <c r="D174" s="356" t="s">
        <v>770</v>
      </c>
      <c r="E174" s="356"/>
      <c r="F174" s="356"/>
      <c r="G174" s="356"/>
      <c r="I174" s="87" t="s">
        <v>126</v>
      </c>
      <c r="J174" s="86">
        <v>0</v>
      </c>
      <c r="K174" s="48">
        <v>0</v>
      </c>
      <c r="L174" s="87" t="s">
        <v>126</v>
      </c>
      <c r="M174" s="84">
        <v>0</v>
      </c>
      <c r="O174" s="288">
        <f t="shared" si="29"/>
        <v>0</v>
      </c>
      <c r="P174" s="279">
        <f t="shared" si="30"/>
        <v>0</v>
      </c>
      <c r="R174" s="280">
        <f t="shared" si="31"/>
        <v>0</v>
      </c>
      <c r="S174" s="280">
        <f t="shared" si="32"/>
        <v>0</v>
      </c>
      <c r="T174" s="279">
        <f t="shared" si="33"/>
        <v>0</v>
      </c>
      <c r="U174" s="279">
        <f t="shared" si="34"/>
        <v>0</v>
      </c>
      <c r="V174" s="297" t="str">
        <f t="shared" si="35"/>
        <v>per SKU</v>
      </c>
      <c r="W174" s="385"/>
      <c r="X174" s="385"/>
      <c r="Y174" s="385"/>
    </row>
    <row r="175" spans="3:29" s="277" customFormat="1" x14ac:dyDescent="0.3">
      <c r="D175" s="356" t="s">
        <v>771</v>
      </c>
      <c r="E175" s="356"/>
      <c r="F175" s="356"/>
      <c r="G175" s="356"/>
      <c r="I175" s="87" t="s">
        <v>126</v>
      </c>
      <c r="J175" s="86">
        <v>0</v>
      </c>
      <c r="K175" s="48">
        <v>0</v>
      </c>
      <c r="L175" s="87" t="s">
        <v>126</v>
      </c>
      <c r="M175" s="84">
        <v>0</v>
      </c>
      <c r="O175" s="288">
        <f t="shared" si="29"/>
        <v>0</v>
      </c>
      <c r="P175" s="279">
        <f t="shared" si="30"/>
        <v>0</v>
      </c>
      <c r="R175" s="280">
        <f t="shared" si="31"/>
        <v>0</v>
      </c>
      <c r="S175" s="280">
        <f t="shared" si="32"/>
        <v>0</v>
      </c>
      <c r="T175" s="279">
        <f t="shared" si="33"/>
        <v>0</v>
      </c>
      <c r="U175" s="279">
        <f t="shared" si="34"/>
        <v>0</v>
      </c>
      <c r="V175" s="297" t="str">
        <f t="shared" si="35"/>
        <v>per SKU</v>
      </c>
      <c r="W175" s="385"/>
      <c r="X175" s="385"/>
      <c r="Y175" s="385"/>
    </row>
    <row r="176" spans="3:29" s="277" customFormat="1" x14ac:dyDescent="0.3">
      <c r="D176" s="356" t="s">
        <v>772</v>
      </c>
      <c r="E176" s="356"/>
      <c r="F176" s="356"/>
      <c r="G176" s="356"/>
      <c r="I176" s="87" t="s">
        <v>126</v>
      </c>
      <c r="J176" s="86">
        <v>0</v>
      </c>
      <c r="K176" s="48">
        <v>0</v>
      </c>
      <c r="L176" s="87" t="s">
        <v>126</v>
      </c>
      <c r="M176" s="84">
        <v>0</v>
      </c>
      <c r="O176" s="288">
        <f t="shared" si="29"/>
        <v>0</v>
      </c>
      <c r="P176" s="279">
        <f t="shared" si="30"/>
        <v>0</v>
      </c>
      <c r="R176" s="280">
        <f t="shared" si="31"/>
        <v>0</v>
      </c>
      <c r="S176" s="280">
        <f t="shared" si="32"/>
        <v>0</v>
      </c>
      <c r="T176" s="279">
        <f t="shared" si="33"/>
        <v>0</v>
      </c>
      <c r="U176" s="279">
        <f t="shared" si="34"/>
        <v>0</v>
      </c>
      <c r="V176" s="297" t="str">
        <f t="shared" si="35"/>
        <v>per SKU</v>
      </c>
      <c r="W176" s="385"/>
      <c r="X176" s="385"/>
      <c r="Y176" s="385"/>
    </row>
    <row r="177" spans="4:25" s="277" customFormat="1" x14ac:dyDescent="0.3">
      <c r="D177" s="356" t="s">
        <v>773</v>
      </c>
      <c r="E177" s="356"/>
      <c r="F177" s="356"/>
      <c r="G177" s="356"/>
      <c r="I177" s="87" t="s">
        <v>126</v>
      </c>
      <c r="J177" s="86">
        <v>0</v>
      </c>
      <c r="K177" s="48">
        <v>0</v>
      </c>
      <c r="L177" s="87" t="s">
        <v>126</v>
      </c>
      <c r="M177" s="84">
        <v>0</v>
      </c>
      <c r="O177" s="288">
        <f t="shared" si="29"/>
        <v>0</v>
      </c>
      <c r="P177" s="279">
        <f t="shared" si="30"/>
        <v>0</v>
      </c>
      <c r="R177" s="280">
        <f t="shared" si="31"/>
        <v>0</v>
      </c>
      <c r="S177" s="280">
        <f t="shared" si="32"/>
        <v>0</v>
      </c>
      <c r="T177" s="279">
        <f t="shared" si="33"/>
        <v>0</v>
      </c>
      <c r="U177" s="279">
        <f t="shared" si="34"/>
        <v>0</v>
      </c>
      <c r="V177" s="297" t="str">
        <f t="shared" si="35"/>
        <v>per SKU</v>
      </c>
      <c r="W177" s="385"/>
      <c r="X177" s="385"/>
      <c r="Y177" s="385"/>
    </row>
    <row r="178" spans="4:25" s="277" customFormat="1" x14ac:dyDescent="0.3">
      <c r="D178" s="356" t="s">
        <v>774</v>
      </c>
      <c r="E178" s="356"/>
      <c r="F178" s="356"/>
      <c r="G178" s="356"/>
      <c r="I178" s="87" t="s">
        <v>126</v>
      </c>
      <c r="J178" s="86">
        <v>0</v>
      </c>
      <c r="K178" s="48">
        <v>0</v>
      </c>
      <c r="L178" s="87" t="s">
        <v>126</v>
      </c>
      <c r="M178" s="84">
        <v>0</v>
      </c>
      <c r="O178" s="288">
        <f t="shared" si="29"/>
        <v>0</v>
      </c>
      <c r="P178" s="279">
        <f t="shared" si="30"/>
        <v>0</v>
      </c>
      <c r="R178" s="280">
        <f t="shared" si="31"/>
        <v>0</v>
      </c>
      <c r="S178" s="280">
        <f t="shared" si="32"/>
        <v>0</v>
      </c>
      <c r="T178" s="279">
        <f t="shared" si="33"/>
        <v>0</v>
      </c>
      <c r="U178" s="279">
        <f t="shared" si="34"/>
        <v>0</v>
      </c>
      <c r="V178" s="297" t="str">
        <f t="shared" si="35"/>
        <v>per SKU</v>
      </c>
      <c r="W178" s="385"/>
      <c r="X178" s="385"/>
      <c r="Y178" s="385"/>
    </row>
    <row r="179" spans="4:25" s="277" customFormat="1" x14ac:dyDescent="0.3">
      <c r="D179" s="356" t="s">
        <v>775</v>
      </c>
      <c r="E179" s="356"/>
      <c r="F179" s="356"/>
      <c r="G179" s="356"/>
      <c r="I179" s="87" t="s">
        <v>126</v>
      </c>
      <c r="J179" s="86">
        <v>0</v>
      </c>
      <c r="K179" s="48">
        <v>0</v>
      </c>
      <c r="L179" s="87" t="s">
        <v>126</v>
      </c>
      <c r="M179" s="84">
        <v>0</v>
      </c>
      <c r="O179" s="288">
        <f t="shared" si="29"/>
        <v>0</v>
      </c>
      <c r="P179" s="279">
        <f t="shared" si="30"/>
        <v>0</v>
      </c>
      <c r="R179" s="280">
        <f t="shared" si="31"/>
        <v>0</v>
      </c>
      <c r="S179" s="280">
        <f t="shared" si="32"/>
        <v>0</v>
      </c>
      <c r="T179" s="279">
        <f t="shared" si="33"/>
        <v>0</v>
      </c>
      <c r="U179" s="279">
        <f t="shared" si="34"/>
        <v>0</v>
      </c>
      <c r="V179" s="297" t="str">
        <f t="shared" si="35"/>
        <v>per SKU</v>
      </c>
      <c r="W179" s="385"/>
      <c r="X179" s="385"/>
      <c r="Y179" s="385"/>
    </row>
    <row r="180" spans="4:25" s="277" customFormat="1" x14ac:dyDescent="0.3">
      <c r="D180" s="356" t="s">
        <v>776</v>
      </c>
      <c r="E180" s="356"/>
      <c r="F180" s="356"/>
      <c r="G180" s="356"/>
      <c r="I180" s="87" t="s">
        <v>126</v>
      </c>
      <c r="J180" s="86">
        <v>0</v>
      </c>
      <c r="K180" s="48">
        <v>0</v>
      </c>
      <c r="L180" s="87" t="s">
        <v>126</v>
      </c>
      <c r="M180" s="84">
        <v>0</v>
      </c>
      <c r="O180" s="288">
        <f t="shared" si="29"/>
        <v>0</v>
      </c>
      <c r="P180" s="279">
        <f t="shared" si="30"/>
        <v>0</v>
      </c>
      <c r="R180" s="280">
        <f t="shared" si="31"/>
        <v>0</v>
      </c>
      <c r="S180" s="280">
        <f t="shared" si="32"/>
        <v>0</v>
      </c>
      <c r="T180" s="279">
        <f t="shared" si="33"/>
        <v>0</v>
      </c>
      <c r="U180" s="279">
        <f t="shared" si="34"/>
        <v>0</v>
      </c>
      <c r="V180" s="297" t="str">
        <f t="shared" si="35"/>
        <v>per SKU</v>
      </c>
      <c r="W180" s="385"/>
      <c r="X180" s="385"/>
      <c r="Y180" s="385"/>
    </row>
    <row r="181" spans="4:25" s="277" customFormat="1" x14ac:dyDescent="0.3">
      <c r="D181" s="356" t="s">
        <v>777</v>
      </c>
      <c r="E181" s="356"/>
      <c r="F181" s="356"/>
      <c r="G181" s="356"/>
      <c r="I181" s="87" t="s">
        <v>126</v>
      </c>
      <c r="J181" s="86">
        <v>0</v>
      </c>
      <c r="K181" s="48">
        <v>0</v>
      </c>
      <c r="L181" s="87" t="s">
        <v>126</v>
      </c>
      <c r="M181" s="84">
        <v>0</v>
      </c>
      <c r="O181" s="288">
        <f t="shared" si="29"/>
        <v>0</v>
      </c>
      <c r="P181" s="279">
        <f t="shared" si="30"/>
        <v>0</v>
      </c>
      <c r="R181" s="280">
        <f t="shared" si="31"/>
        <v>0</v>
      </c>
      <c r="S181" s="280">
        <f t="shared" si="32"/>
        <v>0</v>
      </c>
      <c r="T181" s="279">
        <f t="shared" si="33"/>
        <v>0</v>
      </c>
      <c r="U181" s="279">
        <f t="shared" si="34"/>
        <v>0</v>
      </c>
      <c r="V181" s="297" t="str">
        <f t="shared" si="35"/>
        <v>per SKU</v>
      </c>
      <c r="W181" s="385"/>
      <c r="X181" s="385"/>
      <c r="Y181" s="385"/>
    </row>
    <row r="182" spans="4:25" s="277" customFormat="1" x14ac:dyDescent="0.3">
      <c r="D182" s="356" t="s">
        <v>807</v>
      </c>
      <c r="E182" s="356"/>
      <c r="F182" s="356"/>
      <c r="G182" s="356"/>
      <c r="I182" s="87" t="s">
        <v>126</v>
      </c>
      <c r="J182" s="86">
        <v>0</v>
      </c>
      <c r="K182" s="48">
        <v>0</v>
      </c>
      <c r="L182" s="87" t="s">
        <v>126</v>
      </c>
      <c r="M182" s="84">
        <v>0</v>
      </c>
      <c r="O182" s="288">
        <f t="shared" si="29"/>
        <v>0</v>
      </c>
      <c r="P182" s="279">
        <f t="shared" si="30"/>
        <v>0</v>
      </c>
      <c r="R182" s="280">
        <f t="shared" si="31"/>
        <v>0</v>
      </c>
      <c r="S182" s="280">
        <f t="shared" si="32"/>
        <v>0</v>
      </c>
      <c r="T182" s="279">
        <f t="shared" si="33"/>
        <v>0</v>
      </c>
      <c r="U182" s="279">
        <f t="shared" si="34"/>
        <v>0</v>
      </c>
      <c r="V182" s="297" t="str">
        <f t="shared" si="35"/>
        <v>per SKU</v>
      </c>
      <c r="W182" s="385"/>
      <c r="X182" s="385"/>
      <c r="Y182" s="385"/>
    </row>
    <row r="183" spans="4:25" s="277" customFormat="1" x14ac:dyDescent="0.3">
      <c r="D183" s="356" t="s">
        <v>808</v>
      </c>
      <c r="E183" s="356"/>
      <c r="F183" s="356"/>
      <c r="G183" s="356"/>
      <c r="I183" s="87" t="s">
        <v>126</v>
      </c>
      <c r="J183" s="86">
        <v>0</v>
      </c>
      <c r="K183" s="48">
        <v>0</v>
      </c>
      <c r="L183" s="87" t="s">
        <v>126</v>
      </c>
      <c r="M183" s="84">
        <v>0</v>
      </c>
      <c r="O183" s="288">
        <f t="shared" si="29"/>
        <v>0</v>
      </c>
      <c r="P183" s="279">
        <f t="shared" si="30"/>
        <v>0</v>
      </c>
      <c r="R183" s="280">
        <f t="shared" si="31"/>
        <v>0</v>
      </c>
      <c r="S183" s="280">
        <f t="shared" si="32"/>
        <v>0</v>
      </c>
      <c r="T183" s="279">
        <f t="shared" si="33"/>
        <v>0</v>
      </c>
      <c r="U183" s="279">
        <f t="shared" si="34"/>
        <v>0</v>
      </c>
      <c r="V183" s="297" t="str">
        <f t="shared" si="35"/>
        <v>per SKU</v>
      </c>
      <c r="W183" s="385"/>
      <c r="X183" s="385"/>
      <c r="Y183" s="385"/>
    </row>
    <row r="184" spans="4:25" s="277" customFormat="1" x14ac:dyDescent="0.3">
      <c r="D184" s="356" t="s">
        <v>809</v>
      </c>
      <c r="E184" s="356"/>
      <c r="F184" s="356"/>
      <c r="G184" s="356"/>
      <c r="I184" s="87" t="s">
        <v>126</v>
      </c>
      <c r="J184" s="86">
        <v>0</v>
      </c>
      <c r="K184" s="48">
        <v>0</v>
      </c>
      <c r="L184" s="87" t="s">
        <v>126</v>
      </c>
      <c r="M184" s="84">
        <v>0</v>
      </c>
      <c r="O184" s="288">
        <f t="shared" si="29"/>
        <v>0</v>
      </c>
      <c r="P184" s="279">
        <f t="shared" si="30"/>
        <v>0</v>
      </c>
      <c r="R184" s="280">
        <f t="shared" si="31"/>
        <v>0</v>
      </c>
      <c r="S184" s="280">
        <f t="shared" si="32"/>
        <v>0</v>
      </c>
      <c r="T184" s="279">
        <f t="shared" si="33"/>
        <v>0</v>
      </c>
      <c r="U184" s="279">
        <f t="shared" si="34"/>
        <v>0</v>
      </c>
      <c r="V184" s="297" t="str">
        <f t="shared" si="35"/>
        <v>per SKU</v>
      </c>
      <c r="W184" s="385"/>
      <c r="X184" s="385"/>
      <c r="Y184" s="385"/>
    </row>
    <row r="185" spans="4:25" s="277" customFormat="1" x14ac:dyDescent="0.3">
      <c r="D185" s="356" t="s">
        <v>810</v>
      </c>
      <c r="E185" s="356"/>
      <c r="F185" s="356"/>
      <c r="G185" s="356"/>
      <c r="I185" s="87" t="s">
        <v>126</v>
      </c>
      <c r="J185" s="86">
        <v>0</v>
      </c>
      <c r="K185" s="48">
        <v>0</v>
      </c>
      <c r="L185" s="87" t="s">
        <v>126</v>
      </c>
      <c r="M185" s="84">
        <v>0</v>
      </c>
      <c r="O185" s="288">
        <f t="shared" si="29"/>
        <v>0</v>
      </c>
      <c r="P185" s="279">
        <f t="shared" si="30"/>
        <v>0</v>
      </c>
      <c r="R185" s="280">
        <f t="shared" si="31"/>
        <v>0</v>
      </c>
      <c r="S185" s="280">
        <f t="shared" si="32"/>
        <v>0</v>
      </c>
      <c r="T185" s="279">
        <f t="shared" si="33"/>
        <v>0</v>
      </c>
      <c r="U185" s="279">
        <f t="shared" si="34"/>
        <v>0</v>
      </c>
      <c r="V185" s="297" t="str">
        <f t="shared" si="35"/>
        <v>per SKU</v>
      </c>
      <c r="W185" s="385"/>
      <c r="X185" s="385"/>
      <c r="Y185" s="385"/>
    </row>
    <row r="186" spans="4:25" s="277" customFormat="1" x14ac:dyDescent="0.3">
      <c r="D186" s="356" t="s">
        <v>811</v>
      </c>
      <c r="E186" s="356"/>
      <c r="F186" s="356"/>
      <c r="G186" s="356"/>
      <c r="I186" s="87" t="s">
        <v>126</v>
      </c>
      <c r="J186" s="86">
        <v>0</v>
      </c>
      <c r="K186" s="48">
        <v>0</v>
      </c>
      <c r="L186" s="87" t="s">
        <v>126</v>
      </c>
      <c r="M186" s="84">
        <v>0</v>
      </c>
      <c r="O186" s="288">
        <f t="shared" si="29"/>
        <v>0</v>
      </c>
      <c r="P186" s="279">
        <f t="shared" si="30"/>
        <v>0</v>
      </c>
      <c r="R186" s="280">
        <f t="shared" si="31"/>
        <v>0</v>
      </c>
      <c r="S186" s="280">
        <f t="shared" si="32"/>
        <v>0</v>
      </c>
      <c r="T186" s="279">
        <f t="shared" si="33"/>
        <v>0</v>
      </c>
      <c r="U186" s="279">
        <f t="shared" si="34"/>
        <v>0</v>
      </c>
      <c r="V186" s="297" t="str">
        <f t="shared" si="35"/>
        <v>per SKU</v>
      </c>
      <c r="W186" s="385"/>
      <c r="X186" s="385"/>
      <c r="Y186" s="385"/>
    </row>
    <row r="187" spans="4:25" s="277" customFormat="1" x14ac:dyDescent="0.3">
      <c r="D187" s="356" t="s">
        <v>812</v>
      </c>
      <c r="E187" s="356"/>
      <c r="F187" s="356"/>
      <c r="G187" s="356"/>
      <c r="I187" s="87" t="s">
        <v>126</v>
      </c>
      <c r="J187" s="86">
        <v>0</v>
      </c>
      <c r="K187" s="48">
        <v>0</v>
      </c>
      <c r="L187" s="87" t="s">
        <v>126</v>
      </c>
      <c r="M187" s="84">
        <v>0</v>
      </c>
      <c r="O187" s="288">
        <f t="shared" si="29"/>
        <v>0</v>
      </c>
      <c r="P187" s="279">
        <f t="shared" si="30"/>
        <v>0</v>
      </c>
      <c r="R187" s="280">
        <f t="shared" si="31"/>
        <v>0</v>
      </c>
      <c r="S187" s="280">
        <f t="shared" si="32"/>
        <v>0</v>
      </c>
      <c r="T187" s="279">
        <f t="shared" si="33"/>
        <v>0</v>
      </c>
      <c r="U187" s="279">
        <f t="shared" si="34"/>
        <v>0</v>
      </c>
      <c r="V187" s="297" t="str">
        <f t="shared" si="35"/>
        <v>per SKU</v>
      </c>
      <c r="W187" s="385"/>
      <c r="X187" s="385"/>
      <c r="Y187" s="385"/>
    </row>
    <row r="188" spans="4:25" s="277" customFormat="1" x14ac:dyDescent="0.3">
      <c r="D188" s="356" t="s">
        <v>813</v>
      </c>
      <c r="E188" s="356"/>
      <c r="F188" s="356"/>
      <c r="G188" s="356"/>
      <c r="I188" s="87" t="s">
        <v>126</v>
      </c>
      <c r="J188" s="86">
        <v>0</v>
      </c>
      <c r="K188" s="48">
        <v>0</v>
      </c>
      <c r="L188" s="87" t="s">
        <v>126</v>
      </c>
      <c r="M188" s="84">
        <v>0</v>
      </c>
      <c r="O188" s="288">
        <f t="shared" si="29"/>
        <v>0</v>
      </c>
      <c r="P188" s="279">
        <f t="shared" si="30"/>
        <v>0</v>
      </c>
      <c r="R188" s="280">
        <f t="shared" si="31"/>
        <v>0</v>
      </c>
      <c r="S188" s="280">
        <f t="shared" si="32"/>
        <v>0</v>
      </c>
      <c r="T188" s="279">
        <f t="shared" si="33"/>
        <v>0</v>
      </c>
      <c r="U188" s="279">
        <f t="shared" si="34"/>
        <v>0</v>
      </c>
      <c r="V188" s="297" t="str">
        <f t="shared" si="35"/>
        <v>per SKU</v>
      </c>
      <c r="W188" s="385"/>
      <c r="X188" s="385"/>
      <c r="Y188" s="385"/>
    </row>
    <row r="189" spans="4:25" s="277" customFormat="1" x14ac:dyDescent="0.3">
      <c r="D189" s="356" t="s">
        <v>814</v>
      </c>
      <c r="E189" s="356"/>
      <c r="F189" s="356"/>
      <c r="G189" s="356"/>
      <c r="I189" s="87" t="s">
        <v>126</v>
      </c>
      <c r="J189" s="86">
        <v>0</v>
      </c>
      <c r="K189" s="48">
        <v>0</v>
      </c>
      <c r="L189" s="87" t="s">
        <v>126</v>
      </c>
      <c r="M189" s="84">
        <v>0</v>
      </c>
      <c r="O189" s="288">
        <f t="shared" si="29"/>
        <v>0</v>
      </c>
      <c r="P189" s="279">
        <f t="shared" si="30"/>
        <v>0</v>
      </c>
      <c r="R189" s="280">
        <f t="shared" si="31"/>
        <v>0</v>
      </c>
      <c r="S189" s="280">
        <f t="shared" si="32"/>
        <v>0</v>
      </c>
      <c r="T189" s="279">
        <f t="shared" si="33"/>
        <v>0</v>
      </c>
      <c r="U189" s="279">
        <f t="shared" si="34"/>
        <v>0</v>
      </c>
      <c r="V189" s="297" t="str">
        <f t="shared" si="35"/>
        <v>per SKU</v>
      </c>
      <c r="W189" s="385"/>
      <c r="X189" s="385"/>
      <c r="Y189" s="385"/>
    </row>
    <row r="190" spans="4:25" s="277" customFormat="1" x14ac:dyDescent="0.3">
      <c r="D190" s="356" t="s">
        <v>815</v>
      </c>
      <c r="E190" s="356"/>
      <c r="F190" s="356"/>
      <c r="G190" s="356"/>
      <c r="I190" s="87" t="s">
        <v>126</v>
      </c>
      <c r="J190" s="86">
        <v>0</v>
      </c>
      <c r="K190" s="48">
        <v>0</v>
      </c>
      <c r="L190" s="87" t="s">
        <v>126</v>
      </c>
      <c r="M190" s="84">
        <v>0</v>
      </c>
      <c r="O190" s="288">
        <f t="shared" si="29"/>
        <v>0</v>
      </c>
      <c r="P190" s="279">
        <f t="shared" si="30"/>
        <v>0</v>
      </c>
      <c r="R190" s="280">
        <f t="shared" si="31"/>
        <v>0</v>
      </c>
      <c r="S190" s="280">
        <f t="shared" si="32"/>
        <v>0</v>
      </c>
      <c r="T190" s="279">
        <f t="shared" si="33"/>
        <v>0</v>
      </c>
      <c r="U190" s="279">
        <f t="shared" si="34"/>
        <v>0</v>
      </c>
      <c r="V190" s="297" t="str">
        <f t="shared" si="35"/>
        <v>per SKU</v>
      </c>
      <c r="W190" s="385"/>
      <c r="X190" s="385"/>
      <c r="Y190" s="385"/>
    </row>
    <row r="191" spans="4:25" s="277" customFormat="1" x14ac:dyDescent="0.3">
      <c r="D191" s="356" t="s">
        <v>816</v>
      </c>
      <c r="E191" s="356"/>
      <c r="F191" s="356"/>
      <c r="G191" s="356"/>
      <c r="I191" s="87" t="s">
        <v>126</v>
      </c>
      <c r="J191" s="86">
        <v>0</v>
      </c>
      <c r="K191" s="48">
        <v>0</v>
      </c>
      <c r="L191" s="87" t="s">
        <v>126</v>
      </c>
      <c r="M191" s="84">
        <v>0</v>
      </c>
      <c r="O191" s="288">
        <f t="shared" si="29"/>
        <v>0</v>
      </c>
      <c r="P191" s="279">
        <f t="shared" si="30"/>
        <v>0</v>
      </c>
      <c r="R191" s="280">
        <f t="shared" si="31"/>
        <v>0</v>
      </c>
      <c r="S191" s="280">
        <f t="shared" si="32"/>
        <v>0</v>
      </c>
      <c r="T191" s="279">
        <f t="shared" si="33"/>
        <v>0</v>
      </c>
      <c r="U191" s="279">
        <f t="shared" si="34"/>
        <v>0</v>
      </c>
      <c r="V191" s="297" t="str">
        <f t="shared" si="35"/>
        <v>per SKU</v>
      </c>
      <c r="W191" s="385"/>
      <c r="X191" s="385"/>
      <c r="Y191" s="385"/>
    </row>
    <row r="192" spans="4:25" s="277" customFormat="1" x14ac:dyDescent="0.3">
      <c r="D192" s="356" t="s">
        <v>817</v>
      </c>
      <c r="E192" s="356"/>
      <c r="F192" s="356"/>
      <c r="G192" s="356"/>
      <c r="I192" s="87" t="s">
        <v>126</v>
      </c>
      <c r="J192" s="86">
        <v>0</v>
      </c>
      <c r="K192" s="48">
        <v>0</v>
      </c>
      <c r="L192" s="87" t="s">
        <v>126</v>
      </c>
      <c r="M192" s="84">
        <v>0</v>
      </c>
      <c r="O192" s="288">
        <f t="shared" si="29"/>
        <v>0</v>
      </c>
      <c r="P192" s="279">
        <f t="shared" si="30"/>
        <v>0</v>
      </c>
      <c r="R192" s="280">
        <f t="shared" si="31"/>
        <v>0</v>
      </c>
      <c r="S192" s="280">
        <f t="shared" si="32"/>
        <v>0</v>
      </c>
      <c r="T192" s="279">
        <f t="shared" si="33"/>
        <v>0</v>
      </c>
      <c r="U192" s="279">
        <f t="shared" si="34"/>
        <v>0</v>
      </c>
      <c r="V192" s="297" t="str">
        <f t="shared" si="35"/>
        <v>per SKU</v>
      </c>
      <c r="W192" s="385"/>
      <c r="X192" s="385"/>
      <c r="Y192" s="385"/>
    </row>
    <row r="193" spans="3:25" s="277" customFormat="1" x14ac:dyDescent="0.3">
      <c r="D193" s="356" t="s">
        <v>818</v>
      </c>
      <c r="E193" s="356"/>
      <c r="F193" s="356"/>
      <c r="G193" s="356"/>
      <c r="I193" s="87" t="s">
        <v>126</v>
      </c>
      <c r="J193" s="86">
        <v>0</v>
      </c>
      <c r="K193" s="48">
        <v>0</v>
      </c>
      <c r="L193" s="87" t="s">
        <v>126</v>
      </c>
      <c r="M193" s="84">
        <v>0</v>
      </c>
      <c r="O193" s="288">
        <f t="shared" si="29"/>
        <v>0</v>
      </c>
      <c r="P193" s="279">
        <f t="shared" si="30"/>
        <v>0</v>
      </c>
      <c r="R193" s="280">
        <f t="shared" si="31"/>
        <v>0</v>
      </c>
      <c r="S193" s="280">
        <f t="shared" si="32"/>
        <v>0</v>
      </c>
      <c r="T193" s="279">
        <f t="shared" si="33"/>
        <v>0</v>
      </c>
      <c r="U193" s="279">
        <f t="shared" si="34"/>
        <v>0</v>
      </c>
      <c r="V193" s="297" t="str">
        <f t="shared" si="35"/>
        <v>per SKU</v>
      </c>
      <c r="W193" s="385"/>
      <c r="X193" s="385"/>
      <c r="Y193" s="385"/>
    </row>
    <row r="194" spans="3:25" s="277" customFormat="1" x14ac:dyDescent="0.3">
      <c r="D194" s="356" t="s">
        <v>819</v>
      </c>
      <c r="E194" s="356"/>
      <c r="F194" s="356"/>
      <c r="G194" s="356"/>
      <c r="I194" s="87" t="s">
        <v>126</v>
      </c>
      <c r="J194" s="86">
        <v>0</v>
      </c>
      <c r="K194" s="48">
        <v>0</v>
      </c>
      <c r="L194" s="87" t="s">
        <v>126</v>
      </c>
      <c r="M194" s="84">
        <v>0</v>
      </c>
      <c r="O194" s="288">
        <f t="shared" si="29"/>
        <v>0</v>
      </c>
      <c r="P194" s="279">
        <f t="shared" si="30"/>
        <v>0</v>
      </c>
      <c r="R194" s="280">
        <f t="shared" si="31"/>
        <v>0</v>
      </c>
      <c r="S194" s="280">
        <f t="shared" si="32"/>
        <v>0</v>
      </c>
      <c r="T194" s="279">
        <f t="shared" si="33"/>
        <v>0</v>
      </c>
      <c r="U194" s="279">
        <f t="shared" si="34"/>
        <v>0</v>
      </c>
      <c r="V194" s="297" t="str">
        <f t="shared" si="35"/>
        <v>per SKU</v>
      </c>
      <c r="W194" s="385"/>
      <c r="X194" s="385"/>
      <c r="Y194" s="385"/>
    </row>
    <row r="195" spans="3:25" s="277" customFormat="1" x14ac:dyDescent="0.3">
      <c r="D195" s="356" t="s">
        <v>820</v>
      </c>
      <c r="E195" s="356"/>
      <c r="F195" s="356"/>
      <c r="G195" s="356"/>
      <c r="I195" s="87" t="s">
        <v>126</v>
      </c>
      <c r="J195" s="86">
        <v>0</v>
      </c>
      <c r="K195" s="48">
        <v>0</v>
      </c>
      <c r="L195" s="87" t="s">
        <v>126</v>
      </c>
      <c r="M195" s="84">
        <v>0</v>
      </c>
      <c r="O195" s="288">
        <f t="shared" si="29"/>
        <v>0</v>
      </c>
      <c r="P195" s="279">
        <f t="shared" si="30"/>
        <v>0</v>
      </c>
      <c r="R195" s="280">
        <f t="shared" si="31"/>
        <v>0</v>
      </c>
      <c r="S195" s="280">
        <f t="shared" si="32"/>
        <v>0</v>
      </c>
      <c r="T195" s="279">
        <f t="shared" si="33"/>
        <v>0</v>
      </c>
      <c r="U195" s="279">
        <f t="shared" si="34"/>
        <v>0</v>
      </c>
      <c r="V195" s="297" t="str">
        <f t="shared" si="35"/>
        <v>per SKU</v>
      </c>
      <c r="W195" s="385"/>
      <c r="X195" s="385"/>
      <c r="Y195" s="385"/>
    </row>
    <row r="196" spans="3:25" s="277" customFormat="1" x14ac:dyDescent="0.3">
      <c r="D196" s="356" t="s">
        <v>821</v>
      </c>
      <c r="E196" s="356"/>
      <c r="F196" s="356"/>
      <c r="G196" s="356"/>
      <c r="I196" s="87" t="s">
        <v>126</v>
      </c>
      <c r="J196" s="86">
        <v>0</v>
      </c>
      <c r="K196" s="48">
        <v>0</v>
      </c>
      <c r="L196" s="87" t="s">
        <v>126</v>
      </c>
      <c r="M196" s="84">
        <v>0</v>
      </c>
      <c r="O196" s="288">
        <f t="shared" si="29"/>
        <v>0</v>
      </c>
      <c r="P196" s="279">
        <f t="shared" si="30"/>
        <v>0</v>
      </c>
      <c r="R196" s="280">
        <f t="shared" si="31"/>
        <v>0</v>
      </c>
      <c r="S196" s="280">
        <f t="shared" si="32"/>
        <v>0</v>
      </c>
      <c r="T196" s="279">
        <f t="shared" si="33"/>
        <v>0</v>
      </c>
      <c r="U196" s="279">
        <f t="shared" si="34"/>
        <v>0</v>
      </c>
      <c r="V196" s="297" t="str">
        <f t="shared" si="35"/>
        <v>per SKU</v>
      </c>
      <c r="W196" s="385"/>
      <c r="X196" s="385"/>
      <c r="Y196" s="385"/>
    </row>
    <row r="197" spans="3:25" s="277" customFormat="1" x14ac:dyDescent="0.3">
      <c r="D197" s="356" t="s">
        <v>822</v>
      </c>
      <c r="E197" s="356"/>
      <c r="F197" s="356"/>
      <c r="G197" s="356"/>
      <c r="I197" s="87" t="s">
        <v>126</v>
      </c>
      <c r="J197" s="86">
        <v>0</v>
      </c>
      <c r="K197" s="48">
        <v>0</v>
      </c>
      <c r="L197" s="87" t="s">
        <v>126</v>
      </c>
      <c r="M197" s="84">
        <v>0</v>
      </c>
      <c r="O197" s="288">
        <f t="shared" si="29"/>
        <v>0</v>
      </c>
      <c r="P197" s="279">
        <f t="shared" si="30"/>
        <v>0</v>
      </c>
      <c r="R197" s="280">
        <f t="shared" si="31"/>
        <v>0</v>
      </c>
      <c r="S197" s="280">
        <f t="shared" si="32"/>
        <v>0</v>
      </c>
      <c r="T197" s="279">
        <f t="shared" si="33"/>
        <v>0</v>
      </c>
      <c r="U197" s="279">
        <f t="shared" si="34"/>
        <v>0</v>
      </c>
      <c r="V197" s="297" t="str">
        <f t="shared" si="35"/>
        <v>per SKU</v>
      </c>
      <c r="W197" s="385"/>
      <c r="X197" s="385"/>
      <c r="Y197" s="385"/>
    </row>
    <row r="198" spans="3:25" s="277" customFormat="1" x14ac:dyDescent="0.3">
      <c r="D198" s="356" t="s">
        <v>823</v>
      </c>
      <c r="E198" s="356"/>
      <c r="F198" s="356"/>
      <c r="G198" s="356"/>
      <c r="I198" s="87" t="s">
        <v>126</v>
      </c>
      <c r="J198" s="86">
        <v>0</v>
      </c>
      <c r="K198" s="48">
        <v>0</v>
      </c>
      <c r="L198" s="87" t="s">
        <v>126</v>
      </c>
      <c r="M198" s="84">
        <v>0</v>
      </c>
      <c r="O198" s="288">
        <f t="shared" si="29"/>
        <v>0</v>
      </c>
      <c r="P198" s="279">
        <f t="shared" si="30"/>
        <v>0</v>
      </c>
      <c r="R198" s="280">
        <f t="shared" si="31"/>
        <v>0</v>
      </c>
      <c r="S198" s="280">
        <f t="shared" si="32"/>
        <v>0</v>
      </c>
      <c r="T198" s="279">
        <f t="shared" si="33"/>
        <v>0</v>
      </c>
      <c r="U198" s="279">
        <f t="shared" si="34"/>
        <v>0</v>
      </c>
      <c r="V198" s="297" t="str">
        <f t="shared" si="35"/>
        <v>per SKU</v>
      </c>
      <c r="W198" s="385"/>
      <c r="X198" s="385"/>
      <c r="Y198" s="385"/>
    </row>
    <row r="199" spans="3:25" s="277" customFormat="1" x14ac:dyDescent="0.3">
      <c r="D199" s="356" t="s">
        <v>824</v>
      </c>
      <c r="E199" s="356"/>
      <c r="F199" s="356"/>
      <c r="G199" s="356"/>
      <c r="I199" s="87" t="s">
        <v>126</v>
      </c>
      <c r="J199" s="86">
        <v>0</v>
      </c>
      <c r="K199" s="48">
        <v>0</v>
      </c>
      <c r="L199" s="87" t="s">
        <v>126</v>
      </c>
      <c r="M199" s="84">
        <v>0</v>
      </c>
      <c r="O199" s="288">
        <f t="shared" si="29"/>
        <v>0</v>
      </c>
      <c r="P199" s="279">
        <f t="shared" si="30"/>
        <v>0</v>
      </c>
      <c r="R199" s="280">
        <f t="shared" si="31"/>
        <v>0</v>
      </c>
      <c r="S199" s="280">
        <f t="shared" si="32"/>
        <v>0</v>
      </c>
      <c r="T199" s="279">
        <f t="shared" si="33"/>
        <v>0</v>
      </c>
      <c r="U199" s="279">
        <f t="shared" si="34"/>
        <v>0</v>
      </c>
      <c r="V199" s="297" t="str">
        <f t="shared" si="35"/>
        <v>per SKU</v>
      </c>
      <c r="W199" s="385"/>
      <c r="X199" s="385"/>
      <c r="Y199" s="385"/>
    </row>
    <row r="200" spans="3:25" s="277" customFormat="1" x14ac:dyDescent="0.3">
      <c r="D200" s="356" t="s">
        <v>825</v>
      </c>
      <c r="E200" s="356"/>
      <c r="F200" s="356"/>
      <c r="G200" s="356"/>
      <c r="I200" s="87" t="s">
        <v>126</v>
      </c>
      <c r="J200" s="86">
        <v>0</v>
      </c>
      <c r="K200" s="48">
        <v>0</v>
      </c>
      <c r="L200" s="87" t="s">
        <v>126</v>
      </c>
      <c r="M200" s="84">
        <v>0</v>
      </c>
      <c r="O200" s="288">
        <f t="shared" si="29"/>
        <v>0</v>
      </c>
      <c r="P200" s="279">
        <f t="shared" si="30"/>
        <v>0</v>
      </c>
      <c r="R200" s="280">
        <f t="shared" si="31"/>
        <v>0</v>
      </c>
      <c r="S200" s="280">
        <f t="shared" si="32"/>
        <v>0</v>
      </c>
      <c r="T200" s="279">
        <f t="shared" si="33"/>
        <v>0</v>
      </c>
      <c r="U200" s="279">
        <f t="shared" si="34"/>
        <v>0</v>
      </c>
      <c r="V200" s="297" t="str">
        <f t="shared" si="35"/>
        <v>per SKU</v>
      </c>
      <c r="W200" s="385"/>
      <c r="X200" s="385"/>
      <c r="Y200" s="385"/>
    </row>
    <row r="201" spans="3:25" s="277" customFormat="1" x14ac:dyDescent="0.3">
      <c r="D201" s="356" t="s">
        <v>826</v>
      </c>
      <c r="E201" s="356"/>
      <c r="F201" s="356"/>
      <c r="G201" s="356"/>
      <c r="I201" s="87" t="s">
        <v>126</v>
      </c>
      <c r="J201" s="86">
        <v>0</v>
      </c>
      <c r="K201" s="48">
        <v>0</v>
      </c>
      <c r="L201" s="87" t="s">
        <v>126</v>
      </c>
      <c r="M201" s="84">
        <v>0</v>
      </c>
      <c r="O201" s="288">
        <f t="shared" si="29"/>
        <v>0</v>
      </c>
      <c r="P201" s="279">
        <f t="shared" si="30"/>
        <v>0</v>
      </c>
      <c r="R201" s="280">
        <f t="shared" si="31"/>
        <v>0</v>
      </c>
      <c r="S201" s="280">
        <f t="shared" si="32"/>
        <v>0</v>
      </c>
      <c r="T201" s="279">
        <f t="shared" si="33"/>
        <v>0</v>
      </c>
      <c r="U201" s="279">
        <f t="shared" si="34"/>
        <v>0</v>
      </c>
      <c r="V201" s="297" t="str">
        <f t="shared" si="35"/>
        <v>per SKU</v>
      </c>
      <c r="W201" s="385"/>
      <c r="X201" s="385"/>
      <c r="Y201" s="385"/>
    </row>
    <row r="202" spans="3:25" s="277" customFormat="1" x14ac:dyDescent="0.3">
      <c r="D202" s="356" t="s">
        <v>827</v>
      </c>
      <c r="E202" s="356"/>
      <c r="F202" s="356"/>
      <c r="G202" s="356"/>
      <c r="I202" s="87" t="s">
        <v>126</v>
      </c>
      <c r="J202" s="86">
        <v>0</v>
      </c>
      <c r="K202" s="48">
        <v>0</v>
      </c>
      <c r="L202" s="87" t="s">
        <v>126</v>
      </c>
      <c r="M202" s="84">
        <v>0</v>
      </c>
      <c r="O202" s="288">
        <f t="shared" si="29"/>
        <v>0</v>
      </c>
      <c r="P202" s="279">
        <f t="shared" si="30"/>
        <v>0</v>
      </c>
      <c r="R202" s="280">
        <f t="shared" si="31"/>
        <v>0</v>
      </c>
      <c r="S202" s="280">
        <f t="shared" si="32"/>
        <v>0</v>
      </c>
      <c r="T202" s="279">
        <f t="shared" si="33"/>
        <v>0</v>
      </c>
      <c r="U202" s="279">
        <f t="shared" si="34"/>
        <v>0</v>
      </c>
      <c r="V202" s="297" t="str">
        <f t="shared" si="35"/>
        <v>per SKU</v>
      </c>
      <c r="W202" s="385"/>
      <c r="X202" s="385"/>
      <c r="Y202" s="385"/>
    </row>
    <row r="203" spans="3:25" s="277" customFormat="1" x14ac:dyDescent="0.3">
      <c r="D203" s="356" t="s">
        <v>828</v>
      </c>
      <c r="E203" s="356"/>
      <c r="F203" s="356"/>
      <c r="G203" s="356"/>
      <c r="I203" s="87" t="s">
        <v>126</v>
      </c>
      <c r="J203" s="86">
        <v>0</v>
      </c>
      <c r="K203" s="48">
        <v>0</v>
      </c>
      <c r="L203" s="87" t="s">
        <v>126</v>
      </c>
      <c r="M203" s="84">
        <v>0</v>
      </c>
      <c r="O203" s="288">
        <f t="shared" si="29"/>
        <v>0</v>
      </c>
      <c r="P203" s="279">
        <f t="shared" si="30"/>
        <v>0</v>
      </c>
      <c r="R203" s="280">
        <f t="shared" si="31"/>
        <v>0</v>
      </c>
      <c r="S203" s="280">
        <f t="shared" si="32"/>
        <v>0</v>
      </c>
      <c r="T203" s="279">
        <f t="shared" si="33"/>
        <v>0</v>
      </c>
      <c r="U203" s="279">
        <f t="shared" si="34"/>
        <v>0</v>
      </c>
      <c r="V203" s="297" t="str">
        <f t="shared" si="35"/>
        <v>per SKU</v>
      </c>
      <c r="W203" s="385"/>
      <c r="X203" s="385"/>
      <c r="Y203" s="385"/>
    </row>
    <row r="204" spans="3:25" ht="14.4" x14ac:dyDescent="0.3">
      <c r="D204" s="90" t="s">
        <v>574</v>
      </c>
    </row>
    <row r="205" spans="3:25" x14ac:dyDescent="0.3">
      <c r="C205" s="91" t="s">
        <v>613</v>
      </c>
    </row>
    <row r="206" spans="3:25" ht="14.4" hidden="1" outlineLevel="1" thickBot="1" x14ac:dyDescent="0.35"/>
    <row r="207" spans="3:25" ht="15" hidden="1" outlineLevel="1" thickBot="1" x14ac:dyDescent="0.35">
      <c r="K207" s="394" t="s">
        <v>159</v>
      </c>
      <c r="L207" s="395"/>
      <c r="M207" s="396"/>
      <c r="O207" s="362" t="s">
        <v>559</v>
      </c>
      <c r="P207" s="363"/>
      <c r="Q207" s="364"/>
    </row>
    <row r="208" spans="3:25" ht="15" hidden="1" outlineLevel="1" thickBot="1" x14ac:dyDescent="0.35">
      <c r="K208" s="109" t="s">
        <v>180</v>
      </c>
      <c r="L208" s="109" t="s">
        <v>181</v>
      </c>
      <c r="M208" s="110" t="s">
        <v>182</v>
      </c>
      <c r="O208" s="90" t="s">
        <v>560</v>
      </c>
      <c r="P208" s="90" t="s">
        <v>561</v>
      </c>
      <c r="Q208" s="78" t="s">
        <v>562</v>
      </c>
    </row>
    <row r="209" spans="3:17" ht="14.4" hidden="1" outlineLevel="1" thickBot="1" x14ac:dyDescent="0.35">
      <c r="K209" s="111" t="str">
        <f>Lbl_BA!D16</f>
        <v>Fac1</v>
      </c>
      <c r="L209" s="111" t="str">
        <f>Lbl_BA!E16</f>
        <v>Fac2</v>
      </c>
      <c r="M209" s="112" t="str">
        <f>Lbl_BA!F16</f>
        <v>Fac3</v>
      </c>
      <c r="O209" s="95" t="str">
        <f>Lbl_BA!G16</f>
        <v>Vac1</v>
      </c>
      <c r="P209" s="95">
        <f>Lbl_BA!H16</f>
        <v>0</v>
      </c>
      <c r="Q209" s="96">
        <f>Lbl_BA!I16</f>
        <v>0</v>
      </c>
    </row>
    <row r="210" spans="3:17" collapsed="1" x14ac:dyDescent="0.3"/>
    <row r="211" spans="3:17" hidden="1" outlineLevel="2" x14ac:dyDescent="0.3">
      <c r="D211" s="91" t="s">
        <v>138</v>
      </c>
      <c r="H211" s="76">
        <f>IF(ISERROR(MATCH(I10,CURR_TA!$D$13:$D$14,0)),1,0)</f>
        <v>0</v>
      </c>
    </row>
    <row r="212" spans="3:17" collapsed="1" x14ac:dyDescent="0.3">
      <c r="D212" s="91" t="s">
        <v>21</v>
      </c>
      <c r="H212" s="75">
        <f>IF(ISERROR(SUM(H211)),1,MIN(SUM(H211),1))</f>
        <v>0</v>
      </c>
    </row>
    <row r="214" spans="3:17" x14ac:dyDescent="0.3">
      <c r="C214" s="91" t="s">
        <v>584</v>
      </c>
    </row>
    <row r="215" spans="3:17" hidden="1" outlineLevel="1" x14ac:dyDescent="0.3">
      <c r="D215" s="89" t="str">
        <f>CURR_TA!D12</f>
        <v>Currency Code</v>
      </c>
      <c r="J215" s="89" t="str">
        <f>HL_RES_Exchange_Rates</f>
        <v>Exchange Rates</v>
      </c>
    </row>
    <row r="216" spans="3:17" hidden="1" outlineLevel="1" x14ac:dyDescent="0.3">
      <c r="D216" s="22" t="str">
        <f>RES_Curr_1</f>
        <v>USD</v>
      </c>
      <c r="J216" s="22">
        <f>CURR_TA!J13</f>
        <v>1</v>
      </c>
    </row>
    <row r="217" spans="3:17" hidden="1" outlineLevel="1" x14ac:dyDescent="0.3">
      <c r="D217" s="22" t="str">
        <f>RES_Curr_2</f>
        <v>GOZ</v>
      </c>
      <c r="J217" s="22">
        <f>CURR_TA!J14</f>
        <v>0</v>
      </c>
    </row>
    <row r="218" spans="3:17" collapsed="1" x14ac:dyDescent="0.3"/>
    <row r="220" spans="3:17" hidden="1" outlineLevel="2" x14ac:dyDescent="0.3">
      <c r="C220" s="399" t="str">
        <f>"Go to "&amp;HL_RES_Curr_Options</f>
        <v>Go to Currency Rates</v>
      </c>
      <c r="D220" s="400"/>
      <c r="E220" s="400"/>
      <c r="F220" s="400"/>
      <c r="G220" s="400"/>
      <c r="H220" s="400"/>
      <c r="I220" s="400"/>
    </row>
    <row r="221" spans="3:17" collapsed="1" x14ac:dyDescent="0.3"/>
  </sheetData>
  <sheetProtection algorithmName="SHA-512" hashValue="aowYcdM7lTiJ9TLSuVzhmlJk2MmEzWfCR28/N006aF/5CSpN5AOY45io3k6Q1sCErWzmOtE4JTJFCQB8Iz0kGw==" saltValue="4CKVF+1H+WUx2PoRAnsTzw==" spinCount="100000" sheet="1" objects="1" scenarios="1" formatColumns="0" formatRows="0"/>
  <sortState xmlns:xlrd2="http://schemas.microsoft.com/office/spreadsheetml/2017/richdata2" ref="D55:G75">
    <sortCondition ref="D55"/>
  </sortState>
  <mergeCells count="360">
    <mergeCell ref="D54:G54"/>
    <mergeCell ref="D75:G75"/>
    <mergeCell ref="X75:Z75"/>
    <mergeCell ref="X70:Z70"/>
    <mergeCell ref="X71:Z71"/>
    <mergeCell ref="D55:G55"/>
    <mergeCell ref="X91:Z91"/>
    <mergeCell ref="D105:G105"/>
    <mergeCell ref="D106:G106"/>
    <mergeCell ref="D104:G104"/>
    <mergeCell ref="X57:Z57"/>
    <mergeCell ref="X69:Z69"/>
    <mergeCell ref="X92:Z92"/>
    <mergeCell ref="X93:Z93"/>
    <mergeCell ref="X90:Z90"/>
    <mergeCell ref="D90:F90"/>
    <mergeCell ref="D57:G57"/>
    <mergeCell ref="D69:G69"/>
    <mergeCell ref="D70:G70"/>
    <mergeCell ref="D71:G71"/>
    <mergeCell ref="D72:G72"/>
    <mergeCell ref="D87:G87"/>
    <mergeCell ref="X87:Z87"/>
    <mergeCell ref="D63:G63"/>
    <mergeCell ref="D169:G169"/>
    <mergeCell ref="X94:Z94"/>
    <mergeCell ref="X103:Z103"/>
    <mergeCell ref="X105:Z105"/>
    <mergeCell ref="X106:Z106"/>
    <mergeCell ref="X104:Z104"/>
    <mergeCell ref="X102:Z102"/>
    <mergeCell ref="X96:Z96"/>
    <mergeCell ref="X97:Z97"/>
    <mergeCell ref="X98:Z98"/>
    <mergeCell ref="X99:Z99"/>
    <mergeCell ref="X95:Z95"/>
    <mergeCell ref="X101:Z101"/>
    <mergeCell ref="D100:G100"/>
    <mergeCell ref="X100:Z100"/>
    <mergeCell ref="D107:G107"/>
    <mergeCell ref="D108:G108"/>
    <mergeCell ref="D109:G109"/>
    <mergeCell ref="D110:G110"/>
    <mergeCell ref="D111:G111"/>
    <mergeCell ref="D112:G112"/>
    <mergeCell ref="D113:G113"/>
    <mergeCell ref="D114:G114"/>
    <mergeCell ref="D115:G115"/>
    <mergeCell ref="C220:I220"/>
    <mergeCell ref="D14:G14"/>
    <mergeCell ref="D15:G15"/>
    <mergeCell ref="D16:G16"/>
    <mergeCell ref="D17:G17"/>
    <mergeCell ref="D18:G18"/>
    <mergeCell ref="D19:G19"/>
    <mergeCell ref="D21:G21"/>
    <mergeCell ref="D22:G22"/>
    <mergeCell ref="D24:G24"/>
    <mergeCell ref="D25:G25"/>
    <mergeCell ref="D56:G56"/>
    <mergeCell ref="D52:G52"/>
    <mergeCell ref="D91:G91"/>
    <mergeCell ref="D92:G92"/>
    <mergeCell ref="D135:G135"/>
    <mergeCell ref="D102:G102"/>
    <mergeCell ref="D103:G103"/>
    <mergeCell ref="D93:G93"/>
    <mergeCell ref="D94:G94"/>
    <mergeCell ref="D95:G95"/>
    <mergeCell ref="D170:G170"/>
    <mergeCell ref="D171:G171"/>
    <mergeCell ref="D101:G101"/>
    <mergeCell ref="B3:F3"/>
    <mergeCell ref="X14:Z14"/>
    <mergeCell ref="D13:G13"/>
    <mergeCell ref="X13:Z13"/>
    <mergeCell ref="X24:Z24"/>
    <mergeCell ref="X19:Z19"/>
    <mergeCell ref="X21:Z21"/>
    <mergeCell ref="X22:Z22"/>
    <mergeCell ref="D20:G20"/>
    <mergeCell ref="X20:Z20"/>
    <mergeCell ref="X18:Z18"/>
    <mergeCell ref="X15:Z15"/>
    <mergeCell ref="X16:Z16"/>
    <mergeCell ref="X17:Z17"/>
    <mergeCell ref="X52:Z52"/>
    <mergeCell ref="AA132:AC132"/>
    <mergeCell ref="AA133:AC133"/>
    <mergeCell ref="AA134:AC134"/>
    <mergeCell ref="AA135:AC135"/>
    <mergeCell ref="D130:G130"/>
    <mergeCell ref="D131:G131"/>
    <mergeCell ref="D132:G132"/>
    <mergeCell ref="K207:M207"/>
    <mergeCell ref="D133:G133"/>
    <mergeCell ref="AA131:AC131"/>
    <mergeCell ref="D134:G134"/>
    <mergeCell ref="AA130:AC130"/>
    <mergeCell ref="W171:Y171"/>
    <mergeCell ref="W169:Y169"/>
    <mergeCell ref="W170:Y170"/>
    <mergeCell ref="O207:Q207"/>
    <mergeCell ref="D96:G96"/>
    <mergeCell ref="D97:G97"/>
    <mergeCell ref="D98:G98"/>
    <mergeCell ref="D99:G99"/>
    <mergeCell ref="X72:Z72"/>
    <mergeCell ref="D73:G73"/>
    <mergeCell ref="X73:Z73"/>
    <mergeCell ref="D27:G27"/>
    <mergeCell ref="X27:Z27"/>
    <mergeCell ref="D26:G26"/>
    <mergeCell ref="X26:Z26"/>
    <mergeCell ref="D23:G23"/>
    <mergeCell ref="X23:Z23"/>
    <mergeCell ref="D86:G86"/>
    <mergeCell ref="X86:Z86"/>
    <mergeCell ref="D85:G85"/>
    <mergeCell ref="X85:Z85"/>
    <mergeCell ref="D84:G84"/>
    <mergeCell ref="X84:Z84"/>
    <mergeCell ref="D83:G83"/>
    <mergeCell ref="X83:Z83"/>
    <mergeCell ref="D28:G28"/>
    <mergeCell ref="X28:Z28"/>
    <mergeCell ref="X25:Z25"/>
    <mergeCell ref="X54:Z54"/>
    <mergeCell ref="X55:Z55"/>
    <mergeCell ref="X56:Z56"/>
    <mergeCell ref="D74:G74"/>
    <mergeCell ref="X74:Z74"/>
    <mergeCell ref="D53:G53"/>
    <mergeCell ref="X53:Z53"/>
    <mergeCell ref="D29:G29"/>
    <mergeCell ref="X29:Z29"/>
    <mergeCell ref="D30:G30"/>
    <mergeCell ref="X30:Z30"/>
    <mergeCell ref="D58:G58"/>
    <mergeCell ref="D59:G59"/>
    <mergeCell ref="D60:G60"/>
    <mergeCell ref="D61:G61"/>
    <mergeCell ref="D62:G62"/>
    <mergeCell ref="D31:G31"/>
    <mergeCell ref="D32:G32"/>
    <mergeCell ref="D33:G33"/>
    <mergeCell ref="X31:Z31"/>
    <mergeCell ref="X32:Z32"/>
    <mergeCell ref="X33:Z33"/>
    <mergeCell ref="D34:G34"/>
    <mergeCell ref="D35:G35"/>
    <mergeCell ref="D36:G36"/>
    <mergeCell ref="D37:G37"/>
    <mergeCell ref="D38:G38"/>
    <mergeCell ref="D39:G39"/>
    <mergeCell ref="D40:G40"/>
    <mergeCell ref="D41:G41"/>
    <mergeCell ref="D42:G42"/>
    <mergeCell ref="D64:G64"/>
    <mergeCell ref="D65:G65"/>
    <mergeCell ref="D66:G66"/>
    <mergeCell ref="D67:G67"/>
    <mergeCell ref="D68:G68"/>
    <mergeCell ref="X58:Z58"/>
    <mergeCell ref="X59:Z59"/>
    <mergeCell ref="X60:Z60"/>
    <mergeCell ref="X61:Z61"/>
    <mergeCell ref="X62:Z62"/>
    <mergeCell ref="X63:Z63"/>
    <mergeCell ref="X64:Z64"/>
    <mergeCell ref="X65:Z65"/>
    <mergeCell ref="X66:Z66"/>
    <mergeCell ref="X67:Z67"/>
    <mergeCell ref="X68:Z68"/>
    <mergeCell ref="D43:G43"/>
    <mergeCell ref="D44:G44"/>
    <mergeCell ref="D45:G45"/>
    <mergeCell ref="D46:G46"/>
    <mergeCell ref="D47:G47"/>
    <mergeCell ref="D48:G48"/>
    <mergeCell ref="X34:Z34"/>
    <mergeCell ref="X35:Z35"/>
    <mergeCell ref="X36:Z36"/>
    <mergeCell ref="X37:Z37"/>
    <mergeCell ref="X38:Z38"/>
    <mergeCell ref="X39:Z39"/>
    <mergeCell ref="X40:Z40"/>
    <mergeCell ref="X41:Z41"/>
    <mergeCell ref="X42:Z42"/>
    <mergeCell ref="X43:Z43"/>
    <mergeCell ref="X44:Z44"/>
    <mergeCell ref="X45:Z45"/>
    <mergeCell ref="X46:Z46"/>
    <mergeCell ref="X47:Z47"/>
    <mergeCell ref="X48:Z48"/>
    <mergeCell ref="D76:G76"/>
    <mergeCell ref="D77:G77"/>
    <mergeCell ref="D78:G78"/>
    <mergeCell ref="D79:G79"/>
    <mergeCell ref="D80:G80"/>
    <mergeCell ref="D81:G81"/>
    <mergeCell ref="D82:G82"/>
    <mergeCell ref="X76:Z76"/>
    <mergeCell ref="X77:Z77"/>
    <mergeCell ref="X78:Z78"/>
    <mergeCell ref="X79:Z79"/>
    <mergeCell ref="X80:Z80"/>
    <mergeCell ref="X81:Z81"/>
    <mergeCell ref="X82:Z82"/>
    <mergeCell ref="D116:G116"/>
    <mergeCell ref="D117:G117"/>
    <mergeCell ref="D118:G118"/>
    <mergeCell ref="D119:G119"/>
    <mergeCell ref="D123:G123"/>
    <mergeCell ref="D124:G124"/>
    <mergeCell ref="D125:G125"/>
    <mergeCell ref="X107:Z107"/>
    <mergeCell ref="X108:Z108"/>
    <mergeCell ref="X109:Z109"/>
    <mergeCell ref="X110:Z110"/>
    <mergeCell ref="X111:Z111"/>
    <mergeCell ref="X112:Z112"/>
    <mergeCell ref="X113:Z113"/>
    <mergeCell ref="X114:Z114"/>
    <mergeCell ref="X115:Z115"/>
    <mergeCell ref="X116:Z116"/>
    <mergeCell ref="X117:Z117"/>
    <mergeCell ref="X118:Z118"/>
    <mergeCell ref="X119:Z119"/>
    <mergeCell ref="X123:Z123"/>
    <mergeCell ref="X124:Z124"/>
    <mergeCell ref="X125:Z125"/>
    <mergeCell ref="D120:G120"/>
    <mergeCell ref="D121:G121"/>
    <mergeCell ref="D122:G122"/>
    <mergeCell ref="X120:Z120"/>
    <mergeCell ref="X121:Z121"/>
    <mergeCell ref="X122:Z122"/>
    <mergeCell ref="D172:G172"/>
    <mergeCell ref="D173:G173"/>
    <mergeCell ref="D174:G174"/>
    <mergeCell ref="D175:G175"/>
    <mergeCell ref="D136:G136"/>
    <mergeCell ref="D137:G137"/>
    <mergeCell ref="D138:G138"/>
    <mergeCell ref="D139:G139"/>
    <mergeCell ref="D140:G140"/>
    <mergeCell ref="D141:G141"/>
    <mergeCell ref="D145:G145"/>
    <mergeCell ref="D146:G146"/>
    <mergeCell ref="D147:G147"/>
    <mergeCell ref="D148:G148"/>
    <mergeCell ref="D149:G149"/>
    <mergeCell ref="D150:G150"/>
    <mergeCell ref="D151:G151"/>
    <mergeCell ref="D152:G152"/>
    <mergeCell ref="D154:G154"/>
    <mergeCell ref="D176:G176"/>
    <mergeCell ref="D177:G177"/>
    <mergeCell ref="D178:G178"/>
    <mergeCell ref="D179:G179"/>
    <mergeCell ref="D190:G190"/>
    <mergeCell ref="D191:G191"/>
    <mergeCell ref="W172:Y172"/>
    <mergeCell ref="W173:Y173"/>
    <mergeCell ref="W174:Y174"/>
    <mergeCell ref="W175:Y175"/>
    <mergeCell ref="W176:Y176"/>
    <mergeCell ref="W177:Y177"/>
    <mergeCell ref="W178:Y178"/>
    <mergeCell ref="W179:Y179"/>
    <mergeCell ref="W190:Y190"/>
    <mergeCell ref="W191:Y191"/>
    <mergeCell ref="W185:Y185"/>
    <mergeCell ref="W186:Y186"/>
    <mergeCell ref="W187:Y187"/>
    <mergeCell ref="W188:Y188"/>
    <mergeCell ref="W189:Y189"/>
    <mergeCell ref="AA136:AC136"/>
    <mergeCell ref="AA137:AC137"/>
    <mergeCell ref="AA138:AC138"/>
    <mergeCell ref="AA139:AC139"/>
    <mergeCell ref="AA140:AC140"/>
    <mergeCell ref="AA141:AC141"/>
    <mergeCell ref="D142:G142"/>
    <mergeCell ref="D143:G143"/>
    <mergeCell ref="D144:G144"/>
    <mergeCell ref="AA142:AC142"/>
    <mergeCell ref="AA143:AC143"/>
    <mergeCell ref="AA144:AC144"/>
    <mergeCell ref="AA145:AC145"/>
    <mergeCell ref="AA146:AC146"/>
    <mergeCell ref="AA147:AC147"/>
    <mergeCell ref="AA148:AC148"/>
    <mergeCell ref="AA149:AC149"/>
    <mergeCell ref="AA150:AC150"/>
    <mergeCell ref="AA151:AC151"/>
    <mergeCell ref="AA152:AC152"/>
    <mergeCell ref="D153:G153"/>
    <mergeCell ref="D155:G155"/>
    <mergeCell ref="D156:G156"/>
    <mergeCell ref="D157:G157"/>
    <mergeCell ref="D158:G158"/>
    <mergeCell ref="D159:G159"/>
    <mergeCell ref="D160:G160"/>
    <mergeCell ref="D161:G161"/>
    <mergeCell ref="D162:G162"/>
    <mergeCell ref="AA153:AC153"/>
    <mergeCell ref="AA154:AC154"/>
    <mergeCell ref="AA155:AC155"/>
    <mergeCell ref="AA156:AC156"/>
    <mergeCell ref="AA157:AC157"/>
    <mergeCell ref="AA158:AC158"/>
    <mergeCell ref="AA159:AC159"/>
    <mergeCell ref="AA160:AC160"/>
    <mergeCell ref="AA161:AC161"/>
    <mergeCell ref="AA162:AC162"/>
    <mergeCell ref="D163:G163"/>
    <mergeCell ref="D164:G164"/>
    <mergeCell ref="AA163:AC163"/>
    <mergeCell ref="AA164:AC164"/>
    <mergeCell ref="D192:G192"/>
    <mergeCell ref="D193:G193"/>
    <mergeCell ref="D194:G194"/>
    <mergeCell ref="D195:G195"/>
    <mergeCell ref="D196:G196"/>
    <mergeCell ref="D180:G180"/>
    <mergeCell ref="D181:G181"/>
    <mergeCell ref="D182:G182"/>
    <mergeCell ref="D183:G183"/>
    <mergeCell ref="D184:G184"/>
    <mergeCell ref="D185:G185"/>
    <mergeCell ref="D186:G186"/>
    <mergeCell ref="D187:G187"/>
    <mergeCell ref="D188:G188"/>
    <mergeCell ref="D189:G189"/>
    <mergeCell ref="W180:Y180"/>
    <mergeCell ref="W181:Y181"/>
    <mergeCell ref="W182:Y182"/>
    <mergeCell ref="W183:Y183"/>
    <mergeCell ref="W184:Y184"/>
    <mergeCell ref="D197:G197"/>
    <mergeCell ref="D198:G198"/>
    <mergeCell ref="D199:G199"/>
    <mergeCell ref="D200:G200"/>
    <mergeCell ref="D201:G201"/>
    <mergeCell ref="D202:G202"/>
    <mergeCell ref="D203:G203"/>
    <mergeCell ref="W192:Y192"/>
    <mergeCell ref="W193:Y193"/>
    <mergeCell ref="W194:Y194"/>
    <mergeCell ref="W195:Y195"/>
    <mergeCell ref="W196:Y196"/>
    <mergeCell ref="W197:Y197"/>
    <mergeCell ref="W198:Y198"/>
    <mergeCell ref="W199:Y199"/>
    <mergeCell ref="W200:Y200"/>
    <mergeCell ref="W201:Y201"/>
    <mergeCell ref="W202:Y202"/>
    <mergeCell ref="W203:Y203"/>
  </mergeCells>
  <conditionalFormatting sqref="H211:H212">
    <cfRule type="cellIs" dxfId="8" priority="1" operator="notEqual">
      <formula>0</formula>
    </cfRule>
  </conditionalFormatting>
  <dataValidations count="3">
    <dataValidation type="decimal" operator="greaterThanOrEqual" allowBlank="1" showDropDown="1" showErrorMessage="1" errorTitle="Invalid Assumption" error="Assumption must be a value greater than or equal to zero." sqref="J14:J48 J91:J125 M14:M48 M91:M125 J130:J164 M130:M164 M169:M203 J169:J203" xr:uid="{00000000-0002-0000-0800-000000000000}">
      <formula1>0</formula1>
    </dataValidation>
    <dataValidation type="decimal" operator="greaterThanOrEqual" allowBlank="1" showDropDown="1" showErrorMessage="1" errorTitle="Invalid Assumption" error="Assumption must be a value greater than or equal to zero." sqref="W130:W164" xr:uid="{00000000-0002-0000-0800-000001000000}">
      <formula1>1</formula1>
    </dataValidation>
    <dataValidation type="list" allowBlank="1" showInputMessage="1" showErrorMessage="1" sqref="I10" xr:uid="{00000000-0002-0000-0800-000002000000}">
      <formula1>LU_RES_Curr</formula1>
    </dataValidation>
  </dataValidations>
  <hyperlinks>
    <hyperlink ref="A4" location="$B$5" tooltip="Go to Top of Sheet" display="$B$5" xr:uid="{00000000-0004-0000-0800-000000000000}"/>
    <hyperlink ref="D11" location="HL_RES_Curr_Options" tooltip="Click to follow hyperlink." display="HL_RES_Curr_Options" xr:uid="{00000000-0004-0000-0800-000001000000}"/>
    <hyperlink ref="C4" location="HL_Sheet_Main_3" tooltip="Go to Next Sheet" display="HL_Sheet_Main_3" xr:uid="{00000000-0004-0000-0800-000002000000}"/>
    <hyperlink ref="B4" location="HL_Sheet_Main_18" tooltip="Go to Previous Sheet" display="HL_Sheet_Main_18" xr:uid="{00000000-0004-0000-0800-000003000000}"/>
    <hyperlink ref="B3" location="HL_Home" tooltip="Go to Table of Contents" display="HL_Home" xr:uid="{00000000-0004-0000-0800-000004000000}"/>
    <hyperlink ref="D4" location="HL_Err_Chk" tooltip="Go to Error Checks" display="HL_Err_Chk" xr:uid="{00000000-0004-0000-0800-000005000000}"/>
    <hyperlink ref="F4" location="HL_Alt_Chk" tooltip="Go to Alert Checks" display="HL_Alt_Chk" xr:uid="{00000000-0004-0000-0800-000006000000}"/>
  </hyperlinks>
  <pageMargins left="0.39370078740157499" right="0.39370078740157499" top="0.59055118110236204" bottom="0.98425196850393704" header="0" footer="0.31496062992126"/>
  <pageSetup paperSize="9" orientation="landscape" horizontalDpi="0" verticalDpi="0" r:id="rId1"/>
  <headerFooter>
    <oddFooter>&amp;L&amp;F
&amp;A
Printed: &amp;T on &amp;D&amp;CPage &amp;P of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14c9eaec-fb32-4d62-8237-3ae2a8c3df22" xsi:nil="true"/>
    <Path xmlns="d159ad41-f995-48b1-ace8-2aeeec44a68a" xsi:nil="true"/>
    <_ip_UnifiedCompliancePolicyProperties xmlns="http://schemas.microsoft.com/sharepoint/v3" xsi:nil="true"/>
    <lcf76f155ced4ddcb4097134ff3c332f xmlns="d159ad41-f995-48b1-ace8-2aeeec44a68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03CBCB931EE5B41B7DC5B397BC983C8" ma:contentTypeVersion="21" ma:contentTypeDescription="Create a new document." ma:contentTypeScope="" ma:versionID="8099f8856796b955c9e05f292aea806a">
  <xsd:schema xmlns:xsd="http://www.w3.org/2001/XMLSchema" xmlns:xs="http://www.w3.org/2001/XMLSchema" xmlns:p="http://schemas.microsoft.com/office/2006/metadata/properties" xmlns:ns1="http://schemas.microsoft.com/sharepoint/v3" xmlns:ns2="d159ad41-f995-48b1-ace8-2aeeec44a68a" xmlns:ns3="14c9eaec-fb32-4d62-8237-3ae2a8c3df22" targetNamespace="http://schemas.microsoft.com/office/2006/metadata/properties" ma:root="true" ma:fieldsID="4b07f559143c02481189ba6ee9619e95" ns1:_="" ns2:_="" ns3:_="">
    <xsd:import namespace="http://schemas.microsoft.com/sharepoint/v3"/>
    <xsd:import namespace="d159ad41-f995-48b1-ace8-2aeeec44a68a"/>
    <xsd:import namespace="14c9eaec-fb32-4d62-8237-3ae2a8c3df2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Path"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59ad41-f995-48b1-ace8-2aeeec44a6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70d68e6-a8d2-4eff-b5bc-b0eb521acf4d" ma:termSetId="09814cd3-568e-fe90-9814-8d621ff8fb84" ma:anchorId="fba54fb3-c3e1-fe81-a776-ca4b69148c4d" ma:open="true" ma:isKeyword="false">
      <xsd:complexType>
        <xsd:sequence>
          <xsd:element ref="pc:Terms" minOccurs="0" maxOccurs="1"/>
        </xsd:sequence>
      </xsd:complexType>
    </xsd:element>
    <xsd:element name="Path" ma:index="26" nillable="true" ma:displayName="Path" ma:description="Folder Path" ma:format="Dropdown" ma:internalName="Path">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c9eaec-fb32-4d62-8237-3ae2a8c3df2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786ff11a-94a0-44fa-83a1-225f832d4896}" ma:internalName="TaxCatchAll" ma:showField="CatchAllData" ma:web="14c9eaec-fb32-4d62-8237-3ae2a8c3df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e t t i n g s   x m l n s : x s d = " h t t p : / / w w w . w 3 . o r g / 2 0 0 1 / X M L S c h e m a "   x m l n s : x s i = " h t t p : / / w w w . w 3 . o r g / 2 0 0 1 / X M L S c h e m a - i n s t a n c e " >  
     < O p t i o n >  
         < O p t i o n T y p e > T o c I n c l u d e P r i n t e d P a g e N u m b e r s < / O p t i o n T y p e >  
         < U s e A p p l i c a t i o n S e t t i n g > t r u e < / U s e A p p l i c a t i o n S e t t i n g >  
         < V a l u e > f a l s e < / V a l u e >  
     < / O p t i o n >  
     < O p t i o n >  
         < O p t i o n T y p e > T o c P r o m p t F o r P a g e N u m b e r s < / O p t i o n T y p e >  
         < U s e A p p l i c a t i o n S e t t i n g > t r u e < / U s e A p p l i c a t i o n S e t t i n g >  
         < V a l u e > t r u e < / V a l u e >  
     < / O p t i o n >  
     < O p t i o n >  
         < O p t i o n T y p e > T o c S h o w C u s t o m T o c E n t r i e s < / O p t i o n T y p e >  
         < U s e A p p l i c a t i o n S e t t i n g > t r u e < / U s e A p p l i c a t i o n S e t t i n g >  
         < V a l u e > f a l s e < / V a l u e >  
     < / O p t i o n >  
     < O p t i o n >  
         < O p t i o n T y p e > A u t o I n s e r t P r o j e c t S e c t i o n C o v e r s < / O p t i o n T y p e >  
         < U s e A p p l i c a t i o n S e t t i n g > f a l s e < / U s e A p p l i c a t i o n S e t t i n g >  
         < V a l u e > t r u e < / V a l u e >  
     < / O p t i o n >  
     < O p t i o n >  
         < O p t i o n T y p e > A u t o I n s e r t P r o j e c t S u b S e c t i o n C o v e r s < / O p t i o n T y p e >  
         < U s e A p p l i c a t i o n S e t t i n g > t r u e < / U s e A p p l i c a t i o n S e t t i n g >  
         < V a l u e > f a l s e < / V a l u e >  
     < / O p t i o n >  
     < O p t i o n >  
         < O p t i o n T y p e > A u t o I n s e r t M o d u l e S e c t i o n C o v e r s < / O p t i o n T y p e >  
         < U s e A p p l i c a t i o n S e t t i n g > f a l s e < / U s e A p p l i c a t i o n S e t t i n g >  
         < V a l u e > t r u e < / V a l u e >  
     < / O p t i o n >  
     < O p t i o n >  
         < O p t i o n T y p e > A u t o I n s e r t M o d u l e S u b S e c t i o n C o v e r s < / O p t i o n T y p e >  
         < U s e A p p l i c a t i o n S e t t i n g > t r u e < / U s e A p p l i c a t i o n S e t t i n g >  
         < V a l u e > f a l s e < / V a l u e >  
     < / O p t i o n >  
     < O p t i o n >  
         < O p t i o n T y p e > G r o u p L o o k u p s C o m p o n e n t s < / O p t i o n T y p e >  
         < U s e A p p l i c a t i o n S e t t i n g > f a l s e < / U s e A p p l i c a t i o n S e t t i n g >  
         < V a l u e > f a l s e < / V a l u e >  
     < / O p t i o n >  
     < O p t i o n >  
         < O p t i o n T y p e > S h e e t N a m e s B e s t P r a c t i c e S y n t a x < / O p t i o n T y p e >  
         < U s e A p p l i c a t i o n S e t t i n g > f a l s e < / U s e A p p l i c a t i o n S e t t i n g >  
         < V a l u e > t r u e < / V a l u e >  
     < / O p t i o n >  
     < O p t i o n >  
         < O p t i o n T y p e > S h e e t N a m e s A u t o U n d e r s c o r e < / O p t i o n T y p e >  
         < U s e A p p l i c a t i o n S e t t i n g > f a l s e < / U s e A p p l i c a t i o n S e t t i n g >  
         < V a l u e > t r u e < / V a l u e >  
     < / O p t i o n >  
     < O p t i o n >  
         < O p t i o n T y p e > G r o u p C o m p o n e n t R o w s < / O p t i o n T y p e >  
         < U s e A p p l i c a t i o n S e t t i n g > f a l s e < / U s e A p p l i c a t i o n S e t t i n g >  
         < V a l u e > f a l s e < / V a l u e >  
     < / O p t i o n >  
     < O p t i o n >  
         < O p t i o n T y p e > A d d C o m p o n e n t H y p e r l i n k s < / O p t i o n T y p e >  
         < U s e A p p l i c a t i o n S e t t i n g > f a l s e < / U s e A p p l i c a t i o n S e t t i n g >  
         < V a l u e > t r u e < / V a l u e >  
     < / O p t i o n >  
     < O p t i o n >  
         < O p t i o n T y p e > D i s a b l e T h e m e C h a n g e P r o m p t < / O p t i o n T y p e >  
         < U s e A p p l i c a t i o n S e t t i n g > f a l s e < / U s e A p p l i c a t i o n S e t t i n g >  
         < V a l u e > f a l s e < / V a l u e >  
     < / O p t i o n >  
     < I g n o r e C e l l C o n t e n t > f a l s e < / I g n o r e C e l l C o n t e n t >  
     < A u t o F o n t C o l o r S t y l e T y p e s > 0 , 1 , 2 , 3 , 4 , 5 , 6 , 7 , 8 , 9 , 1 0 , 1 1 , 1 2 , 1 3 , 1 4 , 1 5 , 1 6 , 1 7 , 1 8 , 1 9 , 2 0 , 2 1 , 2 2 , 2 3 , 2 4 , 2 5 , 3 3 < / A u t o F o n t C o l o r S t y l e T y p e s >  
     < B a s e S h e e t T y p e C o l o r >  
         < B a s e S h e e t T y p e > C o v e r < / 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 C o n t e n t s 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 S e c t i o n C o v e r < / 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 S u b S e c t i o n C o v e r < / 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 B l a n k A s s u m p t i o n s < / B a s e S h e e t T y p e >  
         < I n t e r i o r C o l o r T y p e > C o l o r I n d e x < / I n t e r i o r C o l o r T y p e >  
         < I n t e r i o r C o l o r N u m b e r > 1 5 < / 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 T i m e S e r i e s A s s u m p t i o n s < / B a s e S h e e t T y p e >  
         < I n t e r i o r C o l o r T y p e > C o l o r I n d e x < / I n t e r i o r C o l o r T y p e >  
         < I n t e r i o r C o l o r N u m b e r > 1 5 < / 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 B l a n k O u t p u t s 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 T i m e S e r i e s O u t p u t s 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 L o o k u p s 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 S c h e m a t i c s 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 C h a r t < / 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 O v e r v i e w < / 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R e q u i r e d C o l o r >  
         < R e q u i r e d C o l o r T y p e > C o n s t a n t < / R e q u i r e d C o l o r T y p e >  
         < C o l o r T y p e > C o l o r I n d e x < / C o l o r T y p e >  
         < C o l o r N u m b e r > 5 3 < / C o l o r N u m b e r >  
         < C o l o r P a t c h R g b > 0 < / C o l o r P a t c h R g b >  
         < T i n t A n d S h a d e > 0 < / T i n t A n d S h a d e >  
     < / R e q u i r e d C o l o r >  
     < R e q u i r e d C o l o r >  
         < R e q u i r e d C o l o r T y p e > F o r m u l a < / R e q u i r e d C o l o r T y p e >  
         < C o l o r T y p e > C o l o r I n d e x < / C o l o r T y p e >  
         < C o l o r N u m b e r > 1 < / C o l o r N u m b e r >  
         < C o l o r P a t c h R g b > 0 < / C o l o r P a t c h R g b >  
         < T i n t A n d S h a d e > 0 < / T i n t A n d S h a d e >  
     < / R e q u i r e d C o l o r >  
     < R e q u i r e d C o l o r >  
         < R e q u i r e d C o l o r T y p e > M i x e d C e l l < / R e q u i r e d C o l o r T y p e >  
         < C o l o r T y p e > C o l o r I n d e x < / C o l o r T y p e >  
         < C o l o r N u m b e r > 5 2 < / C o l o r N u m b e r >  
         < C o l o r P a t c h R g b > 0 < / C o l o r P a t c h R g b >  
         < T i n t A n d S h a d e > 0 < / T i n t A n d S h a d e >  
     < / R e q u i r e d C o l o r >  
     < R e q u i r e d C o l o r >  
         < R e q u i r e d C o l o r T y p e > C h e c k < / R e q u i r e d C o l o r T y p e >  
         < C o l o r T y p e > C o l o r I n d e x < / C o l o r T y p e >  
         < C o l o r N u m b e r > 5 1 < / C o l o r N u m b e r >  
         < C o l o r P a t c h R g b > 0 < / C o l o r P a t c h R g b >  
         < T i n t A n d S h a d e > 0 < / T i n t A n d S h a d e >  
     < / R e q u i r e d C o l o r >  
     < R e q u i r e d C o l o r >  
         < R e q u i r e d C o l o r T y p e > H y p e r l i n k < / R e q u i r e d C o l o r T y p e >  
         < C o l o r T y p e > C o l o r I n d e x < / C o l o r T y p e >  
         < C o l o r N u m b e r > 4 9 < / C o l o r N u m b e r >  
         < C o l o r P a t c h R g b > 0 < / C o l o r P a t c h R g b >  
         < T i n t A n d S h a d e > 0 < / T i n t A n d S h a d e >  
     < / R e q u i r e d C o l o r >  
     < R e q u i r e d C o l o r >  
         < R e q u i r e d C o l o r T y p e > W o r k I n P r o g r e s s < / R e q u i r e d C o l o r T y p e >  
         < C o l o r T y p e > C o l o r I n d e x < / C o l o r T y p e >  
         < C o l o r N u m b e r > 5 5 < / C o l o r N u m b e r >  
         < C o l o r P a t c h R g b > 0 < / C o l o r P a t c h R g b >  
         < T i n t A n d S h a d e > 0 < / T i n t A n d S h a d e >  
     < / R e q u i r e d C o l o r >  
     < R e q u i r e d C o l o r >  
         < R e q u i r e d C o l o r T y p e > C o l o r A < / R e q u i r e d C o l o r T y p e >  
         < C o l o r T y p e > C o l o r I n d e x < / C o l o r T y p e >  
         < C o l o r N u m b e r > 1 1 < / C o l o r N u m b e r >  
         < C o l o r P a t c h R g b > 0 < / C o l o r P a t c h R g b >  
         < T i n t A n d S h a d e > 0 < / T i n t A n d S h a d e >  
     < / R e q u i r e d C o l o r >  
     < R e q u i r e d C o l o r >  
         < R e q u i r e d C o l o r T y p e > C o l o r B < / R e q u i r e d C o l o r T y p e >  
         < C o l o r T y p e > C o l o r I n d e x < / C o l o r T y p e >  
         < C o l o r N u m b e r > 5 6 < / C o l o r N u m b e r >  
         < C o l o r P a t c h R g b > 0 < / C o l o r P a t c h R g b >  
         < T i n t A n d S h a d e > 0 < / T i n t A n d S h a d e >  
     < / R e q u i r e d C o l o r >  
     < S h e e t T i t l e R o w >  
         < T y p e > S h e e t T i t l e < / T y p e >  
         < I n c l u d e > t r u e < / I n c l u d e >  
         < S e t t i n g > V i s i b l e < / S e t t i n g >  
         < C o l u m n N u m b e r > 2 < / C o l u m n N u m b e r >  
     < / S h e e t T i t l e R o w >  
     < S h e e t T i t l e R o w >  
         < T y p e > M o d e l N a m e < / T y p e >  
         < I n c l u d e > t r u e < / I n c l u d e >  
         < S e t t i n g > V i s i b l e < / S e t t i n g >  
         < C o l u m n N u m b e r > 2 < / C o l u m n N u m b e r >  
     < / S h e e t T i t l e R o w >  
     < S h e e t T i t l e R o w >  
         < T y p e > T o c H y p e r l i n k < / T y p e >  
         < I n c l u d e > t r u e < / I n c l u d e >  
         < S e t t i n g > V i s i b l e < / S e t t i n g >  
         < C o l u m n N u m b e r > 2 < / C o l u m n N u m b e r >  
     < / S h e e t T i t l e R o w >  
     < S h e e t T i t l e R o w >  
         < T y p e > N a v i g a t i o n H y p e r l i n k s < / T y p e >  
         < I n c l u d e > t r u e < / I n c l u d e >  
         < S e t t i n g > V i s i b l e < / S e t t i n g >  
         < C o l u m n N u m b e r > 1 < / C o l u m n N u m b e r >  
     < / S h e e t T i t l e R o w >  
     < I s s u e s R e g i s t e r S o r t B y / >  
     < I s s u e s R e g i s t e r C o l o r >  
         < T y p e > H e a d e r F o n t < / T y p e >  
         < C o l o r T y p e > C u s t o m < / C o l o r T y p e >  
         < C o l o r N u m b e r > 1 6 7 7 7 2 1 5 < / C o l o r N u m b e r >  
         < C o l o r P a t c h R g b > 0 < / C o l o r P a t c h R g b >  
         < T i n t A n d S h a d e > 0 < / T i n t A n d S h a d e >  
     < / I s s u e s R e g i s t e r C o l o r >  
     < I s s u e s R e g i s t e r C o l o r >  
         < T y p e > H e a d e r F i l l < / T y p e >  
         < C o l o r T y p e > T h e m e C o l o r < / C o l o r T y p e >  
         < C o l o r N u m b e r > 5 < / C o l o r N u m b e r >  
         < C o l o r P a t c h R g b > 0 < / C o l o r P a t c h R g b >  
         < T i n t A n d S h a d e > 0 < / T i n t A n d S h a d e >  
     < / I s s u e s R e g i s t e r C o l o r >  
     < I s s u e s R e g i s t e r C o l o r >  
         < T y p e > O p e n I s s u e s F o n t < / T y p e >  
         < C o l o r T y p e > N o n e O r A u t o m a t i c < / C o l o r T y p e >  
         < C o l o r N u m b e r > 0 < / C o l o r N u m b e r >  
         < C o l o r P a t c h R g b > 0 < / C o l o r P a t c h R g b >  
         < T i n t A n d S h a d e > 0 < / T i n t A n d S h a d e >  
     < / I s s u e s R e g i s t e r C o l o r >  
     < I s s u e s R e g i s t e r C o l o r >  
         < T y p e > O p e n I s s u e s F i l l < / T y p e >  
         < C o l o r T y p e > N o n e O r A u t o m a t i c < / C o l o r T y p e >  
         < C o l o r N u m b e r > 0 < / C o l o r N u m b e r >  
         < C o l o r P a t c h R g b > 0 < / C o l o r P a t c h R g b >  
         < T i n t A n d S h a d e > 0 < / T i n t A n d S h a d e >  
     < / I s s u e s R e g i s t e r C o l o r >  
     < I s s u e s R e g i s t e r C o l o r >  
         < T y p e > C l o s e d I s s u e s F o n t < / T y p e >  
         < C o l o r T y p e > C u s t o m < / C o l o r T y p e >  
         < C o l o r N u m b e r > 6 7 1 0 8 8 6 < / C o l o r N u m b e r >  
         < C o l o r P a t c h R g b > 0 < / C o l o r P a t c h R g b >  
         < T i n t A n d S h a d e > 0 < / T i n t A n d S h a d e >  
     < / I s s u e s R e g i s t e r C o l o r >  
     < I s s u e s R e g i s t e r C o l o r >  
         < T y p e > C l o s e d I s s u e s F i l l < / T y p e >  
         < C o l o r T y p e > C u s t o m < / C o l o r T y p e >  
         < C o l o r N u m b e r > 1 5 5 9 2 9 4 1 < / C o l o r N u m b e r >  
         < C o l o r P a t c h R g b > 0 < / C o l o r P a t c h R g b >  
         < T i n t A n d S h a d e > 0 < / T i n t A n d S h a d e >  
     < / I s s u e s R e g i s t e r C o l o r >  
     < I s s u e s R e g i s t e r C o l o r >  
         < T y p e > R e d u n d a n t I s s u e s F o n t < / T y p e >  
         < C o l o r T y p e > C u s t o m < / C o l o r T y p e >  
         < C o l o r N u m b e r > 1 6 7 7 7 2 1 5 < / C o l o r N u m b e r >  
         < C o l o r P a t c h R g b > 0 < / C o l o r P a t c h R g b >  
         < T i n t A n d S h a d e > 0 < / T i n t A n d S h a d e >  
     < / I s s u e s R e g i s t e r C o l o r >  
     < I s s u e s R e g i s t e r C o l o r >  
         < T y p e > R e d u n d a n t I s s u e s F i l l < / T y p e >  
         < C o l o r T y p e > C u s t o m < / C o l o r T y p e >  
         < C o l o r N u m b e r > 4 2 0 4 7 4 7 < / C o l o r N u m b e r >  
         < C o l o r P a t c h R g b > 0 < / C o l o r P a t c h R g b >  
         < T i n t A n d S h a d e > 0 < / T i n t A n d S h a d e >  
     < / I s s u e s R e g i s t e r C o l o r >  
     < I s s u e s R e g i s t e r C o l o r >  
         < T y p e > I s s u e s B o r d e r < / T y p e >  
         < C o l o r T y p e > C u s t o m < / C o l o r T y p e >  
         < C o l o r N u m b e r > 1 3 2 2 4 3 9 3 < / C o l o r N u m b e r >  
         < C o l o r P a t c h R g b > 0 < / C o l o r P a t c h R g b >  
         < T i n t A n d S h a d e > 0 < / T i n t A n d S h a d e >  
     < / I s s u e s R e g i s t e r C o l o r >  
 < / W o r k b o o k S e t t i n g 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roj>
  <ProjProps>
    <MVS>10.16.9.0</MVS>
    <FV>3</FV>
    <PT>0</PT>
    <N><![CDATA[CHOLTOOL_MASTER_v1.2_JULY_2020(No-DIV0)]]></N>
    <NIC>False</NIC>
    <D/>
    <R/>
    <GE/>
    <CA/>
    <GST/>
    <TS><![CDATA[Annual]]></TS>
    <VA/>
    <DE/>
    <E/>
    <C/>
    <W/>
    <K/>
    <CO/>
    <RGB>0</RGB>
    <V>1.0.0.0.</V>
    <MV>False</MV>
    <AX/>
    <PAX/>
    <LVI/>
    <HITSW>False</HITSW>
    <FN/>
    <FP/>
    <HEPSW>False</HEPSW>
    <FA>1</FA>
    <FMWC>1</FMWC>
    <MPMN>0</MPMN>
    <TSMWN>1</TSMWN>
    <TSMN>1</TSMN>
    <AP/>
    <RBL>False</RBL>
    <RBLPR>False</RBLPR>
    <RBLPA/>
    <PC>False</PC>
    <PCP/>
    <LAP/>
  </ProjProps>
  <VC>
    <VCProps>
      <AIT>0</AIT>
      <CBS>False</CBS>
      <PC>False</PC>
      <PP/>
    </VCProps>
  </VC>
  <ModAreaLib>
    <ModAreaLibProps>
      <MVS>10.16.9.0</MVS>
      <RAV/>
      <RXV>0</RXV>
      <FV>3</FV>
      <G>87B1B9DF-38DF-4E5C-B442-1AD89A992B79</G>
      <N><![CDATA[ModuleSuite]]></N>
      <D/>
      <R/>
      <GE/>
      <CA/>
      <TS/>
      <DE/>
      <E/>
      <C/>
      <W/>
      <K/>
      <CO/>
      <V>1.0.0.0.</V>
      <AX/>
      <AP/>
      <RBL>False</RBL>
      <RBLPR>False</RBLPR>
      <RBLPA/>
      <PC>False</PC>
      <PP/>
    </ModAreaLibProps>
    <ModAreas>
      <ModArea>
        <ModAreaProps>
          <MAT>0</MAT>
          <G>560313AD-F472-4E44-887C-A1C659521551</G>
          <N><![CDATA[Time Series]]></N>
          <D><![CDATA[Contains modules used to facilitate the undertaking of time series analysis throughout the modules workbook.]]></D>
          <P><![CDATA[TS]]></P>
          <OI>-2000</OI>
          <RGB>8421504</RGB>
        </ModAreaProps>
      </ModArea>
      <ModArea>
        <ModAreaProps>
          <MAT>2</MAT>
          <G>608162F4-E730-403E-9DB1-20B06C6C3C25</G>
          <N><![CDATA[IEC-SOCIAL MOBILSATION]]></N>
          <D><![CDATA[Preparation for Service Delivery]]></D>
          <P><![CDATA[MA]]></P>
          <OI>0</OI>
          <RGB>11757824</RGB>
        </ModAreaProps>
      </ModArea>
      <ModArea>
        <ModAreaProps>
          <MAT>2</MAT>
          <G>45338FE0-6C0B-4A55-A5AC-B1F2F9D32FCD</G>
          <N><![CDATA[SERVICE DELIVERY]]></N>
          <D><![CDATA[Service Delivery]]></D>
          <P><![CDATA[MA2]]></P>
          <OI>0</OI>
          <RGB>11757824</RGB>
        </ModAreaProps>
      </ModArea>
      <ModArea>
        <ModAreaProps>
          <MAT>2</MAT>
          <G>303E605B-FA76-4A65-9C34-2538BF31F1F5</G>
          <N><![CDATA[PLANNING]]></N>
          <D><![CDATA[[Enter module area description.]]]></D>
          <P><![CDATA[MA3]]></P>
          <OI>0</OI>
          <RGB>11757824</RGB>
        </ModAreaProps>
      </ModArea>
      <ModArea>
        <ModAreaProps>
          <MAT>2</MAT>
          <G>D086F8B5-5CE4-4E5C-9775-1E45DE76A9E8</G>
          <N><![CDATA[TRAINING]]></N>
          <D><![CDATA[Training]]></D>
          <P><![CDATA[MA4]]></P>
          <OI>0</OI>
          <RGB>11757824</RGB>
        </ModAreaProps>
      </ModArea>
      <ModArea>
        <ModAreaProps>
          <MAT>2</MAT>
          <G>03BA1A6D-A278-46A5-AF9C-E6AA52BCE76E</G>
          <N><![CDATA[SENSITISATION]]></N>
          <D><![CDATA[[Enter module area description.]]]></D>
          <P><![CDATA[MA5]]></P>
          <OI>0</OI>
          <RGB>11757824</RGB>
        </ModAreaProps>
      </ModArea>
      <ModArea>
        <ModAreaProps>
          <MAT>2</MAT>
          <G>9F2282D5-F13A-4102-B4AC-DCE106E82250</G>
          <N><![CDATA[VACCINE PROCUREMENT & SHIPPING]]></N>
          <D><![CDATA[Vaccine Procurement and Shipping]]></D>
          <P><![CDATA[MA6]]></P>
          <OI>0</OI>
          <RGB>9526821</RGB>
        </ModAreaProps>
      </ModArea>
      <ModArea>
        <ModAreaProps>
          <MAT>2</MAT>
          <G>48B2C558-7DFB-4D85-8940-C66816DD84A3</G>
          <N><![CDATA[PARAMETERS]]></N>
          <D><![CDATA[Model Customisation Options]]></D>
          <P><![CDATA[Cust]]></P>
          <OI>100</OI>
          <RGB>128</RGB>
        </ModAreaProps>
      </ModArea>
      <ModArea>
        <ModAreaProps>
          <MAT>4</MAT>
          <G>D1B8EBA3-A6FE-40B3-A8BF-CDDA9687725C</G>
          <N><![CDATA[Checks]]></N>
          <D><![CDATA[Contains modules used to communicate the detection of errors, active sensitivity analysis and alerts to model users.]]></D>
          <P><![CDATA[Chks]]></P>
          <OI>7000</OI>
          <RGB>4204747</RGB>
        </ModAreaProps>
      </ModArea>
    </ModAreas>
  </ModAreaLib>
  <ModLnksLib>
    <ModLnksLibProps>
      <MVS>10.16.9.0</MVS>
      <RAV/>
      <RXV>0</RXV>
      <FV>3</FV>
      <G>4E2B7F2D-B9FB-47F6-80ED-86FA3F8827D8</G>
      <N><![CDATA[ModuleSuite]]></N>
      <D/>
      <R/>
      <GE/>
      <CA/>
      <TS/>
      <DE/>
      <E/>
      <C/>
      <W/>
      <K/>
      <CO/>
      <V>1.0.0.0.</V>
      <AX/>
      <AP/>
      <RBL>False</RBL>
      <RBLPR>False</RBLPR>
      <RBLPA/>
      <PC>False</PC>
      <PP/>
    </ModLnksLibProps>
    <ModLnks>
      <ModLnk>
        <ModLnkProps>
          <N><![CDATA[Currencies]]></N>
          <BN><![CDATA[Currencies]]></BN>
          <D><![CDATA[Currencies]]></D>
          <G>1638744F-648F-4D87-8C2C-69B71D7C5AA6</G>
        </ModLnkProps>
      </ModLnk>
      <ModLnk>
        <ModLnkProps>
          <N><![CDATA[Prices (Applied Currency)]]></N>
          <BN><![CDATA[Prices (Applied Currency)]]></BN>
          <D><![CDATA[Prices (Applied Currency)]]></D>
          <G>0FB70735-A45F-4D57-9E22-8CDC29D19143</G>
        </ModLnkProps>
      </ModLnk>
      <ModLnk>
        <ModLnkProps>
          <N><![CDATA[Annual Discount Rate]]></N>
          <BN><![CDATA[Annual Discount Rate]]></BN>
          <D><![CDATA[Annual Discount Rate]]></D>
          <G>6D4D245C-387E-49E6-B958-30E24DD92F01</G>
        </ModLnkProps>
      </ModLnk>
      <ModLnk>
        <ModLnkProps>
          <N><![CDATA[Prices (Personnel)]]></N>
          <BN><![CDATA[Prices (Personnel)]]></BN>
          <D><![CDATA[Prices (Personnel)]]></D>
          <G>CAC8B5C0-233F-4D13-BCDB-E76500A60063</G>
        </ModLnkProps>
      </ModLnk>
      <ModLnk>
        <ModLnkProps>
          <N><![CDATA[Prices (Equipment)]]></N>
          <BN><![CDATA[Prices (Equipment)]]></BN>
          <D><![CDATA[Prices (Equipment)]]></D>
          <G>1EE39398-735E-4BBF-B774-6358567F00C1</G>
        </ModLnkProps>
      </ModLnk>
      <ModLnk>
        <ModLnkProps>
          <N><![CDATA[Prices (Supplies)]]></N>
          <BN><![CDATA[Prices (Supplies)]]></BN>
          <D><![CDATA[Prices (Supplies)]]></D>
          <G>FC884D76-0FF7-48B7-B658-EABC523ECBF4</G>
        </ModLnkProps>
      </ModLnk>
      <ModLnk>
        <ModLnkProps>
          <N><![CDATA[Prices (Other Direct Costs)]]></N>
          <BN><![CDATA[Prices (Other Direct Costs)]]></BN>
          <D><![CDATA[Prices (Other Direct Costs)]]></D>
          <G>A4172745-D85C-404E-8029-461F8AE9358B</G>
        </ModLnkProps>
      </ModLnk>
      <ModLnk>
        <ModLnkProps>
          <N><![CDATA[Labels (Facility Names)]]></N>
          <BN><![CDATA[Labels (Facility Names)]]></BN>
          <D><![CDATA[Labels (Facility Names)]]></D>
          <G>292E36E1-0C4B-4819-8A43-DD7D1BFAD010</G>
        </ModLnkProps>
      </ModLnk>
      <ModLnk>
        <ModLnkProps>
          <N><![CDATA[Labels (Country)]]></N>
          <BN><![CDATA[Labels (Country)]]></BN>
          <D><![CDATA[[Enter module link description.]]]></D>
          <G>79125382-890F-41B1-9154-E0CD1CCA066E</G>
        </ModLnkProps>
      </ModLnk>
      <ModLnk>
        <ModLnkProps>
          <N><![CDATA[Labels (Regions)]]></N>
          <BN><![CDATA[Labels (Regions)]]></BN>
          <D><![CDATA[Labels (Regions)]]></D>
          <G>D7D906C8-D92E-4D67-89D4-E23E0136F9F8</G>
        </ModLnkProps>
      </ModLnk>
      <ModLnk>
        <ModLnkProps>
          <N><![CDATA[Labels (Districts)]]></N>
          <BN><![CDATA[Labels (Districts)]]></BN>
          <D><![CDATA[[Enter module link description.]]]></D>
          <G>00B57DDE-3460-4A62-8E0C-18E229409E2D</G>
        </ModLnkProps>
      </ModLnk>
      <ModLnk>
        <ModLnkProps>
          <N><![CDATA[Target Population Label]]></N>
          <BN><![CDATA[Target Population Label]]></BN>
          <D><![CDATA[Target Population Label]]></D>
          <G>97AC83E1-E43A-49EE-9865-CFAF25411E35</G>
        </ModLnkProps>
      </ModLnk>
      <ModLnk>
        <ModLnkProps>
          <N><![CDATA[Allowances]]></N>
          <BN><![CDATA[Allowances]]></BN>
          <D><![CDATA[[Enter module link description.]]]></D>
          <G>9954C197-DC59-49F2-BACE-BDAFCC88813C</G>
        </ModLnkProps>
      </ModLnk>
      <ModLnk>
        <ModLnkProps>
          <N><![CDATA[Counts-Assumptions]]></N>
          <BN><![CDATA[Counts-Assumptions]]></BN>
          <D><![CDATA[[Enter module link description.]]]></D>
          <G>D04A3F50-482A-4C9F-B3E7-C912DCAAD294</G>
        </ModLnkProps>
      </ModLnk>
      <ModLnk>
        <ModLnkProps>
          <N><![CDATA[Vacc_Personnel_Types]]></N>
          <BN><![CDATA[Vacc_Personnel_Types]]></BN>
          <D><![CDATA[[Enter module link description.]]]></D>
          <G>239EF18E-35E7-4324-9303-BF517B195EEF</G>
        </ModLnkProps>
      </ModLnk>
      <ModLnk>
        <ModLnkProps>
          <N><![CDATA[Field Vacc Site Types]]></N>
          <BN><![CDATA[Field Vacc Site Types]]></BN>
          <D><![CDATA[[Enter module link description.]]]></D>
          <G>C4EF049E-6BCC-447F-994C-323AF0352095</G>
        </ModLnkProps>
      </ModLnk>
      <ModLnk>
        <ModLnkProps>
          <N><![CDATA[Vacc-Assumptions]]></N>
          <BN><![CDATA[Vacc-Assumptions]]></BN>
          <D><![CDATA[[Enter module link description.]]]></D>
          <G>29555695-F349-48CA-85F4-AD182B7D91D2</G>
        </ModLnkProps>
      </ModLnk>
      <ModLnk>
        <ModLnkProps>
          <N><![CDATA[Vacc Team Roles]]></N>
          <BN><![CDATA[Vacc Team Roles]]></BN>
          <D><![CDATA[Labels for Vaccination Team Roles]]></D>
          <G>0D0A8A29-720A-407A-9491-C3D4DBF646B4</G>
        </ModLnkProps>
      </ModLnk>
    </ModLnks>
  </ModLnksLib>
  <ModWkBks>
    <ModWkBk>
      <ModWkBkProps>
        <MVS>10.16.9.0</MVS>
        <RAV/>
        <RXV>0</RXV>
        <FV>3</FV>
        <T>0</T>
        <EFFT>0</EFFT>
        <EWFN><![CDATA[CHOLTOOL_MASTER_v1.2_JULY_2020(No-DIV0).xlsx]]></EWFN>
        <D><![CDATA[Tool for planning and costing an oral cholera vaccination programme in a low resource setting]]></D>
        <DE><![CDATA[Winthrop Morgan]]></DE>
        <E><![CDATA[win@winthropmorgan.com]]></E>
        <C><![CDATA[Levin & Morgan, LLC]]></C>
        <W/>
        <K/>
        <CO/>
        <RGB>4144959</RGB>
        <V>1.0.0.0.</V>
        <PP><![CDATA[mAcX/GxFvYvFqysD2aV1Vw==]]></PP>
        <LWP/>
        <FMC>33</FMC>
        <SWN><![CDATA[CHOLTOOL_MASTER_v1.2_JULY_2020(No-DIV0).xlsx]]></SWN>
      </ModWkBkProps>
      <Thm>
        <ThmCols>
          <ThmCol>
            <ThmColProps>
              <TCT>1</TCT>
              <R>0</R>
            </ThmColProps>
          </ThmCol>
          <ThmCol>
            <ThmColProps>
              <TCT>2</TCT>
              <R>16777215</R>
            </ThmColProps>
          </ThmCol>
          <ThmCol>
            <ThmColProps>
              <TCT>3</TCT>
              <R>8210719</R>
            </ThmColProps>
          </ThmCol>
          <ThmCol>
            <ThmColProps>
              <TCT>4</TCT>
              <R>14806254</R>
            </ThmColProps>
          </ThmCol>
          <ThmCol>
            <ThmColProps>
              <TCT>5</TCT>
              <R>12419407</R>
            </ThmColProps>
          </ThmCol>
          <ThmCol>
            <ThmColProps>
              <TCT>6</TCT>
              <R>5066944</R>
            </ThmColProps>
          </ThmCol>
          <ThmCol>
            <ThmColProps>
              <TCT>7</TCT>
              <R>5880731</R>
            </ThmColProps>
          </ThmCol>
          <ThmCol>
            <ThmColProps>
              <TCT>8</TCT>
              <R>10642560</R>
            </ThmColProps>
          </ThmCol>
          <ThmCol>
            <ThmColProps>
              <TCT>9</TCT>
              <R>13020235</R>
            </ThmColProps>
          </ThmCol>
          <ThmCol>
            <ThmColProps>
              <TCT>10</TCT>
              <R>4626167</R>
            </ThmColProps>
          </ThmCol>
          <ThmCol>
            <ThmColProps>
              <TCT>11</TCT>
              <R>16711680</R>
            </ThmColProps>
          </ThmCol>
          <ThmCol>
            <ThmColProps>
              <TCT>12</TCT>
              <R>8388736</R>
            </ThmColProps>
          </ThmCol>
        </ThmCols>
        <ThmFnts>
          <ThmFntsProps>
            <MAFN>Calibri</MAFN>
            <MIFN>Calibri</MIFN>
          </ThmFntsProps>
        </ThmFnts>
      </Thm>
      <ModWkBkModAreas>
        <ModWkBkModArea>
          <ModWkBkModAreaProps>
            <MAG>560313AD-F472-4E44-887C-A1C659521551</MAG>
          </ModWkBkModAreaProps>
        </ModWkBkModArea>
        <ModWkBkModArea>
          <ModWkBkModAreaProps>
            <MAG>48B2C558-7DFB-4D85-8940-C66816DD84A3</MAG>
          </ModWkBkModAreaProps>
        </ModWkBkModArea>
        <ModWkBkModArea>
          <ModWkBkModAreaProps>
            <MAG>303E605B-FA76-4A65-9C34-2538BF31F1F5</MAG>
          </ModWkBkModAreaProps>
        </ModWkBkModArea>
        <ModWkBkModArea>
          <ModWkBkModAreaProps>
            <MAG>03BA1A6D-A278-46A5-AF9C-E6AA52BCE76E</MAG>
          </ModWkBkModAreaProps>
        </ModWkBkModArea>
        <ModWkBkModArea>
          <ModWkBkModAreaProps>
            <MAG>D086F8B5-5CE4-4E5C-9775-1E45DE76A9E8</MAG>
          </ModWkBkModAreaProps>
        </ModWkBkModArea>
        <ModWkBkModArea>
          <ModWkBkModAreaProps>
            <MAG>608162F4-E730-403E-9DB1-20B06C6C3C25</MAG>
          </ModWkBkModAreaProps>
        </ModWkBkModArea>
        <ModWkBkModArea>
          <ModWkBkModAreaProps>
            <MAG>45338FE0-6C0B-4A55-A5AC-B1F2F9D32FCD</MAG>
          </ModWkBkModAreaProps>
        </ModWkBkModArea>
        <ModWkBkModArea>
          <ModWkBkModAreaProps>
            <MAG>9F2282D5-F13A-4102-B4AC-DCE106E82250</MAG>
          </ModWkBkModAreaProps>
        </ModWkBkModArea>
        <ModWkBkModArea>
          <ModWkBkModAreaProps>
            <MAG>D1B8EBA3-A6FE-40B3-A8BF-CDDA9687725C</MAG>
          </ModWkBkModAreaProps>
        </ModWkBkModArea>
      </ModWkBkModAreas>
      <Shts>
        <Sht>
          <ShtProps>
            <N><![CDATA[Cover]]></N>
            <NIC>False</NIC>
            <CCC>False</CCC>
            <T><![CDATA[Federal Democratic Republic of Ethiopia]]></T>
            <TIC>False</TIC>
            <BST>0</BST>
            <CST>0</CST>
            <PTMN>0</PTMN>
            <PTMCN>0</PTMCN>
            <SPTMCN>0</SPTMCN>
            <SPTMCERN/>
            <V>-1</V>
            <ST>-4167</ST>
            <IPS>False</IPS>
            <IMIS>False</IMIS>
            <IMES>False</IMES>
            <AA>True</AA>
            <IC>False</IC>
            <TRC>4</TRC>
          </ShtProps>
        </Sht>
        <Sht>
          <ShtProps>
            <N><![CDATA[Contents]]></N>
            <NIC>False</NIC>
            <CCC>False</CCC>
            <T><![CDATA[Table of Contents]]></T>
            <TIC>False</TIC>
            <BST>1</BST>
            <CST>1</CST>
            <PTMN>0</PTMN>
            <PTMCN>0</PTMCN>
            <SPTMCN>0</SPTMCN>
            <SPTMCERN/>
            <V>-1</V>
            <ST>-4167</ST>
            <IPS>False</IPS>
            <IMIS>False</IMIS>
            <IMES>False</IMES>
            <AA>True</AA>
            <IC>False</IC>
            <TRC>4</TRC>
          </ShtProps>
        </Sht>
        <Sht>
          <ShtProps>
            <N><![CDATA[Step1_SC]]></N>
            <NIC>True</NIC>
            <CCC>False</CCC>
            <T><![CDATA[Step 1: Tool Set Up (Step1_SC)]]></T>
            <TIC>True</TIC>
            <BST>2</BST>
            <CST>-1</CST>
            <PTMN>0</PTMN>
            <PTMCN>0</PTMCN>
            <SPTMCN>0</SPTMCN>
            <SPTMCERN/>
            <V>-1</V>
            <ST>-4167</ST>
            <IPS>False</IPS>
            <IMIS>False</IMIS>
            <IMES>False</IMES>
            <AA>False</AA>
            <IC>False</IC>
            <TRC>4</TRC>
          </ShtProps>
        </Sht>
        <Sht>
          <ShtProps>
            <N><![CDATA[TS_BA]]></N>
            <NIC>False</NIC>
            <CCC>True</CCC>
            <T><![CDATA[Time Series - Broad Assumptions (TS_BA)]]></T>
            <TIC>False</TIC>
            <BST>4</BST>
            <CST>-1</CST>
            <PTMN>0</PTMN>
            <PTMCN>0</PTMCN>
            <SPTMCN>0</SPTMCN>
            <SPTMCERN/>
            <V>-1</V>
            <ST>-4167</ST>
            <IPS>False</IPS>
            <IMIS>False</IMIS>
            <IMES>False</IMES>
            <AA>False</AA>
            <IC>False</IC>
            <TRC>4</TRC>
          </ShtProps>
          <ModComps>
            <ModComp>
              <ModCompProps>
                <MN>1</MN>
                <MCN>1</MCN>
                <SN>4</SN>
              </ModCompProps>
            </ModComp>
          </ModComps>
        </Sht>
        <Sht>
          <ShtProps>
            <N><![CDATA[Lbl_BA]]></N>
            <NIC>False</NIC>
            <CCC>True</CCC>
            <T><![CDATA[LABELS]]></T>
            <TIC>False</TIC>
            <BST>4</BST>
            <CST>-1</CST>
            <PTMN>0</PTMN>
            <PTMCN>0</PTMCN>
            <SPTMCN>0</SPTMCN>
            <SPTMCERN/>
            <V>-1</V>
            <ST>-4167</ST>
            <IPS>False</IPS>
            <IMIS>False</IMIS>
            <IMES>False</IMES>
            <AA>False</AA>
            <IC>False</IC>
            <TRC>4</TRC>
          </ShtProps>
          <ClmnSpns>
            <ClmnSpn>
              <ClmnSpnProps>
                <PT>0</PT>
                <SN>5</SN>
                <MCN>0</MCN>
                <CWSN>1</CWSN>
                <FCPT>0</FCPT>
                <FCN>4</FCN>
                <FCOT>0</FCOT>
                <FCOC>0</FCOC>
                <FCPTBMCN>0</FCPTBMCN>
                <FCPTBN>0</FCPTBN>
                <LCPT>0</LCPT>
                <LCN>6</LCN>
                <LCOT>0</LCOT>
                <LCOC>0</LCOC>
                <LCPTBMCN>0</LCPTBMCN>
                <LCPTBN>0</LCPTBN>
                <CW>11</CW>
                <OL>1</OL>
                <HD>False</HD>
              </ClmnSpnProps>
            </ClmnSpn>
          </ClmnSpns>
          <ModComps>
            <ModComp>
              <ModCompProps>
                <MN>2</MN>
                <MCN>1</MCN>
                <SN>5</SN>
              </ModCompProps>
            </ModComp>
          </ModComps>
        </Sht>
        <Sht>
          <ShtProps>
            <N><![CDATA[Count_BA]]></N>
            <NIC>False</NIC>
            <CCC>True</CCC>
            <T><![CDATA[Counts - Broad Assumptions (Count_BA)]]></T>
            <TIC>True</TIC>
            <BST>4</BST>
            <CST>-1</CST>
            <PTMN>0</PTMN>
            <PTMCN>0</PTMCN>
            <SPTMCN>0</SPTMCN>
            <SPTMCERN/>
            <V>-1</V>
            <ST>-4167</ST>
            <IPS>False</IPS>
            <IMIS>False</IMIS>
            <IMES>False</IMES>
            <AA>False</AA>
            <IC>False</IC>
            <TRC>4</TRC>
          </ShtProps>
          <ModComps>
            <ModComp>
              <ModCompProps>
                <MN>4</MN>
                <MCN>1</MCN>
                <SN>6</SN>
              </ModCompProps>
            </ModComp>
          </ModComps>
        </Sht>
        <Sht>
          <ShtProps>
            <N><![CDATA[Count_Ann_TA]]></N>
            <NIC>False</NIC>
            <CCC>True</CCC>
            <T><![CDATA[Counts - Assumptions]]></T>
            <TIC>False</TIC>
            <BST>5</BST>
            <CST>-1</CST>
            <PTMN>1</PTMN>
            <PTMCN>3</PTMCN>
            <SPTMCN>5</SPTMCN>
            <SPTMCERN>BPMMC124</SPTMCERN>
            <V>0</V>
            <ST>-4167</ST>
            <IPS>False</IPS>
            <IMIS>False</IMIS>
            <IMES>False</IMES>
            <AA>False</AA>
            <IC>False</IC>
            <TRC>4</TRC>
          </ShtProps>
          <ModComps>
            <ModComp>
              <ModCompProps>
                <MN>4</MN>
                <MCN>2</MCN>
                <SN>7</SN>
              </ModCompProps>
            </ModComp>
          </ModComps>
        </Sht>
        <Sht>
          <ShtProps>
            <N><![CDATA[CURR_TA]]></N>
            <NIC>True</NIC>
            <CCC>True</CCC>
            <T><![CDATA[RESOURCES - Currency Assumptions]]></T>
            <TIC>False</TIC>
            <BST>5</BST>
            <CST>-1</CST>
            <PTMN>1</PTMN>
            <PTMCN>4</PTMCN>
            <SPTMCN>6</SPTMCN>
            <SPTMCERN>BPMMC22</SPTMCERN>
            <V>-1</V>
            <ST>-4167</ST>
            <IPS>False</IPS>
            <IMIS>False</IMIS>
            <IMES>False</IMES>
            <AA>False</AA>
            <IC>False</IC>
            <TRC>4</TRC>
          </ShtProps>
          <ModComps>
            <ModComp>
              <ModCompProps>
                <MN>3</MN>
                <MCN>2</MCN>
                <SN>8</SN>
              </ModCompProps>
            </ModComp>
          </ModComps>
        </Sht>
        <Sht>
          <ShtProps>
            <N><![CDATA[RES_BA]]></N>
            <NIC>True</NIC>
            <CCC>True</CCC>
            <T><![CDATA[RESOURCES - Assumptions]]></T>
            <TIC>False</TIC>
            <BST>4</BST>
            <CST>-1</CST>
            <PTMN>0</PTMN>
            <PTMCN>0</PTMCN>
            <SPTMCN>0</SPTMCN>
            <SPTMCERN/>
            <V>-1</V>
            <ST>-4167</ST>
            <IPS>False</IPS>
            <IMIS>False</IMIS>
            <IMES>False</IMES>
            <AA>False</AA>
            <IC>False</IC>
            <TRC>4</TRC>
          </ShtProps>
          <ClmnSpns>
            <ClmnSpn>
              <ClmnSpnProps>
                <PT>0</PT>
                <SN>9</SN>
                <MCN>0</MCN>
                <CWSN>1</CWSN>
                <FCPT>0</FCPT>
                <FCN>15</FCN>
                <FCOT>0</FCOT>
                <FCOC>0</FCOC>
                <FCPTBMCN>0</FCPTBMCN>
                <FCPTBN>0</FCPTBN>
                <LCPT>0</LCPT>
                <LCN>23</LCN>
                <LCOT>0</LCOT>
                <LCOC>0</LCOC>
                <LCPTBMCN>0</LCPTBMCN>
                <LCPTBN>0</LCPTBN>
                <CW>-1</CW>
                <OL>2</OL>
                <HD>False</HD>
              </ClmnSpnProps>
            </ClmnSpn>
          </ClmnSpns>
          <ModComps>
            <ModComp>
              <ModCompProps>
                <MN>3</MN>
                <MCN>1</MCN>
                <SN>9</SN>
              </ModCompProps>
            </ModComp>
          </ModComps>
        </Sht>
        <Sht>
          <ShtProps>
            <N><![CDATA[Step2_SC]]></N>
            <NIC>True</NIC>
            <CCC>False</CCC>
            <T><![CDATA[Step 2: Single Activity Costing]]></T>
            <TIC>True</TIC>
            <BST>2</BST>
            <CST>4</CST>
            <PTMN>0</PTMN>
            <PTMCN>0</PTMCN>
            <SPTMCN>0</SPTMCN>
            <SPTMCERN/>
            <V>-1</V>
            <ST>-4167</ST>
            <IPS>False</IPS>
            <IMIS>False</IMIS>
            <IMES>False</IMES>
            <AA>True</AA>
            <IC>False</IC>
            <TRC>4</TRC>
          </ShtProps>
        </Sht>
        <Sht>
          <ShtProps>
            <N><![CDATA[VACC_BA]]></N>
            <NIC>True</NIC>
            <CCC>True</CCC>
            <T><![CDATA[Vaccine - Assumptions]]></T>
            <TIC>False</TIC>
            <BST>4</BST>
            <CST>-1</CST>
            <PTMN>0</PTMN>
            <PTMCN>0</PTMCN>
            <SPTMCN>0</SPTMCN>
            <SPTMCERN/>
            <V>-1</V>
            <ST>-4167</ST>
            <IPS>False</IPS>
            <IMIS>False</IMIS>
            <IMES>False</IMES>
            <AA>False</AA>
            <IC>False</IC>
            <TRC>4</TRC>
          </ShtProps>
          <ClmnSpns>
            <ClmnSpn>
              <ClmnSpnProps>
                <PT>0</PT>
                <SN>11</SN>
                <MCN>0</MCN>
                <CWSN>1</CWSN>
                <FCPT>0</FCPT>
                <FCN>11</FCN>
                <FCOT>0</FCOT>
                <FCOC>0</FCOC>
                <FCPTBMCN>0</FCPTBMCN>
                <FCPTBN>0</FCPTBN>
                <LCPT>0</LCPT>
                <LCN>13</LCN>
                <LCOT>0</LCOT>
                <LCOC>0</LCOC>
                <LCPTBMCN>0</LCPTBMCN>
                <LCPTBN>0</LCPTBN>
                <CW>-1</CW>
                <OL>2</OL>
                <HD>False</HD>
              </ClmnSpnProps>
            </ClmnSpn>
          </ClmnSpns>
          <ModComps>
            <ModComp>
              <ModCompProps>
                <MN>33</MN>
                <MCN>1</MCN>
                <SN>11</SN>
              </ModCompProps>
            </ModComp>
          </ModComps>
        </Sht>
        <Sht>
          <ShtProps>
            <N><![CDATA[Vacc_Ann_TA]]></N>
            <NIC>False</NIC>
            <CCC>True</CCC>
            <T><![CDATA[Vaccine - Assumptions]]></T>
            <TIC>False</TIC>
            <BST>5</BST>
            <CST>-1</CST>
            <PTMN>1</PTMN>
            <PTMCN>3</PTMCN>
            <SPTMCN>7</SPTMCN>
            <SPTMCERN>BPMMC131</SPTMCERN>
            <V>0</V>
            <ST>-4167</ST>
            <IPS>False</IPS>
            <IMIS>False</IMIS>
            <IMES>False</IMES>
            <AA>False</AA>
            <IC>False</IC>
            <TRC>4</TRC>
          </ShtProps>
          <ModComps>
            <ModComp>
              <ModCompProps>
                <MN>33</MN>
                <MCN>2</MCN>
                <SN>12</SN>
              </ModCompProps>
            </ModComp>
          </ModComps>
        </Sht>
        <Sht>
          <ShtProps>
            <N><![CDATA[MICRO_BA]]></N>
            <NIC>True</NIC>
            <CCC>True</CCC>
            <T><![CDATA[Microplanning Activity Costing]]></T>
            <TIC>True</TIC>
            <BST>4</BST>
            <CST>-1</CST>
            <PTMN>0</PTMN>
            <PTMCN>0</PTMCN>
            <SPTMCN>0</SPTMCN>
            <SPTMCERN/>
            <V>-1</V>
            <ST>-4167</ST>
            <IPS>False</IPS>
            <IMIS>False</IMIS>
            <IMES>False</IMES>
            <AA>False</AA>
            <IC>False</IC>
            <TRC>4</TRC>
          </ShtProps>
          <ModComps>
            <ModComp>
              <ModCompProps>
                <MN>5</MN>
                <MCN>1</MCN>
                <SN>13</SN>
              </ModCompProps>
            </ModComp>
            <ModComp>
              <ModCompProps>
                <MN>6</MN>
                <MCN>1</MCN>
                <SN>13</SN>
              </ModCompProps>
            </ModComp>
          </ModComps>
        </Sht>
        <Sht>
          <ShtProps>
            <N><![CDATA[ACTIV_Ann_TA]]></N>
            <NIC>True</NIC>
            <CCC>True</CCC>
            <T><![CDATA[Annual Activity Counts]]></T>
            <TIC>True</TIC>
            <BST>5</BST>
            <CST>-1</CST>
            <PTMN>1</PTMN>
            <PTMCN>3</PTMCN>
            <SPTMCN>8</SPTMCN>
            <SPTMCERN>BPMMC42</SPTMCERN>
            <V>0</V>
            <ST>-4167</ST>
            <IPS>False</IPS>
            <IMIS>False</IMIS>
            <IMES>False</IMES>
            <AA>False</AA>
            <IC>False</IC>
            <TRC>4</TRC>
          </ShtProps>
          <ModComps>
            <ModComp>
              <ModCompProps>
                <MN>5</MN>
                <MCN>2</MCN>
                <SN>14</SN>
              </ModCompProps>
            </ModComp>
            <ModComp>
              <ModCompProps>
                <MN>6</MN>
                <MCN>2</MCN>
                <SN>14</SN>
              </ModCompProps>
            </ModComp>
            <ModComp>
              <ModCompProps>
                <MN>7</MN>
                <MCN>2</MCN>
                <SN>14</SN>
              </ModCompProps>
            </ModComp>
            <ModComp>
              <ModCompProps>
                <MN>8</MN>
                <MCN>2</MCN>
                <SN>14</SN>
              </ModCompProps>
            </ModComp>
            <ModComp>
              <ModCompProps>
                <MN>9</MN>
                <MCN>2</MCN>
                <SN>14</SN>
              </ModCompProps>
            </ModComp>
            <ModComp>
              <ModCompProps>
                <MN>15</MN>
                <MCN>2</MCN>
                <SN>14</SN>
              </ModCompProps>
            </ModComp>
            <ModComp>
              <ModCompProps>
                <MN>16</MN>
                <MCN>2</MCN>
                <SN>14</SN>
              </ModCompProps>
            </ModComp>
            <ModComp>
              <ModCompProps>
                <MN>17</MN>
                <MCN>2</MCN>
                <SN>14</SN>
              </ModCompProps>
            </ModComp>
            <ModComp>
              <ModCompProps>
                <MN>18</MN>
                <MCN>2</MCN>
                <SN>14</SN>
              </ModCompProps>
            </ModComp>
            <ModComp>
              <ModCompProps>
                <MN>19</MN>
                <MCN>2</MCN>
                <SN>14</SN>
              </ModCompProps>
            </ModComp>
            <ModComp>
              <ModCompProps>
                <MN>20</MN>
                <MCN>2</MCN>
                <SN>14</SN>
              </ModCompProps>
            </ModComp>
            <ModComp>
              <ModCompProps>
                <MN>21</MN>
                <MCN>2</MCN>
                <SN>14</SN>
              </ModCompProps>
            </ModComp>
            <ModComp>
              <ModCompProps>
                <MN>10</MN>
                <MCN>2</MCN>
                <SN>14</SN>
              </ModCompProps>
            </ModComp>
            <ModComp>
              <ModCompProps>
                <MN>11</MN>
                <MCN>2</MCN>
                <SN>14</SN>
              </ModCompProps>
            </ModComp>
            <ModComp>
              <ModCompProps>
                <MN>12</MN>
                <MCN>2</MCN>
                <SN>14</SN>
              </ModCompProps>
            </ModComp>
            <ModComp>
              <ModCompProps>
                <MN>13</MN>
                <MCN>2</MCN>
                <SN>14</SN>
              </ModCompProps>
            </ModComp>
            <ModComp>
              <ModCompProps>
                <MN>14</MN>
                <MCN>2</MCN>
                <SN>14</SN>
              </ModCompProps>
            </ModComp>
            <ModComp>
              <ModCompProps>
                <MN>22</MN>
                <MCN>2</MCN>
                <SN>14</SN>
              </ModCompProps>
            </ModComp>
            <ModComp>
              <ModCompProps>
                <MN>23</MN>
                <MCN>2</MCN>
                <SN>14</SN>
              </ModCompProps>
            </ModComp>
            <ModComp>
              <ModCompProps>
                <MN>24</MN>
                <MCN>2</MCN>
                <SN>14</SN>
              </ModCompProps>
            </ModComp>
            <ModComp>
              <ModCompProps>
                <MN>25</MN>
                <MCN>2</MCN>
                <SN>14</SN>
              </ModCompProps>
            </ModComp>
            <ModComp>
              <ModCompProps>
                <MN>26</MN>
                <MCN>2</MCN>
                <SN>14</SN>
              </ModCompProps>
            </ModComp>
            <ModComp>
              <ModCompProps>
                <MN>27</MN>
                <MCN>2</MCN>
                <SN>14</SN>
              </ModCompProps>
            </ModComp>
            <ModComp>
              <ModCompProps>
                <MN>28</MN>
                <MCN>2</MCN>
                <SN>14</SN>
              </ModCompProps>
            </ModComp>
            <ModComp>
              <ModCompProps>
                <MN>29</MN>
                <MCN>2</MCN>
                <SN>14</SN>
              </ModCompProps>
            </ModComp>
            <ModComp>
              <ModCompProps>
                <MN>30</MN>
                <MCN>2</MCN>
                <SN>14</SN>
              </ModCompProps>
            </ModComp>
          </ModComps>
        </Sht>
        <Sht>
          <ShtProps>
            <N><![CDATA[IEC_BA]]></N>
            <NIC>True</NIC>
            <CCC>True</CCC>
            <T><![CDATA[Communication Materials]]></T>
            <TIC>True</TIC>
            <BST>4</BST>
            <CST>-1</CST>
            <PTMN>0</PTMN>
            <PTMCN>0</PTMCN>
            <SPTMCN>0</SPTMCN>
            <SPTMCERN/>
            <V>-1</V>
            <ST>-4167</ST>
            <IPS>False</IPS>
            <IMIS>False</IMIS>
            <IMES>False</IMES>
            <AA>False</AA>
            <IC>False</IC>
            <TRC>4</TRC>
          </ShtProps>
          <ModComps>
            <ModComp>
              <ModCompProps>
                <MN>15</MN>
                <MCN>1</MCN>
                <SN>15</SN>
              </ModCompProps>
            </ModComp>
            <ModComp>
              <ModCompProps>
                <MN>16</MN>
                <MCN>1</MCN>
                <SN>15</SN>
              </ModCompProps>
            </ModComp>
            <ModComp>
              <ModCompProps>
                <MN>17</MN>
                <MCN>1</MCN>
                <SN>15</SN>
              </ModCompProps>
            </ModComp>
          </ModComps>
        </Sht>
        <Sht>
          <ShtProps>
            <N><![CDATA[IEC_PROD_EST_BO]]></N>
            <NIC>True</NIC>
            <CCC>False</CCC>
            <T><![CDATA[Plug-in: Calculate IEC Materials Needed]]></T>
            <TIC>True</TIC>
            <BST>6</BST>
            <CST>-1</CST>
            <PTMN>0</PTMN>
            <PTMCN>0</PTMCN>
            <SPTMCN>0</SPTMCN>
            <SPTMCERN/>
            <V>0</V>
            <ST>-4167</ST>
            <IPS>False</IPS>
            <IMIS>False</IMIS>
            <IMES>False</IMES>
            <AA>False</AA>
            <IC>False</IC>
            <TRC>4</TRC>
          </ShtProps>
        </Sht>
        <Sht>
          <ShtProps>
            <N><![CDATA[TRAIN_BA]]></N>
            <NIC>True</NIC>
            <CCC>True</CCC>
            <T><![CDATA[Training Activity Costings]]></T>
            <TIC>True</TIC>
            <BST>4</BST>
            <CST>-1</CST>
            <PTMN>0</PTMN>
            <PTMCN>0</PTMCN>
            <SPTMCN>0</SPTMCN>
            <SPTMCERN/>
            <V>-1</V>
            <ST>-4167</ST>
            <IPS>False</IPS>
            <IMIS>False</IMIS>
            <IMES>False</IMES>
            <AA>False</AA>
            <IC>False</IC>
            <TRC>4</TRC>
          </ShtProps>
          <ModComps>
            <ModComp>
              <ModCompProps>
                <MN>10</MN>
                <MCN>1</MCN>
                <SN>17</SN>
              </ModCompProps>
            </ModComp>
            <ModComp>
              <ModCompProps>
                <MN>11</MN>
                <MCN>1</MCN>
                <SN>17</SN>
              </ModCompProps>
            </ModComp>
            <ModComp>
              <ModCompProps>
                <MN>12</MN>
                <MCN>1</MCN>
                <SN>17</SN>
              </ModCompProps>
            </ModComp>
            <ModComp>
              <ModCompProps>
                <MN>13</MN>
                <MCN>1</MCN>
                <SN>17</SN>
              </ModCompProps>
            </ModComp>
            <ModComp>
              <ModCompProps>
                <MN>14</MN>
                <MCN>1</MCN>
                <SN>17</SN>
              </ModCompProps>
            </ModComp>
          </ModComps>
        </Sht>
        <Sht>
          <ShtProps>
            <N><![CDATA[SENS_BA]]></N>
            <NIC>True</NIC>
            <CCC>True</CCC>
            <T><![CDATA[Sensitisation Activity Costings]]></T>
            <TIC>True</TIC>
            <BST>4</BST>
            <CST>-1</CST>
            <PTMN>0</PTMN>
            <PTMCN>0</PTMCN>
            <SPTMCN>0</SPTMCN>
            <SPTMCERN/>
            <V>-1</V>
            <ST>-4167</ST>
            <IPS>False</IPS>
            <IMIS>False</IMIS>
            <IMES>False</IMES>
            <AA>False</AA>
            <IC>False</IC>
            <TRC>4</TRC>
          </ShtProps>
          <ModComps>
            <ModComp>
              <ModCompProps>
                <MN>7</MN>
                <MCN>1</MCN>
                <SN>18</SN>
              </ModCompProps>
            </ModComp>
            <ModComp>
              <ModCompProps>
                <MN>8</MN>
                <MCN>1</MCN>
                <SN>18</SN>
              </ModCompProps>
            </ModComp>
            <ModComp>
              <ModCompProps>
                <MN>9</MN>
                <MCN>1</MCN>
                <SN>18</SN>
              </ModCompProps>
            </ModComp>
          </ModComps>
        </Sht>
        <Sht>
          <ShtProps>
            <N><![CDATA[MOB_BA]]></N>
            <NIC>True</NIC>
            <CCC>True</CCC>
            <T><![CDATA[Social Mobilisation Activity Costings]]></T>
            <TIC>True</TIC>
            <BST>4</BST>
            <CST>-1</CST>
            <PTMN>0</PTMN>
            <PTMCN>0</PTMCN>
            <SPTMCN>0</SPTMCN>
            <SPTMCERN/>
            <V>-1</V>
            <ST>-4167</ST>
            <IPS>False</IPS>
            <IMIS>False</IMIS>
            <IMES>False</IMES>
            <AA>False</AA>
            <IC>False</IC>
            <TRC>4</TRC>
          </ShtProps>
          <ModComps>
            <ModComp>
              <ModCompProps>
                <MN>18</MN>
                <MCN>1</MCN>
                <SN>19</SN>
              </ModCompProps>
            </ModComp>
            <ModComp>
              <ModCompProps>
                <MN>19</MN>
                <MCN>1</MCN>
                <SN>19</SN>
              </ModCompProps>
            </ModComp>
            <ModComp>
              <ModCompProps>
                <MN>20</MN>
                <MCN>1</MCN>
                <SN>19</SN>
              </ModCompProps>
            </ModComp>
            <ModComp>
              <ModCompProps>
                <MN>21</MN>
                <MCN>1</MCN>
                <SN>19</SN>
              </ModCompProps>
            </ModComp>
          </ModComps>
        </Sht>
        <Sht>
          <ShtProps>
            <N><![CDATA[SD1_BA]]></N>
            <NIC>True</NIC>
            <CCC>True</CCC>
            <T><![CDATA[Vaccination Activity Costings- Round 1]]></T>
            <TIC>True</TIC>
            <BST>4</BST>
            <CST>-1</CST>
            <PTMN>0</PTMN>
            <PTMCN>0</PTMCN>
            <SPTMCN>0</SPTMCN>
            <SPTMCERN/>
            <V>-1</V>
            <ST>-4167</ST>
            <IPS>False</IPS>
            <IMIS>False</IMIS>
            <IMES>False</IMES>
            <AA>False</AA>
            <IC>False</IC>
            <TRC>4</TRC>
          </ShtProps>
          <ModComps>
            <ModComp>
              <ModCompProps>
                <MN>22</MN>
                <MCN>1</MCN>
                <SN>20</SN>
              </ModCompProps>
            </ModComp>
            <ModComp>
              <ModCompProps>
                <MN>23</MN>
                <MCN>1</MCN>
                <SN>20</SN>
              </ModCompProps>
            </ModComp>
            <ModComp>
              <ModCompProps>
                <MN>24</MN>
                <MCN>1</MCN>
                <SN>20</SN>
              </ModCompProps>
            </ModComp>
            <ModComp>
              <ModCompProps>
                <MN>25</MN>
                <MCN>1</MCN>
                <SN>20</SN>
              </ModCompProps>
            </ModComp>
            <ModComp>
              <ModCompProps>
                <MN>26</MN>
                <MCN>1</MCN>
                <SN>20</SN>
              </ModCompProps>
            </ModComp>
          </ModComps>
        </Sht>
        <Sht>
          <ShtProps>
            <N><![CDATA[SD2_BA]]></N>
            <NIC>True</NIC>
            <CCC>True</CCC>
            <T><![CDATA[Vaccination Activity Costings - Round 2]]></T>
            <TIC>True</TIC>
            <BST>4</BST>
            <CST>-1</CST>
            <PTMN>0</PTMN>
            <PTMCN>0</PTMCN>
            <SPTMCN>0</SPTMCN>
            <SPTMCERN/>
            <V>-1</V>
            <ST>-4167</ST>
            <IPS>False</IPS>
            <IMIS>False</IMIS>
            <IMES>False</IMES>
            <AA>False</AA>
            <IC>False</IC>
            <TRC>4</TRC>
          </ShtProps>
          <ModComps>
            <ModComp>
              <ModCompProps>
                <MN>27</MN>
                <MCN>1</MCN>
                <SN>21</SN>
              </ModCompProps>
            </ModComp>
            <ModComp>
              <ModCompProps>
                <MN>28</MN>
                <MCN>1</MCN>
                <SN>21</SN>
              </ModCompProps>
            </ModComp>
            <ModComp>
              <ModCompProps>
                <MN>29</MN>
                <MCN>1</MCN>
                <SN>21</SN>
              </ModCompProps>
            </ModComp>
            <ModComp>
              <ModCompProps>
                <MN>30</MN>
                <MCN>1</MCN>
                <SN>21</SN>
              </ModCompProps>
            </ModComp>
          </ModComps>
        </Sht>
        <Sht>
          <ShtProps>
            <N><![CDATA[Step3_SC]]></N>
            <NIC>True</NIC>
            <CCC>False</CCC>
            <T><![CDATA[Step 3: Estimate Numbers of Each Activity]]></T>
            <TIC>True</TIC>
            <BST>2</BST>
            <CST>8</CST>
            <PTMN>0</PTMN>
            <PTMCN>0</PTMCN>
            <SPTMCN>0</SPTMCN>
            <SPTMCERN/>
            <V>-1</V>
            <ST>-4167</ST>
            <IPS>False</IPS>
            <IMIS>False</IMIS>
            <IMES>False</IMES>
            <AA>True</AA>
            <IC>False</IC>
            <TRC>4</TRC>
          </ShtProps>
        </Sht>
        <Sht>
          <ShtProps>
            <N><![CDATA[Count_BO]]></N>
            <NIC>False</NIC>
            <CCC>True</CCC>
            <T><![CDATA[Counts - Outputs]]></T>
            <TIC>False</TIC>
            <BST>6</BST>
            <CST>-1</CST>
            <PTMN>0</PTMN>
            <PTMCN>0</PTMCN>
            <SPTMCN>0</SPTMCN>
            <SPTMCERN/>
            <V>-1</V>
            <ST>-4167</ST>
            <IPS>False</IPS>
            <IMIS>False</IMIS>
            <IMES>False</IMES>
            <AA>False</AA>
            <IC>False</IC>
            <TRC>4</TRC>
          </ShtProps>
          <ModComps>
            <ModComp>
              <ModCompProps>
                <MN>4</MN>
                <MCN>3</MCN>
                <SN>23</SN>
              </ModCompProps>
            </ModComp>
          </ModComps>
        </Sht>
        <Sht>
          <ShtProps>
            <N><![CDATA[VACC_BO]]></N>
            <NIC>True</NIC>
            <CCC>True</CCC>
            <T><![CDATA[Vaccine - Outputs]]></T>
            <TIC>False</TIC>
            <BST>6</BST>
            <CST>-1</CST>
            <PTMN>0</PTMN>
            <PTMCN>0</PTMCN>
            <SPTMCN>0</SPTMCN>
            <SPTMCERN/>
            <V>-1</V>
            <ST>-4167</ST>
            <IPS>False</IPS>
            <IMIS>False</IMIS>
            <IMES>False</IMES>
            <AA>False</AA>
            <IC>False</IC>
            <TRC>4</TRC>
          </ShtProps>
          <ModComps>
            <ModComp>
              <ModCompProps>
                <MN>33</MN>
                <MCN>3</MCN>
                <SN>24</SN>
              </ModCompProps>
            </ModComp>
          </ModComps>
        </Sht>
        <Sht>
          <ShtProps>
            <N><![CDATA[MICRO_BO]]></N>
            <NIC>True</NIC>
            <CCC>True</CCC>
            <T><![CDATA[Microplanning - Broad Outputs (MICRO_BO)]]></T>
            <TIC>False</TIC>
            <BST>6</BST>
            <CST>-1</CST>
            <PTMN>0</PTMN>
            <PTMCN>0</PTMCN>
            <SPTMCN>0</SPTMCN>
            <SPTMCERN/>
            <V>-1</V>
            <ST>-4167</ST>
            <IPS>False</IPS>
            <IMIS>False</IMIS>
            <IMES>False</IMES>
            <AA>False</AA>
            <IC>False</IC>
            <TRC>4</TRC>
          </ShtProps>
          <ClmnSpns>
            <ClmnSpn>
              <ClmnSpnProps>
                <PT>0</PT>
                <SN>25</SN>
                <MCN>0</MCN>
                <CWSN>1</CWSN>
                <FCPT>0</FCPT>
                <FCN>10</FCN>
                <FCOT>0</FCOT>
                <FCOC>0</FCOC>
                <FCPTBMCN>0</FCPTBMCN>
                <FCPTBN>0</FCPTBN>
                <LCPT>0</LCPT>
                <LCN>17</LCN>
                <LCOT>0</LCOT>
                <LCOC>0</LCOC>
                <LCPTBMCN>0</LCPTBMCN>
                <LCPTBN>0</LCPTBN>
                <CW>-1</CW>
                <OL>2</OL>
                <HD>False</HD>
              </ClmnSpnProps>
            </ClmnSpn>
          </ClmnSpns>
          <ModComps>
            <ModComp>
              <ModCompProps>
                <MN>5</MN>
                <MCN>3</MCN>
                <SN>25</SN>
              </ModCompProps>
            </ModComp>
            <ModComp>
              <ModCompProps>
                <MN>6</MN>
                <MCN>3</MCN>
                <SN>25</SN>
              </ModCompProps>
            </ModComp>
          </ModComps>
        </Sht>
        <Sht>
          <ShtProps>
            <N><![CDATA[SENS_BO]]></N>
            <NIC>True</NIC>
            <CCC>True</CCC>
            <T><![CDATA[SENSITISATION]]></T>
            <TIC>False</TIC>
            <BST>6</BST>
            <CST>-1</CST>
            <PTMN>0</PTMN>
            <PTMCN>0</PTMCN>
            <SPTMCN>0</SPTMCN>
            <SPTMCERN/>
            <V>-1</V>
            <ST>-4167</ST>
            <IPS>False</IPS>
            <IMIS>False</IMIS>
            <IMES>False</IMES>
            <AA>False</AA>
            <IC>False</IC>
            <TRC>4</TRC>
          </ShtProps>
          <ModComps>
            <ModComp>
              <ModCompProps>
                <MN>7</MN>
                <MCN>3</MCN>
                <SN>26</SN>
              </ModCompProps>
            </ModComp>
            <ModComp>
              <ModCompProps>
                <MN>8</MN>
                <MCN>3</MCN>
                <SN>26</SN>
              </ModCompProps>
            </ModComp>
            <ModComp>
              <ModCompProps>
                <MN>9</MN>
                <MCN>3</MCN>
                <SN>26</SN>
              </ModCompProps>
            </ModComp>
          </ModComps>
        </Sht>
        <Sht>
          <ShtProps>
            <N><![CDATA[IEC_BO]]></N>
            <NIC>True</NIC>
            <CCC>True</CCC>
            <T><![CDATA[Information, Education and Materials - Broad Outputs (IEC_BO)]]></T>
            <TIC>False</TIC>
            <BST>6</BST>
            <CST>-1</CST>
            <PTMN>0</PTMN>
            <PTMCN>0</PTMCN>
            <SPTMCN>0</SPTMCN>
            <SPTMCERN/>
            <V>-1</V>
            <ST>-4167</ST>
            <IPS>False</IPS>
            <IMIS>False</IMIS>
            <IMES>False</IMES>
            <AA>False</AA>
            <IC>False</IC>
            <TRC>4</TRC>
          </ShtProps>
          <ModComps>
            <ModComp>
              <ModCompProps>
                <MN>15</MN>
                <MCN>3</MCN>
                <SN>27</SN>
              </ModCompProps>
            </ModComp>
            <ModComp>
              <ModCompProps>
                <MN>16</MN>
                <MCN>3</MCN>
                <SN>27</SN>
              </ModCompProps>
            </ModComp>
            <ModComp>
              <ModCompProps>
                <MN>17</MN>
                <MCN>3</MCN>
                <SN>27</SN>
              </ModCompProps>
            </ModComp>
          </ModComps>
        </Sht>
        <Sht>
          <ShtProps>
            <N><![CDATA[TRAIN_BO]]></N>
            <NIC>True</NIC>
            <CCC>True</CCC>
            <T><![CDATA[TRAINING - Broad Outputs (TRAIN_BO)]]></T>
            <TIC>False</TIC>
            <BST>6</BST>
            <CST>-1</CST>
            <PTMN>0</PTMN>
            <PTMCN>0</PTMCN>
            <SPTMCN>0</SPTMCN>
            <SPTMCERN/>
            <V>-1</V>
            <ST>-4167</ST>
            <IPS>False</IPS>
            <IMIS>False</IMIS>
            <IMES>False</IMES>
            <AA>False</AA>
            <IC>False</IC>
            <TRC>4</TRC>
          </ShtProps>
          <ModComps>
            <ModComp>
              <ModCompProps>
                <MN>10</MN>
                <MCN>3</MCN>
                <SN>28</SN>
              </ModCompProps>
            </ModComp>
            <ModComp>
              <ModCompProps>
                <MN>11</MN>
                <MCN>3</MCN>
                <SN>28</SN>
              </ModCompProps>
            </ModComp>
            <ModComp>
              <ModCompProps>
                <MN>12</MN>
                <MCN>3</MCN>
                <SN>28</SN>
              </ModCompProps>
            </ModComp>
            <ModComp>
              <ModCompProps>
                <MN>13</MN>
                <MCN>3</MCN>
                <SN>28</SN>
              </ModCompProps>
            </ModComp>
            <ModComp>
              <ModCompProps>
                <MN>14</MN>
                <MCN>3</MCN>
                <SN>28</SN>
              </ModCompProps>
            </ModComp>
          </ModComps>
        </Sht>
        <Sht>
          <ShtProps>
            <N><![CDATA[MOB_BO]]></N>
            <NIC>True</NIC>
            <CCC>True</CCC>
            <T><![CDATA[Social Mobilisation - Broad Outputs (MOB_BO)]]></T>
            <TIC>False</TIC>
            <BST>6</BST>
            <CST>-1</CST>
            <PTMN>0</PTMN>
            <PTMCN>0</PTMCN>
            <SPTMCN>0</SPTMCN>
            <SPTMCERN/>
            <V>-1</V>
            <ST>-4167</ST>
            <IPS>False</IPS>
            <IMIS>False</IMIS>
            <IMES>False</IMES>
            <AA>False</AA>
            <IC>False</IC>
            <TRC>4</TRC>
          </ShtProps>
          <ModComps>
            <ModComp>
              <ModCompProps>
                <MN>18</MN>
                <MCN>3</MCN>
                <SN>29</SN>
              </ModCompProps>
            </ModComp>
            <ModComp>
              <ModCompProps>
                <MN>19</MN>
                <MCN>3</MCN>
                <SN>29</SN>
              </ModCompProps>
            </ModComp>
            <ModComp>
              <ModCompProps>
                <MN>20</MN>
                <MCN>3</MCN>
                <SN>29</SN>
              </ModCompProps>
            </ModComp>
            <ModComp>
              <ModCompProps>
                <MN>21</MN>
                <MCN>3</MCN>
                <SN>29</SN>
              </ModCompProps>
            </ModComp>
          </ModComps>
        </Sht>
        <Sht>
          <ShtProps>
            <N><![CDATA[ROUND1_BO]]></N>
            <NIC>True</NIC>
            <CCC>True</CCC>
            <T><![CDATA[SERVICE DELIVERY - ROUND 1 (ROUND1_BO)]]></T>
            <TIC>True</TIC>
            <BST>6</BST>
            <CST>-1</CST>
            <PTMN>0</PTMN>
            <PTMCN>0</PTMCN>
            <SPTMCN>0</SPTMCN>
            <SPTMCERN/>
            <V>-1</V>
            <ST>-4167</ST>
            <IPS>False</IPS>
            <IMIS>False</IMIS>
            <IMES>False</IMES>
            <AA>False</AA>
            <IC>False</IC>
            <TRC>4</TRC>
          </ShtProps>
          <ModComps>
            <ModComp>
              <ModCompProps>
                <MN>22</MN>
                <MCN>3</MCN>
                <SN>30</SN>
              </ModCompProps>
            </ModComp>
            <ModComp>
              <ModCompProps>
                <MN>23</MN>
                <MCN>3</MCN>
                <SN>30</SN>
              </ModCompProps>
            </ModComp>
            <ModComp>
              <ModCompProps>
                <MN>24</MN>
                <MCN>3</MCN>
                <SN>30</SN>
              </ModCompProps>
            </ModComp>
            <ModComp>
              <ModCompProps>
                <MN>25</MN>
                <MCN>3</MCN>
                <SN>30</SN>
              </ModCompProps>
            </ModComp>
            <ModComp>
              <ModCompProps>
                <MN>26</MN>
                <MCN>3</MCN>
                <SN>30</SN>
              </ModCompProps>
            </ModComp>
          </ModComps>
        </Sht>
        <Sht>
          <ShtProps>
            <N><![CDATA[ROUND2_BO]]></N>
            <NIC>True</NIC>
            <CCC>True</CCC>
            <T><![CDATA[SERVICE DELIVERY - ROUND 2 (ROUND2_BO)]]></T>
            <TIC>True</TIC>
            <BST>6</BST>
            <CST>-1</CST>
            <PTMN>0</PTMN>
            <PTMCN>0</PTMCN>
            <SPTMCN>0</SPTMCN>
            <SPTMCERN/>
            <V>-1</V>
            <ST>-4167</ST>
            <IPS>False</IPS>
            <IMIS>False</IMIS>
            <IMES>False</IMES>
            <AA>False</AA>
            <IC>False</IC>
            <TRC>4</TRC>
          </ShtProps>
          <ModComps>
            <ModComp>
              <ModCompProps>
                <MN>27</MN>
                <MCN>3</MCN>
                <SN>31</SN>
              </ModCompProps>
            </ModComp>
            <ModComp>
              <ModCompProps>
                <MN>28</MN>
                <MCN>3</MCN>
                <SN>31</SN>
              </ModCompProps>
            </ModComp>
            <ModComp>
              <ModCompProps>
                <MN>29</MN>
                <MCN>3</MCN>
                <SN>31</SN>
              </ModCompProps>
            </ModComp>
            <ModComp>
              <ModCompProps>
                <MN>30</MN>
                <MCN>3</MCN>
                <SN>31</SN>
              </ModCompProps>
            </ModComp>
          </ModComps>
        </Sht>
        <Sht>
          <ShtProps>
            <N><![CDATA[Count_Ann_TO]]></N>
            <NIC>False</NIC>
            <CCC>True</CCC>
            <T><![CDATA[Counts - Outputs]]></T>
            <TIC>False</TIC>
            <BST>7</BST>
            <CST>-1</CST>
            <PTMN>1</PTMN>
            <PTMCN>3</PTMCN>
            <SPTMCN>9</SPTMCN>
            <SPTMCERN>BPMMC125</SPTMCERN>
            <V>0</V>
            <ST>-4167</ST>
            <IPS>False</IPS>
            <IMIS>False</IMIS>
            <IMES>False</IMES>
            <AA>False</AA>
            <IC>False</IC>
            <TRC>4</TRC>
          </ShtProps>
          <ModComps>
            <ModComp>
              <ModCompProps>
                <MN>4</MN>
                <MCN>4</MCN>
                <SN>32</SN>
              </ModCompProps>
            </ModComp>
          </ModComps>
        </Sht>
        <Sht>
          <ShtProps>
            <N><![CDATA[Vacc_Ann_TO]]></N>
            <NIC>False</NIC>
            <CCC>True</CCC>
            <T><![CDATA[Vaccine - Outputs]]></T>
            <TIC>False</TIC>
            <BST>7</BST>
            <CST>-1</CST>
            <PTMN>1</PTMN>
            <PTMCN>3</PTMCN>
            <SPTMCN>10</SPTMCN>
            <SPTMCERN>BPMMC132</SPTMCERN>
            <V>0</V>
            <ST>-4167</ST>
            <IPS>False</IPS>
            <IMIS>False</IMIS>
            <IMES>False</IMES>
            <AA>False</AA>
            <IC>False</IC>
            <TRC>4</TRC>
          </ShtProps>
          <ModComps>
            <ModComp>
              <ModCompProps>
                <MN>33</MN>
                <MCN>4</MCN>
                <SN>33</SN>
              </ModCompProps>
            </ModComp>
          </ModComps>
        </Sht>
        <Sht>
          <ShtProps>
            <N><![CDATA[App_SC]]></N>
            <NIC>False</NIC>
            <CCC>False</CCC>
            <T><![CDATA[Appendices]]></T>
            <TIC>False</TIC>
            <BST>2</BST>
            <CST>15</CST>
            <PTMN>0</PTMN>
            <PTMCN>0</PTMCN>
            <SPTMCN>0</SPTMCN>
            <SPTMCERN/>
            <V>0</V>
            <ST>-4167</ST>
            <IPS>False</IPS>
            <IMIS>False</IMIS>
            <IMES>False</IMES>
            <AA>True</AA>
            <IC>False</IC>
            <TRC>4</TRC>
          </ShtProps>
        </Sht>
        <Sht>
          <ShtProps>
            <N><![CDATA[TS_LU]]></N>
            <NIC>False</NIC>
            <CCC>True</CCC>
            <T><![CDATA[Time Series]]></T>
            <TIC>False</TIC>
            <BST>8</BST>
            <CST>-1</CST>
            <PTMN>0</PTMN>
            <PTMCN>0</PTMCN>
            <SPTMCN>0</SPTMCN>
            <SPTMCERN/>
            <V>0</V>
            <ST>-4167</ST>
            <IPS>False</IPS>
            <IMIS>False</IMIS>
            <IMES>False</IMES>
            <AA>False</AA>
            <IC>False</IC>
            <TRC>4</TRC>
          </ShtProps>
          <ModComps>
            <ModComp>
              <ModCompProps>
                <MN>1</MN>
                <MCN>2</MCN>
                <SN>35</SN>
              </ModCompProps>
            </ModComp>
          </ModComps>
        </Sht>
        <Sht>
          <ShtProps>
            <N><![CDATA[ACT_LU]]></N>
            <NIC>False</NIC>
            <CCC>True</CCC>
            <T><![CDATA[MICRO-NATL]]></T>
            <TIC>False</TIC>
            <BST>8</BST>
            <CST>-1</CST>
            <PTMN>0</PTMN>
            <PTMCN>0</PTMCN>
            <SPTMCN>0</SPTMCN>
            <SPTMCERN/>
            <V>0</V>
            <ST>-4167</ST>
            <IPS>False</IPS>
            <IMIS>False</IMIS>
            <IMES>False</IMES>
            <AA>False</AA>
            <IC>False</IC>
            <TRC>4</TRC>
          </ShtProps>
          <ModComps>
            <ModComp>
              <ModCompProps>
                <MN>5</MN>
                <MCN>4</MCN>
                <SN>36</SN>
              </ModCompProps>
            </ModComp>
          </ModComps>
        </Sht>
        <Sht>
          <ShtProps>
            <N><![CDATA[MICRO2_LU]]></N>
            <NIC>True</NIC>
            <CCC>True</CCC>
            <T><![CDATA[MICRO-LOCAL]]></T>
            <TIC>False</TIC>
            <BST>8</BST>
            <CST>-1</CST>
            <PTMN>0</PTMN>
            <PTMCN>0</PTMCN>
            <SPTMCN>0</SPTMCN>
            <SPTMCERN/>
            <V>0</V>
            <ST>-4167</ST>
            <IPS>False</IPS>
            <IMIS>False</IMIS>
            <IMES>False</IMES>
            <AA>False</AA>
            <IC>False</IC>
            <TRC>4</TRC>
          </ShtProps>
          <ModComps>
            <ModComp>
              <ModCompProps>
                <MN>6</MN>
                <MCN>4</MCN>
                <SN>37</SN>
              </ModCompProps>
            </ModComp>
          </ModComps>
        </Sht>
        <Sht>
          <ShtProps>
            <N><![CDATA[ACT_3_LU]]></N>
            <NIC>False</NIC>
            <CCC>True</CCC>
            <T><![CDATA[SENS-NATL]]></T>
            <TIC>False</TIC>
            <BST>8</BST>
            <CST>-1</CST>
            <PTMN>0</PTMN>
            <PTMCN>0</PTMCN>
            <SPTMCN>0</SPTMCN>
            <SPTMCERN/>
            <V>0</V>
            <ST>-4167</ST>
            <IPS>False</IPS>
            <IMIS>False</IMIS>
            <IMES>False</IMES>
            <AA>False</AA>
            <IC>False</IC>
            <TRC>4</TRC>
          </ShtProps>
          <ModComps>
            <ModComp>
              <ModCompProps>
                <MN>7</MN>
                <MCN>4</MCN>
                <SN>38</SN>
              </ModCompProps>
            </ModComp>
          </ModComps>
        </Sht>
        <Sht>
          <ShtProps>
            <N><![CDATA[ACT_4_LU]]></N>
            <NIC>False</NIC>
            <CCC>True</CCC>
            <T><![CDATA[SENS-DISTR]]></T>
            <TIC>False</TIC>
            <BST>8</BST>
            <CST>-1</CST>
            <PTMN>0</PTMN>
            <PTMCN>0</PTMCN>
            <SPTMCN>0</SPTMCN>
            <SPTMCERN/>
            <V>0</V>
            <ST>-4167</ST>
            <IPS>False</IPS>
            <IMIS>False</IMIS>
            <IMES>False</IMES>
            <AA>False</AA>
            <IC>False</IC>
            <TRC>4</TRC>
          </ShtProps>
          <ModComps>
            <ModComp>
              <ModCompProps>
                <MN>8</MN>
                <MCN>4</MCN>
                <SN>39</SN>
              </ModCompProps>
            </ModComp>
          </ModComps>
        </Sht>
        <Sht>
          <ShtProps>
            <N><![CDATA[ACT_5_LU]]></N>
            <NIC>False</NIC>
            <CCC>True</CCC>
            <T><![CDATA[SENS-LOCAL]]></T>
            <TIC>False</TIC>
            <BST>8</BST>
            <CST>-1</CST>
            <PTMN>0</PTMN>
            <PTMCN>0</PTMCN>
            <SPTMCN>0</SPTMCN>
            <SPTMCERN/>
            <V>0</V>
            <ST>-4167</ST>
            <IPS>False</IPS>
            <IMIS>False</IMIS>
            <IMES>False</IMES>
            <AA>False</AA>
            <IC>False</IC>
            <TRC>4</TRC>
          </ShtProps>
          <ModComps>
            <ModComp>
              <ModCompProps>
                <MN>9</MN>
                <MCN>4</MCN>
                <SN>40</SN>
              </ModCompProps>
            </ModComp>
          </ModComps>
        </Sht>
        <Sht>
          <ShtProps>
            <N><![CDATA[ACT_6_LU]]></N>
            <NIC>False</NIC>
            <CCC>True</CCC>
            <T><![CDATA[IEC-DESIGN]]></T>
            <TIC>False</TIC>
            <BST>8</BST>
            <CST>-1</CST>
            <PTMN>0</PTMN>
            <PTMCN>0</PTMCN>
            <SPTMCN>0</SPTMCN>
            <SPTMCERN/>
            <V>0</V>
            <ST>-4167</ST>
            <IPS>False</IPS>
            <IMIS>False</IMIS>
            <IMES>False</IMES>
            <AA>False</AA>
            <IC>False</IC>
            <TRC>4</TRC>
          </ShtProps>
          <ModComps>
            <ModComp>
              <ModCompProps>
                <MN>15</MN>
                <MCN>4</MCN>
                <SN>41</SN>
              </ModCompProps>
            </ModComp>
          </ModComps>
        </Sht>
        <Sht>
          <ShtProps>
            <N><![CDATA[ACT_21_LU]]></N>
            <NIC>False</NIC>
            <CCC>True</CCC>
            <T><![CDATA[IEC-PRETESTING]]></T>
            <TIC>False</TIC>
            <BST>8</BST>
            <CST>-1</CST>
            <PTMN>0</PTMN>
            <PTMCN>0</PTMCN>
            <SPTMCN>0</SPTMCN>
            <SPTMCERN/>
            <V>0</V>
            <ST>-4167</ST>
            <IPS>False</IPS>
            <IMIS>False</IMIS>
            <IMES>False</IMES>
            <AA>False</AA>
            <IC>False</IC>
            <TRC>4</TRC>
          </ShtProps>
          <ModComps>
            <ModComp>
              <ModCompProps>
                <MN>16</MN>
                <MCN>4</MCN>
                <SN>42</SN>
              </ModCompProps>
            </ModComp>
          </ModComps>
        </Sht>
        <Sht>
          <ShtProps>
            <N><![CDATA[ACT_22_LU]]></N>
            <NIC>False</NIC>
            <CCC>True</CCC>
            <T><![CDATA[IEC-PRODUCTION]]></T>
            <TIC>False</TIC>
            <BST>8</BST>
            <CST>-1</CST>
            <PTMN>0</PTMN>
            <PTMCN>0</PTMCN>
            <SPTMCN>0</SPTMCN>
            <SPTMCERN/>
            <V>0</V>
            <ST>-4167</ST>
            <IPS>False</IPS>
            <IMIS>False</IMIS>
            <IMES>False</IMES>
            <AA>False</AA>
            <IC>False</IC>
            <TRC>4</TRC>
          </ShtProps>
          <ModComps>
            <ModComp>
              <ModCompProps>
                <MN>17</MN>
                <MCN>4</MCN>
                <SN>43</SN>
              </ModCompProps>
            </ModComp>
          </ModComps>
        </Sht>
        <Sht>
          <ShtProps>
            <N><![CDATA[ACT_7_LU]]></N>
            <NIC>False</NIC>
            <CCC>True</CCC>
            <T><![CDATA[MOB-1]]></T>
            <TIC>False</TIC>
            <BST>8</BST>
            <CST>-1</CST>
            <PTMN>0</PTMN>
            <PTMCN>0</PTMCN>
            <SPTMCN>0</SPTMCN>
            <SPTMCERN/>
            <V>0</V>
            <ST>-4167</ST>
            <IPS>False</IPS>
            <IMIS>False</IMIS>
            <IMES>False</IMES>
            <AA>False</AA>
            <IC>False</IC>
            <TRC>4</TRC>
          </ShtProps>
          <ModComps>
            <ModComp>
              <ModCompProps>
                <MN>18</MN>
                <MCN>4</MCN>
                <SN>44</SN>
              </ModCompProps>
            </ModComp>
          </ModComps>
        </Sht>
        <Sht>
          <ShtProps>
            <N><![CDATA[ACT_8_LU]]></N>
            <NIC>False</NIC>
            <CCC>True</CCC>
            <T><![CDATA[MOB-2]]></T>
            <TIC>False</TIC>
            <BST>8</BST>
            <CST>-1</CST>
            <PTMN>0</PTMN>
            <PTMCN>0</PTMCN>
            <SPTMCN>0</SPTMCN>
            <SPTMCERN/>
            <V>0</V>
            <ST>-4167</ST>
            <IPS>False</IPS>
            <IMIS>False</IMIS>
            <IMES>False</IMES>
            <AA>False</AA>
            <IC>False</IC>
            <TRC>4</TRC>
          </ShtProps>
          <ModComps>
            <ModComp>
              <ModCompProps>
                <MN>19</MN>
                <MCN>4</MCN>
                <SN>45</SN>
              </ModCompProps>
            </ModComp>
          </ModComps>
        </Sht>
        <Sht>
          <ShtProps>
            <N><![CDATA[ACT_9_LU]]></N>
            <NIC>False</NIC>
            <CCC>True</CCC>
            <T><![CDATA[MOB-3]]></T>
            <TIC>False</TIC>
            <BST>8</BST>
            <CST>-1</CST>
            <PTMN>0</PTMN>
            <PTMCN>0</PTMCN>
            <SPTMCN>0</SPTMCN>
            <SPTMCERN/>
            <V>0</V>
            <ST>-4167</ST>
            <IPS>False</IPS>
            <IMIS>False</IMIS>
            <IMES>False</IMES>
            <AA>False</AA>
            <IC>False</IC>
            <TRC>4</TRC>
          </ShtProps>
          <ModComps>
            <ModComp>
              <ModCompProps>
                <MN>20</MN>
                <MCN>4</MCN>
                <SN>46</SN>
              </ModCompProps>
            </ModComp>
          </ModComps>
        </Sht>
        <Sht>
          <ShtProps>
            <N><![CDATA[ACT_10_LU]]></N>
            <NIC>False</NIC>
            <CCC>True</CCC>
            <T><![CDATA[MOB-4]]></T>
            <TIC>False</TIC>
            <BST>8</BST>
            <CST>-1</CST>
            <PTMN>0</PTMN>
            <PTMCN>0</PTMCN>
            <SPTMCN>0</SPTMCN>
            <SPTMCERN/>
            <V>0</V>
            <ST>-4167</ST>
            <IPS>False</IPS>
            <IMIS>False</IMIS>
            <IMES>False</IMES>
            <AA>False</AA>
            <IC>False</IC>
            <TRC>4</TRC>
          </ShtProps>
          <ModComps>
            <ModComp>
              <ModCompProps>
                <MN>21</MN>
                <MCN>4</MCN>
                <SN>47</SN>
              </ModCompProps>
            </ModComp>
          </ModComps>
        </Sht>
        <Sht>
          <ShtProps>
            <N><![CDATA[ACT_11_LU]]></N>
            <NIC>False</NIC>
            <CCC>True</CCC>
            <T><![CDATA[ROUND1- TEAM CONFIGURATION A]]></T>
            <TIC>False</TIC>
            <BST>8</BST>
            <CST>-1</CST>
            <PTMN>0</PTMN>
            <PTMCN>0</PTMCN>
            <SPTMCN>0</SPTMCN>
            <SPTMCERN/>
            <V>0</V>
            <ST>-4167</ST>
            <IPS>False</IPS>
            <IMIS>False</IMIS>
            <IMES>False</IMES>
            <AA>False</AA>
            <IC>False</IC>
            <TRC>4</TRC>
          </ShtProps>
          <ModComps>
            <ModComp>
              <ModCompProps>
                <MN>22</MN>
                <MCN>4</MCN>
                <SN>48</SN>
              </ModCompProps>
            </ModComp>
          </ModComps>
        </Sht>
        <Sht>
          <ShtProps>
            <N><![CDATA[ACT_12_LU]]></N>
            <NIC>False</NIC>
            <CCC>True</CCC>
            <T><![CDATA[ROUND1- TEAM CONFIGURATION B]]></T>
            <TIC>False</TIC>
            <BST>8</BST>
            <CST>-1</CST>
            <PTMN>0</PTMN>
            <PTMCN>0</PTMCN>
            <SPTMCN>0</SPTMCN>
            <SPTMCERN/>
            <V>0</V>
            <ST>-4167</ST>
            <IPS>False</IPS>
            <IMIS>False</IMIS>
            <IMES>False</IMES>
            <AA>False</AA>
            <IC>False</IC>
            <TRC>4</TRC>
          </ShtProps>
          <ModComps>
            <ModComp>
              <ModCompProps>
                <MN>23</MN>
                <MCN>4</MCN>
                <SN>49</SN>
              </ModCompProps>
            </ModComp>
          </ModComps>
        </Sht>
        <Sht>
          <ShtProps>
            <N><![CDATA[ACT_26_LU]]></N>
            <NIC>False</NIC>
            <CCC>True</CCC>
            <T><![CDATA[ROUND1- FIELD SUPERVISION]]></T>
            <TIC>False</TIC>
            <BST>8</BST>
            <CST>-1</CST>
            <PTMN>0</PTMN>
            <PTMCN>0</PTMCN>
            <SPTMCN>0</SPTMCN>
            <SPTMCERN/>
            <V>0</V>
            <ST>-4167</ST>
            <IPS>False</IPS>
            <IMIS>False</IMIS>
            <IMES>False</IMES>
            <AA>False</AA>
            <IC>False</IC>
            <TRC>4</TRC>
          </ShtProps>
          <ModComps>
            <ModComp>
              <ModCompProps>
                <MN>24</MN>
                <MCN>4</MCN>
                <SN>50</SN>
              </ModCompProps>
            </ModComp>
          </ModComps>
        </Sht>
        <Sht>
          <ShtProps>
            <N><![CDATA[ACT_13_LU]]></N>
            <NIC>False</NIC>
            <CCC>True</CCC>
            <T><![CDATA[ROUND1- HQ SUPPORT]]></T>
            <TIC>False</TIC>
            <BST>8</BST>
            <CST>-1</CST>
            <PTMN>0</PTMN>
            <PTMCN>0</PTMCN>
            <SPTMCN>0</SPTMCN>
            <SPTMCERN/>
            <V>0</V>
            <ST>-4167</ST>
            <IPS>False</IPS>
            <IMIS>False</IMIS>
            <IMES>False</IMES>
            <AA>False</AA>
            <IC>False</IC>
            <TRC>4</TRC>
          </ShtProps>
          <ModComps>
            <ModComp>
              <ModCompProps>
                <MN>25</MN>
                <MCN>4</MCN>
                <SN>51</SN>
              </ModCompProps>
            </ModComp>
          </ModComps>
        </Sht>
        <Sht>
          <ShtProps>
            <N><![CDATA[ACT_23_LU]]></N>
            <NIC>False</NIC>
            <CCC>True</CCC>
            <T><![CDATA[ROUND 1 - ADDITIONAL ACTIVITY]]></T>
            <TIC>False</TIC>
            <BST>8</BST>
            <CST>-1</CST>
            <PTMN>0</PTMN>
            <PTMCN>0</PTMCN>
            <SPTMCN>0</SPTMCN>
            <SPTMCERN/>
            <V>0</V>
            <ST>-4167</ST>
            <IPS>False</IPS>
            <IMIS>False</IMIS>
            <IMES>False</IMES>
            <AA>False</AA>
            <IC>False</IC>
            <TRC>4</TRC>
          </ShtProps>
          <ModComps>
            <ModComp>
              <ModCompProps>
                <MN>26</MN>
                <MCN>4</MCN>
                <SN>52</SN>
              </ModCompProps>
            </ModComp>
          </ModComps>
        </Sht>
        <Sht>
          <ShtProps>
            <N><![CDATA[ACT_14_LU]]></N>
            <NIC>False</NIC>
            <CCC>True</CCC>
            <T><![CDATA[ROUND2- TEAM CONFIGURATION A]]></T>
            <TIC>False</TIC>
            <BST>8</BST>
            <CST>-1</CST>
            <PTMN>0</PTMN>
            <PTMCN>0</PTMCN>
            <SPTMCN>0</SPTMCN>
            <SPTMCERN/>
            <V>0</V>
            <ST>-4167</ST>
            <IPS>False</IPS>
            <IMIS>False</IMIS>
            <IMES>False</IMES>
            <AA>False</AA>
            <IC>False</IC>
            <TRC>4</TRC>
          </ShtProps>
          <ModComps>
            <ModComp>
              <ModCompProps>
                <MN>27</MN>
                <MCN>4</MCN>
                <SN>53</SN>
              </ModCompProps>
            </ModComp>
          </ModComps>
        </Sht>
        <Sht>
          <ShtProps>
            <N><![CDATA[ACT_15_LU]]></N>
            <NIC>False</NIC>
            <CCC>True</CCC>
            <T><![CDATA[ROUND2- TEAM CONFIGURATION B]]></T>
            <TIC>False</TIC>
            <BST>8</BST>
            <CST>-1</CST>
            <PTMN>0</PTMN>
            <PTMCN>0</PTMCN>
            <SPTMCN>0</SPTMCN>
            <SPTMCERN/>
            <V>0</V>
            <ST>-4167</ST>
            <IPS>False</IPS>
            <IMIS>False</IMIS>
            <IMES>False</IMES>
            <AA>False</AA>
            <IC>False</IC>
            <TRC>4</TRC>
          </ShtProps>
          <ModComps>
            <ModComp>
              <ModCompProps>
                <MN>28</MN>
                <MCN>4</MCN>
                <SN>54</SN>
              </ModCompProps>
            </ModComp>
          </ModComps>
        </Sht>
        <Sht>
          <ShtProps>
            <N><![CDATA[ACT_16_LU]]></N>
            <NIC>False</NIC>
            <CCC>True</CCC>
            <T><![CDATA[ROUND2-FIELD SUPERVISION]]></T>
            <TIC>False</TIC>
            <BST>8</BST>
            <CST>-1</CST>
            <PTMN>0</PTMN>
            <PTMCN>0</PTMCN>
            <SPTMCN>0</SPTMCN>
            <SPTMCERN/>
            <V>0</V>
            <ST>-4167</ST>
            <IPS>False</IPS>
            <IMIS>False</IMIS>
            <IMES>False</IMES>
            <AA>False</AA>
            <IC>False</IC>
            <TRC>4</TRC>
          </ShtProps>
          <ModComps>
            <ModComp>
              <ModCompProps>
                <MN>29</MN>
                <MCN>4</MCN>
                <SN>55</SN>
              </ModCompProps>
            </ModComp>
          </ModComps>
        </Sht>
        <Sht>
          <ShtProps>
            <N><![CDATA[ACT_24_LU]]></N>
            <NIC>False</NIC>
            <CCC>True</CCC>
            <T><![CDATA[ROUND2HQ SUPPORT]]></T>
            <TIC>False</TIC>
            <BST>8</BST>
            <CST>-1</CST>
            <PTMN>0</PTMN>
            <PTMCN>0</PTMCN>
            <SPTMCN>0</SPTMCN>
            <SPTMCERN/>
            <V>0</V>
            <ST>-4167</ST>
            <IPS>False</IPS>
            <IMIS>False</IMIS>
            <IMES>False</IMES>
            <AA>False</AA>
            <IC>False</IC>
            <TRC>4</TRC>
          </ShtProps>
          <ModComps>
            <ModComp>
              <ModCompProps>
                <MN>30</MN>
                <MCN>4</MCN>
                <SN>56</SN>
              </ModCompProps>
            </ModComp>
          </ModComps>
        </Sht>
        <Sht>
          <ShtProps>
            <N><![CDATA[Count_LU]]></N>
            <NIC>False</NIC>
            <CCC>True</CCC>
            <T><![CDATA[Counts]]></T>
            <TIC>False</TIC>
            <BST>8</BST>
            <CST>-1</CST>
            <PTMN>0</PTMN>
            <PTMCN>0</PTMCN>
            <SPTMCN>0</SPTMCN>
            <SPTMCERN/>
            <V>0</V>
            <ST>-4167</ST>
            <IPS>False</IPS>
            <IMIS>False</IMIS>
            <IMES>False</IMES>
            <AA>False</AA>
            <IC>False</IC>
            <TRC>4</TRC>
          </ShtProps>
          <ModComps>
            <ModComp>
              <ModCompProps>
                <MN>4</MN>
                <MCN>5</MCN>
                <SN>57</SN>
              </ModCompProps>
            </ModComp>
          </ModComps>
        </Sht>
        <Sht>
          <ShtProps>
            <N><![CDATA[Vacc_LU]]></N>
            <NIC>False</NIC>
            <CCC>True</CCC>
            <T><![CDATA[Vaccine]]></T>
            <TIC>False</TIC>
            <BST>8</BST>
            <CST>-1</CST>
            <PTMN>0</PTMN>
            <PTMCN>0</PTMCN>
            <SPTMCN>0</SPTMCN>
            <SPTMCERN/>
            <V>0</V>
            <ST>-4167</ST>
            <IPS>False</IPS>
            <IMIS>False</IMIS>
            <IMES>False</IMES>
            <AA>False</AA>
            <IC>False</IC>
            <TRC>4</TRC>
          </ShtProps>
          <ModComps>
            <ModComp>
              <ModCompProps>
                <MN>33</MN>
                <MCN>5</MCN>
                <SN>58</SN>
              </ModCompProps>
            </ModComp>
          </ModComps>
        </Sht>
        <Sht>
          <ShtProps>
            <N><![CDATA[ACT_17_LU]]></N>
            <NIC>False</NIC>
            <CCC>True</CCC>
            <T><![CDATA[TRAIN-TOT]]></T>
            <TIC>False</TIC>
            <BST>8</BST>
            <CST>-1</CST>
            <PTMN>0</PTMN>
            <PTMCN>0</PTMCN>
            <SPTMCN>0</SPTMCN>
            <SPTMCERN/>
            <V>0</V>
            <ST>-4167</ST>
            <IPS>False</IPS>
            <IMIS>False</IMIS>
            <IMES>False</IMES>
            <AA>False</AA>
            <IC>False</IC>
            <TRC>4</TRC>
          </ShtProps>
          <ModComps>
            <ModComp>
              <ModCompProps>
                <MN>10</MN>
                <MCN>4</MCN>
                <SN>59</SN>
              </ModCompProps>
            </ModComp>
          </ModComps>
        </Sht>
        <Sht>
          <ShtProps>
            <N><![CDATA[ACT_18_LU]]></N>
            <NIC>False</NIC>
            <CCC>True</CCC>
            <T><![CDATA[TRAIN-TOVacc]]></T>
            <TIC>False</TIC>
            <BST>8</BST>
            <CST>-1</CST>
            <PTMN>0</PTMN>
            <PTMCN>0</PTMCN>
            <SPTMCN>0</SPTMCN>
            <SPTMCERN/>
            <V>0</V>
            <ST>-4167</ST>
            <IPS>False</IPS>
            <IMIS>False</IMIS>
            <IMES>False</IMES>
            <AA>False</AA>
            <IC>False</IC>
            <TRC>4</TRC>
          </ShtProps>
          <ModComps>
            <ModComp>
              <ModCompProps>
                <MN>11</MN>
                <MCN>4</MCN>
                <SN>60</SN>
              </ModCompProps>
            </ModComp>
          </ModComps>
        </Sht>
        <Sht>
          <ShtProps>
            <N><![CDATA[ACT_19_LU]]></N>
            <NIC>False</NIC>
            <CCC>True</CCC>
            <T><![CDATA[TRAIN-TOVacc2]]></T>
            <TIC>False</TIC>
            <BST>8</BST>
            <CST>-1</CST>
            <PTMN>0</PTMN>
            <PTMCN>0</PTMCN>
            <SPTMCN>0</SPTMCN>
            <SPTMCERN/>
            <V>0</V>
            <ST>-4167</ST>
            <IPS>False</IPS>
            <IMIS>False</IMIS>
            <IMES>False</IMES>
            <AA>False</AA>
            <IC>False</IC>
            <TRC>4</TRC>
          </ShtProps>
          <ModComps>
            <ModComp>
              <ModCompProps>
                <MN>12</MN>
                <MCN>4</MCN>
                <SN>61</SN>
              </ModCompProps>
            </ModComp>
          </ModComps>
        </Sht>
        <Sht>
          <ShtProps>
            <N><![CDATA[ACT_20_LU]]></N>
            <NIC>False</NIC>
            <CCC>True</CCC>
            <T><![CDATA[TRAIN-TOVol]]></T>
            <TIC>False</TIC>
            <BST>8</BST>
            <CST>-1</CST>
            <PTMN>0</PTMN>
            <PTMCN>0</PTMCN>
            <SPTMCN>0</SPTMCN>
            <SPTMCERN/>
            <V>0</V>
            <ST>-4167</ST>
            <IPS>False</IPS>
            <IMIS>False</IMIS>
            <IMES>False</IMES>
            <AA>False</AA>
            <IC>False</IC>
            <TRC>4</TRC>
          </ShtProps>
          <ModComps>
            <ModComp>
              <ModCompProps>
                <MN>13</MN>
                <MCN>4</MCN>
                <SN>62</SN>
              </ModCompProps>
            </ModComp>
          </ModComps>
        </Sht>
        <Sht>
          <ShtProps>
            <N><![CDATA[ACT_25_LU]]></N>
            <NIC>False</NIC>
            <CCC>True</CCC>
            <T><![CDATA[PLUG_ACTIVITY]]></T>
            <TIC>False</TIC>
            <BST>8</BST>
            <CST>-1</CST>
            <PTMN>0</PTMN>
            <PTMCN>0</PTMCN>
            <SPTMCN>0</SPTMCN>
            <SPTMCERN/>
            <V>0</V>
            <ST>-4167</ST>
            <IPS>False</IPS>
            <IMIS>False</IMIS>
            <IMES>False</IMES>
            <AA>False</AA>
            <IC>False</IC>
            <TRC>4</TRC>
          </ShtProps>
          <ModComps>
            <ModComp>
              <ModCompProps>
                <MN>14</MN>
                <MCN>4</MCN>
                <SN>63</SN>
              </ModCompProps>
            </ModComp>
          </ModComps>
        </Sht>
        <Sht>
          <ShtProps>
            <N><![CDATA[RES_LU]]></N>
            <NIC>False</NIC>
            <CCC>True</CCC>
            <T><![CDATA[RESOURCES]]></T>
            <TIC>False</TIC>
            <BST>8</BST>
            <CST>-1</CST>
            <PTMN>0</PTMN>
            <PTMCN>0</PTMCN>
            <SPTMCN>0</SPTMCN>
            <SPTMCERN/>
            <V>0</V>
            <ST>-4167</ST>
            <IPS>False</IPS>
            <IMIS>False</IMIS>
            <IMES>False</IMES>
            <AA>False</AA>
            <IC>False</IC>
            <TRC>4</TRC>
          </ShtProps>
          <ModComps>
            <ModComp>
              <ModCompProps>
                <MN>3</MN>
                <MCN>3</MCN>
                <SN>64</SN>
              </ModCompProps>
            </ModComp>
          </ModComps>
        </Sht>
        <Sht>
          <ShtProps>
            <N><![CDATA[Step4_SC]]></N>
            <NIC>True</NIC>
            <CCC>False</CCC>
            <T><![CDATA[Step 4: Results and Analysis]]></T>
            <TIC>True</TIC>
            <BST>2</BST>
            <CST>-1</CST>
            <PTMN>0</PTMN>
            <PTMCN>0</PTMCN>
            <SPTMCN>0</SPTMCN>
            <SPTMCERN/>
            <V>-1</V>
            <ST>-4167</ST>
            <IPS>False</IPS>
            <IMIS>False</IMIS>
            <IMES>False</IMES>
            <AA>False</AA>
            <IC>False</IC>
            <TRC>4</TRC>
          </ShtProps>
        </Sht>
        <Sht>
          <ShtProps>
            <N><![CDATA[Summary_BO]]></N>
            <NIC>True</NIC>
            <CCC>False</CCC>
            <T><![CDATA[Summary of Outputs and Costs (Summary_BO)]]></T>
            <TIC>False</TIC>
            <BST>6</BST>
            <CST>-1</CST>
            <PTMN>0</PTMN>
            <PTMCN>0</PTMCN>
            <SPTMCN>0</SPTMCN>
            <SPTMCERN/>
            <V>-1</V>
            <ST>-4167</ST>
            <IPS>False</IPS>
            <IMIS>False</IMIS>
            <IMES>False</IMES>
            <AA>False</AA>
            <IC>False</IC>
            <TRC>4</TRC>
          </ShtProps>
        </Sht>
        <Sht>
          <ShtProps>
            <N><![CDATA[Analysis_P_BO]]></N>
            <NIC>True</NIC>
            <CCC>False</CCC>
            <T><![CDATA[Analysis]]></T>
            <TIC>False</TIC>
            <BST>6</BST>
            <CST>-1</CST>
            <PTMN>0</PTMN>
            <PTMCN>0</PTMCN>
            <SPTMCN>0</SPTMCN>
            <SPTMCERN/>
            <V>-1</V>
            <ST>-4167</ST>
            <IPS>True</IPS>
            <IMIS>False</IMIS>
            <IMES>False</IMES>
            <AA>False</AA>
            <IC>False</IC>
            <TRC>4</TRC>
          </ShtProps>
        </Sht>
        <Sht>
          <ShtProps>
            <N><![CDATA[Appendix_SC]]></N>
            <NIC>True</NIC>
            <CCC>False</CCC>
            <T><![CDATA[Appendices]]></T>
            <TIC>True</TIC>
            <BST>2</BST>
            <CST>-1</CST>
            <PTMN>0</PTMN>
            <PTMCN>0</PTMCN>
            <SPTMCN>0</SPTMCN>
            <SPTMCERN/>
            <V>-1</V>
            <ST>-4167</ST>
            <IPS>False</IPS>
            <IMIS>False</IMIS>
            <IMES>False</IMES>
            <AA>False</AA>
            <IC>False</IC>
            <TRC>4</TRC>
          </ShtProps>
        </Sht>
        <Sht>
          <ShtProps>
            <N><![CDATA[Chks_BO]]></N>
            <NIC>False</NIC>
            <CCC>True</CCC>
            <T><![CDATA[Checks]]></T>
            <TIC>False</TIC>
            <BST>6</BST>
            <CST>-1</CST>
            <PTMN>0</PTMN>
            <PTMCN>0</PTMCN>
            <SPTMCN>0</SPTMCN>
            <SPTMCERN/>
            <V>-1</V>
            <ST>-4167</ST>
            <IPS>False</IPS>
            <IMIS>False</IMIS>
            <IMES>False</IMES>
            <AA>False</AA>
            <IC>False</IC>
            <TRC>4</TRC>
          </ShtProps>
          <ModComps>
            <ModComp>
              <ModCompProps>
                <MN>31</MN>
                <MCN>1</MCN>
                <SN>69</SN>
              </ModCompProps>
            </ModComp>
            <ModComp>
              <ModCompProps>
                <MN>32</MN>
                <MCN>1</MCN>
                <SN>69</SN>
              </ModCompProps>
            </ModComp>
          </ModComps>
        </Sht>
      </Shts>
      <Mods>
        <Mod>
          <ModProps>
            <MVS>10.16.9.0</MVS>
            <RAV/>
            <RXV>0</RXV>
            <FV>3</FV>
            <MT>3</MT>
            <SCT>-1</SCT>
            <P><![CDATA[TS]]></P>
            <OI>0</OI>
            <MN>0</MN>
            <MAG>560313AD-F472-4E44-887C-A1C659521551</MAG>
            <BN><![CDATA[Time Series]]></BN>
            <N><![CDATA[Time Series]]></N>
            <TS><![CDATA[Annual]]></TS>
            <D><![CDATA[Facilitates the analysis of data over an assumed number of whole years.]]></D>
            <FS><![CDATA[Provides time series period titles based on assumptions including the financial year end, first financial year and term in years. Also collects denomination assumptions.]]></FS>
            <R><![CDATA[Any]]></R>
            <GE/>
            <CA/>
            <VA/>
            <GST/>
            <DE><![CDATA[Best Practice Modelling]]></DE>
            <E><![CDATA[info@bpmglobal.com]]></E>
            <C><![CDATA[Best Practice Modelling]]></C>
            <W><![CDATA[www.bestpracticemodelling.com/resources/knowledge/time_series]]></W>
            <K><![CDATA[BPM, Best Practice Modelling, Standards, bpmToolbox, bpmModules, Time Series]]></K>
            <CO><![CDATA[Does not allow for partial years.&#10;Does not allow for multiple periodicities or time frames.]]></CO>
            <V>7.6.2.1.</V>
            <AX/>
            <PMLO>False</PMLO>
            <IPMLO>False</IPMLO>
            <MACA>1</MACA>
            <RTSM>False</RTSM>
            <CC>True</CC>
            <X>False</X>
            <G>14EB4A33-1D3E-4E8E-B2C4-865AF585685F</G>
          </ModProps>
          <RowStgs>
            <RowStg>
              <RowStgProps>
                <RSN>1</RSN>
                <RHST>1</RHST>
                <HS>150</HS>
                <OL>1</OL>
                <RH>False</RH>
              </RowStgProps>
            </RowStg>
            <RowStg>
              <RowStgProps>
                <RSN>2</RSN>
                <RHST>0</RHST>
                <HS>0</HS>
                <OL>3</OL>
                <RH>False</RH>
              </RowStgProps>
            </RowStg>
            <RowStg>
              <RowStgProps>
                <RSN>3</RSN>
                <RHST>2</RHST>
                <HS>15.75</HS>
                <OL>1</OL>
                <RH>False</RH>
              </RowStgProps>
            </RowStg>
            <RowStg>
              <RowStgProps>
                <RSN>4</RSN>
                <RHST>1</RHST>
                <HS>150</HS>
                <OL>1</OL>
                <RH>True</RH>
              </RowStgProps>
            </RowStg>
            <RowStg>
              <RowStgProps>
                <RSN>5</RSN>
                <RHST>1</RHST>
                <HS>150</HS>
                <OL>2</OL>
                <RH>False</RH>
              </RowStgProps>
            </RowStg>
            <RowStg>
              <RowStgProps>
                <RSN>6</RSN>
                <RHST>0</RHST>
                <HS>0</HS>
                <OL>3</OL>
                <RH>True</RH>
              </RowStgProps>
            </RowStg>
          </RowStgs>
          <StlOvlys>
            <StlOvly>
              <StlOvlyProps>
                <SON>1</SON>
              </StlOvlyProps>
              <BdrOvlys>
                <BdrOvly>
                  <BdrOvlyProps>
                    <PT>1</PT>
                    <SON>1</SON>
                    <CBPLI/>
                    <FCN>0</FCN>
                    <I>True</I>
                    <BI>9</BI>
                    <LS>1</LS>
                    <W>2</W>
                  </BdrOvlyProps>
                </BdrOvly>
              </BdrOvlys>
            </StlOvly>
            <StlOvly>
              <StlOvlyProps>
                <SON>2</SON>
                <IHA>True</IHA>
                <HA>-4108</HA>
              </StlOvlyProps>
            </StlOvly>
            <StlOvly>
              <StlOvlyProps>
                <SON>3</SON>
                <INF>True</INF>
                <NT>0</NT>
                <DP>0</DP>
                <CNF/>
              </StlOvlyProps>
            </StlOvly>
            <StlOvly>
              <StlOvlyProps>
                <SON>4</SON>
              </StlOvlyProps>
              <FntOvly>
                <FntOvlyProps>
                  <PT>1</PT>
                  <SON>4</SON>
                  <CBPLI>0,0,0,0,0</CBPLI>
                  <FCN>0</FCN>
                  <CN>0</CN>
                  <IC>True</IC>
                  <CT>-2</CT>
                  <CNU>0</CNU>
                  <CPR>0</CPR>
                  <TAS>0</TAS>
                </FntOvlyProps>
              </FntOvly>
            </StlOvly>
            <StlOvly>
              <StlOvlyProps>
                <SON>5</SON>
                <INF>True</INF>
                <IHA>True</IHA>
                <NT>4</NT>
                <DP>0</DP>
                <CNF/>
                <HA>-4152</HA>
              </StlOvlyProps>
              <BdrOvlys>
                <BdrOvly>
                  <BdrOvlyProps>
                    <PT>1</PT>
                    <SON>5</SON>
                    <CBPLI/>
                    <FCN>0</FCN>
                    <I>True</I>
                    <BI>9</BI>
                    <LS>1</LS>
                    <W>2</W>
                  </BdrOvlyProps>
                </BdrOvly>
              </BdrOvlys>
            </StlOvly>
            <StlOvly>
              <StlOvlyProps>
                <SON>6</SON>
                <INF>True</INF>
                <IHA>True</IHA>
                <NT>0</NT>
                <DP>0</DP>
                <CNF/>
                <HA>-4108</HA>
              </StlOvlyProps>
            </StlOvly>
          </StlOvlys>
          <ElmtsGrps>
            <ElmtsGrp>
              <ElmtsGrpProps>
                <NU>1</NU>
                <NA><![CDATA[Month Names]]></NA>
                <EGT>0</EGT>
                <DCC>12</DCC>
                <AST>False</AST>
                <ISTH>True</ISTH>
                <PTMCN>0</PTMCN>
                <PTBN>0</PTBN>
                <PTBI>0</PTBI>
                <GLN/>
                <CLOT>0</CLOT>
                <CLIT>0</CLIT>
                <PMLO>0</PMLO>
                <IPMLO>0</IPMLO>
              </ElmtsGrpProps>
            </ElmtsGrp>
            <ElmtsGrp>
              <ElmtsGrpProps>
                <NU>2</NU>
                <NA><![CDATA[Denomination]]></NA>
                <EGT>0</EGT>
                <DCC>4</DCC>
                <AST>True</AST>
                <ISTH>True</ISTH>
                <PTMCN>0</PTMCN>
                <PTBN>0</PTBN>
                <PTBI>0</PTBI>
                <GLN/>
                <CLOT>0</CLOT>
                <CLIT>0</CLIT>
                <PMLO>0</PMLO>
                <IPMLO>0</IPMLO>
              </ElmtsGrpProps>
            </ElmtsGrp>
            <ElmtsGrp>
              <ElmtsGrpProps>
                <NU>3</NU>
                <NA><![CDATA[Month Days]]></NA>
                <EGT>0</EGT>
                <DCC>31</DCC>
                <AST>False</AST>
                <ISTH>True</ISTH>
                <PTMCN>0</PTMCN>
                <PTBN>0</PTBN>
                <PTBI>0</PTBI>
                <GLN/>
                <CLOT>0</CLOT>
                <CLIT>0</CLIT>
                <PMLO>0</PMLO>
                <IPMLO>0</IPMLO>
              </ElmtsGrpProps>
            </ElmtsGrp>
            <ElmtsGrp>
              <ElmtsGrpProps>
                <NU>4</NU>
                <NA><![CDATA[Periods In Periods]]></NA>
                <EGT>0</EGT>
                <DCC>6</DCC>
                <AST>False</AST>
                <ISTH>True</ISTH>
                <PTMCN>0</PTMCN>
                <PTBN>0</PTBN>
                <PTBI>0</PTBI>
                <GLN/>
                <CLOT>0</CLOT>
                <CLIT>0</CLIT>
                <PMLO>0</PMLO>
                <IPMLO>0</IPMLO>
              </ElmtsGrpProps>
            </ElmtsGrp>
          </ElmtsGrps>
          <ModComps>
            <ModComp>
              <ModCompProps>
                <MN>1</MN>
                <MCN>1</MCN>
                <MCTK>BaseCase</MCTK>
                <RT><![CDATA[<ModuleName> - Assumptions]]></RT>
                <ERN>BPMMC1</ERN>
                <MCST>0</MCST>
                <IPMC>False</IPMC>
                <SN>4</SN>
                <LODS>False</LODS>
                <LST>False</LST>
                <HS>False</HS>
                <IBOA>0</IBOA>
                <IB>False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Primary Periodicity]]></VOFFF>
                              </ClmnBlkPtProps>
                            </ClmnBlkPt>
                          </ClmnBlkPts>
                        </ClmnBlk>
                        <ClmnBlk>
                          <ClmnBlkProps>
                            <FCPT>0</FCPT>
                            <FCN>8</FCN>
                            <LCPT>0</LCPT>
                            <LCN>9</LCN>
                          </ClmnBlkProps>
                          <ClmnBlkPts>
                            <ClmnBlkPt>
                              <ClmnBlkPtProps>
                                <CBPT>5</CBPT>
                                <ST>6</ST>
                                <SON>2</SON>
                                <MC>True</MC>
                                <VOFFF><![CDATA[Annual]]></VOFFF>
                              </ClmnBlkPtProps>
                            </ClmnBlkPt>
                          </ClmnBlkPts>
                        </ClmnBlk>
                      </ClmnBlks>
                      <TtlCtg>
                        <TtlCtgProps>
                          <R>1</R>
                        </TtlCtgProps>
                      </TtlCtg>
                    </Elmt>
                    <Elmt>
                      <ElmtProps>
                        <CPT>2</CPT>
                      </ElmtProps>
                      <ClmnBlks>
                        <ClmnBlk>
                          <ClmnBlkProps>
                            <FCPT>0</FCPT>
                            <FCN>3</FCN>
                            <LCPT>0</LCPT>
                            <LCN>3</LCN>
                          </ClmnBlkProps>
                          <ClmnBlkPts>
                            <ClmnBlkPt>
                              <ClmnBlkPtProps>
                                <CBPT>5</CBPT>
                                <ST>6</ST>
                                <VOFFF><![CDATA[Financial Year End]]></VOFFF>
                              </ClmnBlkPtProps>
                            </ClmnBlkPt>
                          </ClmnBlkPts>
                        </ClmnBlk>
                        <ClmnBlk>
                          <ClmnBlkProps>
                            <FCPT>0</FCPT>
                            <FCN>8</FCN>
                            <LCPT>0</LCPT>
                            <LCN>8</LCN>
                          </ClmnBlkProps>
                          <ClmnBlkPts>
                            <ClmnBlkPt>
                              <ClmnBlkPtProps>
                                <CBPT>5</CBPT>
                                <ST>15</ST>
                                <SON>4</SON>
                                <VOFFF><![CDATA[12]]></VOFFF>
                                <UDAV><![CDATA[12]]></UDAV>
                              </ClmnBlkPtProps>
                              <Vdtn>
                                <VdtnProps>
                                  <CBPLI>1,1,6,2,1</CBPLI>
                                  <ADVT>-1</ADVT>
                                  <VT>1</VT>
                                  <AS>1</AS>
                                  <O>1</O>
                                  <F1FFF><![CDATA[1]]></F1FFF>
                                  <F2FFF><![CDATA[=ROWS(§A¿1,1,2,1,11,0,1,1,1§Z¿)]]></F2FFF>
                                  <IB>False</IB>
                                  <ICDD>False</ICDD>
                                  <SI>False</SI>
                                  <IT/>
                                  <IM/>
                                  <SE>True</SE>
                                  <ET><![CDATA[Drop Down Box Cell Link]]></ET>
                                  <EM><![CDATA[The value in a drop down box cell link must be a whole number within the control's lookup range rows.]]></EM>
                                  <IMO>0</IMO>
                                </VdtnProps>
                              </Vdtn>
                              <RgeNmes>
                                <RgeNme>
                                  <RgeNmeProps>
                                    <CBPLI>1,1,6,2,1</CBPLI>
                                    <MCN>1</MCN>
                                    <SN>1</SN>
                                    <EN>6</EN>
                                    <CN>0</CN>
                                    <CBN>2</CBN>
                                    <CBPN>1</CBPN>
                                    <PT>1</PT>
                                    <CBPRNT>6</CBPRNT>
                                    <NT>3</NT>
                                    <SP1><![CDATA[Fin_Yr_End_Mth]]></SP1>
                                    <SP2/>
                                    <FFF/>
                                    <CMT/>
                                  </RgeNmeProps>
                                </RgeNme>
                              </RgeNmes>
                            </ClmnBlkPt>
                          </ClmnBlkPts>
                        </ClmnBlk>
                      </ClmnBlks>
                      <TtlCtg>
                        <TtlCtgProps>
                          <R>3</R>
                        </TtlCtgProps>
                      </TtlCtg>
                      <ShpNmes>
                        <ShpNme>
                          <ShpNmeProps>
                            <ELI>1,1,6</ELI>
                            <COSTN>0</COSTN>
                            <ST>1</ST>
                            <SNPT>2</SNPT>
                            <N><![CDATA[bpmDropDownTS1]]></N>
                            <SHN>1</SHN>
                            <SHTN>1</SHTN>
                          </ShpNmeProps>
                        </ShpNme>
                      </ShpNmes>
                    </Elmt>
                    <Elmt>
                      <ElmtProps>
                        <CPT>2</CPT>
                      </ElmtProps>
                      <ClmnBlks>
                        <ClmnBlk>
                          <ClmnBlkProps>
                            <FCPT>0</FCPT>
                            <FCN>3</FCN>
                            <LCPT>0</LCPT>
                            <LCN>3</LCN>
                          </ClmnBlkProps>
                          <ClmnBlkPts>
                            <ClmnBlkPt>
                              <ClmnBlkPtProps>
                                <CBPT>5</CBPT>
                                <ST>6</ST>
                                <VOFFF><![CDATA[First Financial Year]]></VOFFF>
                              </ClmnBlkPtProps>
                            </ClmnBlkPt>
                          </ClmnBlkPts>
                        </ClmnBlk>
                        <ClmnBlk>
                          <ClmnBlkProps>
                            <FCPT>0</FCPT>
                            <FCN>8</FCN>
                            <LCPT>0</LCPT>
                            <LCN>9</LCN>
                          </ClmnBlkProps>
                          <ClmnBlkPts>
                            <ClmnBlkPt>
                              <ClmnBlkPtProps>
                                <CBPT>5</CBPT>
                                <ST>9</ST>
                                <SON>2</SON>
                                <MC>True</MC>
                                <VOFFF><![CDATA[2014]]></VOFFF>
                                <UDAV><![CDATA[2014]]></UDAV>
                              </ClmnBlkPtProps>
                              <Vdtn>
                                <VdtnProps>
                                  <CBPLI>1,1,7,2,1</CBPLI>
                                  <ADVT>-1</ADVT>
                                  <VT>1</VT>
                                  <AS>1</AS>
                                  <O>7</O>
                                  <F1FFF><![CDATA[1904]]></F1FFF>
                                  <F2FFF/>
                                  <IB>False</IB>
                                  <ICDD>False</ICDD>
                                  <SI>False</SI>
                                  <IT/>
                                  <IM/>
                                  <SE>True</SE>
                                  <ET><![CDATA[First Financial Year]]></ET>
                                  <EM><![CDATA[The first financial year must be a whole number greater than or equal to 1904.]]></EM>
                                  <IMO>0</IMO>
                                </VdtnProps>
                              </Vdtn>
                              <RgeNmes>
                                <RgeNme>
                                  <RgeNmeProps>
                                    <CBPLI>1,1,7,2,1</CBPLI>
                                    <MCN>1</MCN>
                                    <SN>1</SN>
                                    <EN>7</EN>
                                    <CN>0</CN>
                                    <CBN>2</CBN>
                                    <CBPN>1</CBPN>
                                    <PT>1</PT>
                                    <CBPRNT>6</CBPRNT>
                                    <NT>-1</NT>
                                    <SP1><![CDATA[First_Fin_Yr]]></SP1>
                                    <SP2/>
                                    <FFF/>
                                    <CMT/>
                                  </RgeNmeProps>
                                </RgeNme>
                              </RgeNmes>
                            </ClmnBlkPt>
                          </ClmnBlkPts>
                        </ClmnBlk>
                      </ClmnBlks>
                      <TtlCtg>
                        <TtlCtgProps>
                          <R>1</R>
                        </TtlCtgProps>
                      </TtlCtg>
                    </Elmt>
                    <Elmt>
                      <ElmtProps>
                        <CPT>2</CPT>
                      </ElmtProps>
                      <ClmnBlks>
                        <ClmnBlk>
                          <ClmnBlkProps>
                            <FCPT>0</FCPT>
                            <FCN>3</FCN>
                            <LCPT>0</LCPT>
                            <LCN>3</LCN>
                          </ClmnBlkProps>
                          <ClmnBlkPts>
                            <ClmnBlkPt>
                              <ClmnBlkPtProps>
                                <CBPT>5</CBPT>
                                <ST>6</ST>
                                <VOFFF><![CDATA[Term (Years)]]></VOFFF>
                              </ClmnBlkPtProps>
                            </ClmnBlkPt>
                          </ClmnBlkPts>
                        </ClmnBlk>
                        <ClmnBlk>
                          <ClmnBlkProps>
                            <FCPT>0</FCPT>
                            <FCN>8</FCN>
                            <LCPT>0</LCPT>
                            <LCN>9</LCN>
                          </ClmnBlkProps>
                          <ClmnBlkPts>
                            <ClmnBlkPt>
                              <ClmnBlkPtProps>
                                <CBPT>5</CBPT>
                                <ST>11</ST>
                                <SON>6</SON>
                                <MC>True</MC>
                                <VOFFF><![CDATA[5]]></VOFFF>
                                <UDAV><![CDATA[5]]></UDAV>
                              </ClmnBlkPtProps>
                              <Vdtn>
                                <VdtnProps>
                                  <CBPLI>1,1,8,2,1</CBPLI>
                                  <ADVT>-1</ADVT>
                                  <VT>1</VT>
                                  <AS>1</AS>
                                  <O>5</O>
                                  <F1FFF><![CDATA[0]]></F1FFF>
                                  <F2FFF/>
                                  <IB>False</IB>
                                  <ICDD>False</ICDD>
                                  <SI>False</SI>
                                  <IT/>
                                  <IM/>
                                  <SE>True</SE>
                                  <ET><![CDATA[Term (Years)]]></ET>
                                  <EM><![CDATA[The term must be a whole number of years greater than zero.]]></EM>
                                  <IMO>0</IMO>
                                </VdtnProps>
                              </Vdtn>
                              <RgeNmes>
                                <RgeNme>
                                  <RgeNmeProps>
                                    <CBPLI>1,1,8,2,1</CBPLI>
                                    <MCN>1</MCN>
                                    <SN>1</SN>
                                    <EN>8</EN>
                                    <CN>0</CN>
                                    <CBN>2</CBN>
                                    <CBPN>1</CBPN>
                                    <PT>1</PT>
                                    <CBPRNT>6</CBPRNT>
                                    <NT>-1</NT>
                                    <SP1><![CDATA[Term]]></SP1>
                                    <SP2/>
                                    <FFF/>
                                    <CMT/>
                                  </RgeNmeProps>
                                </RgeNme>
                              </RgeNmes>
                            </ClmnBlkPt>
                          </ClmnBlkPts>
                        </ClmnBlk>
                      </ClmnBlks>
                      <TtlCtg>
                        <TtlCtgProps>
                          <R>4</R>
                        </TtlCtgProps>
                      </TtlCtg>
                    </Elmt>
                    <Elmt>
                      <ElmtProps>
                        <CPT>2</CPT>
                      </ElmtProps>
                      <ClmnBlks>
                        <ClmnBlk>
                          <ClmnBlkProps>
                            <FCPT>0</FCPT>
                            <FCN>3</FCN>
                            <LCPT>0</LCPT>
                            <LCN>3</LCN>
                          </ClmnBlkProps>
                          <ClmnBlkPts>
                            <ClmnBlkPt>
                              <ClmnBlkPtProps>
                                <CBPT>5</CBPT>
                                <ST>6</ST>
                                <VOFFF><![CDATA[Model Start Date]]></VOFFF>
                              </ClmnBlkPtProps>
                            </ClmnBlkPt>
                          </ClmnBlkPts>
                        </ClmnBlk>
                        <ClmnBlk>
                          <ClmnBlkProps>
                            <FCPT>0</FCPT>
                            <FCN>8</FCN>
                            <LCPT>0</LCPT>
                            <LCN>9</LCN>
                          </ClmnBlkProps>
                          <ClmnBlkPts>
                            <ClmnBlkPt>
                              <ClmnBlkPtProps>
                                <CBPT>5</CBPT>
                                <ST>17</ST>
                                <SON>2</SON>
                                <MC>True</MC>
                                <VOFFF><![CDATA[=EDATE(DATE(§A¿1,1,1,1,7,0,2,1,1§Z¿,§A¿1,1,1,1,6,0,2,1,1§Z¿,1),-§A¿1,2,2,1,15,7,1,1,1§Z¿+1)]]></VOFFF>
                              </ClmnBlkPtProps>
                              <RgeNmes>
                                <RgeNme>
                                  <RgeNmeProps>
                                    <CBPLI>1,1,9,2,1</CBPLI>
                                    <MCN>1</MCN>
                                    <SN>1</SN>
                                    <EN>9</EN>
                                    <CN>0</CN>
                                    <CBN>2</CBN>
                                    <CBPN>1</CBPN>
                                    <PT>1</PT>
                                    <CBPRNT>6</CBPRNT>
                                    <NT>-1</NT>
                                    <SP1><![CDATA[Start_Date]]></SP1>
                                    <SP2/>
                                    <FFF/>
                                    <CMT/>
                                  </RgeNmeProps>
                                </RgeNme>
                              </RgeNmes>
                            </ClmnBlkPt>
                          </ClmnBlkPts>
                        </ClmnBlk>
                      </ClmnBlks>
                      <TtlCtg>
                        <TtlCtgProps>
                          <R>5</R>
                        </TtlCtgProps>
                      </TtlCtg>
                    </Elmt>
                    <Elmt>
                      <ElmtProps>
                        <CPT>2</CPT>
                      </ElmtProps>
                      <ClmnBlks>
                        <ClmnBlk>
                          <ClmnBlkProps>
                            <FCPT>0</FCPT>
                            <FCN>3</FCN>
                            <LCPT>0</LCPT>
                            <LCN>3</LCN>
                          </ClmnBlkProps>
                          <ClmnBlkPts>
                            <ClmnBlkPt>
                              <ClmnBlkPtProps>
                                <CBPT>5</CBPT>
                                <ST>6</ST>
                                <VOFFF><![CDATA[Model End Date]]></VOFFF>
                              </ClmnBlkPtProps>
                            </ClmnBlkPt>
                          </ClmnBlkPts>
                        </ClmnBlk>
                        <ClmnBlk>
                          <ClmnBlkProps>
                            <FCPT>0</FCPT>
                            <FCN>8</FCN>
                            <LCPT>0</LCPT>
                            <LCN>9</LCN>
                          </ClmnBlkProps>
                          <ClmnBlkPts>
                            <ClmnBlkPt>
                              <ClmnBlkPtProps>
                                <CBPT>5</CBPT>
                                <ST>17</ST>
                                <SON>2</SON>
                                <MC>True</MC>
                                <VOFFF><![CDATA[=EDATE(§A¿1,1,1,1,9,0,2,1,1§Z¿,§A¿1,1,1,1,8,0,2,1,1§Z¿*§A¿1,2,2,1,15,7,1,1,1§Z¿)-1]]></VOFFF>
                              </ClmnBlkPtProps>
                              <RgeNmes>
                                <RgeNme>
                                  <RgeNmeProps>
                                    <CBPLI>1,1,10,2,1</CBPLI>
                                    <MCN>1</MCN>
                                    <SN>1</SN>
                                    <EN>10</EN>
                                    <CN>0</CN>
                                    <CBN>2</CBN>
                                    <CBPN>1</CBPN>
                                    <PT>1</PT>
                                    <CBPRNT>6</CBPRNT>
                                    <NT>-1</NT>
                                    <SP1><![CDATA[End_Date]]></SP1>
                                    <SP2/>
                                    <FFF/>
                                    <CMT/>
                                  </RgeNmeProps>
                                </RgeNme>
                              </RgeNmes>
                            </ClmnBlkPt>
                          </ClmnBlkPts>
                        </ClmnBlk>
                      </ClmnBlks>
                      <TtlCtg>
                        <TtlCtgProps>
                          <R>5</R>
                        </TtlCtgProps>
                      </TtlCtg>
                    </Elmt>
                    <Elmt>
                      <ElmtProps>
                        <CPT>2</CPT>
                      </ElmtProps>
                      <ClmnBlks>
                        <ClmnBlk>
                          <ClmnBlkProps>
                            <FCPT>0</FCPT>
                            <FCN>3</FCN>
                            <LCPT>0</LCPT>
                            <LCN>3</LCN>
                          </ClmnBlkProps>
                          <ClmnBlkPts>
                            <ClmnBlkPt>
                              <ClmnBlkPtProps>
                                <CBPT>5</CBPT>
                                <ST>6</ST>
                                <VOFFF><![CDATA[Denomination]]></VOFFF>
                              </ClmnBlkPtProps>
                            </ClmnBlkPt>
                          </ClmnBlkPts>
                        </ClmnBlk>
                        <ClmnBlk>
                          <ClmnBlkProps>
                            <FCPT>0</FCPT>
                            <FCN>8</FCN>
                            <LCPT>0</LCPT>
                            <LCN>8</LCN>
                          </ClmnBlkProps>
                          <ClmnBlkPts>
                            <ClmnBlkPt>
                              <ClmnBlkPtProps>
                                <CBPT>5</CBPT>
                                <ST>8</ST>
                                <SON>2</SON>
                                <VOFFF><![CDATA[$]]></VOFFF>
                                <UDAV><![CDATA[$]]></UDAV>
                              </ClmnBlkPtProps>
                              <RgeNmes>
                                <RgeNme>
                                  <RgeNmeProps>
                                    <CBPLI>1,1,11,2,1</CBPLI>
                                    <MCN>1</MCN>
                                    <SN>1</SN>
                                    <EN>11</EN>
                                    <CN>0</CN>
                                    <CBN>2</CBN>
                                    <CBPN>1</CBPN>
                                    <PT>1</PT>
                                    <CBPRNT>6</CBPRNT>
                                    <NT>-1</NT>
                                    <SP1><![CDATA[Currency]]></SP1>
                                    <SP2/>
                                    <FFF/>
                                    <CMT/>
                                  </RgeNmeProps>
                                </RgeNme>
                              </RgeNmes>
                            </ClmnBlkPt>
                          </ClmnBlkPts>
                        </ClmnBlk>
                        <ClmnBlk>
                          <ClmnBlkProps>
                            <FCPT>0</FCPT>
                            <FCN>9</FCN>
                            <LCPT>0</LCPT>
                            <LCN>9</LCN>
                          </ClmnBlkProps>
                          <ClmnBlkPts>
                            <ClmnBlkPt>
                              <ClmnBlkPtProps>
                                <CBPT>5</CBPT>
                                <ST>15</ST>
                                <SON>4</SON>
                                <VOFFF><![CDATA[1]]></VOFFF>
                                <UDAV><![CDATA[1]]></UDAV>
                              </ClmnBlkPtProps>
                              <Vdtn>
                                <VdtnProps>
                                  <CBPLI>1,1,11,3,1</CBPLI>
                                  <ADVT>-1</ADVT>
                                  <VT>1</VT>
                                  <AS>1</AS>
                                  <O>1</O>
                                  <F1FFF><![CDATA[1]]></F1FFF>
                                  <F2FFF><![CDATA[=ROWS(§A¿1,1,2,1,19,0,1,1,1§Z¿)]]></F2FFF>
                                  <IB>False</IB>
                                  <ICDD>False</ICDD>
                                  <SI>False</SI>
                                  <IT/>
                                  <IM/>
                                  <SE>True</SE>
                                  <ET><![CDATA[Drop Down Box Cell Link]]></ET>
                                  <EM><![CDATA[The value in a drop down box cell link must be a whole number within the control's lookup range rows.]]></EM>
                                  <IMO>0</IMO>
                                </VdtnProps>
                              </Vdtn>
                              <RgeNmes>
                                <RgeNme>
                                  <RgeNmeProps>
                                    <CBPLI>1,1,11,3,1</CBPLI>
                                    <MCN>1</MCN>
                                    <SN>1</SN>
                                    <EN>11</EN>
                                    <CN>0</CN>
                                    <CBN>3</CBN>
                                    <CBPN>1</CBPN>
                                    <PT>1</PT>
                                    <CBPRNT>6</CBPRNT>
                                    <NT>3</NT>
                                    <SP1><![CDATA[Denom]]></SP1>
                                    <SP2/>
                                    <FFF/>
                                    <CMT/>
                                  </RgeNmeProps>
                                </RgeNme>
                              </RgeNmes>
                            </ClmnBlkPt>
                          </ClmnBlkPts>
                        </ClmnBlk>
                        <ClmnBlk>
                          <ClmnBlkProps>
                            <FCPT>0</FCPT>
                            <FCN>10</FCN>
                            <LCPT>0</LCPT>
                            <LCN>10</LCN>
                          </ClmnBlkProps>
                          <ClmnBlkPts>
                            <ClmnBlkPt>
                              <ClmnBlkPtProps>
                                <CBPT>5</CBPT>
                                <ST>6</ST>
                                <VOFFF><![CDATA[<-- (units to display)]]></VOFFF>
                              </ClmnBlkPtProps>
                            </ClmnBlkPt>
                          </ClmnBlkPts>
                        </ClmnBlk>
                      </ClmnBlks>
                      <TtlCtg>
                        <TtlCtgProps>
                          <R>3</R>
                        </TtlCtgProps>
                      </TtlCtg>
                      <ShpNmes>
                        <ShpNme>
                          <ShpNmeProps>
                            <ELI>1,1,11</ELI>
                            <COSTN>0</COSTN>
                            <ST>1</ST>
                            <SNPT>2</SNPT>
                            <N><![CDATA[bpmDropDownTS2]]></N>
                            <SHN>2</SHN>
                            <SHTN>2</SHTN>
                          </ShpNmeProps>
                        </ShpNme>
                      </ShpNmes>
                    </Elmt>
                    <Elmt>
                      <ElmtProps>
                        <CPT>2</CPT>
                      </ElmtProps>
                      <ClmnBlks>
                        <ClmnBlk>
                          <ClmnBlkProps>
                            <FCPT>0</FCPT>
                            <FCN>3</FCN>
                            <LCPT>0</LCPT>
                            <LCN>3</LCN>
                          </ClmnBlkProps>
                          <ClmnBlkPts>
                            <ClmnBlkPt>
                              <ClmnBlkPtProps>
                                <CBPT>5</CBPT>
                                <ST>6</ST>
                                <VOFFF><![CDATA[Denomination Conversion Factor]]></VOFFF>
                              </ClmnBlkPtProps>
                            </ClmnBlkPt>
                          </ClmnBlkPts>
                        </ClmnBlk>
                        <ClmnBlk>
                          <ClmnBlkProps>
                            <FCPT>0</FCPT>
                            <FCN>8</FCN>
                            <LCPT>0</LCPT>
                            <LCN>9</LCN>
                          </ClmnBlkProps>
                          <ClmnBlkPts>
                            <ClmnBlkPt>
                              <ClmnBlkPtProps>
                                <CBPT>5</CBPT>
                                <ST>18</ST>
                                <SON>6</SON>
                                <MC>True</MC>
                                <VOFFF><![CDATA[=INDEX(§A¿1,1,2,1,23,0,1,1,1§Z¿,§A¿1,1,1,1,11,0,3,1,1§Z¿)]]></VOFFF>
                              </ClmnBlkPtProps>
                              <RgeNmes>
                                <RgeNme>
                                  <RgeNmeProps>
                                    <CBPLI>1,1,12,2,1</CBPLI>
                                    <MCN>1</MCN>
                                    <SN>1</SN>
                                    <EN>12</EN>
                                    <CN>0</CN>
                                    <CBN>2</CBN>
                                    <CBPN>1</CBPN>
                                    <PT>1</PT>
                                    <CBPRNT>6</CBPRNT>
                                    <NT>-1</NT>
                                    <SP1><![CDATA[Denom_Conv_Fact]]></SP1>
                                    <SP2/>
                                    <FFF/>
                                    <CMT/>
                                  </RgeNmeProps>
                                </RgeNme>
                              </RgeNmes>
                            </ClmnBlkPt>
                          </ClmnBlkPts>
                        </ClmnBlk>
                      </ClmnBlks>
                      <TtlCtg>
                        <TtlCtgProps>
                          <R>4</R>
                        </TtlCtgProps>
                      </TtlCtg>
                    </Elmt>
                  </Elmts>
                </Sect>
              </Sects>
              <Ctrls>
                <Ctrl>
                  <CtrlProps>
                    <MN>1</MN>
                    <MCN>1</MCN>
                    <SIT>0</SIT>
                    <TLCRSN>1</TLCRSN>
                    <TLCREN>6</TLCREN>
                    <TLCRSRT>5</TLCRSRT>
                    <TLCCPT>0</TLCCPT>
                    <TLCCN>8</TLCCN>
                    <TLCCOT>0</TLCCOT>
                    <TLCCOC>0</TLCCOC>
                    <TLCCPTBMCN>0</TLCCPTBMCN>
                    <TLCCPTBN>0</TLCCPTBN>
                    <BRCRSN>1</BRCRSN>
                    <BRCREN>6</BRCREN>
                    <BRCRSRT>5</BRCRSRT>
                    <BRCCPT>0</BRCCPT>
                    <BRCCN>9</BRCCN>
                    <BRCCOT>0</BRCCOT>
                    <BRCCOC>0</BRCCOC>
                    <BRCCPTBMCN>0</BRCCPTBMCN>
                    <BRCCPTBN>0</BRCCPTBN>
                    <P>2</P>
                    <HAL>-4131</HAL>
                    <WA>1</WA>
                    <VA>-4108</VA>
                    <HAD>1</HAD>
                    <TI>0</TI>
                    <CT>0</CT>
                    <N/>
                    <D3DS>False</D3DS>
                    <PO>True</PO>
                    <L>True</L>
                    <OA/>
                    <T/>
                    <THA>-4108</THA>
                    <TVA>-4108</TVA>
                    <LT>True</LT>
                    <LCFFA><![CDATA[§A¿1,1,1,1,6,0,2,1,1§Z¿]]></LCFFA>
                    <CV>1</CV>
                    <MIV>0</MIV>
                    <MAV>100</MAV>
                    <SC>1</SC>
                    <LC>10</LC>
                    <LFRFFA><![CDATA[§A¿1,1,2,1,11,0,1,1,1§Z¿]]></LFRFFA>
                    <DDL>0</DDL>
                  </CtrlProps>
                </Ctrl>
                <Ctrl>
                  <CtrlProps>
                    <MN>1</MN>
                    <MCN>1</MCN>
                    <SIT>0</SIT>
                    <TLCRSN>1</TLCRSN>
                    <TLCREN>11</TLCREN>
                    <TLCRSRT>5</TLCRSRT>
                    <TLCCPT>0</TLCCPT>
                    <TLCCN>9</TLCCN>
                    <TLCCOT>0</TLCCOT>
                    <TLCCOC>0</TLCCOC>
                    <TLCCPTBMCN>0</TLCCPTBMCN>
                    <TLCCPTBN>0</TLCCPTBN>
                    <BRCRSN>1</BRCRSN>
                    <BRCREN>11</BRCREN>
                    <BRCRSRT>5</BRCRSRT>
                    <BRCCPT>0</BRCCPT>
                    <BRCCN>9</BRCCN>
                    <BRCCOT>0</BRCCOT>
                    <BRCCOC>0</BRCCOC>
                    <BRCCPTBMCN>0</BRCCPTBMCN>
                    <BRCCPTBN>0</BRCCPTBN>
                    <P>2</P>
                    <HAL>-4131</HAL>
                    <WA>1</WA>
                    <VA>-4108</VA>
                    <HAD>1</HAD>
                    <TI>0</TI>
                    <CT>0</CT>
                    <N/>
                    <D3DS>False</D3DS>
                    <PO>True</PO>
                    <L>True</L>
                    <OA/>
                    <T/>
                    <THA>-4108</THA>
                    <TVA>-4108</TVA>
                    <LT>True</LT>
                    <LCFFA><![CDATA[§A¿1,1,1,1,11,0,3,1,1§Z¿]]></LCFFA>
                    <CV>1</CV>
                    <MIV>0</MIV>
                    <MAV>100</MAV>
                    <SC>1</SC>
                    <LC>10</LC>
                    <LFRFFA><![CDATA[§A¿1,1,2,1,19,0,1,1,1§Z¿]]></LFRFFA>
                    <DDL>0</DDL>
                  </CtrlProps>
                </Ctrl>
              </Ctrls>
            </ModComp>
            <ModComp>
              <ModCompProps>
                <MN>1</MN>
                <MCN>2</MCN>
                <MCTK>LU</MCTK>
                <RT><![CDATA[<ModuleName> - Lookups]]></RT>
                <ERN>BPMMC2</ERN>
                <MCST>3</MCST>
                <IPMC>False</IPMC>
                <SN>35</SN>
                <LODS>False</LODS>
                <LST>False</LST>
                <HS>False</HS>
                <IBOA>0</IBOA>
                <IB>False</IB>
                <CI/>
                <PTI/>
                <PTP>False</PTP>
                <PTD/>
                <PTMCN>0</PTMCN>
                <CROL>0</CROL>
                <CCOL>0</CCOL>
                <AMFN>0</AMFN>
              </ModCompProps>
              <Sects>
                <Sect>
                  <SectProps>
                    <LI>2,1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Month Day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3</EGN>
                      </ElmtProps>
                      <ClmnBlks>
                        <ClmnBlk>
                          <ClmnBlkProps>
                            <FCPT>0</FCPT>
                            <FCN>4</FCN>
                            <LCPT>0</LCPT>
                            <LCN>4</LCN>
                          </ClmnBlkProps>
                          <ClmnBlkPts>
                            <ClmnBlkPt>
                              <ClmnBlkPtProps>
                                <CBPT>0</CBPT>
                                <ST>25</ST>
                                <VOFFF><![CDATA[=ROWS(§A¿0,2,1,1,7,1,1,1,0,0,TRUE,FALSE,1,7,1,1,0,0,0,FALSE,FALSE§Z¿)]]></VOFFF>
                              </ClmnBlkPtProps>
                              <RgeNmes>
                                <RgeNme>
                                  <RgeNmeProps>
                                    <CBPLI>2,1,7,1,1</CBPLI>
                                    <MCN>2</MCN>
                                    <SN>1</SN>
                                    <EN>7</EN>
                                    <CN>0</CN>
                                    <CBN>1</CBN>
                                    <CBPN>1</CBPN>
                                    <PT>1</PT>
                                    <CBPRNT>2</CBPRNT>
                                    <NT>11</NT>
                                    <SP1><![CDATA[Mth_Day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Month Da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Mth_Days]]></VOFFF>
                              </ClmnBlkPtProps>
                            </ClmnBlkPt>
                          </ClmnBlkPts>
                        </ClmnBlk>
                      </ClmnBlks>
                      <SubTtls>
                        <SubTtl>
                          <SubTtlHdgRow>
                            <SubTtlHdgRowProps>
                              <STLI>2,1,7,1</STLI>
                              <R>0</R>
                            </SubTtlHdgRowProps>
                          </SubTtlHdgRow>
                          <Ctgs>
                            <Ctg>
                              <LuTblLbl>
                                <LuTblLblProps>
                                  <CLI>2,1,7,False,1</CLI>
                                  <L><![CDATA[Lookup Label <CategoryNumber>.]]></L>
                                </LuTblLblProps>
                              </LuTblLbl>
                            </Ctg>
                            <Ctg>
                              <LuTblLbl>
                                <LuTblLblProps>
                                  <CLI>2,1,7,False,2</CLI>
                                  <L><![CDATA[Lookup Label <CategoryNumber>.]]></L>
                                </LuTblLblProps>
                              </LuTblLbl>
                            </Ctg>
                            <Ctg>
                              <LuTblLbl>
                                <LuTblLblProps>
                                  <CLI>2,1,7,False,3</CLI>
                                  <L><![CDATA[Lookup Label <CategoryNumber>.]]></L>
                                </LuTblLblProps>
                              </LuTblLbl>
                            </Ctg>
                            <Ctg>
                              <LuTblLbl>
                                <LuTblLblProps>
                                  <CLI>2,1,7,False,4</CLI>
                                  <L><![CDATA[Lookup Label <CategoryNumber>.]]></L>
                                </LuTblLblProps>
                              </LuTblLbl>
                            </Ctg>
                            <Ctg>
                              <LuTblLbl>
                                <LuTblLblProps>
                                  <CLI>2,1,7,False,5</CLI>
                                  <L><![CDATA[Lookup Label <CategoryNumber>.]]></L>
                                </LuTblLblProps>
                              </LuTblLbl>
                            </Ctg>
                            <Ctg>
                              <LuTblLbl>
                                <LuTblLblProps>
                                  <CLI>2,1,7,False,6</CLI>
                                  <L><![CDATA[Lookup Label <CategoryNumber>.]]></L>
                                </LuTblLblProps>
                              </LuTblLbl>
                            </Ctg>
                            <Ctg>
                              <LuTblLbl>
                                <LuTblLblProps>
                                  <CLI>2,1,7,False,7</CLI>
                                  <L><![CDATA[Lookup Label <CategoryNumber>.]]></L>
                                </LuTblLblProps>
                              </LuTblLbl>
                            </Ctg>
                            <Ctg>
                              <LuTblLbl>
                                <LuTblLblProps>
                                  <CLI>2,1,7,False,8</CLI>
                                  <L><![CDATA[Lookup Label <CategoryNumber>.]]></L>
                                </LuTblLblProps>
                              </LuTblLbl>
                            </Ctg>
                            <Ctg>
                              <LuTblLbl>
                                <LuTblLblProps>
                                  <CLI>2,1,7,False,9</CLI>
                                  <L><![CDATA[Lookup Label <CategoryNumber>.]]></L>
                                </LuTblLblProps>
                              </LuTblLbl>
                            </Ctg>
                            <Ctg>
                              <LuTblLbl>
                                <LuTblLblProps>
                                  <CLI>2,1,7,False,10</CLI>
                                  <L><![CDATA[Lookup Label <CategoryNumber>.]]></L>
                                </LuTblLblProps>
                              </LuTblLbl>
                            </Ctg>
                            <Ctg>
                              <LuTblLbl>
                                <LuTblLblProps>
                                  <CLI>2,1,7,False,11</CLI>
                                  <L><![CDATA[Lookup Label <CategoryNumber>.]]></L>
                                </LuTblLblProps>
                              </LuTblLbl>
                            </Ctg>
                            <Ctg>
                              <LuTblLbl>
                                <LuTblLblProps>
                                  <CLI>2,1,7,False,12</CLI>
                                  <L><![CDATA[Lookup Label <CategoryNumber>.]]></L>
                                </LuTblLblProps>
                              </LuTblLbl>
                            </Ctg>
                            <Ctg>
                              <LuTblLbl>
                                <LuTblLblProps>
                                  <CLI>2,1,7,False,13</CLI>
                                  <L><![CDATA[Lookup Label <CategoryNumber>.]]></L>
                                </LuTblLblProps>
                              </LuTblLbl>
                            </Ctg>
                            <Ctg>
                              <LuTblLbl>
                                <LuTblLblProps>
                                  <CLI>2,1,7,False,14</CLI>
                                  <L><![CDATA[Lookup Label <CategoryNumber>.]]></L>
                                </LuTblLblProps>
                              </LuTblLbl>
                            </Ctg>
                            <Ctg>
                              <LuTblLbl>
                                <LuTblLblProps>
                                  <CLI>2,1,7,False,15</CLI>
                                  <L><![CDATA[Lookup Label <CategoryNumber>.]]></L>
                                </LuTblLblProps>
                              </LuTblLbl>
                            </Ctg>
                            <Ctg>
                              <LuTblLbl>
                                <LuTblLblProps>
                                  <CLI>2,1,7,False,16</CLI>
                                  <L><![CDATA[Lookup Label <CategoryNumber>.]]></L>
                                </LuTblLblProps>
                              </LuTblLbl>
                            </Ctg>
                            <Ctg>
                              <LuTblLbl>
                                <LuTblLblProps>
                                  <CLI>2,1,7,False,17</CLI>
                                  <L><![CDATA[Lookup Label <CategoryNumber>.]]></L>
                                </LuTblLblProps>
                              </LuTblLbl>
                            </Ctg>
                            <Ctg>
                              <LuTblLbl>
                                <LuTblLblProps>
                                  <CLI>2,1,7,False,18</CLI>
                                  <L><![CDATA[Lookup Label <CategoryNumber>.]]></L>
                                </LuTblLblProps>
                              </LuTblLbl>
                            </Ctg>
                            <Ctg>
                              <LuTblLbl>
                                <LuTblLblProps>
                                  <CLI>2,1,7,False,19</CLI>
                                  <L><![CDATA[Lookup Label <CategoryNumber>.]]></L>
                                </LuTblLblProps>
                              </LuTblLbl>
                            </Ctg>
                            <Ctg>
                              <LuTblLbl>
                                <LuTblLblProps>
                                  <CLI>2,1,7,False,20</CLI>
                                  <L><![CDATA[Lookup Label <CategoryNumber>.]]></L>
                                </LuTblLblProps>
                              </LuTblLbl>
                            </Ctg>
                            <Ctg>
                              <LuTblLbl>
                                <LuTblLblProps>
                                  <CLI>2,1,7,False,21</CLI>
                                  <L><![CDATA[Lookup Label <CategoryNumber>.]]></L>
                                </LuTblLblProps>
                              </LuTblLbl>
                            </Ctg>
                            <Ctg>
                              <LuTblLbl>
                                <LuTblLblProps>
                                  <CLI>2,1,7,False,22</CLI>
                                  <L><![CDATA[Lookup Label <CategoryNumber>.]]></L>
                                </LuTblLblProps>
                              </LuTblLbl>
                            </Ctg>
                            <Ctg>
                              <LuTblLbl>
                                <LuTblLblProps>
                                  <CLI>2,1,7,False,23</CLI>
                                  <L><![CDATA[Lookup Label <CategoryNumber>.]]></L>
                                </LuTblLblProps>
                              </LuTblLbl>
                            </Ctg>
                            <Ctg>
                              <LuTblLbl>
                                <LuTblLblProps>
                                  <CLI>2,1,7,False,24</CLI>
                                  <L><![CDATA[Lookup Label <CategoryNumber>.]]></L>
                                </LuTblLblProps>
                              </LuTblLbl>
                            </Ctg>
                            <Ctg>
                              <LuTblLbl>
                                <LuTblLblProps>
                                  <CLI>2,1,7,False,25</CLI>
                                  <L><![CDATA[Lookup Label <CategoryNumber>.]]></L>
                                </LuTblLblProps>
                              </LuTblLbl>
                            </Ctg>
                            <Ctg>
                              <LuTblLbl>
                                <LuTblLblProps>
                                  <CLI>2,1,7,False,26</CLI>
                                  <L><![CDATA[Lookup Label <CategoryNumber>.]]></L>
                                </LuTblLblProps>
                              </LuTblLbl>
                            </Ctg>
                            <Ctg>
                              <LuTblLbl>
                                <LuTblLblProps>
                                  <CLI>2,1,7,False,27</CLI>
                                  <L><![CDATA[Lookup Label <CategoryNumber>.]]></L>
                                </LuTblLblProps>
                              </LuTblLbl>
                            </Ctg>
                            <Ctg>
                              <LuTblLbl>
                                <LuTblLblProps>
                                  <CLI>2,1,7,False,28</CLI>
                                  <L><![CDATA[Lookup Label <CategoryNumber>.]]></L>
                                </LuTblLblProps>
                              </LuTblLbl>
                            </Ctg>
                            <Ctg>
                              <LuTblLbl>
                                <LuTblLblProps>
                                  <CLI>2,1,7,False,29</CLI>
                                  <L><![CDATA[Lookup Label <CategoryNumber>.]]></L>
                                </LuTblLblProps>
                              </LuTblLbl>
                            </Ctg>
                            <Ctg>
                              <LuTblLbl>
                                <LuTblLblProps>
                                  <CLI>2,1,7,False,30</CLI>
                                  <L><![CDATA[Lookup Label <CategoryNumber>.]]></L>
                                </LuTblLblProps>
                              </LuTblLbl>
                            </Ctg>
                            <Ctg>
                              <LuTblLbl>
                                <LuTblLblProps>
                                  <CLI>2,1,7,False,31</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Month Nam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EGN>
                      </ElmtProps>
                      <ClmnBlks>
                        <ClmnBlk>
                          <ClmnBlkProps>
                            <FCPT>0</FCPT>
                            <FCN>4</FCN>
                            <LCPT>0</LCPT>
                            <LCN>4</LCN>
                          </ClmnBlkProps>
                          <ClmnBlkPts>
                            <ClmnBlkPt>
                              <ClmnBlkPtProps>
                                <CBPT>0</CBPT>
                                <ST>25</ST>
                                <VOFFF><![CDATA[=TEXT(DATE(1,ROWS(§A¿0,2,1,1,11,1,1,1,0,0,TRUE,FALSE,1,11,1,1,0,0,0,FALSE,FALSE§Z¿),1),"mmmm")]]></VOFFF>
                              </ClmnBlkPtProps>
                              <RgeNmes>
                                <RgeNme>
                                  <RgeNmeProps>
                                    <CBPLI>2,1,11,1,1</CBPLI>
                                    <MCN>2</MCN>
                                    <SN>1</SN>
                                    <EN>11</EN>
                                    <CN>0</CN>
                                    <CBN>1</CBN>
                                    <CBPN>1</CBPN>
                                    <PT>1</PT>
                                    <CBPRNT>2</CBPRNT>
                                    <NT>11</NT>
                                    <SP1><![CDATA[Mth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Month Name]]></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Mth_Names]]></VOFFF>
                              </ClmnBlkPtProps>
                            </ClmnBlkPt>
                          </ClmnBlkPts>
                        </ClmnBlk>
                      </ClmnBlks>
                      <SubTtls>
                        <SubTtl>
                          <SubTtlHdgRow>
                            <SubTtlHdgRowProps>
                              <STLI>2,1,11,1</STLI>
                              <R>0</R>
                            </SubTtlHdgRowProps>
                          </SubTtlHdgRow>
                          <Ctgs>
                            <Ctg>
                              <LuTblLbl>
                                <LuTblLblProps>
                                  <CLI>2,1,11,False,1</CLI>
                                  <L><![CDATA[Lookup Label <CategoryNumber>.]]></L>
                                </LuTblLblProps>
                              </LuTblLbl>
                            </Ctg>
                            <Ctg>
                              <LuTblLbl>
                                <LuTblLblProps>
                                  <CLI>2,1,11,False,2</CLI>
                                  <L><![CDATA[Lookup Label <CategoryNumber>.]]></L>
                                </LuTblLblProps>
                              </LuTblLbl>
                            </Ctg>
                            <Ctg>
                              <LuTblLbl>
                                <LuTblLblProps>
                                  <CLI>2,1,11,False,3</CLI>
                                  <L><![CDATA[Lookup Label <CategoryNumber>.]]></L>
                                </LuTblLblProps>
                              </LuTblLbl>
                            </Ctg>
                            <Ctg>
                              <LuTblLbl>
                                <LuTblLblProps>
                                  <CLI>2,1,11,False,4</CLI>
                                  <L><![CDATA[Lookup Label <CategoryNumber>.]]></L>
                                </LuTblLblProps>
                              </LuTblLbl>
                            </Ctg>
                            <Ctg>
                              <LuTblLbl>
                                <LuTblLblProps>
                                  <CLI>2,1,11,False,5</CLI>
                                  <L><![CDATA[Lookup Label <CategoryNumber>.]]></L>
                                </LuTblLblProps>
                              </LuTblLbl>
                            </Ctg>
                            <Ctg>
                              <LuTblLbl>
                                <LuTblLblProps>
                                  <CLI>2,1,11,False,6</CLI>
                                  <L><![CDATA[Lookup Label <CategoryNumber>.]]></L>
                                </LuTblLblProps>
                              </LuTblLbl>
                            </Ctg>
                            <Ctg>
                              <LuTblLbl>
                                <LuTblLblProps>
                                  <CLI>2,1,11,False,7</CLI>
                                  <L><![CDATA[Lookup Label <CategoryNumber>.]]></L>
                                </LuTblLblProps>
                              </LuTblLbl>
                            </Ctg>
                            <Ctg>
                              <LuTblLbl>
                                <LuTblLblProps>
                                  <CLI>2,1,11,False,8</CLI>
                                  <L><![CDATA[Lookup Label <CategoryNumber>.]]></L>
                                </LuTblLblProps>
                              </LuTblLbl>
                            </Ctg>
                            <Ctg>
                              <LuTblLbl>
                                <LuTblLblProps>
                                  <CLI>2,1,11,False,9</CLI>
                                  <L><![CDATA[Lookup Label <CategoryNumber>.]]></L>
                                </LuTblLblProps>
                              </LuTblLbl>
                            </Ctg>
                            <Ctg>
                              <LuTblLbl>
                                <LuTblLblProps>
                                  <CLI>2,1,11,False,10</CLI>
                                  <L><![CDATA[Lookup Label <CategoryNumber>.]]></L>
                                </LuTblLblProps>
                              </LuTblLbl>
                            </Ctg>
                            <Ctg>
                              <LuTblLbl>
                                <LuTblLblProps>
                                  <CLI>2,1,11,False,11</CLI>
                                  <L><![CDATA[Lookup Label <CategoryNumber>.]]></L>
                                </LuTblLblProps>
                              </LuTblLbl>
                            </Ctg>
                            <Ctg>
                              <LuTblLbl>
                                <LuTblLblProps>
                                  <CLI>2,1,11,False,12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iods In Periods]]></VOFFF>
                              </ClmnBlkPtProps>
                            </ClmnBlkPt>
                          </ClmnBlkPts>
                        </ClmnBlk>
                      </ClmnBlks>
                      <TtlCtg/>
                    </Elmt>
                    <Elmt>
                      <ElmtProps>
                        <CPT>2</CPT>
                      </ElmtProps>
                      <TtlCtg/>
                    </Elmt>
                    <Elmt>
                      <ElmtProps>
                        <CPT>0</CPT>
                        <TOT>True</TOT>
                        <EGN>4</EGN>
                      </ElmtProps>
                      <ClmnBlks>
                        <ClmnBlk>
                          <ClmnBlkProps>
                            <FCPT>0</FCPT>
                            <FCN>4</FCN>
                            <LCPT>0</LCPT>
                            <LCN>4</LCN>
                          </ClmnBlkProps>
                          <ClmnBlkPts>
                            <ClmnBlkPt>
                              <ClmnBlkPtProps>
                                <CBPT>0</CBPT>
                                <ST>25</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Periods In Peri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 ]]></VOFFF>
                              </ClmnBlkPtProps>
                            </ClmnBlkPt>
                          </ClmnBlkPts>
                        </ClmnBlk>
                      </ClmnBlks>
                      <SubTtls>
                        <SubTtl>
                          <SubTtlHdgRow>
                            <SubTtlHdgRowProps>
                              <STLI>2,1,15,1</STLI>
                              <R>0</R>
                            </SubTtlHdgRowProps>
                          </SubTtlHdgRow>
                          <Ctgs>
                            <Ctg>
                              <LuTblLbl>
                                <LuTblLblProps>
                                  <CLI>2,1,15,False,1</CLI>
                                  <L><![CDATA[60]]></L>
                                </LuTblLblProps>
                                <RgeNmes>
                                  <RgeNme>
                                    <RgeNmeProps>
                                      <CBPLI>2,1,15,1,1</CBPLI>
                                      <MCN>2</MCN>
                                      <SN>1</SN>
                                      <EN>15</EN>
                                      <CN>1</CN>
                                      <CBN>1</CBN>
                                      <CBPN>1</CBPN>
                                      <PT>2</PT>
                                      <CBPRNT>8</CBPRNT>
                                      <NT>-1</NT>
                                      <SP1><![CDATA[Secs_In_Min]]></SP1>
                                      <SP2/>
                                      <FFF/>
                                      <CMT/>
                                    </RgeNmeProps>
                                  </RgeNme>
                                </RgeNmes>
                              </LuTblLbl>
                            </Ctg>
                            <Ctg>
                              <LuTblLbl>
                                <LuTblLblProps>
                                  <CLI>2,1,15,False,2</CLI>
                                  <L><![CDATA[60]]></L>
                                </LuTblLblProps>
                                <RgeNmes>
                                  <RgeNme>
                                    <RgeNmeProps>
                                      <CBPLI>2,1,15,1,1</CBPLI>
                                      <MCN>2</MCN>
                                      <SN>1</SN>
                                      <EN>15</EN>
                                      <CN>2</CN>
                                      <CBN>1</CBN>
                                      <CBPN>1</CBPN>
                                      <PT>2</PT>
                                      <CBPRNT>8</CBPRNT>
                                      <NT>-1</NT>
                                      <SP1><![CDATA[Mins_In_Hr]]></SP1>
                                      <SP2/>
                                      <FFF/>
                                      <CMT/>
                                    </RgeNmeProps>
                                  </RgeNme>
                                </RgeNmes>
                              </LuTblLbl>
                            </Ctg>
                            <Ctg>
                              <LuTblLbl>
                                <LuTblLblProps>
                                  <CLI>2,1,15,False,3</CLI>
                                  <L><![CDATA[24]]></L>
                                </LuTblLblProps>
                                <RgeNmes>
                                  <RgeNme>
                                    <RgeNmeProps>
                                      <CBPLI>2,1,15,1,1</CBPLI>
                                      <MCN>2</MCN>
                                      <SN>1</SN>
                                      <EN>15</EN>
                                      <CN>3</CN>
                                      <CBN>1</CBN>
                                      <CBPN>1</CBPN>
                                      <PT>2</PT>
                                      <CBPRNT>8</CBPRNT>
                                      <NT>-1</NT>
                                      <SP1><![CDATA[Hrs_In_Day]]></SP1>
                                      <SP2/>
                                      <FFF/>
                                      <CMT/>
                                    </RgeNmeProps>
                                  </RgeNme>
                                </RgeNmes>
                              </LuTblLbl>
                            </Ctg>
                            <Ctg>
                              <LuTblLbl>
                                <LuTblLblProps>
                                  <CLI>2,1,15,False,4</CLI>
                                  <L><![CDATA[7]]></L>
                                </LuTblLblProps>
                                <RgeNmes>
                                  <RgeNme>
                                    <RgeNmeProps>
                                      <CBPLI>2,1,15,1,1</CBPLI>
                                      <MCN>2</MCN>
                                      <SN>1</SN>
                                      <EN>15</EN>
                                      <CN>4</CN>
                                      <CBN>1</CBN>
                                      <CBPN>1</CBPN>
                                      <PT>2</PT>
                                      <CBPRNT>8</CBPRNT>
                                      <NT>-1</NT>
                                      <SP1><![CDATA[Days_In_Wk]]></SP1>
                                      <SP2/>
                                      <FFF/>
                                      <CMT/>
                                    </RgeNmeProps>
                                  </RgeNme>
                                </RgeNmes>
                              </LuTblLbl>
                            </Ctg>
                            <Ctg>
                              <LuTblLbl>
                                <LuTblLblProps>
                                  <CLI>2,1,15,False,5</CLI>
                                  <L><![CDATA[3]]></L>
                                </LuTblLblProps>
                                <RgeNmes>
                                  <RgeNme>
                                    <RgeNmeProps>
                                      <CBPLI>2,1,15,1,1</CBPLI>
                                      <MCN>2</MCN>
                                      <SN>1</SN>
                                      <EN>15</EN>
                                      <CN>5</CN>
                                      <CBN>1</CBN>
                                      <CBPN>1</CBPN>
                                      <PT>2</PT>
                                      <CBPRNT>8</CBPRNT>
                                      <NT>-1</NT>
                                      <SP1><![CDATA[Mths_In_Qtr]]></SP1>
                                      <SP2/>
                                      <FFF/>
                                      <CMT/>
                                    </RgeNmeProps>
                                  </RgeNme>
                                </RgeNmes>
                              </LuTblLbl>
                            </Ctg>
                            <Ctg>
                              <LuTblLbl>
                                <LuTblLblProps>
                                  <CLI>2,1,15,False,6</CLI>
                                  <L><![CDATA[6]]></L>
                                </LuTblLblProps>
                                <RgeNmes>
                                  <RgeNme>
                                    <RgeNmeProps>
                                      <CBPLI>2,1,15,1,1</CBPLI>
                                      <MCN>2</MCN>
                                      <SN>1</SN>
                                      <EN>15</EN>
                                      <CN>6</CN>
                                      <CBN>1</CBN>
                                      <CBPN>1</CBPN>
                                      <PT>2</PT>
                                      <CBPRNT>8</CBPRNT>
                                      <NT>-1</NT>
                                      <SP1><![CDATA[Mths_In_Half]]></SP1>
                                      <SP2/>
                                      <FFF/>
                                      <CMT/>
                                    </RgeNmeProps>
                                  </RgeNme>
                                </RgeNmes>
                              </LuTblLbl>
                            </Ctg>
                            <Ctg>
                              <LuTblLbl>
                                <LuTblLblProps>
                                  <CLI>2,1,15,False,7</CLI>
                                  <L><![CDATA[12]]></L>
                                </LuTblLblProps>
                                <RgeNmes>
                                  <RgeNme>
                                    <RgeNmeProps>
                                      <CBPLI>2,1,15,1,1</CBPLI>
                                      <MCN>2</MCN>
                                      <SN>1</SN>
                                      <EN>15</EN>
                                      <CN>7</CN>
                                      <CBN>1</CBN>
                                      <CBPN>1</CBPN>
                                      <PT>2</PT>
                                      <CBPRNT>8</CBPRNT>
                                      <NT>-1</NT>
                                      <SP1><![CDATA[Mths_In_Yr]]></SP1>
                                      <SP2/>
                                      <FFF/>
                                      <CMT/>
                                    </RgeNmeProps>
                                  </RgeNme>
                                </RgeNmes>
                              </LuTblLbl>
                            </Ctg>
                            <Ctg>
                              <LuTblLbl>
                                <LuTblLblProps>
                                  <CLI>2,1,15,False,8</CLI>
                                  <L><![CDATA[2]]></L>
                                </LuTblLblProps>
                                <RgeNmes>
                                  <RgeNme>
                                    <RgeNmeProps>
                                      <CBPLI>2,1,15,1,1</CBPLI>
                                      <MCN>2</MCN>
                                      <SN>1</SN>
                                      <EN>15</EN>
                                      <CN>8</CN>
                                      <CBN>1</CBN>
                                      <CBPN>1</CBPN>
                                      <PT>2</PT>
                                      <CBPRNT>8</CBPRNT>
                                      <NT>-1</NT>
                                      <SP1><![CDATA[Qtrs_In_Half]]></SP1>
                                      <SP2/>
                                      <FFF/>
                                      <CMT/>
                                    </RgeNmeProps>
                                  </RgeNme>
                                </RgeNmes>
                              </LuTblLbl>
                            </Ctg>
                            <Ctg>
                              <LuTblLbl>
                                <LuTblLblProps>
                                  <CLI>2,1,15,False,9</CLI>
                                  <L><![CDATA[4]]></L>
                                </LuTblLblProps>
                                <RgeNmes>
                                  <RgeNme>
                                    <RgeNmeProps>
                                      <CBPLI>2,1,15,1,1</CBPLI>
                                      <MCN>2</MCN>
                                      <SN>1</SN>
                                      <EN>15</EN>
                                      <CN>9</CN>
                                      <CBN>1</CBN>
                                      <CBPN>1</CBPN>
                                      <PT>2</PT>
                                      <CBPRNT>8</CBPRNT>
                                      <NT>-1</NT>
                                      <SP1><![CDATA[Qtrs_In_Yr]]></SP1>
                                      <SP2/>
                                      <FFF/>
                                      <CMT/>
                                    </RgeNmeProps>
                                  </RgeNme>
                                </RgeNmes>
                              </LuTblLbl>
                            </Ctg>
                            <Ctg>
                              <LuTblLbl>
                                <LuTblLblProps>
                                  <CLI>2,1,15,False,10</CLI>
                                  <L><![CDATA[2]]></L>
                                </LuTblLblProps>
                                <RgeNmes>
                                  <RgeNme>
                                    <RgeNmeProps>
                                      <CBPLI>2,1,15,1,1</CBPLI>
                                      <MCN>2</MCN>
                                      <SN>1</SN>
                                      <EN>15</EN>
                                      <CN>10</CN>
                                      <CBN>1</CBN>
                                      <CBPN>1</CBPN>
                                      <PT>2</PT>
                                      <CBPRNT>8</CBPRNT>
                                      <NT>-1</NT>
                                      <SP1><![CDATA[Halves_In_Yr]]></SP1>
                                      <SP2/>
                                      <FFF/>
                                      <CMT/>
                                    </RgeNmeProps>
                                  </RgeNme>
                                </RgeNmes>
                              </LuTblLbl>
                            </Ctg>
                          </Ctgs>
                        </SubTtl>
                      </SubTtls>
                      <TtlCtg/>
                    </Elmt>
                    <Elmt>
                      <ElmtProps>
                        <CPT>2</CPT>
                      </ElmtProps>
                      <TtlCtg/>
                    </Elmt>
                    <Elmt>
                      <ElmtProps>
                        <CPT>2</CPT>
                      </ElmtProps>
                      <ClmnBlks>
                        <ClmnBlk>
                          <ClmnBlkProps>
                            <FCPT>0</FCPT>
                            <FCN>3</FCN>
                            <LCPT>0</LCPT>
                            <LCN>3</LCN>
                          </ClmnBlkProps>
                          <ClmnBlkPts>
                            <ClmnBlkPt>
                              <ClmnBlkPtProps>
                                <CBPT>5</CBPT>
                                <ST>4</ST>
                                <VOFFF><![CDATA[Denomination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2</EGN>
                      </ElmtProps>
                      <ClmnBlks>
                        <ClmnBlk>
                          <ClmnBlkProps>
                            <FCPT>0</FCPT>
                            <FCN>4</FCN>
                            <LCPT>0</LCPT>
                            <LCN>4</LCN>
                          </ClmnBlkProps>
                          <ClmnBlkPts>
                            <ClmnBlkPt>
                              <ClmnBlkPtProps>
                                <CBPT>0</CBPT>
                                <ST>25</ST>
                                <VOFFF><![CDATA[=§A¿1,1,1,1,11,0,2,1,1§Z¿&CHOOSE(ROWS(§A¿0,2,1,1,19,1,1,1,0,0,TRUE,FALSE,1,19,1,1,0,0,0,FALSE,FALSE§Z¿),"","'000","Millions","Billions")]]></VOFFF>
                              </ClmnBlkPtProps>
                              <RgeNmes>
                                <RgeNme>
                                  <RgeNmeProps>
                                    <CBPLI>2,1,19,1,1</CBPLI>
                                    <MCN>2</MCN>
                                    <SN>1</SN>
                                    <EN>19</EN>
                                    <CN>0</CN>
                                    <CBN>1</CBN>
                                    <CBPN>1</CBPN>
                                    <PT>1</PT>
                                    <CBPRNT>2</CBPRNT>
                                    <NT>11</NT>
                                    <SP1><![CDATA[Denom]]></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enomination]]></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Denom]]></VOFFF>
                              </ClmnBlkPtProps>
                            </ClmnBlkPt>
                          </ClmnBlkPts>
                        </ClmnBlk>
                      </ClmnBlks>
                      <SubTtls>
                        <SubTtl>
                          <SubTtlHdgRow>
                            <SubTtlHdgRowProps>
                              <STLI>2,1,19,1</STLI>
                              <R>0</R>
                            </SubTtlHdgRowProps>
                          </SubTtlHdgRow>
                          <Ctgs>
                            <Ctg>
                              <LuTblLbl>
                                <LuTblLblProps>
                                  <CLI>2,1,19,False,1</CLI>
                                  <L><![CDATA[Lookup Label <CategoryNumber>.]]></L>
                                </LuTblLblProps>
                              </LuTblLbl>
                            </Ctg>
                            <Ctg>
                              <LuTblLbl>
                                <LuTblLblProps>
                                  <CLI>2,1,19,False,2</CLI>
                                  <L><![CDATA[Lookup Label <CategoryNumber>.]]></L>
                                </LuTblLblProps>
                              </LuTblLbl>
                            </Ctg>
                            <Ctg>
                              <LuTblLbl>
                                <LuTblLblProps>
                                  <CLI>2,1,19,False,3</CLI>
                                  <L><![CDATA[Lookup Label <CategoryNumber>.]]></L>
                                </LuTblLblProps>
                              </LuTblLbl>
                            </Ctg>
                            <Ctg>
                              <LuTblLbl>
                                <LuTblLblProps>
                                  <CLI>2,1,19,False,4</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Denomination Conversion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2</EGN>
                      </ElmtProps>
                      <ClmnBlks>
                        <ClmnBlk>
                          <ClmnBlkProps>
                            <FCPT>0</FCPT>
                            <FCN>4</FCN>
                            <LCPT>0</LCPT>
                            <LCN>4</LCN>
                          </ClmnBlkProps>
                          <ClmnBlkPts>
                            <ClmnBlkPt>
                              <ClmnBlkPtProps>
                                <CBPT>0</CBPT>
                                <ST>24</ST>
                                <VOFFF/>
                              </ClmnBlkPtProps>
                              <RgeNmes>
                                <RgeNme>
                                  <RgeNmeProps>
                                    <CBPLI>2,1,23,1,1</CBPLI>
                                    <MCN>2</MCN>
                                    <SN>1</SN>
                                    <EN>23</EN>
                                    <CN>0</CN>
                                    <CBN>1</CBN>
                                    <CBPN>1</CBPN>
                                    <PT>1</PT>
                                    <CBPRNT>2</CBPRNT>
                                    <NT>11</NT>
                                    <SP1><![CDATA[Denom_Conv]]></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enomination Conversion]]></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Denom_Conv]]></VOFFF>
                              </ClmnBlkPtProps>
                            </ClmnBlkPt>
                          </ClmnBlkPts>
                        </ClmnBlk>
                      </ClmnBlks>
                      <SubTtls>
                        <SubTtl>
                          <SubTtlHdgRow>
                            <SubTtlHdgRowProps>
                              <STLI>2,1,23,1</STLI>
                              <R>0</R>
                            </SubTtlHdgRowProps>
                          </SubTtlHdgRow>
                          <Ctgs>
                            <Ctg>
                              <LuTblLbl>
                                <LuTblLblProps>
                                  <CLI>2,1,23,False,1</CLI>
                                  <L><![CDATA[1]]></L>
                                </LuTblLblProps>
                              </LuTblLbl>
                            </Ctg>
                            <Ctg>
                              <LuTblLbl>
                                <LuTblLblProps>
                                  <CLI>2,1,23,False,2</CLI>
                                  <L><![CDATA[1000]]></L>
                                </LuTblLblProps>
                                <RgeNmes>
                                  <RgeNme>
                                    <RgeNmeProps>
                                      <CBPLI>2,1,23,1,1</CBPLI>
                                      <MCN>2</MCN>
                                      <SN>1</SN>
                                      <EN>23</EN>
                                      <CN>2</CN>
                                      <CBN>1</CBN>
                                      <CBPN>1</CBPN>
                                      <PT>2</PT>
                                      <CBPRNT>8</CBPRNT>
                                      <NT>-1</NT>
                                      <SP1><![CDATA[Thousand]]></SP1>
                                      <SP2/>
                                      <FFF/>
                                      <CMT/>
                                    </RgeNmeProps>
                                  </RgeNme>
                                </RgeNmes>
                              </LuTblLbl>
                            </Ctg>
                            <Ctg>
                              <LuTblLbl>
                                <LuTblLblProps>
                                  <CLI>2,1,23,False,3</CLI>
                                  <L><![CDATA[1000000]]></L>
                                </LuTblLblProps>
                                <RgeNmes>
                                  <RgeNme>
                                    <RgeNmeProps>
                                      <CBPLI>2,1,23,1,1</CBPLI>
                                      <MCN>2</MCN>
                                      <SN>1</SN>
                                      <EN>23</EN>
                                      <CN>3</CN>
                                      <CBN>1</CBN>
                                      <CBPN>1</CBPN>
                                      <PT>2</PT>
                                      <CBPRNT>8</CBPRNT>
                                      <NT>-1</NT>
                                      <SP1><![CDATA[Million]]></SP1>
                                      <SP2/>
                                      <FFF/>
                                      <CMT/>
                                    </RgeNmeProps>
                                  </RgeNme>
                                </RgeNmes>
                              </LuTblLbl>
                            </Ctg>
                            <Ctg>
                              <LuTblLbl>
                                <LuTblLblProps>
                                  <CLI>2,1,23,False,4</CLI>
                                  <L><![CDATA[1000000000]]></L>
                                </LuTblLblProps>
                                <RgeNmes>
                                  <RgeNme>
                                    <RgeNmeProps>
                                      <CBPLI>2,1,23,1,1</CBPLI>
                                      <MCN>2</MCN>
                                      <SN>1</SN>
                                      <EN>23</EN>
                                      <CN>4</CN>
                                      <CBN>1</CBN>
                                      <CBPN>1</CBPN>
                                      <PT>2</PT>
                                      <CBPRNT>8</CBPRNT>
                                      <NT>-1</NT>
                                      <SP1><![CDATA[Billion]]></SP1>
                                      <SP2/>
                                      <FFF/>
                                      <CMT/>
                                    </RgeNmeProps>
                                  </RgeNme>
                                </RgeNmes>
                              </LuTblLbl>
                            </Ctg>
                          </Ctgs>
                        </SubTtl>
                      </SubTtls>
                      <TtlCtg/>
                    </Elmt>
                  </Elmts>
                </Sect>
              </Sects>
            </ModComp>
            <ModComp>
              <ModCompProps>
                <MN>1</MN>
                <MCN>3</MCN>
                <MCTK>PT</MCTK>
                <RT><![CDATA[Annual]]></RT>
                <ERN>BPMMC3</ERN>
                <MCST>-1</MCST>
                <IPMC>False</IPMC>
                <SN>0</SN>
                <LODS>False</LODS>
                <LST>False</LST>
                <HS>False</HS>
                <IBOA>3</IBOA>
                <IB>False</IB>
                <CI/>
                <PTI><![CDATA[Ann]]></PTI>
                <PTP>False</PTP>
                <PTD><![CDATA[Annual time series periods.]]></PTD>
                <PTMCN>3</PTMCN>
                <CROL>3</CROL>
                <CCOL>3</CCOL>
                <AMFN>0</AMFN>
              </ModCompProps>
              <PrdTitlsBlks>
                <PrdTitlsBlk>
                  <PrdTitlsBlkProps>
                    <LI>3,1</LI>
                    <UPLC>False</UPLC>
                    <PLCT>0</PLCT>
                    <PLCCBPLI/>
                    <PLCRNN>0</PLCRNN>
                    <ICEN>0</ICEN>
                    <ICGT>0</ICGT>
                    <ICOL>2</ICOL>
                    <ICVT>1</ICVT>
                    <ICUM>0</ICUM>
                    <ICLCT>0</ICLCT>
                    <ICLCCBPLI/>
                    <ICLCRNN>0</ICLCRNN>
                    <HUC>False</HUC>
                  </PrdTitlsBlkProps>
                </PrdTitlsBlk>
                <PrdTitlsBlk>
                  <PrdTitlsBlkProps>
                    <LI>3,2</LI>
                    <UPLC>False</UPLC>
                    <PLCT>0</PLCT>
                    <PLCCBPLI/>
                    <PLCRNN>0</PLCRNN>
                    <ICEN>0</ICEN>
                    <ICGT>0</ICGT>
                    <ICOL>2</ICOL>
                    <ICVT>1</ICVT>
                    <ICUM>0</ICUM>
                    <ICLCT>0</ICLCT>
                    <ICLCCBPLI/>
                    <ICLCRNN>0</ICLCRNN>
                    <HUC>False</HUC>
                  </PrdTitlsBlkProps>
                </PrdTitlsBlk>
                <PrdTitlsBlk>
                  <PrdTitlsBlkProps>
                    <LI>3,3</LI>
                    <UPLC>True</UPLC>
                    <PLCT>2</PLCT>
                    <PLCCBPLI>1,1,8,2,1</PLCCBPLI>
                    <PLCRNN>1</PLCRNN>
                    <ICEN>0</ICEN>
                    <ICGT>0</ICGT>
                    <ICOL>3</ICOL>
                    <ICVT>0</ICVT>
                    <ICUM>0</ICUM>
                    <ICLCT>0</ICLCT>
                    <ICLCCBPLI/>
                    <ICLCRNN>0</ICLCRNN>
                    <HUC>False</HUC>
                  </PrdTitlsBlkProps>
                </PrdTitlsBlk>
              </PrdTitlsBlks>
              <FrzPnes>
                <FrzPnesProps>
                  <MN>1</MN>
                  <MCN>3</MCN>
                  <FPRPT>4</FPRPT>
                  <FPREN>7</FPREN>
                  <FPCPT>0</FPCPT>
                  <FPCN>2</FPCN>
                  <FPCOT>0</FPCOT>
                  <FPCOC>0</FPCOC>
                  <FPCPTBN>0</FPCPTBN>
                </FrzPnesProps>
              </FrzPnes>
              <Sects>
                <Sect>
                  <SectProps>
                    <LI>3,1</LI>
                    <EGN>0</EGN>
                  </SectProps>
                  <Elmts>
                    <Elmt>
                      <ElmtProps>
                        <CPT>2</CPT>
                      </ElmtProps>
                      <ClmnBlks>
                        <ClmnBlk>
                          <ClmnBlkProps>
                            <FCPT>0</FCPT>
                            <FCN>2</FCN>
                            <LCPT>1</LCPT>
                            <LCN>2</LCN>
                            <LCOT>0</LCOT>
                            <LCOC>0</LCOC>
                          </ClmnBlkProps>
                          <ClmnBlkPts>
                            <ClmnBlkPt>
                              <ClmnBlkPtProps>
                                <CBPT>5</CBPT>
                                <ST>-1</ST>
                                <VOFFF/>
                              </ClmnBlkPtProps>
                            </ClmnBlkPt>
                          </ClmnBlkPts>
                        </ClmnBlk>
                        <ClmnBlk>
                          <ClmnBlkProps>
                            <FCPT>2</FCPT>
                            <FCN>3</FCN>
                            <FCOT>1</FCOT>
                            <FCOC>1</FCOC>
                            <LCPT>1</LCPT>
                            <LCN>10</LCN>
                            <LCOT>0</LCOT>
                            <LCOC>7</LCOC>
                          </ClmnBlkProps>
                          <ClmnBlkPts>
                            <ClmnBlkPt>
                              <ClmnBlkPtProps>
                                <CBPT>5</CBPT>
                                <ST>-1</ST>
                                <VOFFF/>
                              </ClmnBlkPtProps>
                            </ClmnBlkPt>
                          </ClmnBlkPts>
                        </ClmnBlk>
                        <ClmnBlk>
                          <ClmnBlkProps>
                            <FCPT>2</FCPT>
                            <FCN>11</FCN>
                            <FCOT>1</FCOT>
                            <FCOC>1</FCOC>
                            <LCPT>1</LCPT>
                            <LCN>11</LCN>
                            <LCOT>0</LCOT>
                            <LCOC>0</LCOC>
                          </ClmnBlkProps>
                          <ClmnBlkPts>
                            <ClmnBlkPt>
                              <ClmnBlkPtProps>
                                <CBPT>5</CBPT>
                                <ST>-1</ST>
                                <VOFFF/>
                              </ClmnBlkPtProps>
                            </ClmnBlkPt>
                          </ClmnBlkPts>
                        </ClmnBlk>
                      </ClmnBlks>
                      <TtlCtg/>
                    </Elmt>
                    <Elmt>
                      <ElmtProps>
                        <CPT>2</CPT>
                      </ElmtProps>
                      <ClmnBlks>
                        <ClmnBlk>
                          <ClmnBlkProps>
                            <FCPT>0</FCPT>
                            <FCN>2</FCN>
                            <LCPT>1</LCPT>
                            <LCN>2</LCN>
                            <LCOT>0</LCOT>
                            <LCOC>0</LCOC>
                          </ClmnBlkProps>
                          <ClmnBlkPts>
                            <ClmnBlkPt>
                              <ClmnBlkPtProps>
                                <CBPT>5</CBPT>
                                <ST>-1</ST>
                                <VOFFF/>
                              </ClmnBlkPtProps>
                            </ClmnBlkPt>
                          </ClmnBlkPts>
                        </ClmnBlk>
                        <ClmnBlk>
                          <ClmnBlkProps>
                            <FCPT>2</FCPT>
                            <FCN>3</FCN>
                            <FCOT>1</FCOT>
                            <FCOC>1</FCOC>
                            <LCPT>1</LCPT>
                            <LCN>10</LCN>
                            <LCOT>0</LCOT>
                            <LCOC>7</LCOC>
                          </ClmnBlkProps>
                          <ClmnBlkPts>
                            <ClmnBlkPt>
                              <ClmnBlkPtProps>
                                <CBPT>5</CBPT>
                                <ST>-1</ST>
                                <VOFFF/>
                              </ClmnBlkPtProps>
                            </ClmnBlkPt>
                          </ClmnBlkPts>
                        </ClmnBlk>
                        <ClmnBlk>
                          <ClmnBlkProps>
                            <FCPT>2</FCPT>
                            <FCN>11</FCN>
                            <FCOT>1</FCOT>
                            <FCOC>1</FCOC>
                            <LCPT>1</LCPT>
                            <LCN>11</LCN>
                            <LCOT>0</LCOT>
                            <LCOC>0</LCOC>
                          </ClmnBlkProps>
                          <ClmnBlkPts>
                            <ClmnBlkPt>
                              <ClmnBlkPtProps>
                                <CBPT>5</CBPT>
                                <ST>-1</ST>
                                <VOFFF/>
                              </ClmnBlkPtProps>
                            </ClmnBlkPt>
                          </ClmnBlkPts>
                        </ClmnBlk>
                      </ClmnBlks>
                      <TtlCtg/>
                    </Elmt>
                    <Elmt>
                      <ElmtProps>
                        <CPT>2</CPT>
                      </ElmtProps>
                      <ClmnBlks>
                        <ClmnBlk>
                          <ClmnBlkProps>
                            <FCPT>0</FCPT>
                            <FCN>2</FCN>
                            <LCPT>1</LCPT>
                            <LCN>2</LCN>
                            <LCOT>0</LCOT>
                            <LCOC>0</LCOC>
                          </ClmnBlkProps>
                          <ClmnBlkPts>
                            <ClmnBlkPt>
                              <ClmnBlkPtProps>
                                <CBPT>5</CBPT>
                                <ST>22</ST>
                                <SON>1</SON>
                                <VOFFF><![CDATA[="Year Ending "&INDEX(§A¿1,1,2,1,11,0,1,1,1§Z¿,§A¿1,1,1,1,6,0,2,1,1§Z¿)]]></VOFFF>
                              </ClmnBlkPtProps>
                            </ClmnBlkPt>
                          </ClmnBlkPts>
                        </ClmnBlk>
                        <ClmnBlk>
                          <ClmnBlkProps>
                            <FCPT>2</FCPT>
                            <FCN>3</FCN>
                            <FCOT>1</FCOT>
                            <FCOC>1</FCOC>
                            <LCPT>1</LCPT>
                            <LCN>10</LCN>
                            <LCOT>0</LCOT>
                            <LCOC>7</LCOC>
                          </ClmnBlkProps>
                          <ClmnBlkPts>
                            <ClmnBlkPt>
                              <ClmnBlkPtProps>
                                <CBPT>5</CBPT>
                                <ST>-1</ST>
                                <SON>1</SON>
                                <VOFFF/>
                              </ClmnBlkPtProps>
                            </ClmnBlkPt>
                          </ClmnBlkPts>
                        </ClmnBlk>
                        <ClmnBlk>
                          <ClmnBlkProps>
                            <FCPT>2</FCPT>
                            <FCN>11</FCN>
                            <FCOT>1</FCOT>
                            <FCOC>1</FCOC>
                            <LCPT>1</LCPT>
                            <LCN>11</LCN>
                            <LCOT>0</LCOT>
                            <LCOC>0</LCOC>
                          </ClmnBlkProps>
                          <ClmnBlkPts>
                            <ClmnBlkPt>
                              <ClmnBlkPtProps>
                                <CBPT>5</CBPT>
                                <ST>22</ST>
                                <SON>5</SON>
                                <VOFFF><![CDATA[=§A¿9,3,0,0,1,7,3,1,-1,0,0,FALSE,FALSE§Z¿]]></VOFFF>
                              </ClmnBlkPtProps>
                            </ClmnBlkPt>
                          </ClmnBlkPts>
                        </ClmnBlk>
                      </ClmnBlks>
                      <TtlCtg/>
                    </Elmt>
                    <Elmt>
                      <ElmtProps>
                        <CPT>2</CPT>
                      </ElmtProps>
                      <ClmnBlks>
                        <ClmnBlk>
                          <ClmnBlkProps>
                            <FCPT>0</FCPT>
                            <FCN>2</FCN>
                            <LCPT>1</LCPT>
                            <LCN>2</LCN>
                            <LCOT>0</LCOT>
                            <LCOC>0</LCOC>
                          </ClmnBlkProps>
                          <ClmnBlkPts>
                            <ClmnBlkPt>
                              <ClmnBlkPtProps>
                                <CBPT>5</CBPT>
                                <ST>6</ST>
                                <VOFFF><![CDATA[Period Start Date]]></VOFFF>
                              </ClmnBlkPtProps>
                            </ClmnBlkPt>
                          </ClmnBlkPts>
                        </ClmnBlk>
                        <ClmnBlk>
                          <ClmnBlkProps>
                            <FCPT>2</FCPT>
                            <FCN>3</FCN>
                            <FCOT>1</FCOT>
                            <FCOC>1</FCOC>
                            <LCPT>1</LCPT>
                            <LCN>10</LCN>
                            <LCOT>0</LCOT>
                            <LCOC>7</LCOC>
                          </ClmnBlkProps>
                          <ClmnBlkPts>
                            <ClmnBlkPt>
                              <ClmnBlkPtProps>
                                <CBPT>5</CBPT>
                                <ST>-1</ST>
                                <VOFFF/>
                              </ClmnBlkPtProps>
                            </ClmnBlkPt>
                          </ClmnBlkPts>
                        </ClmnBlk>
                        <ClmnBlk>
                          <ClmnBlkProps>
                            <FCPT>2</FCPT>
                            <FCN>11</FCN>
                            <FCOT>1</FCOT>
                            <FCOC>1</FCOC>
                            <LCPT>1</LCPT>
                            <LCN>11</LCN>
                            <LCOT>0</LCOT>
                            <LCOC>0</LCOC>
                          </ClmnBlkProps>
                          <ClmnBlkPts>
                            <ClmnBlkPt>
                              <ClmnBlkPtProps>
                                <CBPT>5</CBPT>
                                <ST>17</ST>
                                <VOFFF><![CDATA[=EDATE(§A¿1,1,1,1,9,0,2,1,1§Z¿,(§A¿9,3,0,0,1,6,3,1,-1,0,0,FALSE,FALSE§Z¿-1)*§A¿1,2,2,1,15,7,1,1,1§Z¿)]]></VOFFF>
                              </ClmnBlkPtProps>
                            </ClmnBlkPt>
                          </ClmnBlkPts>
                        </ClmnBlk>
                      </ClmnBlks>
                      <TtlCtg>
                        <TtlCtgProps>
                          <R>2</R>
                        </TtlCtgProps>
                      </TtlCtg>
                    </Elmt>
                    <Elmt>
                      <ElmtProps>
                        <CPT>2</CPT>
                      </ElmtProps>
                      <ClmnBlks>
                        <ClmnBlk>
                          <ClmnBlkProps>
                            <FCPT>0</FCPT>
                            <FCN>2</FCN>
                            <LCPT>1</LCPT>
                            <LCN>2</LCN>
                            <LCOT>0</LCOT>
                            <LCOC>0</LCOC>
                          </ClmnBlkProps>
                          <ClmnBlkPts>
                            <ClmnBlkPt>
                              <ClmnBlkPtProps>
                                <CBPT>5</CBPT>
                                <ST>6</ST>
                                <VOFFF><![CDATA[Period End Date]]></VOFFF>
                              </ClmnBlkPtProps>
                            </ClmnBlkPt>
                          </ClmnBlkPts>
                        </ClmnBlk>
                        <ClmnBlk>
                          <ClmnBlkProps>
                            <FCPT>2</FCPT>
                            <FCN>3</FCN>
                            <FCOT>1</FCOT>
                            <FCOC>1</FCOC>
                            <LCPT>1</LCPT>
                            <LCN>10</LCN>
                            <LCOT>0</LCOT>
                            <LCOC>7</LCOC>
                          </ClmnBlkProps>
                          <ClmnBlkPts>
                            <ClmnBlkPt>
                              <ClmnBlkPtProps>
                                <CBPT>5</CBPT>
                                <ST>-1</ST>
                                <VOFFF/>
                              </ClmnBlkPtProps>
                            </ClmnBlkPt>
                          </ClmnBlkPts>
                        </ClmnBlk>
                        <ClmnBlk>
                          <ClmnBlkProps>
                            <FCPT>2</FCPT>
                            <FCN>11</FCN>
                            <FCOT>1</FCOT>
                            <FCOC>1</FCOC>
                            <LCPT>1</LCPT>
                            <LCN>11</LCN>
                            <LCOT>0</LCOT>
                            <LCOC>0</LCOC>
                          </ClmnBlkProps>
                          <ClmnBlkPts>
                            <ClmnBlkPt>
                              <ClmnBlkPtProps>
                                <CBPT>5</CBPT>
                                <ST>17</ST>
                                <VOFFF><![CDATA[=EDATE(§A¿9,3,0,0,1,4,3,1,-1,0,0,FALSE,FALSE§Z¿,§A¿1,2,2,1,15,7,1,1,1§Z¿)-1]]></VOFFF>
                              </ClmnBlkPtProps>
                            </ClmnBlkPt>
                          </ClmnBlkPts>
                        </ClmnBlk>
                      </ClmnBlks>
                      <TtlCtg>
                        <TtlCtgProps>
                          <R>2</R>
                        </TtlCtgProps>
                      </TtlCtg>
                    </Elmt>
                    <Elmt>
                      <ElmtProps>
                        <CPT>2</CPT>
                      </ElmtProps>
                      <ClmnBlks>
                        <ClmnBlk>
                          <ClmnBlkProps>
                            <FCPT>0</FCPT>
                            <FCN>2</FCN>
                            <LCPT>1</LCPT>
                            <LCN>2</LCN>
                            <LCOT>0</LCOT>
                            <LCOC>0</LCOC>
                          </ClmnBlkProps>
                          <ClmnBlkPts>
                            <ClmnBlkPt>
                              <ClmnBlkPtProps>
                                <CBPT>5</CBPT>
                                <ST>6</ST>
                                <VOFFF><![CDATA[Counter]]></VOFFF>
                              </ClmnBlkPtProps>
                            </ClmnBlkPt>
                          </ClmnBlkPts>
                        </ClmnBlk>
                        <ClmnBlk>
                          <ClmnBlkProps>
                            <FCPT>2</FCPT>
                            <FCN>3</FCN>
                            <FCOT>1</FCOT>
                            <FCOC>1</FCOC>
                            <LCPT>1</LCPT>
                            <LCN>10</LCN>
                            <LCOT>0</LCOT>
                            <LCOC>7</LCOC>
                          </ClmnBlkProps>
                          <ClmnBlkPts>
                            <ClmnBlkPt>
                              <ClmnBlkPtProps>
                                <CBPT>5</CBPT>
                                <ST>-1</ST>
                                <VOFFF/>
                              </ClmnBlkPtProps>
                            </ClmnBlkPt>
                          </ClmnBlkPts>
                        </ClmnBlk>
                        <ClmnBlk>
                          <ClmnBlkProps>
                            <FCPT>2</FCPT>
                            <FCN>11</FCN>
                            <FCOT>1</FCOT>
                            <FCOC>1</FCOC>
                            <LCPT>1</LCPT>
                            <LCN>11</LCN>
                            <LCOT>0</LCOT>
                            <LCOC>0</LCOC>
                          </ClmnBlkProps>
                          <ClmnBlkPts>
                            <ClmnBlkPt>
                              <ClmnBlkPtProps>
                                <CBPT>5</CBPT>
                                <ST>18</ST>
                                <SON>3</SON>
                                <VOFFF><![CDATA[=COLUMNS(§A¿9,3,0,1,1,6,3,1,-1,0,0,FALSE,TRUE,1,6,3,1,-1,0,0,FALSE,FALSE§Z¿)]]></VOFFF>
                              </ClmnBlkPtProps>
                            </ClmnBlkPt>
                          </ClmnBlkPts>
                        </ClmnBlk>
                      </ClmnBlks>
                      <TtlCtg>
                        <TtlCtgProps>
                          <R>2</R>
                        </TtlCtgProps>
                      </TtlCtg>
                    </Elmt>
                    <Elmt>
                      <ElmtProps>
                        <CPT>2</CPT>
                      </ElmtProps>
                      <ClmnBlks>
                        <ClmnBlk>
                          <ClmnBlkProps>
                            <FCPT>0</FCPT>
                            <FCN>2</FCN>
                            <LCPT>1</LCPT>
                            <LCN>2</LCN>
                            <LCOT>0</LCOT>
                            <LCOC>0</LCOC>
                          </ClmnBlkProps>
                          <ClmnBlkPts>
                            <ClmnBlkPt>
                              <ClmnBlkPtProps>
                                <CBPT>5</CBPT>
                                <ST>6</ST>
                                <SON>1</SON>
                                <VOFFF><![CDATA[Financial Year]]></VOFFF>
                              </ClmnBlkPtProps>
                            </ClmnBlkPt>
                          </ClmnBlkPts>
                        </ClmnBlk>
                        <ClmnBlk>
                          <ClmnBlkProps>
                            <FCPT>2</FCPT>
                            <FCN>3</FCN>
                            <FCOT>1</FCOT>
                            <FCOC>1</FCOC>
                            <LCPT>1</LCPT>
                            <LCN>10</LCN>
                            <LCOT>0</LCOT>
                            <LCOC>7</LCOC>
                          </ClmnBlkProps>
                          <ClmnBlkPts>
                            <ClmnBlkPt>
                              <ClmnBlkPtProps>
                                <CBPT>5</CBPT>
                                <ST>-1</ST>
                                <SON>1</SON>
                                <VOFFF/>
                              </ClmnBlkPtProps>
                            </ClmnBlkPt>
                          </ClmnBlkPts>
                        </ClmnBlk>
                        <ClmnBlk>
                          <ClmnBlkProps>
                            <FCPT>2</FCPT>
                            <FCN>11</FCN>
                            <FCOT>1</FCOT>
                            <FCOC>1</FCOC>
                            <LCPT>1</LCPT>
                            <LCN>11</LCN>
                            <LCOT>0</LCOT>
                            <LCOC>0</LCOC>
                          </ClmnBlkProps>
                          <ClmnBlkPts>
                            <ClmnBlkPt>
                              <ClmnBlkPtProps>
                                <CBPT>5</CBPT>
                                <ST>16</ST>
                                <SON>1</SON>
                                <VOFFF><![CDATA[=YEAR(§A¿9,3,0,0,1,5,3,1,-1,0,0,FALSE,FALSE§Z¿)]]></VOFFF>
                              </ClmnBlkPtProps>
                            </ClmnBlkPt>
                          </ClmnBlkPts>
                        </ClmnBlk>
                      </ClmnBlks>
                      <TtlCtg>
                        <TtlCtgProps>
                          <R>2</R>
                        </TtlCtgProps>
                      </TtlCtg>
                    </Elmt>
                  </Elmts>
                </Sect>
              </Sects>
            </ModComp>
            <ModComp>
              <ModCompProps>
                <MN>1</MN>
                <MCN>4</MCN>
                <MCTK>PT</MCTK>
                <RT><![CDATA[Annual (2)]]></RT>
                <ERN>BPMMC18</ERN>
                <MCST>-1</MCST>
                <IPMC>False</IPMC>
                <SN>0</SN>
                <LODS>False</LODS>
                <LST>False</LST>
                <HS>False</HS>
                <IBOA>4</IBOA>
                <IB>False</IB>
                <CI/>
                <PTI><![CDATA[Ann_2]]></PTI>
                <PTP>False</PTP>
                <PTD><![CDATA[Annual time series periods.]]></PTD>
                <PTMCN>4</PTMCN>
                <CROL>3</CROL>
                <CCOL>3</CCOL>
                <AMFN>0</AMFN>
              </ModCompProps>
              <PrdTitlsBlks>
                <PrdTitlsBlk>
                  <PrdTitlsBlkProps>
                    <LI>4,1</LI>
                    <UPLC>False</UPLC>
                    <PLCT>0</PLCT>
                    <PLCCBPLI/>
                    <PLCRNN>0</PLCRNN>
                    <ICEN>0</ICEN>
                    <ICGT>0</ICGT>
                    <ICOL>2</ICOL>
                    <ICVT>1</ICVT>
                    <ICUM>0</ICUM>
                    <ICLCT>0</ICLCT>
                    <ICLCCBPLI/>
                    <ICLCRNN>0</ICLCRNN>
                    <HUC>False</HUC>
                  </PrdTitlsBlkProps>
                </PrdTitlsBlk>
                <PrdTitlsBlk>
                  <PrdTitlsBlkProps>
                    <LI>4,2</LI>
                    <UPLC>False</UPLC>
                    <PLCT>0</PLCT>
                    <PLCCBPLI/>
                    <PLCRNN>0</PLCRNN>
                    <ICEN>0</ICEN>
                    <ICGT>0</ICGT>
                    <ICOL>2</ICOL>
                    <ICVT>1</ICVT>
                    <ICUM>0</ICUM>
                    <ICLCT>0</ICLCT>
                    <ICLCCBPLI/>
                    <ICLCRNN>0</ICLCRNN>
                    <HUC>False</HUC>
                  </PrdTitlsBlkProps>
                </PrdTitlsBlk>
                <PrdTitlsBlk>
                  <PrdTitlsBlkProps>
                    <LI>4,3</LI>
                    <UPLC>True</UPLC>
                    <PLCT>2</PLCT>
                    <PLCCBPLI>1,1,8,2,1</PLCCBPLI>
                    <PLCRNN>1</PLCRNN>
                    <ICEN>0</ICEN>
                    <ICGT>0</ICGT>
                    <ICOL>3</ICOL>
                    <ICVT>0</ICVT>
                    <ICUM>0</ICUM>
                    <ICLCT>0</ICLCT>
                    <ICLCCBPLI/>
                    <ICLCRNN>0</ICLCRNN>
                    <HUC>False</HUC>
                  </PrdTitlsBlkProps>
                </PrdTitlsBlk>
              </PrdTitlsBlks>
              <FrzPnes>
                <FrzPnesProps>
                  <MN>1</MN>
                  <MCN>4</MCN>
                  <FPRPT>4</FPRPT>
                  <FPREN>5</FPREN>
                  <FPCPT>0</FPCPT>
                  <FPCN>1</FPCN>
                  <FPCOT>0</FPCOT>
                  <FPCOC>0</FPCOC>
                  <FPCPTBN>0</FPCPTBN>
                </FrzPnesProps>
              </FrzPnes>
              <Sects>
                <Sect>
                  <SectProps>
                    <LI>4,1</LI>
                    <EGN>0</EGN>
                  </SectProps>
                  <Elmts>
                    <Elmt>
                      <ElmtProps>
                        <CPT>2</CPT>
                      </ElmtProps>
                      <ClmnBlks>
                        <ClmnBlk>
                          <ClmnBlkProps>
                            <FCPT>0</FCPT>
                            <FCN>2</FCN>
                            <LCPT>1</LCPT>
                            <LCN>2</LCN>
                            <LCOT>0</LCOT>
                            <LCOC>0</LCOC>
                          </ClmnBlkProps>
                          <ClmnBlkPts>
                            <ClmnBlkPt>
                              <ClmnBlkPtProps>
                                <CBPT>5</CBPT>
                                <ST>22</ST>
                                <SON>1</SON>
                                <VOFFF><![CDATA[="Year Ending "&INDEX(§A¿1,1,2,1,11,0,1,1,1§Z¿,§A¿1,1,1,1,6,0,2,1,1§Z¿)]]></VOFFF>
                              </ClmnBlkPtProps>
                            </ClmnBlkPt>
                          </ClmnBlkPts>
                        </ClmnBlk>
                        <ClmnBlk>
                          <ClmnBlkProps>
                            <FCPT>2</FCPT>
                            <FCN>3</FCN>
                            <FCOT>1</FCOT>
                            <FCOC>1</FCOC>
                            <LCPT>1</LCPT>
                            <LCN>9</LCN>
                            <LCOT>0</LCOT>
                            <LCOC>6</LCOC>
                          </ClmnBlkProps>
                          <ClmnBlkPts>
                            <ClmnBlkPt>
                              <ClmnBlkPtProps>
                                <CBPT>5</CBPT>
                                <ST>-1</ST>
                                <SON>1</SON>
                                <VOFFF/>
                              </ClmnBlkPtProps>
                            </ClmnBlkPt>
                          </ClmnBlkPts>
                        </ClmnBlk>
                        <ClmnBlk>
                          <ClmnBlkProps>
                            <FCPT>2</FCPT>
                            <FCN>10</FCN>
                            <FCOT>1</FCOT>
                            <FCOC>1</FCOC>
                            <LCPT>1</LCPT>
                            <LCN>10</LCN>
                            <LCOT>0</LCOT>
                            <LCOC>0</LCOC>
                          </ClmnBlkProps>
                          <ClmnBlkPts>
                            <ClmnBlkPt>
                              <ClmnBlkPtProps>
                                <CBPT>5</CBPT>
                                <ST>22</ST>
                                <VOFFF><![CDATA[=§A¿9,4,0,0,1,5,3,1,-1,0,0,FALSE,FALSE§Z¿]]></VOFFF>
                              </ClmnBlkPtProps>
                            </ClmnBlkPt>
                          </ClmnBlkPts>
                        </ClmnBlk>
                      </ClmnBlks>
                      <TtlCtg/>
                    </Elmt>
                    <Elmt>
                      <ElmtProps>
                        <CPT>2</CPT>
                      </ElmtProps>
                      <ClmnBlks>
                        <ClmnBlk>
                          <ClmnBlkProps>
                            <FCPT>0</FCPT>
                            <FCN>2</FCN>
                            <LCPT>1</LCPT>
                            <LCN>2</LCN>
                            <LCOT>0</LCOT>
                            <LCOC>0</LCOC>
                          </ClmnBlkProps>
                          <ClmnBlkPts>
                            <ClmnBlkPt>
                              <ClmnBlkPtProps>
                                <CBPT>5</CBPT>
                                <ST>6</ST>
                                <VOFFF><![CDATA[Period Start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10</LCN>
                            <LCOT>0</LCOT>
                            <LCOC>0</LCOC>
                          </ClmnBlkProps>
                          <ClmnBlkPts>
                            <ClmnBlkPt>
                              <ClmnBlkPtProps>
                                <CBPT>5</CBPT>
                                <ST>17</ST>
                                <VOFFF><![CDATA[=EDATE(§A¿1,1,1,1,9,0,2,1,1§Z¿,(§A¿9,4,0,0,1,4,3,1,-1,0,0,FALSE,FALSE§Z¿-1)*§A¿1,2,2,1,15,7,1,1,1§Z¿)]]></VOFFF>
                              </ClmnBlkPtProps>
                            </ClmnBlkPt>
                          </ClmnBlkPts>
                        </ClmnBlk>
                      </ClmnBlks>
                      <TtlCtg>
                        <TtlCtgProps>
                          <R>2</R>
                        </TtlCtgProps>
                      </TtlCtg>
                    </Elmt>
                    <Elmt>
                      <ElmtProps>
                        <CPT>2</CPT>
                      </ElmtProps>
                      <ClmnBlks>
                        <ClmnBlk>
                          <ClmnBlkProps>
                            <FCPT>0</FCPT>
                            <FCN>2</FCN>
                            <LCPT>1</LCPT>
                            <LCN>2</LCN>
                            <LCOT>0</LCOT>
                            <LCOC>0</LCOC>
                          </ClmnBlkProps>
                          <ClmnBlkPts>
                            <ClmnBlkPt>
                              <ClmnBlkPtProps>
                                <CBPT>5</CBPT>
                                <ST>6</ST>
                                <VOFFF><![CDATA[Period End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10</LCN>
                            <LCOT>0</LCOT>
                            <LCOC>0</LCOC>
                          </ClmnBlkProps>
                          <ClmnBlkPts>
                            <ClmnBlkPt>
                              <ClmnBlkPtProps>
                                <CBPT>5</CBPT>
                                <ST>17</ST>
                                <VOFFF><![CDATA[=EDATE(§A¿9,4,0,0,1,2,3,1,-1,0,0,FALSE,FALSE§Z¿,§A¿1,2,2,1,15,7,1,1,1§Z¿)-1]]></VOFFF>
                              </ClmnBlkPtProps>
                            </ClmnBlkPt>
                          </ClmnBlkPts>
                        </ClmnBlk>
                      </ClmnBlks>
                      <TtlCtg>
                        <TtlCtgProps>
                          <R>2</R>
                        </TtlCtgProps>
                      </TtlCtg>
                    </Elmt>
                    <Elmt>
                      <ElmtProps>
                        <CPT>2</CPT>
                      </ElmtProps>
                      <ClmnBlks>
                        <ClmnBlk>
                          <ClmnBlkProps>
                            <FCPT>0</FCPT>
                            <FCN>2</FCN>
                            <LCPT>1</LCPT>
                            <LCN>2</LCN>
                            <LCOT>0</LCOT>
                            <LCOC>0</LCOC>
                          </ClmnBlkProps>
                          <ClmnBlkPts>
                            <ClmnBlkPt>
                              <ClmnBlkPtProps>
                                <CBPT>5</CBPT>
                                <ST>6</ST>
                                <VOFFF><![CDATA[Count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10</LCN>
                            <LCOT>0</LCOT>
                            <LCOC>0</LCOC>
                          </ClmnBlkProps>
                          <ClmnBlkPts>
                            <ClmnBlkPt>
                              <ClmnBlkPtProps>
                                <CBPT>5</CBPT>
                                <ST>18</ST>
                                <SON>3</SON>
                                <VOFFF><![CDATA[=COLUMNS(§A¿9,4,0,1,1,4,3,1,-1,0,0,FALSE,TRUE,1,4,3,1,-1,0,0,FALSE,FALSE§Z¿)]]></VOFFF>
                              </ClmnBlkPtProps>
                            </ClmnBlkPt>
                          </ClmnBlkPts>
                        </ClmnBlk>
                      </ClmnBlks>
                      <TtlCtg>
                        <TtlCtgProps>
                          <R>2</R>
                        </TtlCtgProps>
                      </TtlCtg>
                    </Elmt>
                    <Elmt>
                      <ElmtProps>
                        <CPT>2</CPT>
                      </ElmtProps>
                      <ClmnBlks>
                        <ClmnBlk>
                          <ClmnBlkProps>
                            <FCPT>0</FCPT>
                            <FCN>2</FCN>
                            <LCPT>1</LCPT>
                            <LCN>2</LCN>
                            <LCOT>0</LCOT>
                            <LCOC>0</LCOC>
                          </ClmnBlkProps>
                          <ClmnBlkPts>
                            <ClmnBlkPt>
                              <ClmnBlkPtProps>
                                <CBPT>5</CBPT>
                                <ST>6</ST>
                                <SON>1</SON>
                                <VOFFF><![CDATA[Financial Year]]></VOFFF>
                              </ClmnBlkPtProps>
                            </ClmnBlkPt>
                          </ClmnBlkPts>
                        </ClmnBlk>
                        <ClmnBlk>
                          <ClmnBlkProps>
                            <FCPT>2</FCPT>
                            <FCN>3</FCN>
                            <FCOT>1</FCOT>
                            <FCOC>1</FCOC>
                            <LCPT>1</LCPT>
                            <LCN>9</LCN>
                            <LCOT>0</LCOT>
                            <LCOC>6</LCOC>
                          </ClmnBlkProps>
                          <ClmnBlkPts>
                            <ClmnBlkPt>
                              <ClmnBlkPtProps>
                                <CBPT>5</CBPT>
                                <ST>-1</ST>
                                <SON>1</SON>
                                <VOFFF/>
                              </ClmnBlkPtProps>
                            </ClmnBlkPt>
                          </ClmnBlkPts>
                        </ClmnBlk>
                        <ClmnBlk>
                          <ClmnBlkProps>
                            <FCPT>2</FCPT>
                            <FCN>10</FCN>
                            <FCOT>1</FCOT>
                            <FCOC>1</FCOC>
                            <LCPT>1</LCPT>
                            <LCN>10</LCN>
                            <LCOT>0</LCOT>
                            <LCOC>0</LCOC>
                          </ClmnBlkProps>
                          <ClmnBlkPts>
                            <ClmnBlkPt>
                              <ClmnBlkPtProps>
                                <CBPT>5</CBPT>
                                <ST>16</ST>
                                <SON>1</SON>
                                <VOFFF><![CDATA[=YEAR(§A¿9,4,0,0,1,3,3,1,-1,0,0,FALSE,FALSE§Z¿)]]></VOFFF>
                              </ClmnBlkPtProps>
                            </ClmnBlkPt>
                          </ClmnBlkPts>
                        </ClmnBlk>
                      </ClmnBlks>
                      <TtlCtg>
                        <TtlCtgProps>
                          <R>2</R>
                        </TtlCtgProps>
                      </TtlCtg>
                    </Elmt>
                  </Elmts>
                </Sect>
              </Sects>
            </ModComp>
          </ModComps>
        </Mod>
        <Mod>
          <ModProps>
            <MVS>10.16.9.0</MVS>
            <RAV/>
            <RXV>0</RXV>
            <FV>3</FV>
            <MT>0</MT>
            <SCT>-1</SCT>
            <P><![CDATA[Lbl]]></P>
            <OI>100</OI>
            <MN>0</MN>
            <MAG>48B2C558-7DFB-4D85-8940-C66816DD84A3</MAG>
            <BN><![CDATA[Labels]]></BN>
            <N><![CDATA[LABELS]]></N>
            <TS><![CDATA[None]]></TS>
            <D><![CDATA[Labels or terms for customization by user.]]></D>
            <FS/>
            <R/>
            <GE/>
            <CA/>
            <VA/>
            <GST/>
            <DE/>
            <E/>
            <C/>
            <W/>
            <K/>
            <CO/>
            <V>1.0.0.0.</V>
            <AX/>
            <PMLO>False</PMLO>
            <IPMLO>False</IPMLO>
            <MACA>1</MACA>
            <RTSM>False</RTSM>
            <CC>False</CC>
            <X>False</X>
            <G>064E508E-4490-4BFE-B3DB-51ED4CBF3DB2</G>
          </ModProps>
          <StlOvlys>
            <StlOvly>
              <StlOvlyProps>
                <SON>1</SON>
                <IHA>True</IHA>
                <HA>-4108</HA>
              </StlOvlyProps>
              <BdrOvlys>
                <BdrOvly>
                  <BdrOvlyProps>
                    <PT>1</PT>
                    <SON>1</SON>
                    <CBPLI/>
                    <FCN>0</FCN>
                    <I>True</I>
                    <BI>7</BI>
                    <LS>1</LS>
                    <W>2</W>
                  </BdrOvlyProps>
                </BdrOvly>
                <BdrOvly>
                  <BdrOvlyProps>
                    <PT>1</PT>
                    <SON>1</SON>
                    <CBPLI/>
                    <FCN>0</FCN>
                    <I>True</I>
                    <BI>8</BI>
                    <LS>1</LS>
                    <W>2</W>
                  </BdrOvlyProps>
                </BdrOvly>
              </BdrOvlys>
            </StlOvly>
            <StlOvly>
              <StlOvlyProps>
                <SON>2</SON>
              </StlOvlyProps>
              <BdrOvlys>
                <BdrOvly>
                  <BdrOvlyProps>
                    <PT>1</PT>
                    <SON>2</SON>
                    <CBPLI/>
                    <FCN>0</FCN>
                    <I>True</I>
                    <BI>7</BI>
                    <LS>1</LS>
                    <W>2</W>
                  </BdrOvlyProps>
                </BdrOvly>
              </BdrOvlys>
            </StlOvly>
            <StlOvly>
              <StlOvlyProps>
                <SON>3</SON>
              </StlOvlyProps>
              <BdrOvlys>
                <BdrOvly>
                  <BdrOvlyProps>
                    <PT>1</PT>
                    <SON>3</SON>
                    <CBPLI/>
                    <FCN>0</FCN>
                    <I>True</I>
                    <BI>10</BI>
                    <LS>1</LS>
                    <W>2</W>
                  </BdrOvlyProps>
                </BdrOvly>
              </BdrOvlys>
            </StlOvly>
            <StlOvly>
              <StlOvlyProps>
                <SON>4</SON>
                <IHA>True</IHA>
                <HA>-4108</HA>
              </StlOvlyProps>
              <BdrOvlys>
                <BdrOvly>
                  <BdrOvlyProps>
                    <PT>1</PT>
                    <SON>4</SON>
                    <CBPLI/>
                    <FCN>0</FCN>
                    <I>True</I>
                    <BI>7</BI>
                    <LS>1</LS>
                    <W>2</W>
                  </BdrOvlyProps>
                </BdrOvly>
                <BdrOvly>
                  <BdrOvlyProps>
                    <PT>1</PT>
                    <SON>4</SON>
                    <CBPLI/>
                    <FCN>0</FCN>
                    <I>True</I>
                    <BI>10</BI>
                    <LS>1</LS>
                    <W>2</W>
                  </BdrOvlyProps>
                </BdrOvly>
                <BdrOvly>
                  <BdrOvlyProps>
                    <PT>1</PT>
                    <SON>4</SON>
                    <CBPLI/>
                    <FCN>0</FCN>
                    <I>True</I>
                    <BI>8</BI>
                    <LS>1</LS>
                    <W>2</W>
                  </BdrOvlyProps>
                </BdrOvly>
              </BdrOvlys>
            </StlOvly>
            <StlOvly>
              <StlOvlyProps>
                <SON>5</SON>
                <IHA>True</IHA>
                <IRT>True</IRT>
                <HA>-4108</HA>
                <WT>True</WT>
              </StlOvlyProps>
              <BdrOvlys>
                <BdrOvly>
                  <BdrOvlyProps>
                    <PT>1</PT>
                    <SON>5</SON>
                    <CBPLI/>
                    <FCN>0</FCN>
                    <I>True</I>
                    <BI>7</BI>
                    <LS>1</LS>
                    <W>2</W>
                  </BdrOvlyProps>
                </BdrOvly>
                <BdrOvly>
                  <BdrOvlyProps>
                    <PT>1</PT>
                    <SON>5</SON>
                    <CBPLI/>
                    <FCN>0</FCN>
                    <I>True</I>
                    <BI>9</BI>
                    <LS>1</LS>
                    <W>2</W>
                  </BdrOvlyProps>
                </BdrOvly>
              </BdrOvlys>
            </StlOvly>
            <StlOvly>
              <StlOvlyProps>
                <SON>6</SON>
                <IHA>True</IHA>
                <IRT>True</IRT>
                <HA>-4108</HA>
                <WT>True</WT>
              </StlOvlyProps>
              <BdrOvlys>
                <BdrOvly>
                  <BdrOvlyProps>
                    <PT>1</PT>
                    <SON>6</SON>
                    <CBPLI/>
                    <FCN>0</FCN>
                    <I>True</I>
                    <BI>9</BI>
                    <LS>1</LS>
                    <W>2</W>
                  </BdrOvlyProps>
                </BdrOvly>
              </BdrOvlys>
            </StlOvly>
            <StlOvly>
              <StlOvlyProps>
                <SON>7</SON>
                <IHA>True</IHA>
                <IRT>True</IRT>
                <HA>-4108</HA>
                <WT>True</WT>
              </StlOvlyProps>
              <BdrOvlys>
                <BdrOvly>
                  <BdrOvlyProps>
                    <PT>1</PT>
                    <SON>7</SON>
                    <CBPLI/>
                    <FCN>0</FCN>
                    <I>True</I>
                    <BI>10</BI>
                    <LS>1</LS>
                    <W>2</W>
                  </BdrOvlyProps>
                </BdrOvly>
                <BdrOvly>
                  <BdrOvlyProps>
                    <PT>1</PT>
                    <SON>7</SON>
                    <CBPLI/>
                    <FCN>0</FCN>
                    <I>True</I>
                    <BI>9</BI>
                    <LS>1</LS>
                    <W>2</W>
                  </BdrOvlyProps>
                </BdrOvly>
              </BdrOvlys>
            </StlOvly>
            <StlOvly>
              <StlOvlyProps>
                <SON>8</SON>
                <IRT>True</IRT>
                <WT>True</WT>
              </StlOvlyProps>
            </StlOvly>
          </StlOvlys>
          <ModComps>
            <ModComp>
              <ModCompProps>
                <MN>2</MN>
                <MCN>1</MCN>
                <MCTK>BaseCase</MCTK>
                <RT><![CDATA[Labels - Assumptions]]></RT>
                <ERN>BPMMC17</ERN>
                <MCST>0</MCST>
                <IPMC>False</IPMC>
                <SN>5</SN>
                <LODS>False</LODS>
                <LST>False</LST>
                <HS>False</HS>
                <IBOA>0</IBOA>
                <IB>True</IB>
                <CI/>
                <PTI/>
                <PTP>False</PTP>
                <PTD/>
                <PTMCN>0</PTMCN>
                <CROL>0</CROL>
                <CCOL>0</CCOL>
                <AMFN>0</AMFN>
              </ModCompProps>
              <Sects>
                <Sect>
                  <SectProps>
                    <LI>1,1</LI>
                    <EGN>0</EGN>
                  </SectProps>
                  <Elmts>
                    <Elmt>
                      <ElmtProps>
                        <CPT>2</CPT>
                      </ElmtProps>
                      <ClmnBlks>
                        <ClmnBlk>
                          <ClmnBlkProps>
                            <FCPT>0</FCPT>
                            <FCN>11</FCN>
                            <LCPT>0</LCPT>
                            <LCN>11</LCN>
                          </ClmnBlkProps>
                          <ClmnBlkPts>
                            <ClmnBlkPt>
                              <ClmnBlkPtProps>
                                <CBPT>5</CBPT>
                                <ST>6</ST>
                                <VOFFF><![CDATA[Source of Information/ Notes]]></VOFFF>
                              </ClmnBlkPtProps>
                            </ClmnBlkPt>
                          </ClmnBlkPts>
                        </ClmnBlk>
                      </ClmnBlks>
                      <TtlCtg/>
                    </Elmt>
                    <Elmt>
                      <ElmtProps>
                        <CPT>2</CPT>
                      </ElmtProps>
                      <ClmnBlks>
                        <ClmnBlk>
                          <ClmnBlkProps>
                            <FCPT>0</FCPT>
                            <FCN>2</FCN>
                            <LCPT>0</LCPT>
                            <LCN>5</LCN>
                          </ClmnBlkProps>
                          <ClmnBlkPts>
                            <ClmnBlkPt>
                              <ClmnBlkPtProps>
                                <CBPT>5</CBPT>
                                <HCTHR>True</HCTHR>
                                <CTHN>19</CTHN>
                                <ST>4</ST>
                                <MC>True</MC>
                                <VOFFF><![CDATA[Country Name Label]]></VOFFF>
                              </ClmnBlkPtProps>
                            </ClmnBlkPt>
                          </ClmnBlkPts>
                        </ClmnBlk>
                        <ClmnBlk>
                          <ClmnBlkProps>
                            <FCPT>0</FCPT>
                            <FCN>7</FCN>
                            <LCPT>0</LCPT>
                            <LCN>9</LCN>
                          </ClmnBlkProps>
                          <ClmnBlkPts>
                            <ClmnBlkPt>
                              <ClmnBlkPtProps>
                                <CBPT>5</CBPT>
                                <ST>8</ST>
                                <MC>True</MC>
                                <VOFFF/>
                                <UDAV><![CDATA[Default Country Label]]></UDAV>
                              </ClmnBlkPtProps>
                              <RgeNmes>
                                <RgeNme>
                                  <RgeNmeProps>
                                    <CBPLI>1,1,2,2,1</CBPLI>
                                    <MCN>1</MCN>
                                    <SN>1</SN>
                                    <EN>2</EN>
                                    <CN>0</CN>
                                    <CBN>2</CBN>
                                    <CBPN>1</CBPN>
                                    <PT>1</PT>
                                    <CBPRNT>6</CBPRNT>
                                    <NT>-1</NT>
                                    <SP1><![CDATA[Country]]></SP1>
                                    <SP2/>
                                    <FFF/>
                                    <CMT/>
                                  </RgeNmeProps>
                                </RgeNme>
                              </RgeNmes>
                            </ClmnBlkPt>
                          </ClmnBlkPts>
                        </ClmnBlk>
                        <ClmnBlk>
                          <ClmnBlkProps>
                            <FCPT>0</FCPT>
                            <FCN>11</FCN>
                            <LCPT>0</LCPT>
                            <LCN>15</LCN>
                          </ClmnBlkProps>
                          <ClmnBlkPts>
                            <ClmnBlkPt>
                              <ClmnBlkPtProps>
                                <CBPT>5</CBPT>
                                <ST>8</ST>
                                <SON>8</SON>
                                <MC>True</MC>
                                <VOFFF/>
                              </ClmnBlkPtProps>
                            </ClmnBlkPt>
                          </ClmnBlkPts>
                        </ClmnBlk>
                      </ClmnBlks>
                      <TtlCtg/>
                    </Elmt>
                    <Elmt>
                      <ElmtProps>
                        <CPT>2</CPT>
                      </ElmtProps>
                      <TtlCtg/>
                    </Elmt>
                    <Elmt>
                      <ElmtProps>
                        <CPT>2</CPT>
                      </ElmtProps>
                      <ClmnBlks>
                        <ClmnBlk>
                          <ClmnBlkProps>
                            <FCPT>0</FCPT>
                            <FCN>2</FCN>
                            <LCPT>0</LCPT>
                            <LCN>5</LCN>
                          </ClmnBlkProps>
                          <ClmnBlkPts>
                            <ClmnBlkPt>
                              <ClmnBlkPtProps>
                                <CBPT>5</CBPT>
                                <HCTHR>True</HCTHR>
                                <CTHN>20</CTHN>
                                <ST>4</ST>
                                <MC>True</MC>
                                <VOFFF><![CDATA[Sub-National Level Name Labels]]></VOFFF>
                              </ClmnBlkPtProps>
                            </ClmnBlkPt>
                          </ClmnBlkPts>
                        </ClmnBlk>
                        <ClmnBlk>
                          <ClmnBlkProps>
                            <FCPT>0</FCPT>
                            <FCN>11</FCN>
                            <LCPT>0</LCPT>
                            <LCN>11</LCN>
                          </ClmnBlkProps>
                          <ClmnBlkPts>
                            <ClmnBlkPt>
                              <ClmnBlkPtProps>
                                <CBPT>5</CBPT>
                                <ST>6</ST>
                                <VOFFF><![CDATA[Source of Information/ Notes]]></VOFFF>
                              </ClmnBlkPtProps>
                            </ClmnBlkPt>
                          </ClmnBlkPts>
                        </ClmnBlk>
                      </ClmnBlks>
                      <TtlCtg/>
                    </Elmt>
                    <Elmt>
                      <ElmtProps>
                        <CPT>2</CPT>
                      </ElmtProps>
                      <ClmnBlks>
                        <ClmnBlk>
                          <ClmnBlkProps>
                            <FCPT>0</FCPT>
                            <FCN>3</FCN>
                            <LCPT>0</LCPT>
                            <LCN>3</LCN>
                          </ClmnBlkProps>
                          <ClmnBlkPts>
                            <ClmnBlkPt>
                              <ClmnBlkPtProps>
                                <CBPT>5</CBPT>
                                <ST>6</ST>
                                <VOFFF><![CDATA[First Level]]></VOFFF>
                              </ClmnBlkPtProps>
                            </ClmnBlkPt>
                          </ClmnBlkPts>
                        </ClmnBlk>
                        <ClmnBlk>
                          <ClmnBlkProps>
                            <FCPT>0</FCPT>
                            <FCN>7</FCN>
                            <LCPT>0</LCPT>
                            <LCN>9</LCN>
                          </ClmnBlkProps>
                          <ClmnBlkPts>
                            <ClmnBlkPt>
                              <ClmnBlkPtProps>
                                <CBPT>5</CBPT>
                                <ST>8</ST>
                                <MC>True</MC>
                                <VOFFF><![CDATA[Regions]]></VOFFF>
                                <UDAV><![CDATA[Region]]></UDAV>
                              </ClmnBlkPtProps>
                              <RgeNmes>
                                <RgeNme>
                                  <RgeNmeProps>
                                    <CBPLI>1,1,5,2,1</CBPLI>
                                    <MCN>1</MCN>
                                    <SN>1</SN>
                                    <EN>5</EN>
                                    <CN>0</CN>
                                    <CBN>2</CBN>
                                    <CBPN>1</CBPN>
                                    <PT>1</PT>
                                    <CBPRNT>6</CBPRNT>
                                    <NT>-1</NT>
                                    <SP1><![CDATA[First_Admin_Div]]></SP1>
                                    <SP2/>
                                    <FFF/>
                                    <CMT/>
                                  </RgeNmeProps>
                                </RgeNme>
                              </RgeNmes>
                            </ClmnBlkPt>
                          </ClmnBlkPts>
                        </ClmnBlk>
                        <ClmnBlk>
                          <ClmnBlkProps>
                            <FCPT>0</FCPT>
                            <FCN>11</FCN>
                            <LCPT>0</LCPT>
                            <LCN>15</LCN>
                          </ClmnBlkProps>
                          <ClmnBlkPts>
                            <ClmnBlkPt>
                              <ClmnBlkPtProps>
                                <CBPT>5</CBPT>
                                <ST>8</ST>
                                <SON>8</SON>
                                <MC>True</MC>
                                <VOFFF/>
                              </ClmnBlkPtProps>
                            </ClmnBlkPt>
                          </ClmnBlkPts>
                        </ClmnBlk>
                      </ClmnBlks>
                      <TtlCtg/>
                      <ElmtLnksOut>
                        <ElmtLnk>
                          <ElmtLnkProps>
                            <ELI>1,1,5</ELI>
                            <ELN>1</ELN>
                            <ELGN>1</ELGN>
                            <MLG>79125382-890F-41B1-9154-E0CD1CCA066E</MLG>
                            <ICBI>2</ICBI>
                            <ILBN>1</ILBN>
                            <LIBN>0</LIBN>
                          </ElmtLnkProps>
                        </ElmtLnk>
                      </ElmtLnksOut>
                    </Elmt>
                    <Elmt>
                      <ElmtProps>
                        <CPT>2</CPT>
                      </ElmtProps>
                      <ClmnBlks>
                        <ClmnBlk>
                          <ClmnBlkProps>
                            <FCPT>0</FCPT>
                            <FCN>3</FCN>
                            <LCPT>0</LCPT>
                            <LCN>3</LCN>
                          </ClmnBlkProps>
                          <ClmnBlkPts>
                            <ClmnBlkPt>
                              <ClmnBlkPtProps>
                                <CBPT>5</CBPT>
                                <ST>6</ST>
                                <VOFFF><![CDATA[Second Level]]></VOFFF>
                              </ClmnBlkPtProps>
                            </ClmnBlkPt>
                          </ClmnBlkPts>
                        </ClmnBlk>
                        <ClmnBlk>
                          <ClmnBlkProps>
                            <FCPT>0</FCPT>
                            <FCN>7</FCN>
                            <LCPT>0</LCPT>
                            <LCN>9</LCN>
                          </ClmnBlkProps>
                          <ClmnBlkPts>
                            <ClmnBlkPt>
                              <ClmnBlkPtProps>
                                <CBPT>5</CBPT>
                                <ST>8</ST>
                                <MC>True</MC>
                                <VOFFF><![CDATA[Region]]></VOFFF>
                                <UDAV><![CDATA[Region]]></UDAV>
                              </ClmnBlkPtProps>
                              <RgeNmes>
                                <RgeNme>
                                  <RgeNmeProps>
                                    <CBPLI>1,1,6,2,1</CBPLI>
                                    <MCN>1</MCN>
                                    <SN>1</SN>
                                    <EN>6</EN>
                                    <CN>0</CN>
                                    <CBN>2</CBN>
                                    <CBPN>1</CBPN>
                                    <PT>1</PT>
                                    <CBPRNT>6</CBPRNT>
                                    <NT>-1</NT>
                                    <SP1><![CDATA[Second_Admin_Div]]></SP1>
                                    <SP2/>
                                    <FFF/>
                                    <CMT/>
                                  </RgeNmeProps>
                                </RgeNme>
                              </RgeNmes>
                            </ClmnBlkPt>
                          </ClmnBlkPts>
                        </ClmnBlk>
                        <ClmnBlk>
                          <ClmnBlkProps>
                            <FCPT>0</FCPT>
                            <FCN>11</FCN>
                            <LCPT>0</LCPT>
                            <LCN>15</LCN>
                          </ClmnBlkProps>
                          <ClmnBlkPts>
                            <ClmnBlkPt>
                              <ClmnBlkPtProps>
                                <CBPT>5</CBPT>
                                <ST>8</ST>
                                <SON>8</SON>
                                <MC>True</MC>
                                <VOFFF/>
                              </ClmnBlkPtProps>
                            </ClmnBlkPt>
                          </ClmnBlkPts>
                        </ClmnBlk>
                      </ClmnBlks>
                      <TtlCtg/>
                      <ElmtLnksOut>
                        <ElmtLnk>
                          <ElmtLnkProps>
                            <ELI>1,1,6</ELI>
                            <ELN>1</ELN>
                            <ELGN>1</ELGN>
                            <MLG>D7D906C8-D92E-4D67-89D4-E23E0136F9F8</MLG>
                            <ICBI>2</ICBI>
                            <ILBN>1</ILBN>
                            <LIBN>0</LIBN>
                          </ElmtLnkProps>
                        </ElmtLnk>
                      </ElmtLnksOut>
                    </Elmt>
                    <Elmt>
                      <ElmtProps>
                        <CPT>2</CPT>
                      </ElmtProps>
                      <ClmnBlks>
                        <ClmnBlk>
                          <ClmnBlkProps>
                            <FCPT>0</FCPT>
                            <FCN>3</FCN>
                            <LCPT>0</LCPT>
                            <LCN>3</LCN>
                          </ClmnBlkProps>
                          <ClmnBlkPts>
                            <ClmnBlkPt>
                              <ClmnBlkPtProps>
                                <CBPT>5</CBPT>
                                <ST>6</ST>
                                <VOFFF><![CDATA[Third Level]]></VOFFF>
                              </ClmnBlkPtProps>
                            </ClmnBlkPt>
                          </ClmnBlkPts>
                        </ClmnBlk>
                        <ClmnBlk>
                          <ClmnBlkProps>
                            <FCPT>0</FCPT>
                            <FCN>7</FCN>
                            <LCPT>0</LCPT>
                            <LCN>9</LCN>
                          </ClmnBlkProps>
                          <ClmnBlkPts>
                            <ClmnBlkPt>
                              <ClmnBlkPtProps>
                                <CBPT>5</CBPT>
                                <ST>8</ST>
                                <MC>True</MC>
                                <VOFFF><![CDATA[Districts]]></VOFFF>
                                <UDAV><![CDATA[Districts]]></UDAV>
                              </ClmnBlkPtProps>
                              <RgeNmes>
                                <RgeNme>
                                  <RgeNmeProps>
                                    <CBPLI>1,1,7,2,1</CBPLI>
                                    <MCN>1</MCN>
                                    <SN>1</SN>
                                    <EN>7</EN>
                                    <CN>0</CN>
                                    <CBN>2</CBN>
                                    <CBPN>1</CBPN>
                                    <PT>1</PT>
                                    <CBPRNT>6</CBPRNT>
                                    <NT>-1</NT>
                                    <SP1><![CDATA[Third_Admin_Div]]></SP1>
                                    <SP2/>
                                    <FFF/>
                                    <CMT/>
                                  </RgeNmeProps>
                                </RgeNme>
                              </RgeNmes>
                            </ClmnBlkPt>
                          </ClmnBlkPts>
                        </ClmnBlk>
                        <ClmnBlk>
                          <ClmnBlkProps>
                            <FCPT>0</FCPT>
                            <FCN>11</FCN>
                            <LCPT>0</LCPT>
                            <LCN>15</LCN>
                          </ClmnBlkProps>
                          <ClmnBlkPts>
                            <ClmnBlkPt>
                              <ClmnBlkPtProps>
                                <CBPT>5</CBPT>
                                <ST>8</ST>
                                <SON>8</SON>
                                <MC>True</MC>
                                <VOFFF/>
                              </ClmnBlkPtProps>
                            </ClmnBlkPt>
                          </ClmnBlkPts>
                        </ClmnBlk>
                      </ClmnBlks>
                      <TtlCtg/>
                      <ElmtLnksOut>
                        <ElmtLnk>
                          <ElmtLnkProps>
                            <ELI>1,1,7</ELI>
                            <ELN>1</ELN>
                            <ELGN>1</ELGN>
                            <MLG>00B57DDE-3460-4A62-8E0C-18E229409E2D</MLG>
                            <ICBI>2</ICBI>
                            <ILBN>1</ILBN>
                            <LIBN>0</LIBN>
                          </ElmtLnkProps>
                        </ElmtLnk>
                      </ElmtLnksOut>
                    </Elmt>
                    <Elmt>
                      <ElmtProps>
                        <CPT>2</CPT>
                      </ElmtProps>
                      <TtlCtg/>
                    </Elmt>
                    <Elmt>
                      <ElmtProps>
                        <CPT>2</CPT>
                      </ElmtProps>
                      <ClmnBlks>
                        <ClmnBlk>
                          <ClmnBlkProps>
                            <FCPT>0</FCPT>
                            <FCN>2</FCN>
                            <LCPT>0</LCPT>
                            <LCN>5</LCN>
                          </ClmnBlkProps>
                          <ClmnBlkPts>
                            <ClmnBlkPt>
                              <ClmnBlkPtProps>
                                <CBPT>5</CBPT>
                                <HCTHR>True</HCTHR>
                                <CTHN>21</CTHN>
                                <ST>4</ST>
                                <MC>True</MC>
                                <VOFFF><![CDATA[Facility Type Name Labels]]></VOFFF>
                              </ClmnBlkPtProps>
                            </ClmnBlkPt>
                          </ClmnBlkPts>
                        </ClmnBlk>
                      </ClmnBlks>
                      <TtlCtg/>
                    </Elmt>
                    <Elmt>
                      <ElmtProps>
                        <CPT>2</CPT>
                      </ElmtProps>
                      <ClmnBlks>
                        <ClmnBlk>
                          <ClmnBlkProps>
                            <FCPT>0</FCPT>
                            <FCN>4</FCN>
                            <LCPT>0</LCPT>
                            <LCN>6</LCN>
                          </ClmnBlkProps>
                          <ClmnBlkPts>
                            <ClmnBlkPt>
                              <ClmnBlkPtProps>
                                <CBPT>5</CBPT>
                                <ST>5</ST>
                                <SON>1</SON>
                                <MC>True</MC>
                                <VOFFF><![CDATA[Support Facilities]]></VOFFF>
                              </ClmnBlkPtProps>
                              <RgeNmes>
                                <RgeNme>
                                  <RgeNmeProps>
                                    <CBPLI>1,1,10,1,1</CBPLI>
                                    <MCN>1</MCN>
                                    <SN>1</SN>
                                    <EN>10</EN>
                                    <CN>0</CN>
                                    <CBN>1</CBN>
                                    <CBPN>1</CBPN>
                                    <PT>1</PT>
                                    <CBPRNT>6</CBPRNT>
                                    <NT>-1</NT>
                                    <SP1><![CDATA[Hospital_Facilities]]></SP1>
                                    <SP2/>
                                    <FFF/>
                                    <CMT/>
                                  </RgeNmeProps>
                                </RgeNme>
                              </RgeNmes>
                            </ClmnBlkPt>
                          </ClmnBlkPts>
                        </ClmnBlk>
                        <ClmnBlk>
                          <ClmnBlkProps>
                            <FCPT>0</FCPT>
                            <FCN>7</FCN>
                            <LCPT>0</LCPT>
                            <LCN>9</LCN>
                          </ClmnBlkProps>
                          <ClmnBlkPts>
                            <ClmnBlkPt>
                              <ClmnBlkPtProps>
                                <CBPT>5</CBPT>
                                <ST>5</ST>
                                <SON>4</SON>
                                <MC>True</MC>
                                <VOFFF><![CDATA[Vaccination Team Types]]></VOFFF>
                              </ClmnBlkPtProps>
                              <RgeNmes>
                                <RgeNme>
                                  <RgeNmeProps>
                                    <CBPLI>1,1,10,2,1</CBPLI>
                                    <MCN>1</MCN>
                                    <SN>1</SN>
                                    <EN>10</EN>
                                    <CN>0</CN>
                                    <CBN>2</CBN>
                                    <CBPN>1</CBPN>
                                    <PT>1</PT>
                                    <CBPRNT>6</CBPRNT>
                                    <NT>-1</NT>
                                    <SP1><![CDATA[Non_Hospital_Health_Facilities]]></SP1>
                                    <SP2/>
                                    <FFF/>
                                    <CMT/>
                                  </RgeNmeProps>
                                </RgeNme>
                              </RgeNmes>
                            </ClmnBlkPt>
                          </ClmnBlkPts>
                        </ClmnBlk>
                      </ClmnBlks>
                      <TtlCtg/>
                    </Elmt>
                    <Elmt>
                      <ElmtProps>
                        <CPT>2</CPT>
                      </ElmtProps>
                      <ClmnBlks>
                        <ClmnBlk>
                          <ClmnBlkProps>
                            <FCPT>0</FCPT>
                            <FCN>4</FCN>
                            <LCPT>0</LCPT>
                            <LCN>4</LCN>
                          </ClmnBlkProps>
                          <ClmnBlkPts>
                            <ClmnBlkPt>
                              <ClmnBlkPtProps>
                                <CBPT>5</CBPT>
                                <ST>5</ST>
                                <SON>2</SON>
                                <VOFFF><![CDATA[Facility 1]]></VOFFF>
                              </ClmnBlkPtProps>
                              <RgeNmes>
                                <RgeNme>
                                  <RgeNmeProps>
                                    <CBPLI>1,1,11,1,1</CBPLI>
                                    <MCN>1</MCN>
                                    <SN>1</SN>
                                    <EN>11</EN>
                                    <CN>0</CN>
                                    <CBN>1</CBN>
                                    <CBPN>1</CBPN>
                                    <PT>1</PT>
                                    <CBPRNT>6</CBPRNT>
                                    <NT>-1</NT>
                                    <SP1><![CDATA[Facility_1]]></SP1>
                                    <SP2/>
                                    <FFF/>
                                    <CMT/>
                                  </RgeNmeProps>
                                </RgeNme>
                              </RgeNmes>
                            </ClmnBlkPt>
                          </ClmnBlkPts>
                        </ClmnBlk>
                        <ClmnBlk>
                          <ClmnBlkProps>
                            <FCPT>0</FCPT>
                            <FCN>5</FCN>
                            <LCPT>0</LCPT>
                            <LCN>5</LCN>
                          </ClmnBlkProps>
                          <ClmnBlkPts>
                            <ClmnBlkPt>
                              <ClmnBlkPtProps>
                                <CBPT>5</CBPT>
                                <ST>5</ST>
                                <VOFFF><![CDATA[Facility 2]]></VOFFF>
                              </ClmnBlkPtProps>
                            </ClmnBlkPt>
                          </ClmnBlkPts>
                        </ClmnBlk>
                        <ClmnBlk>
                          <ClmnBlkProps>
                            <FCPT>0</FCPT>
                            <FCN>6</FCN>
                            <LCPT>0</LCPT>
                            <LCN>6</LCN>
                          </ClmnBlkProps>
                          <ClmnBlkPts>
                            <ClmnBlkPt>
                              <ClmnBlkPtProps>
                                <CBPT>5</CBPT>
                                <ST>5</ST>
                                <SON>3</SON>
                                <VOFFF><![CDATA[Facility 3]]></VOFFF>
                              </ClmnBlkPtProps>
                            </ClmnBlkPt>
                          </ClmnBlkPts>
                        </ClmnBlk>
                        <ClmnBlk>
                          <ClmnBlkProps>
                            <FCPT>0</FCPT>
                            <FCN>7</FCN>
                            <LCPT>0</LCPT>
                            <LCN>7</LCN>
                          </ClmnBlkProps>
                          <ClmnBlkPts>
                            <ClmnBlkPt>
                              <ClmnBlkPtProps>
                                <CBPT>5</CBPT>
                                <ST>5</ST>
                                <VOFFF><![CDATA[Type 1]]></VOFFF>
                              </ClmnBlkPtProps>
                            </ClmnBlkPt>
                          </ClmnBlkPts>
                        </ClmnBlk>
                        <ClmnBlk>
                          <ClmnBlkProps>
                            <FCPT>0</FCPT>
                            <FCN>8</FCN>
                            <LCPT>0</LCPT>
                            <LCN>8</LCN>
                          </ClmnBlkProps>
                          <ClmnBlkPts>
                            <ClmnBlkPt>
                              <ClmnBlkPtProps>
                                <CBPT>5</CBPT>
                                <ST>5</ST>
                                <VOFFF><![CDATA[Type 2]]></VOFFF>
                              </ClmnBlkPtProps>
                            </ClmnBlkPt>
                          </ClmnBlkPts>
                        </ClmnBlk>
                        <ClmnBlk>
                          <ClmnBlkProps>
                            <FCPT>0</FCPT>
                            <FCN>9</FCN>
                            <LCPT>0</LCPT>
                            <LCN>9</LCN>
                          </ClmnBlkProps>
                          <ClmnBlkPts>
                            <ClmnBlkPt>
                              <ClmnBlkPtProps>
                                <CBPT>5</CBPT>
                                <ST>5</ST>
                                <SON>3</SON>
                                <VOFFF><![CDATA[Type 3]]></VOFFF>
                              </ClmnBlkPtProps>
                            </ClmnBlkPt>
                          </ClmnBlkPts>
                        </ClmnBlk>
                        <ClmnBlk>
                          <ClmnBlkProps>
                            <FCPT>0</FCPT>
                            <FCN>11</FCN>
                            <LCPT>0</LCPT>
                            <LCN>11</LCN>
                          </ClmnBlkProps>
                          <ClmnBlkPts>
                            <ClmnBlkPt>
                              <ClmnBlkPtProps>
                                <CBPT>5</CBPT>
                                <ST>6</ST>
                                <VOFFF><![CDATA[Source of Information/ Notes]]></VOFFF>
                              </ClmnBlkPtProps>
                            </ClmnBlkPt>
                          </ClmnBlkPts>
                        </ClmnBlk>
                      </ClmnBlks>
                      <TtlCtg/>
                    </Elmt>
                    <Elmt>
                      <ElmtProps>
                        <CPT>2</CPT>
                      </ElmtProps>
                      <ClmnBlks>
                        <ClmnBlk>
                          <ClmnBlkProps>
                            <FCPT>0</FCPT>
                            <FCN>4</FCN>
                            <LCPT>0</LCPT>
                            <LCN>4</LCN>
                          </ClmnBlkProps>
                          <ClmnBlkPts>
                            <ClmnBlkPt>
                              <ClmnBlkPtProps>
                                <CBPT>5</CBPT>
                                <ST>8</ST>
                                <SON>5</SON>
                                <VOFFF/>
                                <UDAV><![CDATA[Referral Hospitals]]></UDAV>
                              </ClmnBlkPtProps>
                            </ClmnBlkPt>
                          </ClmnBlkPts>
                        </ClmnBlk>
                        <ClmnBlk>
                          <ClmnBlkProps>
                            <FCPT>0</FCPT>
                            <FCN>5</FCN>
                            <LCPT>0</LCPT>
                            <LCN>5</LCN>
                          </ClmnBlkProps>
                          <ClmnBlkPts>
                            <ClmnBlkPt>
                              <ClmnBlkPtProps>
                                <CBPT>5</CBPT>
                                <ST>8</ST>
                                <SON>6</SON>
                                <VOFFF/>
                                <UDAV><![CDATA[Regional Hospitals]]></UDAV>
                              </ClmnBlkPtProps>
                            </ClmnBlkPt>
                          </ClmnBlkPts>
                        </ClmnBlk>
                        <ClmnBlk>
                          <ClmnBlkProps>
                            <FCPT>0</FCPT>
                            <FCN>6</FCN>
                            <LCPT>0</LCPT>
                            <LCN>6</LCN>
                          </ClmnBlkProps>
                          <ClmnBlkPts>
                            <ClmnBlkPt>
                              <ClmnBlkPtProps>
                                <CBPT>5</CBPT>
                                <ST>8</ST>
                                <SON>6</SON>
                                <VOFFF/>
                                <UDAV><![CDATA[Regional Hospitals]]></UDAV>
                              </ClmnBlkPtProps>
                            </ClmnBlkPt>
                          </ClmnBlkPts>
                        </ClmnBlk>
                        <ClmnBlk>
                          <ClmnBlkProps>
                            <FCPT>0</FCPT>
                            <FCN>7</FCN>
                            <LCPT>0</LCPT>
                            <LCN>7</LCN>
                          </ClmnBlkProps>
                          <ClmnBlkPts>
                            <ClmnBlkPt>
                              <ClmnBlkPtProps>
                                <CBPT>5</CBPT>
                                <ST>8</ST>
                                <SON>6</SON>
                                <VOFFF/>
                                <UDAV><![CDATA[Health Centers]]></UDAV>
                              </ClmnBlkPtProps>
                            </ClmnBlkPt>
                          </ClmnBlkPts>
                        </ClmnBlk>
                        <ClmnBlk>
                          <ClmnBlkProps>
                            <FCPT>0</FCPT>
                            <FCN>8</FCN>
                            <LCPT>0</LCPT>
                            <LCN>8</LCN>
                          </ClmnBlkProps>
                          <ClmnBlkPts>
                            <ClmnBlkPt>
                              <ClmnBlkPtProps>
                                <CBPT>5</CBPT>
                                <ST>8</ST>
                                <SON>6</SON>
                                <VOFFF><![CDATA[CHPS]]></VOFFF>
                                <UDAV><![CDATA[Health Dispensary]]></UDAV>
                              </ClmnBlkPtProps>
                            </ClmnBlkPt>
                          </ClmnBlkPts>
                        </ClmnBlk>
                        <ClmnBlk>
                          <ClmnBlkProps>
                            <FCPT>0</FCPT>
                            <FCN>9</FCN>
                            <LCPT>0</LCPT>
                            <LCN>9</LCN>
                          </ClmnBlkProps>
                          <ClmnBlkPts>
                            <ClmnBlkPt>
                              <ClmnBlkPtProps>
                                <CBPT>5</CBPT>
                                <ST>8</ST>
                                <SON>7</SON>
                                <VOFFF><![CDATA[CHPS]]></VOFFF>
                                <UDAV><![CDATA[Outreach Clinics]]></UDAV>
                              </ClmnBlkPtProps>
                            </ClmnBlkPt>
                          </ClmnBlkPts>
                        </ClmnBlk>
                        <ClmnBlk>
                          <ClmnBlkProps>
                            <FCPT>0</FCPT>
                            <FCN>11</FCN>
                            <LCPT>0</LCPT>
                            <LCN>15</LCN>
                          </ClmnBlkProps>
                          <ClmnBlkPts>
                            <ClmnBlkPt>
                              <ClmnBlkPtProps>
                                <CBPT>5</CBPT>
                                <ST>8</ST>
                                <SON>8</SON>
                                <MC>True</MC>
                                <VOFFF/>
                              </ClmnBlkPtProps>
                            </ClmnBlkPt>
                          </ClmnBlkPts>
                        </ClmnBlk>
                      </ClmnBlks>
                      <TtlCtg/>
                      <ElmtLnksOut>
                        <ElmtLnk>
                          <ElmtLnkProps>
                            <ELI>1,1,12</ELI>
                            <ELN>1</ELN>
                            <ELGN>1</ELGN>
                            <MLG>292E36E1-0C4B-4819-8A43-DD7D1BFAD010</MLG>
                            <ICBI>1,2,3,4,5,6</ICBI>
                            <ILBN>1,2,3,4,5,6</ILBN>
                            <LIBN>0</LIBN>
                          </ElmtLnkProps>
                        </ElmtLnk>
                        <ElmtLnk>
                          <ElmtLnkProps>
                            <ELI>1,1,12</ELI>
                            <ELN>2</ELN>
                            <ELGN>1</ELGN>
                            <MLG>C4EF049E-6BCC-447F-994C-323AF0352095</MLG>
                            <ICBI>4,5,6</ICBI>
                            <ILBN>1,2,3</ILBN>
                            <LIBN>0</LIBN>
                          </ElmtLnkProps>
                        </ElmtLnk>
                      </ElmtLnksOut>
                    </Elmt>
                    <Elmt>
                      <ElmtProps>
                        <CPT>2</CPT>
                      </ElmtProps>
                      <TtlCtg/>
                    </Elmt>
                    <Elmt>
                      <ElmtProps>
                        <CPT>2</CPT>
                      </ElmtProps>
                      <TtlCtg/>
                    </Elmt>
                    <Elmt>
                      <ElmtProps>
                        <CPT>2</CPT>
                      </ElmtProps>
                      <ClmnBlks>
                        <ClmnBlk>
                          <ClmnBlkProps>
                            <FCPT>0</FCPT>
                            <FCN>2</FCN>
                            <LCPT>0</LCPT>
                            <LCN>5</LCN>
                          </ClmnBlkProps>
                          <ClmnBlkPts>
                            <ClmnBlkPt>
                              <ClmnBlkPtProps>
                                <CBPT>5</CBPT>
                                <ST>4</ST>
                                <MC>True</MC>
                                <VOFFF><![CDATA[Vaccination Team Role Labels]]></VOFFF>
                              </ClmnBlkPtProps>
                            </ClmnBlkPt>
                          </ClmnBlkPts>
                        </ClmnBlk>
                      </ClmnBlks>
                      <TtlCtg/>
                    </Elmt>
                    <Elmt>
                      <ElmtProps>
                        <CPT>2</CPT>
                      </ElmtProps>
                      <TtlCtg/>
                    </Elmt>
                    <Elmt>
                      <ElmtProps>
                        <CPT>2</CPT>
                      </ElmtProps>
                      <ClmnBlks>
                        <ClmnBlk>
                          <ClmnBlkProps>
                            <FCPT>0</FCPT>
                            <FCN>4</FCN>
                            <LCPT>0</LCPT>
                            <LCN>4</LCN>
                          </ClmnBlkProps>
                          <ClmnBlkPts>
                            <ClmnBlkPt>
                              <ClmnBlkPtProps>
                                <CBPT>5</CBPT>
                                <ST>5</ST>
                                <VOFFF><![CDATA[Role 1]]></VOFFF>
                              </ClmnBlkPtProps>
                            </ClmnBlkPt>
                          </ClmnBlkPts>
                        </ClmnBlk>
                        <ClmnBlk>
                          <ClmnBlkProps>
                            <FCPT>0</FCPT>
                            <FCN>5</FCN>
                            <LCPT>0</LCPT>
                            <LCN>5</LCN>
                          </ClmnBlkProps>
                          <ClmnBlkPts>
                            <ClmnBlkPt>
                              <ClmnBlkPtProps>
                                <CBPT>5</CBPT>
                                <ST>6</ST>
                                <VOFFF><![CDATA[Role 2]]></VOFFF>
                              </ClmnBlkPtProps>
                            </ClmnBlkPt>
                          </ClmnBlkPts>
                        </ClmnBlk>
                        <ClmnBlk>
                          <ClmnBlkProps>
                            <FCPT>0</FCPT>
                            <FCN>6</FCN>
                            <LCPT>0</LCPT>
                            <LCN>6</LCN>
                          </ClmnBlkProps>
                          <ClmnBlkPts>
                            <ClmnBlkPt>
                              <ClmnBlkPtProps>
                                <CBPT>5</CBPT>
                                <ST>6</ST>
                                <VOFFF><![CDATA[Role 3]]></VOFFF>
                              </ClmnBlkPtProps>
                            </ClmnBlkPt>
                          </ClmnBlkPts>
                        </ClmnBlk>
                        <ClmnBlk>
                          <ClmnBlkProps>
                            <FCPT>0</FCPT>
                            <FCN>7</FCN>
                            <LCPT>0</LCPT>
                            <LCN>7</LCN>
                          </ClmnBlkProps>
                          <ClmnBlkPts>
                            <ClmnBlkPt>
                              <ClmnBlkPtProps>
                                <CBPT>5</CBPT>
                                <ST>6</ST>
                                <VOFFF><![CDATA[Role 4]]></VOFFF>
                              </ClmnBlkPtProps>
                            </ClmnBlkPt>
                          </ClmnBlkPts>
                        </ClmnBlk>
                        <ClmnBlk>
                          <ClmnBlkProps>
                            <FCPT>0</FCPT>
                            <FCN>8</FCN>
                            <LCPT>0</LCPT>
                            <LCN>8</LCN>
                          </ClmnBlkProps>
                          <ClmnBlkPts>
                            <ClmnBlkPt>
                              <ClmnBlkPtProps>
                                <CBPT>5</CBPT>
                                <ST>5</ST>
                                <VOFFF><![CDATA[Role 5]]></VOFFF>
                              </ClmnBlkPtProps>
                            </ClmnBlkPt>
                          </ClmnBlkPts>
                        </ClmnBlk>
                        <ClmnBlk>
                          <ClmnBlkProps>
                            <FCPT>0</FCPT>
                            <FCN>9</FCN>
                            <LCPT>0</LCPT>
                            <LCN>9</LCN>
                          </ClmnBlkProps>
                          <ClmnBlkPts>
                            <ClmnBlkPt>
                              <ClmnBlkPtProps>
                                <CBPT>5</CBPT>
                                <ST>5</ST>
                                <VOFFF><![CDATA[Role 6]]></VOFFF>
                              </ClmnBlkPtProps>
                            </ClmnBlkPt>
                          </ClmnBlkPts>
                        </ClmnBlk>
                        <ClmnBlk>
                          <ClmnBlkProps>
                            <FCPT>0</FCPT>
                            <FCN>11</FCN>
                            <LCPT>0</LCPT>
                            <LCN>11</LCN>
                          </ClmnBlkProps>
                          <ClmnBlkPts>
                            <ClmnBlkPt>
                              <ClmnBlkPtProps>
                                <CBPT>5</CBPT>
                                <ST>6</ST>
                                <VOFFF><![CDATA[Source of Information/ Notes]]></VOFFF>
                              </ClmnBlkPtProps>
                            </ClmnBlkPt>
                          </ClmnBlkPts>
                        </ClmnBlk>
                      </ClmnBlks>
                      <TtlCtg/>
                    </Elmt>
                    <Elmt>
                      <ElmtProps>
                        <CPT>2</CPT>
                      </ElmtProps>
                      <ClmnBlks>
                        <ClmnBlk>
                          <ClmnBlkProps>
                            <FCPT>0</FCPT>
                            <FCN>4</FCN>
                            <LCPT>0</LCPT>
                            <LCN>9</LCN>
                          </ClmnBlkProps>
                          <ClmnBlkPts>
                            <ClmnBlkPt>
                              <ClmnBlkPtProps>
                                <CBPT>5</CBPT>
                                <ST>8</ST>
                                <VOFFF/>
                              </ClmnBlkPtProps>
                            </ClmnBlkPt>
                          </ClmnBlkPts>
                        </ClmnBlk>
                        <ClmnBlk>
                          <ClmnBlkProps>
                            <FCPT>0</FCPT>
                            <FCN>11</FCN>
                            <LCPT>0</LCPT>
                            <LCN>15</LCN>
                          </ClmnBlkProps>
                          <ClmnBlkPts>
                            <ClmnBlkPt>
                              <ClmnBlkPtProps>
                                <CBPT>5</CBPT>
                                <ST>8</ST>
                                <MC>True</MC>
                                <VOFFF/>
                              </ClmnBlkPtProps>
                            </ClmnBlkPt>
                          </ClmnBlkPts>
                        </ClmnBlk>
                      </ClmnBlks>
                      <TtlCtg/>
                      <ElmtLnksOut>
                        <ElmtLnk>
                          <ElmtLnkProps>
                            <ELI>1,1,18</ELI>
                            <ELN>1</ELN>
                            <ELGN>1</ELGN>
                            <MLG>0D0A8A29-720A-407A-9491-C3D4DBF646B4</MLG>
                            <ICBI>1</ICBI>
                            <ILBN>1</ILBN>
                            <LIBN>0</LIBN>
                          </ElmtLnkProps>
                        </ElmtLnk>
                      </ElmtLnksOut>
                    </Elmt>
                    <Elmt>
                      <ElmtProps>
                        <CPT>2</CPT>
                      </ElmtProps>
                      <TtlCtg/>
                    </Elmt>
                    <Elmt>
                      <ElmtProps>
                        <CPT>2</CPT>
                      </ElmtProps>
                      <TtlCtg/>
                    </Elmt>
                    <Elmt>
                      <ElmtProps>
                        <CPT>2</CPT>
                      </ElmtProps>
                      <ClmnBlks>
                        <ClmnBlk>
                          <ClmnBlkProps>
                            <FCPT>0</FCPT>
                            <FCN>2</FCN>
                            <LCPT>0</LCPT>
                            <LCN>6</LCN>
                          </ClmnBlkProps>
                          <ClmnBlkPts>
                            <ClmnBlkPt>
                              <ClmnBlkPtProps>
                                <CBPT>5</CBPT>
                                <HCTHR>True</HCTHR>
                                <CTHN>22</CTHN>
                                <ST>4</ST>
                                <SON>8</SON>
                                <MC>True</MC>
                                <VOFFF><![CDATA[Target Population Name]]></VOFFF>
                              </ClmnBlkPtProps>
                            </ClmnBlkPt>
                          </ClmnBlkPts>
                        </ClmnBlk>
                        <ClmnBlk>
                          <ClmnBlkProps>
                            <FCPT>0</FCPT>
                            <FCN>11</FCN>
                            <LCPT>0</LCPT>
                            <LCN>11</LCN>
                          </ClmnBlkProps>
                          <ClmnBlkPts>
                            <ClmnBlkPt>
                              <ClmnBlkPtProps>
                                <CBPT>5</CBPT>
                                <ST>6</ST>
                                <VOFFF><![CDATA[Source of Information/ Notes]]></VOFFF>
                              </ClmnBlkPtProps>
                            </ClmnBlkPt>
                          </ClmnBlkPts>
                        </ClmnBlk>
                      </ClmnBlks>
                      <TtlCtg/>
                    </Elmt>
                    <Elmt>
                      <ElmtProps>
                        <CPT>2</CPT>
                      </ElmtProps>
                      <ClmnBlks>
                        <ClmnBlk>
                          <ClmnBlkProps>
                            <FCPT>0</FCPT>
                            <FCN>4</FCN>
                            <LCPT>0</LCPT>
                            <LCN>6</LCN>
                          </ClmnBlkProps>
                          <ClmnBlkPts>
                            <ClmnBlkPt>
                              <ClmnBlkPtProps>
                                <CBPT>5</CBPT>
                                <ST>8</ST>
                                <MC>True</MC>
                                <VOFFF><![CDATA[Population - Set A]]></VOFFF>
                                <UDAV><![CDATA[Population - Set A]]></UDAV>
                              </ClmnBlkPtProps>
                              <RgeNmes>
                                <RgeNme>
                                  <RgeNmeProps>
                                    <CBPLI>1,1,22,1,1</CBPLI>
                                    <MCN>1</MCN>
                                    <SN>1</SN>
                                    <EN>22</EN>
                                    <CN>0</CN>
                                    <CBN>1</CBN>
                                    <CBPN>1</CBPN>
                                    <PT>1</PT>
                                    <CBPRNT>6</CBPRNT>
                                    <NT>-1</NT>
                                    <SP1><![CDATA[Pop_Segment_1]]></SP1>
                                    <SP2/>
                                    <FFF/>
                                    <CMT/>
                                  </RgeNmeProps>
                                </RgeNme>
                              </RgeNmes>
                            </ClmnBlkPt>
                          </ClmnBlkPts>
                        </ClmnBlk>
                        <ClmnBlk>
                          <ClmnBlkProps>
                            <FCPT>0</FCPT>
                            <FCN>11</FCN>
                            <LCPT>0</LCPT>
                            <LCN>15</LCN>
                          </ClmnBlkProps>
                          <ClmnBlkPts>
                            <ClmnBlkPt>
                              <ClmnBlkPtProps>
                                <CBPT>5</CBPT>
                                <ST>8</ST>
                                <MC>True</MC>
                                <VOFFF/>
                              </ClmnBlkPtProps>
                            </ClmnBlkPt>
                          </ClmnBlkPts>
                        </ClmnBlk>
                      </ClmnBlks>
                      <TtlCtg/>
                      <ElmtLnksOut>
                        <ElmtLnk>
                          <ElmtLnkProps>
                            <ELI>1,1,22</ELI>
                            <ELN>1</ELN>
                            <ELGN>1</ELGN>
                            <MLG>97AC83E1-E43A-49EE-9865-CFAF25411E35</MLG>
                            <ICBI>1</ICBI>
                            <ILBN>1</ILBN>
                            <LIBN>0</LIBN>
                          </ElmtLnkProps>
                        </ElmtLnk>
                      </ElmtLnksOut>
                    </Elmt>
                    <Elmt>
                      <ElmtProps>
                        <CPT>2</CPT>
                      </ElmtProps>
                      <TtlCtg/>
                    </Elmt>
                    <Elmt>
                      <ElmtProps>
                        <CPT>2</CPT>
                      </ElmtProps>
                      <TtlCtg/>
                    </Elmt>
                    <Elmt>
                      <ElmtProps>
                        <CPT>2</CPT>
                      </ElmtProps>
                      <TtlCtg/>
                    </Elmt>
                  </Elmts>
                </Sect>
              </Sects>
            </ModComp>
          </ModComps>
        </Mod>
        <Mod>
          <ModProps>
            <MVS>10.16.9.0</MVS>
            <RAV/>
            <RXV>0</RXV>
            <FV>3</FV>
            <MT>0</MT>
            <SCT>-1</SCT>
            <P><![CDATA[RES]]></P>
            <OI>99</OI>
            <MN>0</MN>
            <MAG>48B2C558-7DFB-4D85-8940-C66816DD84A3</MAG>
            <BN><![CDATA[Resources]]></BN>
            <N><![CDATA[RESOURCES]]></N>
            <TS><![CDATA[Annual (2)]]></TS>
            <D><![CDATA[Resource List with prices for customization by the user.]]></D>
            <FS/>
            <R/>
            <GE/>
            <CA/>
            <VA/>
            <GST/>
            <DE/>
            <E/>
            <C/>
            <W/>
            <K/>
            <CO/>
            <V>1.0.0.0.</V>
            <AX/>
            <PMLO>False</PMLO>
            <IPMLO>False</IPMLO>
            <MACA>1</MACA>
            <RTSM>True</RTSM>
            <CC>True</CC>
            <X>True</X>
            <G>45E81961-0AF9-4050-B060-F90A3A82E0BE</G>
          </ModProps>
          <RowStgs>
            <RowStg>
              <RowStgProps>
                <RSN>1</RSN>
                <RHST>0</RHST>
                <HS>0</HS>
                <OL>2</OL>
                <RH>False</RH>
              </RowStgProps>
            </RowStg>
            <RowStg>
              <RowStgProps>
                <RSN>2</RSN>
                <RHST>0</RHST>
                <HS>0</HS>
                <OL>3</OL>
                <RH>False</RH>
              </RowStgProps>
            </RowStg>
            <RowStg>
              <RowStgProps>
                <RSN>3</RSN>
                <RHST>0</RHST>
                <HS>0</HS>
                <OL>2</OL>
                <RH>True</RH>
              </RowStgProps>
            </RowStg>
            <RowStg>
              <RowStgProps>
                <RSN>4</RSN>
                <RHST>0</RHST>
                <HS>0</HS>
                <OL>1</OL>
                <RH>True</RH>
              </RowStgProps>
            </RowStg>
          </RowStgs>
          <StlOvlys>
            <StlOvly>
              <StlOvlyProps>
                <SON>1</SON>
              </StlOvlyProps>
              <BdrOvlys>
                <BdrOvly>
                  <BdrOvlyProps>
                    <PT>1</PT>
                    <SON>1</SON>
                    <CBPLI/>
                    <FCN>0</FCN>
                    <I>True</I>
                    <BI>10</BI>
                    <LS>1</LS>
                    <W>2</W>
                  </BdrOvlyProps>
                </BdrOvly>
              </BdrOvlys>
            </StlOvly>
            <StlOvly>
              <StlOvlyProps>
                <SON>2</SON>
                <IRT>True</IRT>
                <WT>True</WT>
              </StlOvlyProps>
              <BdrOvlys>
                <BdrOvly>
                  <BdrOvlyProps>
                    <PT>1</PT>
                    <SON>2</SON>
                    <CBPLI/>
                    <FCN>0</FCN>
                    <I>True</I>
                    <BI>9</BI>
                    <LS>1</LS>
                    <W>2</W>
                  </BdrOvlyProps>
                </BdrOvly>
              </BdrOvlys>
            </StlOvly>
            <StlOvly>
              <StlOvlyProps>
                <SON>3</SON>
                <IRT>True</IRT>
                <WT>True</WT>
              </StlOvlyProps>
              <BdrOvlys>
                <BdrOvly>
                  <BdrOvlyProps>
                    <PT>1</PT>
                    <SON>3</SON>
                    <CBPLI/>
                    <FCN>0</FCN>
                    <I>True</I>
                    <BI>10</BI>
                    <LS>1</LS>
                    <W>2</W>
                  </BdrOvlyProps>
                </BdrOvly>
                <BdrOvly>
                  <BdrOvlyProps>
                    <PT>1</PT>
                    <SON>3</SON>
                    <CBPLI/>
                    <FCN>0</FCN>
                    <I>True</I>
                    <BI>9</BI>
                    <LS>1</LS>
                    <W>2</W>
                  </BdrOvlyProps>
                </BdrOvly>
              </BdrOvlys>
            </StlOvly>
            <StlOvly>
              <StlOvlyProps>
                <SON>4</SON>
                <IHA>True</IHA>
                <HA>-4108</HA>
              </StlOvlyProps>
              <BdrOvlys>
                <BdrOvly>
                  <BdrOvlyProps>
                    <PT>1</PT>
                    <SON>4</SON>
                    <CBPLI/>
                    <FCN>0</FCN>
                    <I>True</I>
                    <BI>7</BI>
                    <LS>1</LS>
                    <W>2</W>
                  </BdrOvlyProps>
                </BdrOvly>
                <BdrOvly>
                  <BdrOvlyProps>
                    <PT>1</PT>
                    <SON>4</SON>
                    <CBPLI/>
                    <FCN>0</FCN>
                    <I>True</I>
                    <BI>10</BI>
                    <LS>1</LS>
                    <W>2</W>
                  </BdrOvlyProps>
                </BdrOvly>
                <BdrOvly>
                  <BdrOvlyProps>
                    <PT>1</PT>
                    <SON>4</SON>
                    <CBPLI/>
                    <FCN>0</FCN>
                    <I>True</I>
                    <BI>8</BI>
                    <LS>1</LS>
                    <W>2</W>
                  </BdrOvlyProps>
                </BdrOvly>
              </BdrOvlys>
            </StlOvly>
            <StlOvly>
              <StlOvlyProps>
                <SON>5</SON>
                <INF>True</INF>
                <NT>0</NT>
                <DP>2</DP>
                <CNF/>
              </StlOvlyProps>
            </StlOvly>
            <StlOvly>
              <StlOvlyProps>
                <SON>6</SON>
                <IHA>True</IHA>
                <HA>-4108</HA>
              </StlOvlyProps>
            </StlOvly>
            <StlOvly>
              <StlOvlyProps>
                <SON>7</SON>
                <IHA>True</IHA>
                <IRT>True</IRT>
                <HA>-4108</HA>
                <WT>True</WT>
              </StlOvlyProps>
            </StlOvly>
            <StlOvly>
              <StlOvlyProps>
                <SON>8</SON>
                <INF>True</INF>
                <IHA>True</IHA>
                <NT>0</NT>
                <DP>0</DP>
                <CNF/>
                <HA>-4108</HA>
              </StlOvlyProps>
            </StlOvly>
            <StlOvly>
              <StlOvlyProps>
                <SON>9</SON>
                <INF>True</INF>
                <NT>1</NT>
                <DP>2</DP>
                <CNF/>
              </StlOvlyProps>
            </StlOvly>
            <StlOvly>
              <StlOvlyProps>
                <SON>10</SON>
                <INF>True</INF>
                <NT>0</NT>
                <DP>0</DP>
                <CNF><![CDATA[_(#,##0.0_);(#,##0.0);_-"-"_-;_)@_)]]></CNF>
              </StlOvlyProps>
              <FntOvly>
                <FntOvlyProps>
                  <PT>1</PT>
                  <SON>10</SON>
                  <CBPLI>0,0,0,0,0</CBPLI>
                  <FCN>0</FCN>
                  <CN>0</CN>
                  <IB>True</IB>
                  <B>True</B>
                </FntOvlyProps>
              </FntOvly>
            </StlOvly>
            <StlOvly>
              <StlOvlyProps>
                <SON>11</SON>
                <INF>True</INF>
                <NT>0</NT>
                <DP>0</DP>
                <CNF><![CDATA[_(#,##0.0_);(#,##0.0);_-"-"_-;_)@_)]]></CNF>
              </StlOvlyProps>
              <BdrOvlys>
                <BdrOvly>
                  <BdrOvlyProps>
                    <PT>1</PT>
                    <SON>11</SON>
                    <CBPLI/>
                    <FCN>0</FCN>
                    <I>True</I>
                    <BI>9</BI>
                    <LS>1</LS>
                    <W>2</W>
                  </BdrOvlyProps>
                </BdrOvly>
              </BdrOvlys>
            </StlOvly>
            <StlOvly>
              <StlOvlyProps>
                <SON>12</SON>
                <IRT>True</IRT>
                <WT>True</WT>
              </StlOvlyProps>
            </StlOvly>
            <StlOvly>
              <StlOvlyProps>
                <SON>13</SON>
              </StlOvlyProps>
              <FntOvly>
                <FntOvlyProps>
                  <PT>1</PT>
                  <SON>13</SON>
                  <CBPLI>0,0,0,0,0</CBPLI>
                  <FCN>0</FCN>
                  <CN>0</CN>
                  <IC>True</IC>
                  <CT>2</CT>
                  <CNU>2</CNU>
                  <CPR>0</CPR>
                  <TAS>0</TAS>
                </FntOvlyProps>
              </FntOvly>
            </StlOvly>
            <StlOvly>
              <StlOvlyProps>
                <SON>14</SON>
                <INF>True</INF>
                <IHA>True</IHA>
                <NT>0</NT>
                <DP>2</DP>
                <CNF/>
                <HA>-4152</HA>
              </StlOvlyProps>
            </StlOvly>
            <StlOvly>
              <StlOvlyProps>
                <SON>15</SON>
                <IHA>True</IHA>
                <HA>-4131</HA>
              </StlOvlyProps>
            </StlOvly>
            <StlOvly>
              <StlOvlyProps>
                <SON>16</SON>
                <IHA>True</IHA>
                <HA>-4108</HA>
              </StlOvlyProps>
              <FntOvly>
                <FntOvlyProps>
                  <PT>1</PT>
                  <SON>16</SON>
                  <CBPLI>0,0,0,0,0</CBPLI>
                  <FCN>0</FCN>
                  <CN>0</CN>
                  <IB>True</IB>
                  <B>True</B>
                </FntOvlyProps>
              </FntOvly>
            </StlOvly>
            <StlOvly>
              <StlOvlyProps>
                <SON>17</SON>
                <INF>True</INF>
                <IHA>True</IHA>
                <IRT>True</IRT>
                <NT>0</NT>
                <DP>2</DP>
                <CNF/>
                <HA>-4108</HA>
                <WT>False</WT>
              </StlOvlyProps>
            </StlOvly>
            <StlOvly>
              <StlOvlyProps>
                <SON>18</SON>
                <IRT>True</IRT>
                <WT>False</WT>
              </StlOvlyProps>
            </StlOvly>
            <StlOvly>
              <StlOvlyProps>
                <SON>19</SON>
                <INF>True</INF>
                <IHA>True</IHA>
                <IRT>True</IRT>
                <NT>0</NT>
                <DP>0</DP>
                <CNF/>
                <HA>-4152</HA>
                <WT>False</WT>
              </StlOvlyProps>
            </StlOvly>
            <StlOvly>
              <StlOvlyProps>
                <SON>20</SON>
                <INF>True</INF>
                <IHA>True</IHA>
                <IRT>True</IRT>
                <NT>0</NT>
                <DP>0</DP>
                <CNF/>
                <HA>-4108</HA>
                <WT>False</WT>
              </StlOvlyProps>
            </StlOvly>
            <StlOvly>
              <StlOvlyProps>
                <SON>21</SON>
                <INF>True</INF>
                <IHA>True</IHA>
                <IRT>True</IRT>
                <NT>0</NT>
                <DP>1</DP>
                <CNF/>
                <HA>-4108</HA>
                <WT>False</WT>
              </StlOvlyProps>
            </StlOvly>
            <StlOvly>
              <StlOvlyProps>
                <SON>22</SON>
                <IHA>True</IHA>
                <HA>-4108</HA>
              </StlOvlyProps>
              <BdrOvlys>
                <BdrOvly>
                  <BdrOvlyProps>
                    <PT>1</PT>
                    <SON>22</SON>
                    <CBPLI/>
                    <FCN>0</FCN>
                    <I>True</I>
                    <BI>7</BI>
                    <LS>1</LS>
                    <W>-4138</W>
                  </BdrOvlyProps>
                </BdrOvly>
                <BdrOvly>
                  <BdrOvlyProps>
                    <PT>1</PT>
                    <SON>22</SON>
                    <CBPLI/>
                    <FCN>0</FCN>
                    <I>True</I>
                    <BI>10</BI>
                    <LS>1</LS>
                    <W>-4138</W>
                  </BdrOvlyProps>
                </BdrOvly>
                <BdrOvly>
                  <BdrOvlyProps>
                    <PT>1</PT>
                    <SON>22</SON>
                    <CBPLI/>
                    <FCN>0</FCN>
                    <I>True</I>
                    <BI>8</BI>
                    <LS>1</LS>
                    <W>-4138</W>
                  </BdrOvlyProps>
                </BdrOvly>
                <BdrOvly>
                  <BdrOvlyProps>
                    <PT>1</PT>
                    <SON>22</SON>
                    <CBPLI/>
                    <FCN>0</FCN>
                    <I>True</I>
                    <BI>9</BI>
                    <LS>1</LS>
                    <W>-4138</W>
                  </BdrOvlyProps>
                </BdrOvly>
              </BdrOvlys>
            </StlOvly>
            <StlOvly>
              <StlOvlyProps>
                <SON>23</SON>
              </StlOvlyProps>
              <BdrOvlys>
                <BdrOvly>
                  <BdrOvlyProps>
                    <PT>1</PT>
                    <SON>23</SON>
                    <CBPLI/>
                    <FCN>0</FCN>
                    <I>True</I>
                    <BI>7</BI>
                    <LS>1</LS>
                    <W>-4138</W>
                  </BdrOvlyProps>
                </BdrOvly>
                <BdrOvly>
                  <BdrOvlyProps>
                    <PT>1</PT>
                    <SON>23</SON>
                    <CBPLI/>
                    <FCN>0</FCN>
                    <I>True</I>
                    <BI>10</BI>
                    <LS>1</LS>
                    <W>-4138</W>
                  </BdrOvlyProps>
                </BdrOvly>
                <BdrOvly>
                  <BdrOvlyProps>
                    <PT>1</PT>
                    <SON>23</SON>
                    <CBPLI/>
                    <FCN>0</FCN>
                    <I>True</I>
                    <BI>8</BI>
                    <LS>1</LS>
                    <W>-4138</W>
                  </BdrOvlyProps>
                </BdrOvly>
                <BdrOvly>
                  <BdrOvlyProps>
                    <PT>1</PT>
                    <SON>23</SON>
                    <CBPLI/>
                    <FCN>0</FCN>
                    <I>True</I>
                    <BI>9</BI>
                    <LS>1</LS>
                    <W>-4138</W>
                  </BdrOvlyProps>
                </BdrOvly>
              </BdrOvlys>
            </StlOvly>
            <StlOvly>
              <StlOvlyProps>
                <SON>24</SON>
                <IRT>True</IRT>
                <WT>True</WT>
              </StlOvlyProps>
              <BdrOvlys>
                <BdrOvly>
                  <BdrOvlyProps>
                    <PT>1</PT>
                    <SON>24</SON>
                    <CBPLI/>
                    <FCN>0</FCN>
                    <I>True</I>
                    <BI>7</BI>
                    <LS>1</LS>
                    <W>-4138</W>
                  </BdrOvlyProps>
                </BdrOvly>
                <BdrOvly>
                  <BdrOvlyProps>
                    <PT>1</PT>
                    <SON>24</SON>
                    <CBPLI/>
                    <FCN>0</FCN>
                    <I>True</I>
                    <BI>10</BI>
                    <LS>1</LS>
                    <W>-4138</W>
                  </BdrOvlyProps>
                </BdrOvly>
                <BdrOvly>
                  <BdrOvlyProps>
                    <PT>1</PT>
                    <SON>24</SON>
                    <CBPLI/>
                    <FCN>0</FCN>
                    <I>True</I>
                    <BI>8</BI>
                    <LS>1</LS>
                    <W>-4138</W>
                  </BdrOvlyProps>
                </BdrOvly>
                <BdrOvly>
                  <BdrOvlyProps>
                    <PT>1</PT>
                    <SON>24</SON>
                    <CBPLI/>
                    <FCN>0</FCN>
                    <I>True</I>
                    <BI>9</BI>
                    <LS>1</LS>
                    <W>-4138</W>
                  </BdrOvlyProps>
                </BdrOvly>
              </BdrOvlys>
            </StlOvly>
            <StlOvly>
              <StlOvlyProps>
                <SON>25</SON>
                <INF>True</INF>
                <NT>-2</NT>
                <DP>0</DP>
                <CNF><![CDATA[_(#,##0.00_);(#,##0.00);_("-"_);_)@_)]]></CNF>
              </StlOvlyProps>
            </StlOvly>
            <StlOvly>
              <StlOvlyProps>
                <SON>26</SON>
                <INF>True</INF>
                <NT>-2</NT>
                <DP>0</DP>
                <CNF><![CDATA[_(#,##0.000_);(#,##0.000);_("-"_);_)@_)]]></CNF>
              </StlOvlyProps>
            </StlOvly>
            <StlOvly>
              <StlOvlyProps>
                <SON>27</SON>
                <IHA>True</IHA>
                <HA>-4108</HA>
              </StlOvlyProps>
              <IntOvly>
                <IntOvlyProps>
                  <PT>1</PT>
                  <SON>27</SON>
                  <CBPLI/>
                  <FCN>0</FCN>
                  <IC>True</IC>
                </IntOvlyProps>
              </IntOvly>
            </StlOvly>
            <StlOvly>
              <StlOvlyProps>
                <SON>28</SON>
              </StlOvlyProps>
              <FntOvly>
                <FntOvlyProps>
                  <PT>1</PT>
                  <SON>28</SON>
                  <CBPLI>0,0,0,0,0</CBPLI>
                  <FCN>0</FCN>
                  <CN>0</CN>
                  <IC>True</IC>
                  <CT>-1</CT>
                  <CNU>0</CNU>
                  <CPR>0</CPR>
                  <TAS>0</TAS>
                </FntOvlyProps>
              </FntOvly>
            </StlOvly>
          </StlOvlys>
          <ElmtsGrps>
            <ElmtsGrp>
              <ElmtsGrpProps>
                <NU>1</NU>
                <NA><![CDATA[Personnel]]></NA>
                <EGT>0</EGT>
                <DCC>1</DCC>
                <AST>False</AST>
                <ISTH>True</ISTH>
                <PTMCN>0</PTMCN>
                <PTBN>0</PTBN>
                <PTBI>0</PTBI>
                <GLN/>
                <CLOT>0</CLOT>
                <CLIT>0</CLIT>
                <PMLO>0</PMLO>
                <IPMLO>0</IPMLO>
              </ElmtsGrpProps>
            </ElmtsGrp>
            <ElmtsGrp>
              <ElmtsGrpProps>
                <NU>2</NU>
                <NA><![CDATA[Currency]]></NA>
                <EGT>0</EGT>
                <DCC>3</DCC>
                <AST>False</AST>
                <ISTH>True</ISTH>
                <PTMCN>0</PTMCN>
                <PTBN>0</PTBN>
                <PTBI>0</PTBI>
                <GLN/>
                <CLOT>0</CLOT>
                <CLIT>0</CLIT>
                <PMLO>0</PMLO>
                <IPMLO>0</IPMLO>
              </ElmtsGrpProps>
            </ElmtsGrp>
            <ElmtsGrp>
              <ElmtsGrpProps>
                <NU>3</NU>
                <NA><![CDATA[Equipment]]></NA>
                <EGT>0</EGT>
                <DCC>3</DCC>
                <AST>False</AST>
                <ISTH>True</ISTH>
                <PTMCN>0</PTMCN>
                <PTBN>0</PTBN>
                <PTBI>0</PTBI>
                <GLN/>
                <CLOT>0</CLOT>
                <CLIT>0</CLIT>
                <PMLO>0</PMLO>
                <IPMLO>0</IPMLO>
              </ElmtsGrpProps>
            </ElmtsGrp>
            <ElmtsGrp>
              <ElmtsGrpProps>
                <NU>4</NU>
                <NA><![CDATA[Supplies]]></NA>
                <EGT>0</EGT>
                <DCC>50</DCC>
                <AST>False</AST>
                <ISTH>True</ISTH>
                <PTMCN>0</PTMCN>
                <PTBN>0</PTBN>
                <PTBI>0</PTBI>
                <GLN/>
                <CLOT>0</CLOT>
                <CLIT>0</CLIT>
                <PMLO>0</PMLO>
                <IPMLO>0</IPMLO>
              </ElmtsGrpProps>
            </ElmtsGrp>
            <ElmtsGrp>
              <ElmtsGrpProps>
                <NU>5</NU>
                <NA><![CDATA[Other Direct Costs]]></NA>
                <EGT>0</EGT>
                <DCC>3</DCC>
                <AST>False</AST>
                <ISTH>True</ISTH>
                <PTMCN>0</PTMCN>
                <PTBN>0</PTBN>
                <PTBI>0</PTBI>
                <GLN/>
                <CLOT>0</CLOT>
                <CLIT>0</CLIT>
                <PMLO>0</PMLO>
                <IPMLO>0</IPMLO>
              </ElmtsGrpProps>
            </ElmtsGrp>
            <ElmtsGrp>
              <ElmtsGrpProps>
                <NU>6</NU>
                <NA><![CDATA[Allowances]]></NA>
                <EGT>0</EGT>
                <DCC>10</DCC>
                <AST>False</AST>
                <ISTH>True</ISTH>
                <PTMCN>0</PTMCN>
                <PTBN>0</PTBN>
                <PTBI>0</PTBI>
                <GLN/>
                <CLOT>0</CLOT>
                <CLIT>0</CLIT>
                <PMLO>0</PMLO>
                <IPMLO>0</IPMLO>
              </ElmtsGrpProps>
            </ElmtsGrp>
          </ElmtsGrps>
          <ModComps>
            <ModComp>
              <ModCompProps>
                <MN>3</MN>
                <MCN>1</MCN>
                <MCTK>BaseCase</MCTK>
                <RT><![CDATA[<ModuleName> - Assumptions]]></RT>
                <ERN>BPMMC19</ERN>
                <MCST>0</MCST>
                <IPMC>False</IPMC>
                <SN>9</SN>
                <LODS>False</LODS>
                <LST>False</LST>
                <HS>False</HS>
                <IBOA>0</IBOA>
                <IB>True</IB>
                <CI/>
                <PTI/>
                <PTP>False</PTP>
                <PTD/>
                <PTMCN>0</PTMCN>
                <CROL>0</CROL>
                <CCOL>0</CCOL>
                <AMFN>0</AMFN>
              </ModCompProps>
              <Sects>
                <Sect>
                  <SectProps>
                    <LI>1,1</LI>
                    <EGN>0</EGN>
                  </SectProps>
                  <Elmts>
                    <Elmt>
                      <ElmtProps>
                        <CPT>2</CPT>
                      </ElmtProps>
                      <TtlCtg/>
                    </Elmt>
                    <Elmt>
                      <ElmtProps>
                        <CPT>2</CPT>
                      </ElmtProps>
                      <ClmnBlks>
                        <ClmnBlk>
                          <ClmnBlkProps>
                            <FCPT>0</FCPT>
                            <FCN>2</FCN>
                            <LCPT>0</LCPT>
                            <LCN>2</LCN>
                          </ClmnBlkProps>
                          <ClmnBlkPts>
                            <ClmnBlkPt>
                              <ClmnBlkPtProps>
                                <CBPT>5</CBPT>
                                <HCTHR>True</HCTHR>
                                <CTHN>17</CTHN>
                                <ST>3</ST>
                                <VOFFF><![CDATA[Resource List]]></VOFFF>
                              </ClmnBlkPtProps>
                              <RgeNmes>
                                <RgeNme>
                                  <RgeNmeProps>
                                    <CBPLI>1,1,2,1,1</CBPLI>
                                    <MCN>1</MCN>
                                    <SN>1</SN>
                                    <EN>2</EN>
                                    <CN>0</CN>
                                    <CBN>1</CBN>
                                    <CBPN>1</CBPN>
                                    <PT>1</PT>
                                    <CBPRNT>6</CBPRNT>
                                    <NT>12</NT>
                                    <SP1><![CDATA[Ass]]></SP1>
                                    <SP2/>
                                    <FFF/>
                                    <CMT/>
                                  </RgeNmeProps>
                                </RgeNme>
                              </RgeNmes>
                            </ClmnBlkPt>
                          </ClmnBlkPts>
                        </ClmnBlk>
                      </ClmnBlks>
                      <TtlCtg/>
                    </Elmt>
                    <Elmt>
                      <ElmtProps>
                        <CPT>2</CPT>
                      </ElmtProps>
                      <TtlCtg/>
                      <ShpNmes>
                        <ShpNme>
                          <ShpNmeProps>
                            <ELI>1,1,3</ELI>
                            <COSTN>0</COSTN>
                            <ST>3</ST>
                            <SNPT>2</SNPT>
                            <N><![CDATA[bpmShapeRES1]]></N>
                            <SHN>1</SHN>
                            <SHTN>1</SHTN>
                          </ShpNmeProps>
                        </ShpNme>
                      </ShpNmes>
                    </Elmt>
                    <Elmt>
                      <ElmtProps>
                        <CPT>2</CPT>
                      </ElmtProps>
                      <ClmnBlks>
                        <ClmnBlk>
                          <ClmnBlkProps>
                            <FCPT>0</FCPT>
                            <FCN>3</FCN>
                            <LCPT>0</LCPT>
                            <LCN>3</LCN>
                          </ClmnBlkProps>
                          <ClmnBlkPts>
                            <ClmnBlkPt>
                              <ClmnBlkPtProps>
                                <CBPT>5</CBPT>
                                <ST>4</ST>
                                <VOFFF><![CDATA[Applied Currency]]></VOFFF>
                              </ClmnBlkPtProps>
                            </ClmnBlkPt>
                          </ClmnBlkPts>
                        </ClmnBlk>
                      </ClmnBlks>
                      <TtlCtg/>
                    </Elmt>
                    <Elmt>
                      <ElmtProps>
                        <CPT>2</CPT>
                      </ElmtProps>
                      <TtlCtg/>
                    </Elmt>
                    <Elmt>
                      <ElmtProps>
                        <CPT>2</CPT>
                      </ElmtProps>
                      <ClmnBlks>
                        <ClmnBlk>
                          <ClmnBlkProps>
                            <FCPT>0</FCPT>
                            <FCN>4</FCN>
                            <LCPT>0</LCPT>
                            <LCN>4</LCN>
                          </ClmnBlkProps>
                          <ClmnBlkPts>
                            <ClmnBlkPt>
                              <ClmnBlkPtProps>
                                <CBPT>5</CBPT>
                                <ST>5</ST>
                                <VOFFF><![CDATA[Applied Currency]]></VOFFF>
                              </ClmnBlkPtProps>
                            </ClmnBlkPt>
                          </ClmnBlkPts>
                        </ClmnBlk>
                        <ClmnBlk>
                          <ClmnBlkProps>
                            <FCPT>0</FCPT>
                            <FCN>9</FCN>
                            <LCPT>0</LCPT>
                            <LCN>9</LCN>
                          </ClmnBlkProps>
                          <ClmnBlkPts>
                            <ClmnBlkPt>
                              <ClmnBlkPtProps>
                                <CBPT>5</CBPT>
                                <ST>8</ST>
                                <SON>27</SON>
                                <VOFFF><![CDATA[USD]]></VOFFF>
                              </ClmnBlkPtProps>
                              <Vdtn>
                                <VdtnProps>
                                  <CBPLI>1,1,6,2,1</CBPLI>
                                  <ADVT>-1</ADVT>
                                  <VT>3</VT>
                                  <AS>1</AS>
                                  <O>1</O>
                                  <F1FFF><![CDATA[=§A¿1,1,3,1,7,0,1,1,1§Z¿]]></F1FFF>
                                  <F2FFF/>
                                  <IB>True</IB>
                                  <ICDD>True</ICDD>
                                  <SI>True</SI>
                                  <IT/>
                                  <IM/>
                                  <SE>True</SE>
                                  <ET/>
                                  <EM/>
                                  <IMO>0</IMO>
                                </VdtnProps>
                              </Vdtn>
                              <RgeNmes>
                                <RgeNme>
                                  <RgeNmeProps>
                                    <CBPLI>1,1,6,2,1</CBPLI>
                                    <MCN>1</MCN>
                                    <SN>1</SN>
                                    <EN>6</EN>
                                    <CN>0</CN>
                                    <CBN>2</CBN>
                                    <CBPN>1</CBPN>
                                    <PT>1</PT>
                                    <CBPRNT>6</CBPRNT>
                                    <NT>-1</NT>
                                    <SP1><![CDATA[Appl_Currency]]></SP1>
                                    <SP2/>
                                    <FFF/>
                                    <CMT/>
                                  </RgeNmeProps>
                                </RgeNme>
                              </RgeNmes>
                            </ClmnBlkPt>
                          </ClmnBlkPts>
                        </ClmnBlk>
                      </ClmnBlks>
                      <TtlCtg/>
                      <ElmtLnksOut>
                        <ElmtLnk>
                          <ElmtLnkProps>
                            <ELI>1,1,6</ELI>
                            <ELN>1</ELN>
                            <ELGN>1</ELGN>
                            <MLG>0FB70735-A45F-4D57-9E22-8CDC29D19143</MLG>
                            <ICBI>2</ICBI>
                            <ILBN>1</ILBN>
                            <LIBN>0</LIBN>
                          </ElmtLnkProps>
                        </ElmtLnk>
                      </ElmtLnksOut>
                    </Elmt>
                    <Elmt>
                      <ElmtProps>
                        <CPT>2</CPT>
                      </ElmtProps>
                      <ClmnBlks>
                        <ClmnBlk>
                          <ClmnBlkProps>
                            <FCPT>0</FCPT>
                            <FCN>4</FCN>
                            <LCPT>0</LCPT>
                            <LCN>4</LCN>
                          </ClmnBlkProps>
                          <ClmnBlkPts>
                            <ClmnBlkPt>
                              <ClmnBlkPtProps>
                                <CBPT>5</CBPT>
                                <ST>26</ST>
                                <MC>True</MC>
                                <VOFFF><![CDATA[="Go to "&§A¿1,1,2,1,2,0,1,1,1§Z¿]]></VOFFF>
                              </ClmnBlkPtProps>
                              <Hlk>
                                <HlkProps>
                                  <CBPLI>1,1,7,1,1</CBPLI>
                                  <RT>0</RT>
                                  <RRRT>1</RRRT>
                                  <RCBPLI>2,1,2,1,1</RCBPLI>
                                  <RCN>0</RCN>
                                  <RRNPT>1</RRNPT>
                                  <RRNN>1</RRNN>
                                  <TTDT>0</TTDT>
                                  <AGT>False</AGT>
                                  <CT/>
                                </HlkProps>
                              </Hlk>
                            </ClmnBlkPt>
                          </ClmnBlkPts>
                        </ClmnBlk>
                      </ClmnBlks>
                      <TtlCtg/>
                    </Elmt>
                    <Elmt>
                      <ElmtProps>
                        <CPT>2</CPT>
                      </ElmtProps>
                      <ClmnBlks>
                        <ClmnBlk>
                          <ClmnBlkProps>
                            <FCPT>0</FCPT>
                            <FCN>3</FCN>
                            <LCPT>0</LCPT>
                            <LCN>3</LCN>
                          </ClmnBlkProps>
                          <ClmnBlkPts>
                            <ClmnBlkPt>
                              <ClmnBlkPtProps>
                                <CBPT>5</CBPT>
                                <ST>4</ST>
                                <VOFFF><![CDATA[Personnel]]></VOFFF>
                              </ClmnBlkPtProps>
                            </ClmnBlkPt>
                          </ClmnBlkPts>
                        </ClmnBlk>
                      </ClmnBlks>
                      <TtlCtg/>
                    </Elmt>
                    <Elmt>
                      <ElmtProps>
                        <CPT>2</CPT>
                      </ElmtProps>
                      <ClmnBlks>
                        <ClmnBlk>
                          <ClmnBlkProps>
                            <FCPT>0</FCPT>
                            <FCN>4</FCN>
                            <LCPT>0</LCPT>
                            <LCN>7</LCN>
                          </ClmnBlkProps>
                          <ClmnBlkPts>
                            <ClmnBlkPt>
                              <ClmnBlkPtProps>
                                <CBPT>5</CBPT>
                                <ST>-1</ST>
                                <SON>16</SON>
                                <MC>True</MC>
                                <VOFFF><![CDATA[Personnel Type]]></VOFFF>
                              </ClmnBlkPtProps>
                            </ClmnBlkPt>
                          </ClmnBlkPts>
                        </ClmnBlk>
                        <ClmnBlk>
                          <ClmnBlkProps>
                            <FCPT>0</FCPT>
                            <FCN>9</FCN>
                            <LCPT>0</LCPT>
                            <LCN>9</LCN>
                          </ClmnBlkProps>
                          <ClmnBlkPts>
                            <ClmnBlkPt>
                              <ClmnBlkPtProps>
                                <CBPT>5</CBPT>
                                <ST>6</ST>
                                <SON>7</SON>
                                <VOFFF><![CDATA[SKU]]></VOFFF>
                              </ClmnBlkPtProps>
                              <Cmts>
                                <Cmt>
                                  <CmtProps>
                                    <CBPLI>1,1,9,2,1</CBPLI>
                                    <WRN>1</WRN>
                                    <ERT>5</ERT>
                                    <COSTN>0</COSTN>
                                    <OC>0</OC>
                                    <HT><![CDATA[Tip]]></HT>
                                    <HFS>0</HFS>
                                    <BT><![CDATA[In this case, the stock keeping unit refers to the amount of time for which the person is being paid, as indicated in the SKU Indicative Price.  This is often Month, but it can be year, day, or hour.]]></BT>
                                    <BFS>0</BFS>
                                    <H>469</H>
                                    <W>153</W>
                                  </CmtProps>
                                </Cmt>
                              </Cmts>
                            </ClmnBlkPt>
                          </ClmnBlkPts>
                        </ClmnBlk>
                        <ClmnBlk>
                          <ClmnBlkProps>
                            <FCPT>0</FCPT>
                            <FCN>10</FCN>
                            <LCPT>0</LCPT>
                            <LCN>10</LCN>
                          </ClmnBlkProps>
                          <ClmnBlkPts>
                            <ClmnBlkPt>
                              <ClmnBlkPtProps>
                                <CBPT>5</CBPT>
                                <ST>6</ST>
                                <SON>7</SON>
                                <VOFFF><![CDATA[Financial Price per SKU]]></VOFFF>
                              </ClmnBlkPtProps>
                            </ClmnBlkPt>
                          </ClmnBlkPts>
                        </ClmnBlk>
                        <ClmnBlk>
                          <ClmnBlkProps>
                            <FCPT>0</FCPT>
                            <FCN>11</FCN>
                            <LCPT>0</LCPT>
                            <LCN>11</LCN>
                          </ClmnBlkProps>
                          <ClmnBlkPts>
                            <ClmnBlkPt>
                              <ClmnBlkPtProps>
                                <CBPT>5</CBPT>
                                <ST>6</ST>
                                <SON>7</SON>
                                <VOFFF><![CDATA[Economic Price per SKU]]></VOFFF>
                              </ClmnBlkPtProps>
                            </ClmnBlkPt>
                          </ClmnBlkPts>
                        </ClmnBlk>
                        <ClmnBlk>
                          <ClmnBlkProps>
                            <FCPT>0</FCPT>
                            <FCN>12</FCN>
                            <LCPT>0</LCPT>
                            <LCN>12</LCN>
                          </ClmnBlkProps>
                          <ClmnBlkPts>
                            <ClmnBlkPt>
                              <ClmnBlkPtProps>
                                <CBPT>5</CBPT>
                                <ST>6</ST>
                                <SON>7</SON>
                                <VOFFF><![CDATA[SU]]></VOFFF>
                              </ClmnBlkPtProps>
                            </ClmnBlkPt>
                          </ClmnBlkPts>
                        </ClmnBlk>
                        <ClmnBlk>
                          <ClmnBlkProps>
                            <FCPT>0</FCPT>
                            <FCN>13</FCN>
                            <LCPT>0</LCPT>
                            <LCN>13</LCN>
                          </ClmnBlkProps>
                          <ClmnBlkPts>
                            <ClmnBlkPt>
                              <ClmnBlkPtProps>
                                <CBPT>5</CBPT>
                                <ST>6</ST>
                                <SON>7</SON>
                                <VOFFF><![CDATA[SU/SKU]]></VOFFF>
                              </ClmnBlkPtProps>
                              <Cmts>
                                <Cmt>
                                  <CmtProps>
                                    <CBPLI>1,1,9,6,1</CBPLI>
                                    <WRN>1</WRN>
                                    <ERT>5</ERT>
                                    <COSTN>0</COSTN>
                                    <OC>0</OC>
                                    <HT><![CDATA[Tip:]]></HT>
                                    <HFS>0</HFS>
                                    <BT><![CDATA[This will be used to divide into the SKU indicative price.  Standards are customarily 20 days per month, 240 days per year, 8 hours per day, 60 minutes per hour. &#13;&#10;Therefore, one month equals 20*8*60=9,600 minutes.]]></BT>
                                    <BFS>0</BFS>
                                    <H>469</H>
                                    <W>162</W>
                                  </CmtProps>
                                </Cmt>
                              </Cmts>
                            </ClmnBlkPt>
                          </ClmnBlkPts>
                        </ClmnBlk>
                        <ClmnBlk>
                          <ClmnBlkProps>
                            <FCPT>0</FCPT>
                            <FCN>15</FCN>
                            <LCPT>0</LCPT>
                            <LCN>15</LCN>
                          </ClmnBlkProps>
                          <ClmnBlkPts>
                            <ClmnBlkPt>
                              <ClmnBlkPtProps>
                                <CBPT>5</CBPT>
                                <ST>6</ST>
                                <SON>7</SON>
                                <VOFFF><![CDATA[="Financial "&§A¿0,1,0,1,6,2,1,-1,0,0,TRUE,TRUE§Z¿]]></VOFFF>
                              </ClmnBlkPtProps>
                            </ClmnBlkPt>
                          </ClmnBlkPts>
                        </ClmnBlk>
                        <ClmnBlk>
                          <ClmnBlkProps>
                            <FCPT>0</FCPT>
                            <FCN>16</FCN>
                            <LCPT>0</LCPT>
                            <LCN>16</LCN>
                          </ClmnBlkProps>
                          <ClmnBlkPts>
                            <ClmnBlkPt>
                              <ClmnBlkPtProps>
                                <CBPT>5</CBPT>
                                <ST>6</ST>
                                <SON>7</SON>
                                <VOFFF><![CDATA[="Economic "&§A¿0,1,0,1,6,2,1,-1,0,0,TRUE,TRUE§Z¿]]></VOFFF>
                              </ClmnBlkPtProps>
                            </ClmnBlkPt>
                          </ClmnBlkPts>
                        </ClmnBlk>
                        <ClmnBlk>
                          <ClmnBlkProps>
                            <FCPT>0</FCPT>
                            <FCN>18</FCN>
                            <LCPT>0</LCPT>
                            <LCN>18</LCN>
                          </ClmnBlkProps>
                          <ClmnBlkPts>
                            <ClmnBlkPt>
                              <ClmnBlkPtProps>
                                <CBPT>5</CBPT>
                                <ST>6</ST>
                                <SON>7</SON>
                                <VOFFF><![CDATA[="Financial "&§A¿0,1,0,1,42,1,1,1,0,0,TRUE,TRUE§Z¿]]></VOFFF>
                              </ClmnBlkPtProps>
                            </ClmnBlkPt>
                          </ClmnBlkPts>
                        </ClmnBlk>
                        <ClmnBlk>
                          <ClmnBlkProps>
                            <FCPT>0</FCPT>
                            <FCN>19</FCN>
                            <LCPT>0</LCPT>
                            <LCN>19</LCN>
                          </ClmnBlkProps>
                          <ClmnBlkPts>
                            <ClmnBlkPt>
                              <ClmnBlkPtProps>
                                <CBPT>5</CBPT>
                                <ST>6</ST>
                                <SON>7</SON>
                                <VOFFF><![CDATA[="Economic "&§A¿0,1,0,1,42,1,1,1,0,0,TRUE,TRUE§Z¿]]></VOFFF>
                              </ClmnBlkPtProps>
                            </ClmnBlkPt>
                          </ClmnBlkPts>
                        </ClmnBlk>
                        <ClmnBlk>
                          <ClmnBlkProps>
                            <FCPT>0</FCPT>
                            <FCN>20</FCN>
                            <LCPT>0</LCPT>
                            <LCN>20</LCN>
                          </ClmnBlkProps>
                          <ClmnBlkPts>
                            <ClmnBlkPt>
                              <ClmnBlkPtProps>
                                <CBPT>5</CBPT>
                                <ST>6</ST>
                                <SON>7</SON>
                                <VOFFF><![CDATA[="Financial "&§A¿0,1,0,1,42,1,1,2,0,0,TRUE,TRUE§Z¿]]></VOFFF>
                              </ClmnBlkPtProps>
                            </ClmnBlkPt>
                          </ClmnBlkPts>
                        </ClmnBlk>
                        <ClmnBlk>
                          <ClmnBlkProps>
                            <FCPT>0</FCPT>
                            <FCN>21</FCN>
                            <LCPT>0</LCPT>
                            <LCN>21</LCN>
                          </ClmnBlkProps>
                          <ClmnBlkPts>
                            <ClmnBlkPt>
                              <ClmnBlkPtProps>
                                <CBPT>5</CBPT>
                                <ST>6</ST>
                                <SON>7</SON>
                                <VOFFF><![CDATA[="Economic "&§A¿0,1,0,1,42,1,1,2,0,0,TRUE,TRUE§Z¿]]></VOFFF>
                              </ClmnBlkPtProps>
                            </ClmnBlkPt>
                          </ClmnBlkPts>
                        </ClmnBlk>
                        <ClmnBlk>
                          <ClmnBlkProps>
                            <FCPT>0</FCPT>
                            <FCN>22</FCN>
                            <LCPT>0</LCPT>
                            <LCN>22</LCN>
                          </ClmnBlkProps>
                          <ClmnBlkPts>
                            <ClmnBlkPt>
                              <ClmnBlkPtProps>
                                <CBPT>5</CBPT>
                                <ST>6</ST>
                                <SON>6</SON>
                                <VOFFF><![CDATA[SU]]></VOFFF>
                              </ClmnBlkPtProps>
                            </ClmnBlkPt>
                          </ClmnBlkPts>
                        </ClmnBlk>
                        <ClmnBlk>
                          <ClmnBlkProps>
                            <FCPT>0</FCPT>
                            <FCN>24</FCN>
                            <LCPT>0</LCPT>
                            <LCN>26</LCN>
                          </ClmnBlkProps>
                          <ClmnBlkPts>
                            <ClmnBlkPt>
                              <ClmnBlkPtProps>
                                <CBPT>5</CBPT>
                                <ST>6</ST>
                                <MC>True</MC>
                                <VOFFF><![CDATA[Notes / Source of Information]]></VOFFF>
                              </ClmnBlkPtProps>
                            </ClmnBlkPt>
                          </ClmnBlkPts>
                        </ClmnBlk>
                      </ClmnBlks>
                      <TtlCtg/>
                    </Elmt>
                    <Elmt>
                      <ElmtProps>
                        <CPT>1</CPT>
                        <TOT>False</TOT>
                        <EGN>1</EGN>
                      </ElmtProps>
                      <ClmnBlks>
                        <ClmnBlk>
                          <ClmnBlkProps>
                            <FCPT>0</FCPT>
                            <FCN>4</FCN>
                            <LCPT>0</LCPT>
                            <LCN>7</LCN>
                          </ClmnBlkProps>
                          <ClmnBlkPts>
                            <ClmnBlkPt>
                              <ClmnBlkPtProps>
                                <CBPT>0</CBPT>
                                <ST>8</ST>
                                <MC>True</MC>
                                <VOFFF><![CDATA[<CategoriesGroupName> Cadre - Other <CategoryNumber>]]></VOFFF>
                                <UDAV><![CDATA[<CategoriesGroupName> Cadre - Other <CategoryNumber>]]></UDAV>
                              </ClmnBlkPtProps>
                            </ClmnBlkPt>
                            <ClmnBlkPt>
                              <ClmnBlkPtProps>
                                <CBPT>1</CBPT>
                                <ST>6</ST>
                                <MC>True</MC>
                                <VOFFF><![CDATA[="Total "&§A¿0,1,0,1,10,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8</ST>
                                <SON>6</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10</FCN>
                            <LCPT>0</LCPT>
                            <LCN>10</LCN>
                          </ClmnBlkProps>
                          <ClmnBlkPts>
                            <ClmnBlkPt>
                              <ClmnBlkPtProps>
                                <CBPT>0</CBPT>
                                <ST>11</ST>
                                <SON>8</SON>
                                <VOFFF><![CDATA[Deputy Head (coordinator)]]></VOFFF>
                                <UDAV><![CDATA[0]]></UDAV>
                              </ClmnBlkPtProps>
                              <Vdtn>
                                <VdtnProps>
                                  <CBPLI>1,1,10,3,1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12</FCN>
                            <LCPT>0</LCPT>
                            <LCN>12</LCN>
                          </ClmnBlkProps>
                          <ClmnBlkPts>
                            <ClmnBlkPt>
                              <ClmnBlkPtProps>
                                <CBPT>0</CBPT>
                                <ST>6</ST>
                                <SON>6</SON>
                                <VOFFF><![CDATA[Day]]></VOFFF>
                                <UDAV><![CDATA[S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11</ST>
                                <SON>8</SON>
                                <VOFFF><![CDATA[0]]></VOFFF>
                                <UDAV><![CDATA[0]]></UDAV>
                              </ClmnBlkPtProps>
                              <Vdtn>
                                <VdtnProps>
                                  <CBPLI>1,1,10,6,1</CBPLI>
                                  <ADVT>1</ADVT>
                                  <VT>2</VT>
                                </VdtnProps>
                              </Vdtn>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SON>17</SON>
                                <VOFFF><![CDATA[=IFERROR(§A¿0,1,0,1,10,3,1,0,0,0,FALSE,FALSE§Z¿/§A¿0,1,0,1,10,6,1,0,0,0,FALSE,FALSE§Z¿,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16</FCN>
                            <LCPT>0</LCPT>
                            <LCN>16</LCN>
                          </ClmnBlkProps>
                          <ClmnBlkPts>
                            <ClmnBlkPt>
                              <ClmnBlkPtProps>
                                <CBPT>0</CBPT>
                                <ST>18</ST>
                                <VOFFF><![CDATA[=IFERROR(§A¿0,1,0,1,10,4,1,0,0,0,FALSE,FALSE§Z¿/§A¿0,1,0,1,10,6,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18</FCN>
                            <LCPT>0</LCPT>
                            <LCN>18</LCN>
                          </ClmnBlkProps>
                          <ClmnBlkPts>
                            <ClmnBlkPt>
                              <ClmnBlkPtProps>
                                <CBPT>0</CBPT>
                                <ST>18</ST>
                                <VOFFF><![CDATA[=IFERROR(IF(§A¿1,1,1,1,6,0,2,1,1§Z¿=§A¿0,1,0,1,42,1,1,1,0,0,TRUE,TRUE§Z¿,§A¿0,1,0,1,10,7,1,0,0,0,FALSE,FALSE§Z¿,§A¿0,1,0,1,10,7,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IFERROR(IF(§A¿1,1,1,1,6,0,2,1,1§Z¿=§A¿0,1,0,1,42,1,1,1,0,0,TRUE,TRUE§Z¿,§A¿0,1,0,1,10,8,1,0,0,0,FALSE,FALSE§Z¿,§A¿0,1,0,1,10,8,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20</FCN>
                            <LCPT>0</LCPT>
                            <LCN>20</LCN>
                          </ClmnBlkProps>
                          <ClmnBlkPts>
                            <ClmnBlkPt>
                              <ClmnBlkPtProps>
                                <CBPT>0</CBPT>
                                <ST>18</ST>
                                <VOFFF><![CDATA[=IF(§A¿1,1,1,1,6,0,2,1,1§Z¿=§A¿0,1,0,1,42,1,1,1,0,0,TRUE,TRUE§Z¿,§A¿0,1,0,1,10,7,1,0,0,0,FALSE,FALSE§Z¿*§A¿0,1,0,1,42,2,1,2,0,0,TRUE,TRUE§Z¿,§A¿0,1,0,1,10,7,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21</FCN>
                            <LCPT>0</LCPT>
                            <LCN>21</LCN>
                          </ClmnBlkProps>
                          <ClmnBlkPts>
                            <ClmnBlkPt>
                              <ClmnBlkPtProps>
                                <CBPT>0</CBPT>
                                <ST>18</ST>
                                <VOFFF><![CDATA[=IF(§A¿1,1,1,1,6,0,2,1,1§Z¿=§A¿0,1,0,1,42,1,1,1,0,0,TRUE,TRUE§Z¿,§A¿0,1,0,1,10,8,1,0,0,0,FALSE,FALSE§Z¿*§A¿0,1,0,1,42,2,1,2,0,0,TRUE,TRUE§Z¿,§A¿0,1,0,1,10,8,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22</FCN>
                            <LCPT>0</LCPT>
                            <LCN>22</LCN>
                          </ClmnBlkProps>
                          <ClmnBlkPts>
                            <ClmnBlkPt>
                              <ClmnBlkPtProps>
                                <CBPT>0</CBPT>
                                <ST>-1</ST>
                                <SON>28</SON>
                                <VOFFF><![CDATA[="per "&§A¿0,1,0,1,10,5,1,0,0,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24</FCN>
                            <LCPT>0</LCPT>
                            <LCN>26</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CatSpan>
                            <CatSpanProps>
                              <CC>35</CC>
                              <R>0</R>
                            </CatSpanProps>
                          </CatSpan>
                        </SubTtl>
                      </SubTtls>
                      <TtlCtg/>
                      <ElmtLnksOut>
                        <ElmtLnk>
                          <ElmtLnkProps>
                            <ELI>1,1,10</ELI>
                            <ELN>1</ELN>
                            <ELGN>2</ELGN>
                            <MLG>CAC8B5C0-233F-4D13-BCDB-E76500A60063</MLG>
                            <ICBI>1,9,10,11,12</ICBI>
                            <ILBN>1,2,3,4,5</ILBN>
                            <LIBN>0</LIBN>
                          </ElmtLnkProps>
                        </ElmtLnk>
                      </ElmtLnksOut>
                    </Elmt>
                    <Elmt>
                      <ElmtProps>
                        <CPT>2</CPT>
                      </ElmtProps>
                      <TtlCtg/>
                    </Elmt>
                    <Elmt>
                      <ElmtProps>
                        <CPT>2</CPT>
                      </ElmtProps>
                      <ClmnBlks>
                        <ClmnBlk>
                          <ClmnBlkProps>
                            <FCPT>0</FCPT>
                            <FCN>4</FCN>
                            <LCPT>0</LCPT>
                            <LCN>4</LCN>
                          </ClmnBlkProps>
                          <ClmnBlkPts>
                            <ClmnBlkPt>
                              <ClmnBlkPtProps>
                                <CBPT>5</CBPT>
                                <ST>5</ST>
                                <VOFFF><![CDATA[If more categories are needed, please contact the developer at win@winthropmorgan.com for assistance.]]></VOFFF>
                              </ClmnBlkPtProps>
                            </ClmnBlkPt>
                          </ClmnBlkPts>
                        </ClmnBlk>
                      </ClmnBlk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7</LCN>
                          </ClmnBlkProps>
                          <ClmnBlkPts>
                            <ClmnBlkPt>
                              <ClmnBlkPtProps>
                                <CBPT>5</CBPT>
                                <ST>6</ST>
                                <MC>True</MC>
                                <VOFFF><![CDATA[Type]]></VOFFF>
                              </ClmnBlkPtProps>
                            </ClmnBlkPt>
                          </ClmnBlkPts>
                        </ClmnBlk>
                        <ClmnBlk>
                          <ClmnBlkProps>
                            <FCPT>0</FCPT>
                            <FCN>9</FCN>
                            <LCPT>0</LCPT>
                            <LCN>9</LCN>
                          </ClmnBlkProps>
                          <ClmnBlkPts>
                            <ClmnBlkPt>
                              <ClmnBlkPtProps>
                                <CBPT>5</CBPT>
                                <ST>6</ST>
                                <VOFFF><![CDATA[Stock-Keeping Unit]]></VOFFF>
                              </ClmnBlkPtProps>
                            </ClmnBlkPt>
                          </ClmnBlkPts>
                        </ClmnBlk>
                        <ClmnBlk>
                          <ClmnBlkProps>
                            <FCPT>0</FCPT>
                            <FCN>10</FCN>
                            <LCPT>0</LCPT>
                            <LCN>10</LCN>
                          </ClmnBlkProps>
                          <ClmnBlkPts>
                            <ClmnBlkPt>
                              <ClmnBlkPtProps>
                                <CBPT>5</CBPT>
                                <ST>6</ST>
                                <SON>7</SON>
                                <VOFFF><![CDATA[Financial Price per SKU]]></VOFFF>
                              </ClmnBlkPtProps>
                            </ClmnBlkPt>
                          </ClmnBlkPts>
                        </ClmnBlk>
                        <ClmnBlk>
                          <ClmnBlkProps>
                            <FCPT>0</FCPT>
                            <FCN>11</FCN>
                            <LCPT>0</LCPT>
                            <LCN>11</LCN>
                          </ClmnBlkProps>
                          <ClmnBlkPts>
                            <ClmnBlkPt>
                              <ClmnBlkPtProps>
                                <CBPT>5</CBPT>
                                <ST>6</ST>
                                <SON>7</SON>
                                <VOFFF><![CDATA[Economic Price per SKU]]></VOFFF>
                              </ClmnBlkPtProps>
                            </ClmnBlkPt>
                          </ClmnBlkPts>
                        </ClmnBlk>
                        <ClmnBlk>
                          <ClmnBlkProps>
                            <FCPT>0</FCPT>
                            <FCN>12</FCN>
                            <LCPT>0</LCPT>
                            <LCN>12</LCN>
                          </ClmnBlkProps>
                          <ClmnBlkPts>
                            <ClmnBlkPt>
                              <ClmnBlkPtProps>
                                <CBPT>5</CBPT>
                                <ST>6</ST>
                                <VOFFF><![CDATA[Single Unit]]></VOFFF>
                              </ClmnBlkPtProps>
                            </ClmnBlkPt>
                          </ClmnBlkPts>
                        </ClmnBlk>
                        <ClmnBlk>
                          <ClmnBlkProps>
                            <FCPT>0</FCPT>
                            <FCN>13</FCN>
                            <LCPT>0</LCPT>
                            <LCN>13</LCN>
                          </ClmnBlkProps>
                          <ClmnBlkPts>
                            <ClmnBlkPt>
                              <ClmnBlkPtProps>
                                <CBPT>5</CBPT>
                                <ST>6</ST>
                                <VOFFF><![CDATA[SUs per SKU]]></VOFFF>
                              </ClmnBlkPtProps>
                            </ClmnBlkPt>
                          </ClmnBlkPts>
                        </ClmnBlk>
                        <ClmnBlk>
                          <ClmnBlkProps>
                            <FCPT>0</FCPT>
                            <FCN>15</FCN>
                            <LCPT>0</LCPT>
                            <LCN>15</LCN>
                          </ClmnBlkProps>
                          <ClmnBlkPts>
                            <ClmnBlkPt>
                              <ClmnBlkPtProps>
                                <CBPT>5</CBPT>
                                <ST>6</ST>
                                <SON>7</SON>
                                <VOFFF><![CDATA[="Financial "&§A¿0,1,0,1,6,2,1,-1,0,0,TRUE,TRUE§Z¿]]></VOFFF>
                              </ClmnBlkPtProps>
                            </ClmnBlkPt>
                          </ClmnBlkPts>
                        </ClmnBlk>
                        <ClmnBlk>
                          <ClmnBlkProps>
                            <FCPT>0</FCPT>
                            <FCN>16</FCN>
                            <LCPT>0</LCPT>
                            <LCN>16</LCN>
                          </ClmnBlkProps>
                          <ClmnBlkPts>
                            <ClmnBlkPt>
                              <ClmnBlkPtProps>
                                <CBPT>5</CBPT>
                                <ST>6</ST>
                                <SON>7</SON>
                                <VOFFF><![CDATA[="Economic "&§A¿0,1,0,1,6,2,1,-1,0,0,TRUE,TRUE§Z¿]]></VOFFF>
                              </ClmnBlkPtProps>
                            </ClmnBlkPt>
                          </ClmnBlkPts>
                        </ClmnBlk>
                        <ClmnBlk>
                          <ClmnBlkProps>
                            <FCPT>0</FCPT>
                            <FCN>18</FCN>
                            <LCPT>0</LCPT>
                            <LCN>18</LCN>
                          </ClmnBlkProps>
                          <ClmnBlkPts>
                            <ClmnBlkPt>
                              <ClmnBlkPtProps>
                                <CBPT>5</CBPT>
                                <ST>6</ST>
                                <SON>7</SON>
                                <VOFFF><![CDATA[="Financial "&§A¿0,1,0,1,42,1,1,1,0,0,TRUE,TRUE§Z¿]]></VOFFF>
                              </ClmnBlkPtProps>
                            </ClmnBlkPt>
                          </ClmnBlkPts>
                        </ClmnBlk>
                        <ClmnBlk>
                          <ClmnBlkProps>
                            <FCPT>0</FCPT>
                            <FCN>19</FCN>
                            <LCPT>0</LCPT>
                            <LCN>19</LCN>
                          </ClmnBlkProps>
                          <ClmnBlkPts>
                            <ClmnBlkPt>
                              <ClmnBlkPtProps>
                                <CBPT>5</CBPT>
                                <ST>6</ST>
                                <SON>7</SON>
                                <VOFFF><![CDATA[="Economic "&§A¿0,1,0,1,42,1,1,1,0,0,TRUE,TRUE§Z¿]]></VOFFF>
                              </ClmnBlkPtProps>
                            </ClmnBlkPt>
                          </ClmnBlkPts>
                        </ClmnBlk>
                        <ClmnBlk>
                          <ClmnBlkProps>
                            <FCPT>0</FCPT>
                            <FCN>20</FCN>
                            <LCPT>0</LCPT>
                            <LCN>20</LCN>
                          </ClmnBlkProps>
                          <ClmnBlkPts>
                            <ClmnBlkPt>
                              <ClmnBlkPtProps>
                                <CBPT>5</CBPT>
                                <ST>6</ST>
                                <SON>7</SON>
                                <VOFFF><![CDATA[="Financial "&§A¿0,1,0,1,42,1,1,2,0,0,TRUE,TRUE§Z¿]]></VOFFF>
                              </ClmnBlkPtProps>
                            </ClmnBlkPt>
                          </ClmnBlkPts>
                        </ClmnBlk>
                        <ClmnBlk>
                          <ClmnBlkProps>
                            <FCPT>0</FCPT>
                            <FCN>21</FCN>
                            <LCPT>0</LCPT>
                            <LCN>21</LCN>
                          </ClmnBlkProps>
                          <ClmnBlkPts>
                            <ClmnBlkPt>
                              <ClmnBlkPtProps>
                                <CBPT>5</CBPT>
                                <ST>6</ST>
                                <SON>7</SON>
                                <VOFFF><![CDATA[="Economic "&§A¿0,1,0,1,42,1,1,2,0,0,TRUE,TRUE§Z¿]]></VOFFF>
                              </ClmnBlkPtProps>
                            </ClmnBlkPt>
                          </ClmnBlkPts>
                        </ClmnBlk>
                        <ClmnBlk>
                          <ClmnBlkProps>
                            <FCPT>0</FCPT>
                            <FCN>22</FCN>
                            <LCPT>0</LCPT>
                            <LCN>22</LCN>
                          </ClmnBlkProps>
                          <ClmnBlkPts>
                            <ClmnBlkPt>
                              <ClmnBlkPtProps>
                                <CBPT>5</CBPT>
                                <ST>6</ST>
                                <VOFFF><![CDATA[Per]]></VOFFF>
                              </ClmnBlkPtProps>
                            </ClmnBlkPt>
                          </ClmnBlkPts>
                        </ClmnBlk>
                        <ClmnBlk>
                          <ClmnBlkProps>
                            <FCPT>0</FCPT>
                            <FCN>24</FCN>
                            <LCPT>0</LCPT>
                            <LCN>26</LCN>
                          </ClmnBlkProps>
                          <ClmnBlkPts>
                            <ClmnBlkPt>
                              <ClmnBlkPtProps>
                                <CBPT>5</CBPT>
                                <ST>6</ST>
                                <MC>True</MC>
                                <VOFFF><![CDATA[Notes / Sources of Information]]></VOFFF>
                              </ClmnBlkPtProps>
                            </ClmnBlkPt>
                          </ClmnBlkPts>
                        </ClmnBlk>
                      </ClmnBlks>
                      <TtlCtg/>
                    </Elmt>
                    <Elmt>
                      <ElmtProps>
                        <CPT>1</CPT>
                        <TOT>False</TOT>
                        <EGN>6</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15,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8</ST>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10</FCN>
                            <LCPT>0</LCPT>
                            <LCN>10</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12</FCN>
                            <LCPT>0</LCPT>
                            <LCN>12</LCN>
                          </ClmnBlkProps>
                          <ClmnBlkPts>
                            <ClmnBlkPt>
                              <ClmnBlkPtProps>
                                <CBPT>0</CBPT>
                                <ST>8</ST>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SON>18</SON>
                                <VOFFF><![CDATA[=IFERROR(§A¿0,1,0,1,15,3,1,0,0,0,FALSE,FALSE§Z¿/§A¿0,1,0,1,15,6,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16</FCN>
                            <LCPT>0</LCPT>
                            <LCN>16</LCN>
                          </ClmnBlkProps>
                          <ClmnBlkPts>
                            <ClmnBlkPt>
                              <ClmnBlkPtProps>
                                <CBPT>0</CBPT>
                                <ST>18</ST>
                                <VOFFF><![CDATA[=IFERROR(§A¿0,1,0,1,15,4,1,0,0,0,FALSE,FALSE§Z¿/§A¿0,1,0,1,15,6,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18</FCN>
                            <LCPT>0</LCPT>
                            <LCN>18</LCN>
                          </ClmnBlkProps>
                          <ClmnBlkPts>
                            <ClmnBlkPt>
                              <ClmnBlkPtProps>
                                <CBPT>0</CBPT>
                                <ST>18</ST>
                                <SON>26</SON>
                                <VOFFF><![CDATA[=IFERROR(IF(§A¿1,1,1,1,6,0,2,1,1§Z¿=§A¿0,1,0,1,42,1,1,1,0,0,TRUE,TRUE§Z¿,§A¿0,1,0,1,15,7,1,0,0,0,FALSE,FALSE§Z¿,§A¿0,1,0,1,15,7,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SON>26</SON>
                                <VOFFF><![CDATA[=IFERROR(IF(§A¿1,1,1,1,6,0,2,1,1§Z¿=§A¿0,1,0,1,42,1,1,1,0,0,TRUE,TRUE§Z¿,§A¿0,1,0,1,15,8,1,0,0,0,FALSE,FALSE§Z¿,§A¿0,1,0,1,15,8,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20</FCN>
                            <LCPT>0</LCPT>
                            <LCN>20</LCN>
                          </ClmnBlkProps>
                          <ClmnBlkPts>
                            <ClmnBlkPt>
                              <ClmnBlkPtProps>
                                <CBPT>0</CBPT>
                                <ST>18</ST>
                                <VOFFF><![CDATA[=IF(§A¿1,1,1,1,6,0,2,1,1§Z¿=§A¿0,1,0,1,42,1,1,1,0,0,TRUE,TRUE§Z¿,§A¿0,1,0,1,15,7,1,0,0,0,FALSE,FALSE§Z¿*§A¿0,1,0,1,42,2,1,2,0,0,TRUE,TRUE§Z¿,§A¿0,1,0,1,15,7,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21</FCN>
                            <LCPT>0</LCPT>
                            <LCN>21</LCN>
                          </ClmnBlkProps>
                          <ClmnBlkPts>
                            <ClmnBlkPt>
                              <ClmnBlkPtProps>
                                <CBPT>0</CBPT>
                                <ST>18</ST>
                                <VOFFF><![CDATA[=IF(§A¿1,1,1,1,6,0,2,1,1§Z¿=§A¿0,1,0,1,42,1,1,1,0,0,TRUE,TRUE§Z¿,§A¿0,1,0,1,15,8,1,0,0,0,FALSE,FALSE§Z¿*§A¿0,1,0,1,42,2,1,2,0,0,TRUE,TRUE§Z¿,§A¿0,1,0,1,15,8,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22</FCN>
                            <LCPT>0</LCPT>
                            <LCN>22</LCN>
                          </ClmnBlkProps>
                          <ClmnBlkPts>
                            <ClmnBlkPt>
                              <ClmnBlkPtProps>
                                <CBPT>0</CBPT>
                                <ST>6</ST>
                                <VOFFF><![CDATA[="per "&§A¿0,1,0,1,15,5,1,0,0,0,FALSE,TRUE§Z¿&""]]></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24</FCN>
                            <LCPT>0</LCPT>
                            <LCN>26</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CatSpan>
                            <CatSpanProps>
                              <CC>35</CC>
                              <R>0</R>
                            </CatSpanProps>
                          </CatSpan>
                        </SubTtl>
                      </SubTtls>
                      <TtlCtg/>
                      <ElmtLnksOut>
                        <ElmtLnk>
                          <ElmtLnkProps>
                            <ELI>1,1,15</ELI>
                            <ELN>1</ELN>
                            <ELGN>3</ELGN>
                            <MLG>9954C197-DC59-49F2-BACE-BDAFCC88813C</MLG>
                            <ICBI>1,9,10,11,12</ICBI>
                            <ILBN>1,2,3,4,5</ILBN>
                            <LIBN>0</LIBN>
                          </ElmtLnkProps>
                        </ElmtLnk>
                      </ElmtLnksOut>
                    </Elmt>
                    <Elmt>
                      <ElmtProps>
                        <CPT>2</CPT>
                      </ElmtProps>
                      <ClmnBlks>
                        <ClmnBlk>
                          <ClmnBlkProps>
                            <FCPT>0</FCPT>
                            <FCN>4</FCN>
                            <LCPT>0</LCPT>
                            <LCN>4</LCN>
                          </ClmnBlkProps>
                          <ClmnBlkPts>
                            <ClmnBlkPt>
                              <ClmnBlkPtProps>
                                <CBPT>5</CBPT>
                                <ST>5</ST>
                                <VOFFF><![CDATA[If more categories are needed, please contact the developer at win@winthropmorgan.com for assistance.]]></VOFFF>
                              </ClmnBlkPtProps>
                            </ClmnBlkPt>
                          </ClmnBlkPts>
                        </ClmnBlk>
                      </ClmnBlks>
                      <TtlCtg/>
                    </Elmt>
                    <Elmt>
                      <ElmtProps>
                        <CPT>2</CPT>
                      </ElmtProps>
                      <ClmnBlks>
                        <ClmnBlk>
                          <ClmnBlkProps>
                            <FCPT>0</FCPT>
                            <FCN>3</FCN>
                            <LCPT>0</LCPT>
                            <LCN>3</LCN>
                          </ClmnBlkProps>
                          <ClmnBlkPts>
                            <ClmnBlkPt>
                              <ClmnBlkPtProps>
                                <CBPT>5</CBPT>
                                <ST>4</ST>
                                <VOFFF><![CDATA[Supplies]]></VOFFF>
                              </ClmnBlkPtProps>
                            </ClmnBlkPt>
                          </ClmnBlkPts>
                        </ClmnBlk>
                      </ClmnBlks>
                      <TtlCtg/>
                    </Elmt>
                    <Elmt>
                      <ElmtProps>
                        <CPT>2</CPT>
                      </ElmtProps>
                      <ClmnBlks>
                        <ClmnBlk>
                          <ClmnBlkProps>
                            <FCPT>0</FCPT>
                            <FCN>4</FCN>
                            <LCPT>0</LCPT>
                            <LCN>6</LCN>
                          </ClmnBlkProps>
                          <ClmnBlkPts>
                            <ClmnBlkPt>
                              <ClmnBlkPtProps>
                                <CBPT>5</CBPT>
                                <ST>5</ST>
                                <MC>True</MC>
                                <VOFFF><![CDATA[Supply Type]]></VOFFF>
                              </ClmnBlkPtProps>
                            </ClmnBlkPt>
                          </ClmnBlkPts>
                        </ClmnBlk>
                        <ClmnBlk>
                          <ClmnBlkProps>
                            <FCPT>0</FCPT>
                            <FCN>9</FCN>
                            <LCPT>0</LCPT>
                            <LCN>9</LCN>
                          </ClmnBlkProps>
                          <ClmnBlkPts>
                            <ClmnBlkPt>
                              <ClmnBlkPtProps>
                                <CBPT>5</CBPT>
                                <ST>6</ST>
                                <VOFFF><![CDATA[Stock-Keeping Unit]]></VOFFF>
                              </ClmnBlkPtProps>
                            </ClmnBlkPt>
                          </ClmnBlkPts>
                        </ClmnBlk>
                        <ClmnBlk>
                          <ClmnBlkProps>
                            <FCPT>0</FCPT>
                            <FCN>10</FCN>
                            <LCPT>0</LCPT>
                            <LCN>10</LCN>
                          </ClmnBlkProps>
                          <ClmnBlkPts>
                            <ClmnBlkPt>
                              <ClmnBlkPtProps>
                                <CBPT>5</CBPT>
                                <ST>6</ST>
                                <SON>7</SON>
                                <VOFFF><![CDATA[Financial Price per SKU]]></VOFFF>
                              </ClmnBlkPtProps>
                            </ClmnBlkPt>
                          </ClmnBlkPts>
                        </ClmnBlk>
                        <ClmnBlk>
                          <ClmnBlkProps>
                            <FCPT>0</FCPT>
                            <FCN>11</FCN>
                            <LCPT>0</LCPT>
                            <LCN>11</LCN>
                          </ClmnBlkProps>
                          <ClmnBlkPts>
                            <ClmnBlkPt>
                              <ClmnBlkPtProps>
                                <CBPT>5</CBPT>
                                <ST>6</ST>
                                <SON>7</SON>
                                <VOFFF><![CDATA[Economic Price per SKU]]></VOFFF>
                              </ClmnBlkPtProps>
                            </ClmnBlkPt>
                          </ClmnBlkPts>
                        </ClmnBlk>
                        <ClmnBlk>
                          <ClmnBlkProps>
                            <FCPT>0</FCPT>
                            <FCN>12</FCN>
                            <LCPT>0</LCPT>
                            <LCN>12</LCN>
                          </ClmnBlkProps>
                          <ClmnBlkPts>
                            <ClmnBlkPt>
                              <ClmnBlkPtProps>
                                <CBPT>5</CBPT>
                                <ST>6</ST>
                                <VOFFF><![CDATA[Single Unit]]></VOFFF>
                              </ClmnBlkPtProps>
                            </ClmnBlkPt>
                          </ClmnBlkPts>
                        </ClmnBlk>
                        <ClmnBlk>
                          <ClmnBlkProps>
                            <FCPT>0</FCPT>
                            <FCN>13</FCN>
                            <LCPT>0</LCPT>
                            <LCN>13</LCN>
                          </ClmnBlkProps>
                          <ClmnBlkPts>
                            <ClmnBlkPt>
                              <ClmnBlkPtProps>
                                <CBPT>5</CBPT>
                                <ST>6</ST>
                                <VOFFF><![CDATA[SUs per SKU]]></VOFFF>
                              </ClmnBlkPtProps>
                            </ClmnBlkPt>
                          </ClmnBlkPts>
                        </ClmnBlk>
                        <ClmnBlk>
                          <ClmnBlkProps>
                            <FCPT>0</FCPT>
                            <FCN>15</FCN>
                            <LCPT>0</LCPT>
                            <LCN>15</LCN>
                          </ClmnBlkProps>
                          <ClmnBlkPts>
                            <ClmnBlkPt>
                              <ClmnBlkPtProps>
                                <CBPT>5</CBPT>
                                <ST>6</ST>
                                <SON>7</SON>
                                <VOFFF><![CDATA[="Financial "&§A¿0,1,0,1,6,2,1,-1,0,0,TRUE,TRUE§Z¿]]></VOFFF>
                              </ClmnBlkPtProps>
                            </ClmnBlkPt>
                          </ClmnBlkPts>
                        </ClmnBlk>
                        <ClmnBlk>
                          <ClmnBlkProps>
                            <FCPT>0</FCPT>
                            <FCN>16</FCN>
                            <LCPT>0</LCPT>
                            <LCN>16</LCN>
                          </ClmnBlkProps>
                          <ClmnBlkPts>
                            <ClmnBlkPt>
                              <ClmnBlkPtProps>
                                <CBPT>5</CBPT>
                                <ST>6</ST>
                                <SON>7</SON>
                                <VOFFF><![CDATA[="Economic "&§A¿0,1,0,1,6,2,1,-1,0,0,TRUE,TRUE§Z¿]]></VOFFF>
                              </ClmnBlkPtProps>
                            </ClmnBlkPt>
                          </ClmnBlkPts>
                        </ClmnBlk>
                        <ClmnBlk>
                          <ClmnBlkProps>
                            <FCPT>0</FCPT>
                            <FCN>18</FCN>
                            <LCPT>0</LCPT>
                            <LCN>18</LCN>
                          </ClmnBlkProps>
                          <ClmnBlkPts>
                            <ClmnBlkPt>
                              <ClmnBlkPtProps>
                                <CBPT>5</CBPT>
                                <ST>6</ST>
                                <SON>7</SON>
                                <VOFFF><![CDATA[="Financial "&§A¿0,1,0,1,42,1,1,1,0,0,TRUE,TRUE§Z¿]]></VOFFF>
                              </ClmnBlkPtProps>
                            </ClmnBlkPt>
                          </ClmnBlkPts>
                        </ClmnBlk>
                        <ClmnBlk>
                          <ClmnBlkProps>
                            <FCPT>0</FCPT>
                            <FCN>19</FCN>
                            <LCPT>0</LCPT>
                            <LCN>19</LCN>
                          </ClmnBlkProps>
                          <ClmnBlkPts>
                            <ClmnBlkPt>
                              <ClmnBlkPtProps>
                                <CBPT>5</CBPT>
                                <ST>6</ST>
                                <SON>7</SON>
                                <VOFFF><![CDATA[="Economic "&§A¿0,1,0,1,42,1,1,1,0,0,TRUE,TRUE§Z¿]]></VOFFF>
                              </ClmnBlkPtProps>
                            </ClmnBlkPt>
                          </ClmnBlkPts>
                        </ClmnBlk>
                        <ClmnBlk>
                          <ClmnBlkProps>
                            <FCPT>0</FCPT>
                            <FCN>20</FCN>
                            <LCPT>0</LCPT>
                            <LCN>20</LCN>
                          </ClmnBlkProps>
                          <ClmnBlkPts>
                            <ClmnBlkPt>
                              <ClmnBlkPtProps>
                                <CBPT>5</CBPT>
                                <ST>6</ST>
                                <SON>7</SON>
                                <VOFFF><![CDATA[="Financial "&§A¿0,1,0,1,42,1,1,2,0,0,TRUE,TRUE§Z¿]]></VOFFF>
                              </ClmnBlkPtProps>
                            </ClmnBlkPt>
                          </ClmnBlkPts>
                        </ClmnBlk>
                        <ClmnBlk>
                          <ClmnBlkProps>
                            <FCPT>0</FCPT>
                            <FCN>21</FCN>
                            <LCPT>0</LCPT>
                            <LCN>21</LCN>
                          </ClmnBlkProps>
                          <ClmnBlkPts>
                            <ClmnBlkPt>
                              <ClmnBlkPtProps>
                                <CBPT>5</CBPT>
                                <ST>6</ST>
                                <SON>7</SON>
                                <VOFFF><![CDATA[="Economic "&§A¿0,1,0,1,42,1,1,2,0,0,TRUE,TRUE§Z¿]]></VOFFF>
                              </ClmnBlkPtProps>
                            </ClmnBlkPt>
                          </ClmnBlkPts>
                        </ClmnBlk>
                        <ClmnBlk>
                          <ClmnBlkProps>
                            <FCPT>0</FCPT>
                            <FCN>22</FCN>
                            <LCPT>0</LCPT>
                            <LCN>22</LCN>
                          </ClmnBlkProps>
                          <ClmnBlkPts>
                            <ClmnBlkPt>
                              <ClmnBlkPtProps>
                                <CBPT>5</CBPT>
                                <ST>6</ST>
                                <VOFFF><![CDATA[Per]]></VOFFF>
                              </ClmnBlkPtProps>
                            </ClmnBlkPt>
                          </ClmnBlkPts>
                        </ClmnBlk>
                        <ClmnBlk>
                          <ClmnBlkProps>
                            <FCPT>0</FCPT>
                            <FCN>24</FCN>
                            <LCPT>0</LCPT>
                            <LCN>26</LCN>
                          </ClmnBlkProps>
                          <ClmnBlkPts>
                            <ClmnBlkPt>
                              <ClmnBlkPtProps>
                                <CBPT>5</CBPT>
                                <ST>6</ST>
                                <MC>True</MC>
                                <VOFFF><![CDATA[Notes / Sources of Information]]></VOFFF>
                              </ClmnBlkPtProps>
                            </ClmnBlkPt>
                          </ClmnBlkPts>
                        </ClmnBlk>
                      </ClmnBlks>
                      <TtlCtg/>
                    </Elmt>
                    <Elmt>
                      <ElmtProps>
                        <CPT>1</CPT>
                        <TOT>False</TOT>
                        <EGN>4</EGN>
                      </ElmtProps>
                      <ClmnBlks>
                        <ClmnBlk>
                          <ClmnBlkProps>
                            <FCPT>0</FCPT>
                            <FCN>1</FCN>
                            <LCPT>0</LCPT>
                            <LCN>1</LCN>
                          </ClmnBlkProps>
                          <ClmnBlkPts>
                            <ClmnBlkPt>
                              <ClmnBlkPtProps>
                                <CBPT>0</CBPT>
                                <ST>18</ST>
                                <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4</FCN>
                            <LCPT>0</LCPT>
                            <LCN>7</LCN>
                          </ClmnBlkProps>
                          <ClmnBlkPts>
                            <ClmnBlkPt>
                              <ClmnBlkPtProps>
                                <CBPT>0</CBPT>
                                <ST>8</ST>
                                <SON>12</SON>
                                <MC>True</MC>
                                <VOFFF><![CDATA[<CategoriesGroupName> Category <CategoryNumber>]]></VOFFF>
                                <UDAV><![CDATA[<CategoriesGroupName> Category <CategoryNumber>]]></UDAV>
                              </ClmnBlkPtProps>
                            </ClmnBlkPt>
                            <ClmnBlkPt>
                              <ClmnBlkPtProps>
                                <CBPT>1</CBPT>
                                <ST>6</ST>
                                <MC>True</MC>
                                <VOFFF><![CDATA[="Total "&§A¿0,1,0,1,19,2,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8</ST>
                                <SON>6</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10</FCN>
                            <LCPT>0</LCPT>
                            <LCN>10</LCN>
                          </ClmnBlkProps>
                          <ClmnBlkPts>
                            <ClmnBlkPt>
                              <ClmnBlkPtProps>
                                <CBPT>0</CBPT>
                                <ST>11</ST>
                                <SON>5</SON>
                                <VOFFF><![CDATA[0]]></VOFFF>
                                <UDAV><![CDATA[0]]></UDAV>
                              </ClmnBlkPtProps>
                              <Vdtn>
                                <VdtnProps>
                                  <CBPLI>1,1,19,4,1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12</FCN>
                            <LCPT>0</LCPT>
                            <LCN>12</LCN>
                          </ClmnBlkProps>
                          <ClmnBlkPts>
                            <ClmnBlkPt>
                              <ClmnBlkPtProps>
                                <CBPT>0</CBPT>
                                <ST>8</ST>
                                <SON>6</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11</ST>
                                <SON>8</SON>
                                <VOFFF><![CDATA[0]]></VOFFF>
                                <UDAV><![CDATA[0]]></UDAV>
                              </ClmnBlkPtProps>
                              <Vdtn>
                                <VdtnProps>
                                  <CBPLI>1,1,19,7,1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SON>21</SON>
                                <VOFFF><![CDATA[=IFERROR(§A¿0,1,0,1,19,4,1,0,0,0,FALSE,FALSE§Z¿/§A¿0,1,0,1,19,7,1,0,0,0,FALSE,FALS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16</FCN>
                            <LCPT>0</LCPT>
                            <LCN>16</LCN>
                          </ClmnBlkProps>
                          <ClmnBlkPts>
                            <ClmnBlkPt>
                              <ClmnBlkPtProps>
                                <CBPT>0</CBPT>
                                <ST>18</ST>
                                <VOFFF><![CDATA[=IFERROR(§A¿0,1,0,1,19,5,1,0,0,0,FALSE,FALSE§Z¿/§A¿0,1,0,1,19,7,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18</FCN>
                            <LCPT>0</LCPT>
                            <LCN>18</LCN>
                          </ClmnBlkProps>
                          <ClmnBlkPts>
                            <ClmnBlkPt>
                              <ClmnBlkPtProps>
                                <CBPT>0</CBPT>
                                <ST>18</ST>
                                <SON>25</SON>
                                <VOFFF><![CDATA[=IFERROR(IF(§A¿1,1,1,1,6,0,2,1,1§Z¿=§A¿0,1,0,1,42,1,1,1,0,0,TRUE,TRUE§Z¿,§A¿0,1,0,1,19,8,1,0,0,0,FALSE,FALSE§Z¿,§A¿0,1,0,1,19,8,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SON>25</SON>
                                <VOFFF><![CDATA[=IFERROR(IF(§A¿1,1,1,1,6,0,2,1,1§Z¿=§A¿0,1,0,1,42,1,1,1,0,0,TRUE,TRUE§Z¿,§A¿0,1,0,1,19,9,1,0,0,0,FALSE,FALSE§Z¿,§A¿0,1,0,1,19,9,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20</FCN>
                            <LCPT>0</LCPT>
                            <LCN>20</LCN>
                          </ClmnBlkProps>
                          <ClmnBlkPts>
                            <ClmnBlkPt>
                              <ClmnBlkPtProps>
                                <CBPT>0</CBPT>
                                <ST>18</ST>
                                <VOFFF><![CDATA[=IF(§A¿1,1,1,1,6,0,2,1,1§Z¿=§A¿0,1,0,1,42,1,1,1,0,0,TRUE,TRUE§Z¿,§A¿0,1,0,1,19,8,1,0,0,0,FALSE,FALSE§Z¿*§A¿0,1,0,1,42,2,1,2,0,0,TRUE,TRUE§Z¿,§A¿0,1,0,1,19,8,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21</FCN>
                            <LCPT>0</LCPT>
                            <LCN>21</LCN>
                          </ClmnBlkProps>
                          <ClmnBlkPts>
                            <ClmnBlkPt>
                              <ClmnBlkPtProps>
                                <CBPT>0</CBPT>
                                <ST>18</ST>
                                <VOFFF><![CDATA[=IF(§A¿1,1,1,1,6,0,2,1,1§Z¿=§A¿0,1,0,1,42,1,1,1,0,0,TRUE,TRUE§Z¿,§A¿0,1,0,1,19,9,1,0,0,0,FALSE,FALSE§Z¿*§A¿0,1,0,1,42,2,1,2,0,0,TRUE,TRUE§Z¿,§A¿0,1,0,1,19,9,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22</FCN>
                            <LCPT>0</LCPT>
                            <LCN>22</LCN>
                          </ClmnBlkProps>
                          <ClmnBlkPts>
                            <ClmnBlkPt>
                              <ClmnBlkPtProps>
                                <CBPT>0</CBPT>
                                <ST>6</ST>
                                <VOFFF><![CDATA[="per "&§A¿0,1,0,1,19,6,1,0,0,0,FALSE,TRUE§Z¿&""]]></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24</FCN>
                            <LCPT>0</LCPT>
                            <LCN>26</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CatSpan>
                            <CatSpanProps>
                              <CC>35</CC>
                              <R>0</R>
                            </CatSpanProps>
                          </CatSpan>
                        </SubTtl>
                      </SubTtls>
                      <TtlCtg/>
                      <ElmtLnksOut>
                        <ElmtLnk>
                          <ElmtLnkProps>
                            <ELI>1,1,19</ELI>
                            <ELN>1</ELN>
                            <ELGN>4</ELGN>
                            <MLG>FC884D76-0FF7-48B7-B658-EABC523ECBF4</MLG>
                            <ICBI>2,10,11,12,13</ICBI>
                            <ILBN>1,2,3,4,5</ILBN>
                            <LIBN>0</LIBN>
                          </ElmtLnkProps>
                        </ElmtLnk>
                      </ElmtLnksOut>
                    </Elmt>
                    <Elmt>
                      <ElmtProps>
                        <CPT>2</CPT>
                      </ElmtProps>
                      <ClmnBlks>
                        <ClmnBlk>
                          <ClmnBlkProps>
                            <FCPT>0</FCPT>
                            <FCN>4</FCN>
                            <LCPT>0</LCPT>
                            <LCN>4</LCN>
                          </ClmnBlkProps>
                          <ClmnBlkPts>
                            <ClmnBlkPt>
                              <ClmnBlkPtProps>
                                <CBPT>5</CBPT>
                                <ST>5</ST>
                                <VOFFF><![CDATA[If more categories are needed, please contact the developer at win@winthropmorgan.com for assistance.]]></VOFFF>
                              </ClmnBlkPtProps>
                            </ClmnBlkPt>
                          </ClmnBlkPts>
                        </ClmnBlk>
                      </ClmnBlks>
                      <TtlCtg/>
                    </Elmt>
                    <Elmt>
                      <ElmtProps>
                        <CPT>2</CPT>
                      </ElmtProps>
                      <ClmnBlks>
                        <ClmnBlk>
                          <ClmnBlkProps>
                            <FCPT>0</FCPT>
                            <FCN>3</FCN>
                            <LCPT>0</LCPT>
                            <LCN>3</LCN>
                          </ClmnBlkProps>
                          <ClmnBlkPts>
                            <ClmnBlkPt>
                              <ClmnBlkPtProps>
                                <CBPT>5</CBPT>
                                <ST>4</ST>
                                <VOFFF><![CDATA[Equipment]]></VOFFF>
                              </ClmnBlkPtProps>
                            </ClmnBlkPt>
                          </ClmnBlkPts>
                        </ClmnBlk>
                      </ClmnBlks>
                      <TtlCtg/>
                    </Elmt>
                    <Elmt>
                      <ElmtProps>
                        <CPT>2</CPT>
                      </ElmtProps>
                      <TtlCtg/>
                    </Elmt>
                    <Elmt>
                      <ElmtProps>
                        <CPT>2</CPT>
                      </ElmtProps>
                      <ClmnBlks>
                        <ClmnBlk>
                          <ClmnBlkProps>
                            <FCPT>0</FCPT>
                            <FCN>4</FCN>
                            <LCPT>0</LCPT>
                            <LCN>4</LCN>
                          </ClmnBlkProps>
                          <ClmnBlkPts>
                            <ClmnBlkPt>
                              <ClmnBlkPtProps>
                                <CBPT>5</CBPT>
                                <ST>5</ST>
                                <VOFFF><![CDATA[Equipment Type]]></VOFFF>
                              </ClmnBlkPtProps>
                            </ClmnBlkPt>
                          </ClmnBlkPts>
                        </ClmnBlk>
                        <ClmnBlk>
                          <ClmnBlkProps>
                            <FCPT>0</FCPT>
                            <FCN>9</FCN>
                            <LCPT>0</LCPT>
                            <LCN>9</LCN>
                          </ClmnBlkProps>
                          <ClmnBlkPts>
                            <ClmnBlkPt>
                              <ClmnBlkPtProps>
                                <CBPT>5</CBPT>
                                <ST>6</ST>
                                <VOFFF><![CDATA[Stock-Keeping Unit]]></VOFFF>
                              </ClmnBlkPtProps>
                            </ClmnBlkPt>
                          </ClmnBlkPts>
                        </ClmnBlk>
                        <ClmnBlk>
                          <ClmnBlkProps>
                            <FCPT>0</FCPT>
                            <FCN>10</FCN>
                            <LCPT>0</LCPT>
                            <LCN>10</LCN>
                          </ClmnBlkProps>
                          <ClmnBlkPts>
                            <ClmnBlkPt>
                              <ClmnBlkPtProps>
                                <CBPT>5</CBPT>
                                <ST>6</ST>
                                <SON>7</SON>
                                <VOFFF><![CDATA[Financial Price per SKU]]></VOFFF>
                              </ClmnBlkPtProps>
                            </ClmnBlkPt>
                          </ClmnBlkPts>
                        </ClmnBlk>
                        <ClmnBlk>
                          <ClmnBlkProps>
                            <FCPT>0</FCPT>
                            <FCN>11</FCN>
                            <LCPT>0</LCPT>
                            <LCN>11</LCN>
                          </ClmnBlkProps>
                          <ClmnBlkPts>
                            <ClmnBlkPt>
                              <ClmnBlkPtProps>
                                <CBPT>5</CBPT>
                                <ST>6</ST>
                                <SON>7</SON>
                                <VOFFF><![CDATA[Economic Price per SKU]]></VOFFF>
                              </ClmnBlkPtProps>
                            </ClmnBlkPt>
                          </ClmnBlkPts>
                        </ClmnBlk>
                        <ClmnBlk>
                          <ClmnBlkProps>
                            <FCPT>0</FCPT>
                            <FCN>12</FCN>
                            <LCPT>0</LCPT>
                            <LCN>12</LCN>
                          </ClmnBlkProps>
                          <ClmnBlkPts>
                            <ClmnBlkPt>
                              <ClmnBlkPtProps>
                                <CBPT>5</CBPT>
                                <ST>6</ST>
                                <VOFFF><![CDATA[Single Unit]]></VOFFF>
                              </ClmnBlkPtProps>
                            </ClmnBlkPt>
                          </ClmnBlkPts>
                        </ClmnBlk>
                        <ClmnBlk>
                          <ClmnBlkProps>
                            <FCPT>0</FCPT>
                            <FCN>13</FCN>
                            <LCPT>0</LCPT>
                            <LCN>13</LCN>
                          </ClmnBlkProps>
                          <ClmnBlkPts>
                            <ClmnBlkPt>
                              <ClmnBlkPtProps>
                                <CBPT>5</CBPT>
                                <ST>6</ST>
                                <VOFFF><![CDATA[SUs per SKU]]></VOFFF>
                              </ClmnBlkPtProps>
                            </ClmnBlkPt>
                          </ClmnBlkPts>
                        </ClmnBlk>
                        <ClmnBlk>
                          <ClmnBlkProps>
                            <FCPT>0</FCPT>
                            <FCN>15</FCN>
                            <LCPT>0</LCPT>
                            <LCN>15</LCN>
                          </ClmnBlkProps>
                          <ClmnBlkPts>
                            <ClmnBlkPt>
                              <ClmnBlkPtProps>
                                <CBPT>5</CBPT>
                                <ST>6</ST>
                                <SON>7</SON>
                                <VOFFF><![CDATA[="Financial "&§A¿0,1,0,1,6,2,1,-1,0,0,TRUE,TRUE§Z¿]]></VOFFF>
                              </ClmnBlkPtProps>
                            </ClmnBlkPt>
                          </ClmnBlkPts>
                        </ClmnBlk>
                        <ClmnBlk>
                          <ClmnBlkProps>
                            <FCPT>0</FCPT>
                            <FCN>16</FCN>
                            <LCPT>0</LCPT>
                            <LCN>16</LCN>
                          </ClmnBlkProps>
                          <ClmnBlkPts>
                            <ClmnBlkPt>
                              <ClmnBlkPtProps>
                                <CBPT>5</CBPT>
                                <ST>6</ST>
                                <SON>7</SON>
                                <VOFFF><![CDATA[="Economic "&§A¿0,1,0,1,6,2,1,-1,0,0,TRUE,TRUE§Z¿]]></VOFFF>
                              </ClmnBlkPtProps>
                            </ClmnBlkPt>
                          </ClmnBlkPts>
                        </ClmnBlk>
                        <ClmnBlk>
                          <ClmnBlkProps>
                            <FCPT>0</FCPT>
                            <FCN>18</FCN>
                            <LCPT>0</LCPT>
                            <LCN>18</LCN>
                          </ClmnBlkProps>
                          <ClmnBlkPts>
                            <ClmnBlkPt>
                              <ClmnBlkPtProps>
                                <CBPT>5</CBPT>
                                <ST>6</ST>
                                <SON>7</SON>
                                <VOFFF><![CDATA[="Financial "&§A¿0,1,0,1,42,1,1,1,0,0,TRUE,TRUE§Z¿]]></VOFFF>
                              </ClmnBlkPtProps>
                            </ClmnBlkPt>
                          </ClmnBlkPts>
                        </ClmnBlk>
                        <ClmnBlk>
                          <ClmnBlkProps>
                            <FCPT>0</FCPT>
                            <FCN>19</FCN>
                            <LCPT>0</LCPT>
                            <LCN>19</LCN>
                          </ClmnBlkProps>
                          <ClmnBlkPts>
                            <ClmnBlkPt>
                              <ClmnBlkPtProps>
                                <CBPT>5</CBPT>
                                <ST>6</ST>
                                <SON>7</SON>
                                <VOFFF><![CDATA[="Economic "&§A¿0,1,0,1,42,1,1,1,0,0,TRUE,TRUE§Z¿]]></VOFFF>
                              </ClmnBlkPtProps>
                            </ClmnBlkPt>
                          </ClmnBlkPts>
                        </ClmnBlk>
                        <ClmnBlk>
                          <ClmnBlkProps>
                            <FCPT>0</FCPT>
                            <FCN>20</FCN>
                            <LCPT>0</LCPT>
                            <LCN>20</LCN>
                          </ClmnBlkProps>
                          <ClmnBlkPts>
                            <ClmnBlkPt>
                              <ClmnBlkPtProps>
                                <CBPT>5</CBPT>
                                <ST>6</ST>
                                <SON>7</SON>
                                <VOFFF><![CDATA[="Financial "&§A¿0,1,0,1,42,1,1,2,0,0,TRUE,TRUE§Z¿]]></VOFFF>
                              </ClmnBlkPtProps>
                            </ClmnBlkPt>
                          </ClmnBlkPts>
                        </ClmnBlk>
                        <ClmnBlk>
                          <ClmnBlkProps>
                            <FCPT>0</FCPT>
                            <FCN>21</FCN>
                            <LCPT>0</LCPT>
                            <LCN>21</LCN>
                          </ClmnBlkProps>
                          <ClmnBlkPts>
                            <ClmnBlkPt>
                              <ClmnBlkPtProps>
                                <CBPT>5</CBPT>
                                <ST>6</ST>
                                <SON>7</SON>
                                <VOFFF><![CDATA[="Economic "&§A¿0,1,0,1,42,1,1,2,0,0,TRUE,TRUE§Z¿]]></VOFFF>
                              </ClmnBlkPtProps>
                            </ClmnBlkPt>
                          </ClmnBlkPts>
                        </ClmnBlk>
                        <ClmnBlk>
                          <ClmnBlkProps>
                            <FCPT>0</FCPT>
                            <FCN>22</FCN>
                            <LCPT>0</LCPT>
                            <LCN>22</LCN>
                          </ClmnBlkProps>
                          <ClmnBlkPts>
                            <ClmnBlkPt>
                              <ClmnBlkPtProps>
                                <CBPT>5</CBPT>
                                <ST>6</ST>
                                <VOFFF><![CDATA[Per]]></VOFFF>
                              </ClmnBlkPtProps>
                            </ClmnBlkPt>
                          </ClmnBlkPts>
                        </ClmnBlk>
                        <ClmnBlk>
                          <ClmnBlkProps>
                            <FCPT>0</FCPT>
                            <FCN>23</FCN>
                            <LCPT>0</LCPT>
                            <LCN>23</LCN>
                          </ClmnBlkProps>
                          <ClmnBlkPts>
                            <ClmnBlkPt>
                              <ClmnBlkPtProps>
                                <CBPT>5</CBPT>
                                <ST>6</ST>
                                <SON>7</SON>
                                <VOFFF><![CDATA[ULY]]></VOFFF>
                              </ClmnBlkPtProps>
                            </ClmnBlkPt>
                          </ClmnBlkPts>
                        </ClmnBlk>
                        <ClmnBlk>
                          <ClmnBlkProps>
                            <FCPT>0</FCPT>
                            <FCN>24</FCN>
                            <LCPT>0</LCPT>
                            <LCN>24</LCN>
                          </ClmnBlkProps>
                          <ClmnBlkPts>
                            <ClmnBlkPt>
                              <ClmnBlkPtProps>
                                <CBPT>5</CBPT>
                                <ST>6</ST>
                                <SON>7</SON>
                                <VOFFF><![CDATA[="Annual Cost (FIN) ("&§A¿0,1,0,1,6,2,1,-1,0,0,TRUE,TRUE§Z¿&"/SU)"]]></VOFFF>
                              </ClmnBlkPtProps>
                            </ClmnBlkPt>
                          </ClmnBlkPts>
                        </ClmnBlk>
                        <ClmnBlk>
                          <ClmnBlkProps>
                            <FCPT>0</FCPT>
                            <FCN>25</FCN>
                            <LCPT>0</LCPT>
                            <LCN>25</LCN>
                          </ClmnBlkProps>
                          <ClmnBlkPts>
                            <ClmnBlkPt>
                              <ClmnBlkPtProps>
                                <CBPT>5</CBPT>
                                <ST>6</ST>
                                <SON>7</SON>
                                <VOFFF><![CDATA[="Annual Cost (ECON) ("&§A¿0,1,0,1,6,2,1,-1,0,0,TRUE,TRUE§Z¿&"/SU)"]]></VOFFF>
                              </ClmnBlkPtProps>
                            </ClmnBlkPt>
                          </ClmnBlkPts>
                        </ClmnBlk>
                        <ClmnBlk>
                          <ClmnBlkProps>
                            <FCPT>0</FCPT>
                            <FCN>27</FCN>
                            <LCPT>0</LCPT>
                            <LCN>27</LCN>
                          </ClmnBlkProps>
                          <ClmnBlkPts>
                            <ClmnBlkPt>
                              <ClmnBlkPtProps>
                                <CBPT>5</CBPT>
                                <ST>6</ST>
                                <VOFFF><![CDATA[Notes / Source of Information]]></VOFFF>
                              </ClmnBlkPtProps>
                            </ClmnBlkPt>
                          </ClmnBlkPts>
                        </ClmnBlk>
                      </ClmnBlks>
                      <TtlCtg/>
                    </Elmt>
                    <Elmt>
                      <ElmtProps>
                        <CPT>1</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2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8</ST>
                                <SON>6</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10</FCN>
                            <LCPT>0</LCPT>
                            <LCN>10</LCN>
                          </ClmnBlkProps>
                          <ClmnBlkPts>
                            <ClmnBlkPt>
                              <ClmnBlkPtProps>
                                <CBPT>0</CBPT>
                                <ST>11</ST>
                                <SON>14</SON>
                                <VOFFF><![CDATA[0]]></VOFFF>
                                <UDAV><![CDATA[0]]></UDAV>
                              </ClmnBlkPtProps>
                              <Vdtn>
                                <VdtnProps>
                                  <CBPLI>1,1,24,3,1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12</FCN>
                            <LCPT>0</LCPT>
                            <LCN>12</LCN>
                          </ClmnBlkProps>
                          <ClmnBlkPts>
                            <ClmnBlkPt>
                              <ClmnBlkPtProps>
                                <CBPT>0</CBPT>
                                <ST>8</ST>
                                <SON>6</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11</ST>
                                <SON>8</SON>
                                <VOFFF><![CDATA[0]]></VOFFF>
                                <UDAV><![CDATA[0]]></UDAV>
                              </ClmnBlkPtProps>
                              <Vdtn>
                                <VdtnProps>
                                  <CBPLI>1,1,24,6,1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SON>19</SON>
                                <VOFFF><![CDATA[=IFERROR(§A¿0,1,0,1,24,3,1,0,0,0,FALSE,FALSE§Z¿/§A¿0,1,0,1,24,6,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16</FCN>
                            <LCPT>0</LCPT>
                            <LCN>16</LCN>
                          </ClmnBlkProps>
                          <ClmnBlkPts>
                            <ClmnBlkPt>
                              <ClmnBlkPtProps>
                                <CBPT>0</CBPT>
                                <ST>18</ST>
                                <VOFFF><![CDATA[=IFERROR(§A¿0,1,0,1,24,4,1,0,0,0,FALSE,FALSE§Z¿/§A¿0,1,0,1,24,6,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18</FCN>
                            <LCPT>0</LCPT>
                            <LCN>18</LCN>
                          </ClmnBlkProps>
                          <ClmnBlkPts>
                            <ClmnBlkPt>
                              <ClmnBlkPtProps>
                                <CBPT>0</CBPT>
                                <ST>18</ST>
                                <SON>26</SON>
                                <VOFFF><![CDATA[=IFERROR(IF(§A¿1,1,1,1,6,0,2,1,1§Z¿=§A¿0,1,0,1,42,1,1,1,0,0,TRUE,TRUE§Z¿,§A¿0,1,0,1,24,7,1,0,0,0,FALSE,FALSE§Z¿,§A¿0,1,0,1,24,7,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SON>26</SON>
                                <VOFFF><![CDATA[=IFERROR(IF(§A¿1,1,1,1,6,0,2,1,1§Z¿=§A¿0,1,0,1,42,1,1,1,0,0,TRUE,TRUE§Z¿,§A¿0,1,0,1,24,8,1,0,0,0,FALSE,FALSE§Z¿,§A¿0,1,0,1,24,8,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20</FCN>
                            <LCPT>0</LCPT>
                            <LCN>20</LCN>
                          </ClmnBlkProps>
                          <ClmnBlkPts>
                            <ClmnBlkPt>
                              <ClmnBlkPtProps>
                                <CBPT>0</CBPT>
                                <ST>18</ST>
                                <VOFFF><![CDATA[=IF(§A¿1,1,1,1,6,0,2,1,1§Z¿=§A¿0,1,0,1,42,1,1,1,0,0,TRUE,TRUE§Z¿,§A¿0,1,0,1,24,7,1,0,0,0,FALSE,FALSE§Z¿*§A¿0,1,0,1,42,2,1,2,0,0,TRUE,TRUE§Z¿,§A¿0,1,0,1,24,7,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21</FCN>
                            <LCPT>0</LCPT>
                            <LCN>21</LCN>
                          </ClmnBlkProps>
                          <ClmnBlkPts>
                            <ClmnBlkPt>
                              <ClmnBlkPtProps>
                                <CBPT>0</CBPT>
                                <ST>18</ST>
                                <VOFFF><![CDATA[=IF(§A¿1,1,1,1,6,0,2,1,1§Z¿=§A¿0,1,0,1,42,1,1,1,0,0,TRUE,TRUE§Z¿,§A¿0,1,0,1,24,8,1,0,0,0,FALSE,FALSE§Z¿*§A¿0,1,0,1,42,2,1,2,0,0,TRUE,TRUE§Z¿,§A¿0,1,0,1,24,8,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22</FCN>
                            <LCPT>0</LCPT>
                            <LCN>22</LCN>
                          </ClmnBlkProps>
                          <ClmnBlkPts>
                            <ClmnBlkPt>
                              <ClmnBlkPtProps>
                                <CBPT>0</CBPT>
                                <ST>18</ST>
                                <VOFFF><![CDATA[="per "&§A¿0,1,0,1,24,5,1,0,0,0,FALSE,TRU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23</FCN>
                            <LCPT>0</LCPT>
                            <LCN>23</LCN>
                          </ClmnBlkProps>
                          <ClmnBlkPts>
                            <ClmnBlkPt>
                              <ClmnBlkPtProps>
                                <CBPT>0</CBPT>
                                <ST>11</ST>
                                <SON>8</SON>
                                <VOFFF><![CDATA[0]]></VOFFF>
                                <UDAV><![CDATA[0]]></UDAV>
                              </ClmnBlkPtProps>
                              <Vdtn>
                                <VdtnProps>
                                  <CBPLI>1,1,24,14,1</CBPLI>
                                  <ADVT>-1</ADVT>
                                  <VT>2</VT>
                                  <AS>1</AS>
                                  <O>7</O>
                                  <F1FFF><![CDATA[1]]></F1FFF>
                                  <F2FFF/>
                                  <IB>True</IB>
                                  <ICDD>False</ICDD>
                                  <SI>False</SI>
                                  <IT/>
                                  <IM/>
                                  <SE>True</SE>
                                  <ET><![CDATA[Invalid Assumption]]></ET>
                                  <EM><![CDATA[Assumption must be a value greater than or equal to zero.]]></EM>
                                  <IMO>0</IMO>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24</FCN>
                            <LCPT>0</LCPT>
                            <LCN>24</LCN>
                          </ClmnBlkProps>
                          <ClmnBlkPts>
                            <ClmnBlkPt>
                              <ClmnBlkPtProps>
                                <CBPT>0</CBPT>
                                <ST>18</ST>
                                <SON>8</SON>
                                <VOFFF><![CDATA[= IFERROR(§A¿0,1,0,1,24,7,1,0,0,0,FALSE,FALSE§Z¿/§A¿0,1,0,1,24,14,1,0,0,0,FALSE,FALS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25</FCN>
                            <LCPT>0</LCPT>
                            <LCN>25</LCN>
                          </ClmnBlkProps>
                          <ClmnBlkPts>
                            <ClmnBlkPt>
                              <ClmnBlkPtProps>
                                <CBPT>0</CBPT>
                                <ST>18</ST>
                                <SON>8</SON>
                                <VOFFF><![CDATA[=IFERROR(§A¿0,1,0,1,24,7,1,0,0,0,FALSE,FALSE§Z¿/(((1+§A¿0,2,0,1,12,2,1,-1,0,0,TRUE,TRUE§Z¿)^§A¿0,1,0,1,24,14,1,0,0,0,FALSE,FALSE§Z¿-1)/(§A¿0,2,0,1,12,2,1,-1,0,0,TRUE,TRUE§Z¿*(1+§A¿0,2,0,1,12,2,1,-1,0,0,TRUE,TRUE§Z¿)^§A¿0,1,0,1,24,14,1,0,0,0,FALSE,FALS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26</FCN>
                            <LCPT>0</LCPT>
                            <LCN>26</LCN>
                          </ClmnBlkProps>
                          <ClmnBlkPts>
                            <ClmnBlkPt>
                              <ClmnBlkPtProps>
                                <CBPT>0</CBPT>
                                <ST>18</ST>
                                <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27</FCN>
                            <LCPT>0</LCPT>
                            <LCN>29</LCN>
                          </ClmnBlkProps>
                          <ClmnBlkPts>
                            <ClmnBlkPt>
                              <ClmnBlkPtProps>
                                <CBPT>0</CBPT>
                                <ST>8</ST>
                                <SON>15</SON>
                                <MC>True</MC>
                                <VOFFF><![CDATA[WHO_C4P_Screening-Treatment_Master10.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35</CC>
                              <R>0</R>
                            </CatSpanProps>
                          </CatSpan>
                        </SubTtl>
                      </SubTtls>
                      <TtlCtg/>
                      <ElmtLnksOut>
                        <ElmtLnk>
                          <ElmtLnkProps>
                            <ELI>1,1,24</ELI>
                            <ELN>1</ELN>
                            <ELGN>5</ELGN>
                            <MLG>1EE39398-735E-4BBF-B774-6358567F00C1</MLG>
                            <ICBI>1,9,10,11,12</ICBI>
                            <ILBN>1,2,3,4,5</ILBN>
                            <LIBN>0</LIBN>
                          </ElmtLnkProps>
                        </ElmtLnk>
                      </ElmtLnksOut>
                    </Elmt>
                    <Elmt>
                      <ElmtProps>
                        <CPT>2</CPT>
                      </ElmtProps>
                      <ClmnBlks>
                        <ClmnBlk>
                          <ClmnBlkProps>
                            <FCPT>0</FCPT>
                            <FCN>4</FCN>
                            <LCPT>0</LCPT>
                            <LCN>4</LCN>
                          </ClmnBlkProps>
                          <ClmnBlkPts>
                            <ClmnBlkPt>
                              <ClmnBlkPtProps>
                                <CBPT>5</CBPT>
                                <ST>5</ST>
                                <VOFFF><![CDATA[If more categories are needed, please contact the developer at win@winthropmorgan.com for assistance.]]></VOFFF>
                              </ClmnBlkPtProps>
                            </ClmnBlkPt>
                          </ClmnBlkPts>
                        </ClmnBlk>
                      </ClmnBlk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TtlCtg/>
                    </Elmt>
                    <Elmt>
                      <ElmtProps>
                        <CPT>2</CPT>
                      </ElmtProps>
                      <ClmnBlks>
                        <ClmnBlk>
                          <ClmnBlkProps>
                            <FCPT>0</FCPT>
                            <FCN>4</FCN>
                            <LCPT>0</LCPT>
                            <LCN>4</LCN>
                          </ClmnBlkProps>
                          <ClmnBlkPts>
                            <ClmnBlkPt>
                              <ClmnBlkPtProps>
                                <CBPT>5</CBPT>
                                <ST>5</ST>
                                <VOFFF><![CDATA[ODC Item]]></VOFFF>
                              </ClmnBlkPtProps>
                            </ClmnBlkPt>
                          </ClmnBlkPts>
                        </ClmnBlk>
                        <ClmnBlk>
                          <ClmnBlkProps>
                            <FCPT>0</FCPT>
                            <FCN>9</FCN>
                            <LCPT>0</LCPT>
                            <LCN>9</LCN>
                          </ClmnBlkProps>
                          <ClmnBlkPts>
                            <ClmnBlkPt>
                              <ClmnBlkPtProps>
                                <CBPT>5</CBPT>
                                <ST>6</ST>
                                <VOFFF><![CDATA[Stock-Keeping Unit]]></VOFFF>
                              </ClmnBlkPtProps>
                            </ClmnBlkPt>
                          </ClmnBlkPts>
                        </ClmnBlk>
                        <ClmnBlk>
                          <ClmnBlkProps>
                            <FCPT>0</FCPT>
                            <FCN>10</FCN>
                            <LCPT>0</LCPT>
                            <LCN>10</LCN>
                          </ClmnBlkProps>
                          <ClmnBlkPts>
                            <ClmnBlkPt>
                              <ClmnBlkPtProps>
                                <CBPT>5</CBPT>
                                <ST>6</ST>
                                <SON>7</SON>
                                <VOFFF><![CDATA[Financial Price per SKU]]></VOFFF>
                              </ClmnBlkPtProps>
                            </ClmnBlkPt>
                          </ClmnBlkPts>
                        </ClmnBlk>
                        <ClmnBlk>
                          <ClmnBlkProps>
                            <FCPT>0</FCPT>
                            <FCN>11</FCN>
                            <LCPT>0</LCPT>
                            <LCN>11</LCN>
                          </ClmnBlkProps>
                          <ClmnBlkPts>
                            <ClmnBlkPt>
                              <ClmnBlkPtProps>
                                <CBPT>5</CBPT>
                                <ST>6</ST>
                                <SON>7</SON>
                                <VOFFF><![CDATA[Economic Price per SKU]]></VOFFF>
                              </ClmnBlkPtProps>
                            </ClmnBlkPt>
                          </ClmnBlkPts>
                        </ClmnBlk>
                        <ClmnBlk>
                          <ClmnBlkProps>
                            <FCPT>0</FCPT>
                            <FCN>12</FCN>
                            <LCPT>0</LCPT>
                            <LCN>12</LCN>
                          </ClmnBlkProps>
                          <ClmnBlkPts>
                            <ClmnBlkPt>
                              <ClmnBlkPtProps>
                                <CBPT>5</CBPT>
                                <ST>6</ST>
                                <VOFFF><![CDATA[Single Unit]]></VOFFF>
                              </ClmnBlkPtProps>
                            </ClmnBlkPt>
                          </ClmnBlkPts>
                        </ClmnBlk>
                        <ClmnBlk>
                          <ClmnBlkProps>
                            <FCPT>0</FCPT>
                            <FCN>13</FCN>
                            <LCPT>0</LCPT>
                            <LCN>13</LCN>
                          </ClmnBlkProps>
                          <ClmnBlkPts>
                            <ClmnBlkPt>
                              <ClmnBlkPtProps>
                                <CBPT>5</CBPT>
                                <ST>6</ST>
                                <VOFFF><![CDATA[SUs per SKU]]></VOFFF>
                              </ClmnBlkPtProps>
                            </ClmnBlkPt>
                          </ClmnBlkPts>
                        </ClmnBlk>
                        <ClmnBlk>
                          <ClmnBlkProps>
                            <FCPT>0</FCPT>
                            <FCN>15</FCN>
                            <LCPT>0</LCPT>
                            <LCN>15</LCN>
                          </ClmnBlkProps>
                          <ClmnBlkPts>
                            <ClmnBlkPt>
                              <ClmnBlkPtProps>
                                <CBPT>5</CBPT>
                                <ST>6</ST>
                                <SON>7</SON>
                                <VOFFF><![CDATA[="Financial "&§A¿0,1,0,1,6,2,1,-1,0,0,TRUE,TRUE§Z¿]]></VOFFF>
                              </ClmnBlkPtProps>
                            </ClmnBlkPt>
                          </ClmnBlkPts>
                        </ClmnBlk>
                        <ClmnBlk>
                          <ClmnBlkProps>
                            <FCPT>0</FCPT>
                            <FCN>16</FCN>
                            <LCPT>0</LCPT>
                            <LCN>16</LCN>
                          </ClmnBlkProps>
                          <ClmnBlkPts>
                            <ClmnBlkPt>
                              <ClmnBlkPtProps>
                                <CBPT>5</CBPT>
                                <ST>6</ST>
                                <SON>7</SON>
                                <VOFFF><![CDATA[="Economic "&§A¿0,1,0,1,6,2,1,-1,0,0,TRUE,TRUE§Z¿]]></VOFFF>
                              </ClmnBlkPtProps>
                            </ClmnBlkPt>
                          </ClmnBlkPts>
                        </ClmnBlk>
                        <ClmnBlk>
                          <ClmnBlkProps>
                            <FCPT>0</FCPT>
                            <FCN>18</FCN>
                            <LCPT>0</LCPT>
                            <LCN>18</LCN>
                          </ClmnBlkProps>
                          <ClmnBlkPts>
                            <ClmnBlkPt>
                              <ClmnBlkPtProps>
                                <CBPT>5</CBPT>
                                <ST>6</ST>
                                <SON>7</SON>
                                <VOFFF><![CDATA[="Financial "&§A¿0,1,0,1,42,1,1,1,0,0,TRUE,TRUE§Z¿]]></VOFFF>
                              </ClmnBlkPtProps>
                            </ClmnBlkPt>
                          </ClmnBlkPts>
                        </ClmnBlk>
                        <ClmnBlk>
                          <ClmnBlkProps>
                            <FCPT>0</FCPT>
                            <FCN>19</FCN>
                            <LCPT>0</LCPT>
                            <LCN>19</LCN>
                          </ClmnBlkProps>
                          <ClmnBlkPts>
                            <ClmnBlkPt>
                              <ClmnBlkPtProps>
                                <CBPT>5</CBPT>
                                <ST>6</ST>
                                <SON>7</SON>
                                <VOFFF><![CDATA[="Economic "&§A¿0,1,0,1,42,1,1,1,0,0,TRUE,TRUE§Z¿]]></VOFFF>
                              </ClmnBlkPtProps>
                            </ClmnBlkPt>
                          </ClmnBlkPts>
                        </ClmnBlk>
                        <ClmnBlk>
                          <ClmnBlkProps>
                            <FCPT>0</FCPT>
                            <FCN>20</FCN>
                            <LCPT>0</LCPT>
                            <LCN>20</LCN>
                          </ClmnBlkProps>
                          <ClmnBlkPts>
                            <ClmnBlkPt>
                              <ClmnBlkPtProps>
                                <CBPT>5</CBPT>
                                <ST>6</ST>
                                <SON>7</SON>
                                <VOFFF><![CDATA[="Financial "&§A¿0,1,0,1,42,1,1,2,0,0,TRUE,TRUE§Z¿]]></VOFFF>
                              </ClmnBlkPtProps>
                            </ClmnBlkPt>
                          </ClmnBlkPts>
                        </ClmnBlk>
                        <ClmnBlk>
                          <ClmnBlkProps>
                            <FCPT>0</FCPT>
                            <FCN>21</FCN>
                            <LCPT>0</LCPT>
                            <LCN>21</LCN>
                          </ClmnBlkProps>
                          <ClmnBlkPts>
                            <ClmnBlkPt>
                              <ClmnBlkPtProps>
                                <CBPT>5</CBPT>
                                <ST>6</ST>
                                <SON>7</SON>
                                <VOFFF><![CDATA[="Economic "&§A¿0,1,0,1,42,1,1,2,0,0,TRUE,TRUE§Z¿]]></VOFFF>
                              </ClmnBlkPtProps>
                            </ClmnBlkPt>
                          </ClmnBlkPts>
                        </ClmnBlk>
                        <ClmnBlk>
                          <ClmnBlkProps>
                            <FCPT>0</FCPT>
                            <FCN>22</FCN>
                            <LCPT>0</LCPT>
                            <LCN>22</LCN>
                          </ClmnBlkProps>
                          <ClmnBlkPts>
                            <ClmnBlkPt>
                              <ClmnBlkPtProps>
                                <CBPT>5</CBPT>
                                <ST>6</ST>
                                <VOFFF><![CDATA[Per]]></VOFFF>
                              </ClmnBlkPtProps>
                            </ClmnBlkPt>
                          </ClmnBlkPts>
                        </ClmnBlk>
                        <ClmnBlk>
                          <ClmnBlkProps>
                            <FCPT>0</FCPT>
                            <FCN>23</FCN>
                            <LCPT>0</LCPT>
                            <LCN>23</LCN>
                          </ClmnBlkProps>
                          <ClmnBlkPts>
                            <ClmnBlkPt>
                              <ClmnBlkPtProps>
                                <CBPT>5</CBPT>
                                <ST>6</ST>
                                <VOFFF><![CDATA[Notes / Source of Information]]></VOFFF>
                              </ClmnBlkPtProps>
                            </ClmnBlkPt>
                          </ClmnBlkPts>
                        </ClmnBlk>
                      </ClmnBlks>
                      <TtlCtg/>
                    </Elmt>
                    <Elmt>
                      <ElmtProps>
                        <CPT>1</CPT>
                        <TOT>False</TOT>
                        <EGN>5</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29,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8</ST>
                                <SON>7</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10</FCN>
                            <LCPT>0</LCPT>
                            <LCN>10</LCN>
                          </ClmnBlkProps>
                          <ClmnBlkPts>
                            <ClmnBlkPt>
                              <ClmnBlkPtProps>
                                <CBPT>0</CBPT>
                                <ST>11</ST>
                                <SON>5</SON>
                                <VOFFF><![CDATA[0]]></VOFFF>
                                <UDAV><![CDATA[0]]></UDAV>
                              </ClmnBlkPtProps>
                              <Vdtn>
                                <VdtnProps>
                                  <CBPLI>1,1,29,3,1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12</FCN>
                            <LCPT>0</LCPT>
                            <LCN>12</LCN>
                          </ClmnBlkProps>
                          <ClmnBlkPts>
                            <ClmnBlkPt>
                              <ClmnBlkPtProps>
                                <CBPT>0</CBPT>
                                <ST>8</ST>
                                <SON>7</SON>
                                <VOFFF><![CDATA[SKU]]></VOFFF>
                                <UDAV><![CDATA[SKU]]></UDAV>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11</ST>
                                <SON>8</SON>
                                <VOFFF><![CDATA[0]]></VOFFF>
                                <UDAV><![CDATA[0]]></UDAV>
                              </ClmnBlkPtProps>
                              <Vdtn>
                                <VdtnProps>
                                  <CBPLI>1,1,29,6,1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SON>20</SON>
                                <VOFFF><![CDATA[=IFERROR(§A¿0,1,0,1,29,3,1,0,0,0,FALSE,FALSE§Z¿/§A¿0,1,0,1,29,6,1,0,0,0,FALSE,FALS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16</FCN>
                            <LCPT>0</LCPT>
                            <LCN>16</LCN>
                          </ClmnBlkProps>
                          <ClmnBlkPts>
                            <ClmnBlkPt>
                              <ClmnBlkPtProps>
                                <CBPT>0</CBPT>
                                <ST>18</ST>
                                <VOFFF><![CDATA[=IFERROR(§A¿0,1,0,1,29,4,1,0,0,0,FALSE,FALSE§Z¿/§A¿0,1,0,1,29,6,1,0,0,0,FALSE,FALSE§Z¿,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18</FCN>
                            <LCPT>0</LCPT>
                            <LCN>18</LCN>
                          </ClmnBlkProps>
                          <ClmnBlkPts>
                            <ClmnBlkPt>
                              <ClmnBlkPtProps>
                                <CBPT>0</CBPT>
                                <ST>18</ST>
                                <SON>25</SON>
                                <VOFFF><![CDATA[=IFERROR(IF(§A¿1,1,1,1,6,0,2,1,1§Z¿=§A¿0,1,0,1,42,1,1,1,0,0,TRUE,TRUE§Z¿,§A¿0,1,0,1,29,7,1,0,0,0,FALSE,FALSE§Z¿,§A¿0,1,0,1,29,7,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SON>25</SON>
                                <VOFFF><![CDATA[=IFERROR(IF(§A¿1,1,1,1,6,0,2,1,1§Z¿=§A¿0,1,0,1,42,1,1,1,0,0,TRUE,TRUE§Z¿,§A¿0,1,0,1,29,8,1,0,0,0,FALSE,FALSE§Z¿,§A¿0,1,0,1,29,8,1,0,0,0,FALSE,FALSE§Z¿/§A¿0,1,0,1,42,2,1,2,0,0,TRUE,TRUE§Z¿), 0)]]></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20</FCN>
                            <LCPT>0</LCPT>
                            <LCN>20</LCN>
                          </ClmnBlkProps>
                          <ClmnBlkPts>
                            <ClmnBlkPt>
                              <ClmnBlkPtProps>
                                <CBPT>0</CBPT>
                                <ST>18</ST>
                                <VOFFF><![CDATA[=IF(§A¿1,1,1,1,6,0,2,1,1§Z¿=§A¿0,1,0,1,42,1,1,1,0,0,TRUE,TRUE§Z¿,§A¿0,1,0,1,29,7,1,0,0,0,FALSE,FALSE§Z¿*§A¿0,1,0,1,42,2,1,2,0,0,TRUE,TRUE§Z¿,§A¿0,1,0,1,29,7,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21</FCN>
                            <LCPT>0</LCPT>
                            <LCN>21</LCN>
                          </ClmnBlkProps>
                          <ClmnBlkPts>
                            <ClmnBlkPt>
                              <ClmnBlkPtProps>
                                <CBPT>0</CBPT>
                                <ST>18</ST>
                                <VOFFF><![CDATA[=IF(§A¿1,1,1,1,6,0,2,1,1§Z¿=§A¿0,1,0,1,42,1,1,1,0,0,TRUE,TRUE§Z¿,§A¿0,1,0,1,29,8,1,0,0,0,FALSE,FALSE§Z¿*§A¿0,1,0,1,42,2,1,2,0,0,TRUE,TRUE§Z¿,§A¿0,1,0,1,29,8,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22</FCN>
                            <LCPT>0</LCPT>
                            <LCN>22</LCN>
                          </ClmnBlkProps>
                          <ClmnBlkPts>
                            <ClmnBlkPt>
                              <ClmnBlkPtProps>
                                <CBPT>0</CBPT>
                                <ST>-1</ST>
                                <SON>28</SON>
                                <VOFFF><![CDATA[="per "&§A¿0,1,0,1,29,5,1,0,0,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23</FCN>
                            <LCPT>0</LCPT>
                            <LCN>25</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35</CC>
                              <R>0</R>
                            </CatSpanProps>
                          </CatSpan>
                        </SubTtl>
                      </SubTtls>
                      <TtlCtg/>
                      <ElmtLnksOut>
                        <ElmtLnk>
                          <ElmtLnkProps>
                            <ELI>1,1,29</ELI>
                            <ELN>1</ELN>
                            <ELGN>6</ELGN>
                            <MLG>A4172745-D85C-404E-8029-461F8AE9358B</MLG>
                            <ICBI>1,9,10,11,12</ICBI>
                            <ILBN>1,2,3,4,5</ILBN>
                            <LIBN>0</LIBN>
                          </ElmtLnkProps>
                        </ElmtLnk>
                      </ElmtLnksOut>
                    </Elmt>
                    <Elmt>
                      <ElmtProps>
                        <CPT>2</CPT>
                      </ElmtProps>
                      <ClmnBlks>
                        <ClmnBlk>
                          <ClmnBlkProps>
                            <FCPT>0</FCPT>
                            <FCN>4</FCN>
                            <LCPT>0</LCPT>
                            <LCN>4</LCN>
                          </ClmnBlkProps>
                          <ClmnBlkPts>
                            <ClmnBlkPt>
                              <ClmnBlkPtProps>
                                <CBPT>5</CBPT>
                                <ST>5</ST>
                                <VOFFF><![CDATA[If more categories are needed, please contact the developer at win@winthropmorgan.com for assistance.]]></VOFFF>
                              </ClmnBlkPtProps>
                            </ClmnBlkPt>
                          </ClmnBlkPts>
                        </ClmnBlk>
                      </ClmnBlks>
                      <TtlCtg/>
                    </Elmt>
                    <Elmt>
                      <ElmtProps>
                        <CPT>2</CPT>
                      </ElmtProps>
                      <ClmnBlks>
                        <ClmnBlk>
                          <ClmnBlkProps>
                            <FCPT>0</FCPT>
                            <FCN>3</FCN>
                            <LCPT>0</LCPT>
                            <LCN>3</LCN>
                          </ClmnBlkProps>
                          <ClmnBlkPts>
                            <ClmnBlkPt>
                              <ClmnBlkPtProps>
                                <CBPT>5</CBPT>
                                <ST>6</ST>
                                <VOFFF><![CDATA[Facility Names Reference Links (Developer Use Only - User May Change in Step 1b)]]></VOFFF>
                              </ClmnBlkPtProps>
                            </ClmnBlkPt>
                          </ClmnBlkPts>
                        </ClmnBlk>
                      </ClmnBlks>
                      <TtlCtg/>
                    </Elmt>
                    <Elmt>
                      <ElmtProps>
                        <CPT>2</CPT>
                      </ElmtProps>
                      <TtlCtg>
                        <TtlCtgProps>
                          <R>1</R>
                        </TtlCtgProps>
                      </TtlCtg>
                    </Elmt>
                    <Elmt>
                      <ElmtProps>
                        <CPT>2</CPT>
                      </ElmtProps>
                      <ClmnBlks>
                        <ClmnBlk>
                          <ClmnBlkProps>
                            <FCPT>0</FCPT>
                            <FCN>11</FCN>
                            <LCPT>0</LCPT>
                            <LCN>13</LCN>
                          </ClmnBlkProps>
                          <ClmnBlkPts>
                            <ClmnBlkPt>
                              <ClmnBlkPtProps>
                                <CBPT>5</CBPT>
                                <ST>6</ST>
                                <SON>22</SON>
                                <MC>True</MC>
                                <VOFFF><![CDATA[Support Facilities]]></VOFFF>
                              </ClmnBlkPtProps>
                            </ClmnBlkPt>
                          </ClmnBlkPts>
                        </ClmnBlk>
                        <ClmnBlk>
                          <ClmnBlkProps>
                            <FCPT>0</FCPT>
                            <FCN>15</FCN>
                            <LCPT>0</LCPT>
                            <LCN>17</LCN>
                          </ClmnBlkProps>
                          <ClmnBlkPts>
                            <ClmnBlkPt>
                              <ClmnBlkPtProps>
                                <CBPT>5</CBPT>
                                <ST>5</ST>
                                <SON>4</SON>
                                <MC>True</MC>
                                <VOFFF><![CDATA[Vaccination Team Types]]></VOFFF>
                              </ClmnBlkPtProps>
                            </ClmnBlkPt>
                          </ClmnBlkPts>
                        </ClmnBlk>
                      </ClmnBlks>
                      <TtlCtg>
                        <TtlCtgProps>
                          <R>1</R>
                        </TtlCtgProps>
                      </TtlCtg>
                    </Elmt>
                    <Elmt>
                      <ElmtProps>
                        <CPT>2</CPT>
                      </ElmtProps>
                      <ClmnBlks>
                        <ClmnBlk>
                          <ClmnBlkProps>
                            <FCPT>0</FCPT>
                            <FCN>11</FCN>
                            <LCPT>0</LCPT>
                            <LCN>11</LCN>
                          </ClmnBlkProps>
                          <ClmnBlkPts>
                            <ClmnBlkPt>
                              <ClmnBlkPtProps>
                                <CBPT>5</CBPT>
                                <ST>5</ST>
                                <SON>23</SON>
                                <VOFFF><![CDATA[HQ1]]></VOFFF>
                              </ClmnBlkPtProps>
                            </ClmnBlkPt>
                          </ClmnBlkPts>
                        </ClmnBlk>
                        <ClmnBlk>
                          <ClmnBlkProps>
                            <FCPT>0</FCPT>
                            <FCN>12</FCN>
                            <LCPT>0</LCPT>
                            <LCN>12</LCN>
                          </ClmnBlkProps>
                          <ClmnBlkPts>
                            <ClmnBlkPt>
                              <ClmnBlkPtProps>
                                <CBPT>5</CBPT>
                                <ST>5</ST>
                                <SON>23</SON>
                                <VOFFF><![CDATA[HQ2]]></VOFFF>
                              </ClmnBlkPtProps>
                            </ClmnBlkPt>
                          </ClmnBlkPts>
                        </ClmnBlk>
                        <ClmnBlk>
                          <ClmnBlkProps>
                            <FCPT>0</FCPT>
                            <FCN>13</FCN>
                            <LCPT>0</LCPT>
                            <LCN>13</LCN>
                          </ClmnBlkProps>
                          <ClmnBlkPts>
                            <ClmnBlkPt>
                              <ClmnBlkPtProps>
                                <CBPT>5</CBPT>
                                <ST>5</ST>
                                <SON>23</SON>
                                <VOFFF><![CDATA[HQ3]]></VOFFF>
                              </ClmnBlkPtProps>
                            </ClmnBlkPt>
                          </ClmnBlkPts>
                        </ClmnBlk>
                        <ClmnBlk>
                          <ClmnBlkProps>
                            <FCPT>0</FCPT>
                            <FCN>15</FCN>
                            <LCPT>0</LCPT>
                            <LCN>15</LCN>
                          </ClmnBlkProps>
                          <ClmnBlkPts>
                            <ClmnBlkPt>
                              <ClmnBlkPtProps>
                                <CBPT>5</CBPT>
                                <ST>5</ST>
                                <VOFFF><![CDATA[Type 1]]></VOFFF>
                              </ClmnBlkPtProps>
                            </ClmnBlkPt>
                          </ClmnBlkPts>
                        </ClmnBlk>
                        <ClmnBlk>
                          <ClmnBlkProps>
                            <FCPT>0</FCPT>
                            <FCN>16</FCN>
                            <LCPT>0</LCPT>
                            <LCN>16</LCN>
                          </ClmnBlkProps>
                          <ClmnBlkPts>
                            <ClmnBlkPt>
                              <ClmnBlkPtProps>
                                <CBPT>5</CBPT>
                                <ST>5</ST>
                                <VOFFF><![CDATA[Type 2]]></VOFFF>
                              </ClmnBlkPtProps>
                            </ClmnBlkPt>
                          </ClmnBlkPts>
                        </ClmnBlk>
                        <ClmnBlk>
                          <ClmnBlkProps>
                            <FCPT>0</FCPT>
                            <FCN>17</FCN>
                            <LCPT>0</LCPT>
                            <LCN>17</LCN>
                          </ClmnBlkProps>
                          <ClmnBlkPts>
                            <ClmnBlkPt>
                              <ClmnBlkPtProps>
                                <CBPT>5</CBPT>
                                <ST>5</ST>
                                <SON>1</SON>
                                <VOFFF><![CDATA[Type 3]]></VOFFF>
                              </ClmnBlkPtProps>
                            </ClmnBlkPt>
                          </ClmnBlkPts>
                        </ClmnBlk>
                      </ClmnBlks>
                      <TtlCtg>
                        <TtlCtgProps>
                          <R>1</R>
                        </TtlCtgProps>
                      </TtlCtg>
                    </Elmt>
                    <Elmt>
                      <ElmtProps>
                        <CPT>2</CPT>
                      </ElmtProps>
                      <ClmnBlks>
                        <ClmnBlk>
                          <ClmnBlkProps>
                            <FCPT>0</FCPT>
                            <FCN>11</FCN>
                            <LCPT>0</LCPT>
                            <LCN>11</LCN>
                          </ClmnBlkProps>
                          <ClmnBlkPts>
                            <ClmnBlkPt>
                              <ClmnBlkPtProps>
                                <CBPT>5</CBPT>
                                <ST>8</ST>
                                <SON>24</SON>
                                <VOFFF><![CDATA[Referral Hospitals]]></VOFFF>
                                <UDAV><![CDATA[Referral Hospitals]]></UDAV>
                              </ClmnBlkPtProps>
                              <LnkInForms>
                                <LnkInForm>
                                  <LnkInFormProps>
                                    <CBPLI>1,1,35,1,1</CBPLI>
                                    <ELN>1</ELN>
                                    <FFF><![CDATA[=§A¿10,FALSE,0,1,0,FALSE§Z¿]]></FFF>
                                  </LnkInFormProps>
                                </LnkInForm>
                              </LnkInForms>
                            </ClmnBlkPt>
                          </ClmnBlkPts>
                        </ClmnBlk>
                        <ClmnBlk>
                          <ClmnBlkProps>
                            <FCPT>0</FCPT>
                            <FCN>12</FCN>
                            <LCPT>0</LCPT>
                            <LCN>12</LCN>
                          </ClmnBlkProps>
                          <ClmnBlkPts>
                            <ClmnBlkPt>
                              <ClmnBlkPtProps>
                                <CBPT>5</CBPT>
                                <ST>8</ST>
                                <SON>24</SON>
                                <VOFFF/>
                                <UDAV><![CDATA[Regional Hospitals]]></UDAV>
                              </ClmnBlkPtProps>
                              <LnkInForms>
                                <LnkInForm>
                                  <LnkInFormProps>
                                    <CBPLI>1,1,35,2,1</CBPLI>
                                    <ELN>1</ELN>
                                    <FFF><![CDATA[=§A¿10,FALSE,0,2,0,FALSE§Z¿]]></FFF>
                                  </LnkInFormProps>
                                </LnkInForm>
                              </LnkInForms>
                            </ClmnBlkPt>
                          </ClmnBlkPts>
                        </ClmnBlk>
                        <ClmnBlk>
                          <ClmnBlkProps>
                            <FCPT>0</FCPT>
                            <FCN>13</FCN>
                            <LCPT>0</LCPT>
                            <LCN>13</LCN>
                          </ClmnBlkProps>
                          <ClmnBlkPts>
                            <ClmnBlkPt>
                              <ClmnBlkPtProps>
                                <CBPT>5</CBPT>
                                <ST>8</ST>
                                <SON>24</SON>
                                <VOFFF/>
                                <UDAV><![CDATA[District Hospitals]]></UDAV>
                              </ClmnBlkPtProps>
                              <LnkInForms>
                                <LnkInForm>
                                  <LnkInFormProps>
                                    <CBPLI>1,1,35,3,1</CBPLI>
                                    <ELN>1</ELN>
                                    <FFF><![CDATA[=§A¿10,FALSE,0,3,0,FALSE§Z¿]]></FFF>
                                  </LnkInFormProps>
                                </LnkInForm>
                              </LnkInForms>
                            </ClmnBlkPt>
                          </ClmnBlkPts>
                        </ClmnBlk>
                        <ClmnBlk>
                          <ClmnBlkProps>
                            <FCPT>0</FCPT>
                            <FCN>15</FCN>
                            <LCPT>0</LCPT>
                            <LCN>15</LCN>
                          </ClmnBlkProps>
                          <ClmnBlkPts>
                            <ClmnBlkPt>
                              <ClmnBlkPtProps>
                                <CBPT>5</CBPT>
                                <ST>8</ST>
                                <SON>2</SON>
                                <VOFFF/>
                                <UDAV><![CDATA[Health Centers]]></UDAV>
                              </ClmnBlkPtProps>
                              <LnkInForms>
                                <LnkInForm>
                                  <LnkInFormProps>
                                    <CBPLI>1,1,35,4,1</CBPLI>
                                    <ELN>1</ELN>
                                    <FFF><![CDATA[=§A¿10,FALSE,0,4,0,FALSE§Z¿]]></FFF>
                                  </LnkInFormProps>
                                </LnkInForm>
                              </LnkInForms>
                            </ClmnBlkPt>
                          </ClmnBlkPts>
                        </ClmnBlk>
                        <ClmnBlk>
                          <ClmnBlkProps>
                            <FCPT>0</FCPT>
                            <FCN>16</FCN>
                            <LCPT>0</LCPT>
                            <LCN>16</LCN>
                          </ClmnBlkProps>
                          <ClmnBlkPts>
                            <ClmnBlkPt>
                              <ClmnBlkPtProps>
                                <CBPT>5</CBPT>
                                <ST>8</ST>
                                <SON>2</SON>
                                <VOFFF/>
                                <UDAV><![CDATA[Health Dispensary]]></UDAV>
                              </ClmnBlkPtProps>
                              <LnkInForms>
                                <LnkInForm>
                                  <LnkInFormProps>
                                    <CBPLI>1,1,35,5,1</CBPLI>
                                    <ELN>1</ELN>
                                    <FFF><![CDATA[=§A¿10,FALSE,0,5,0,FALSE§Z¿]]></FFF>
                                  </LnkInFormProps>
                                </LnkInForm>
                              </LnkInForms>
                            </ClmnBlkPt>
                          </ClmnBlkPts>
                        </ClmnBlk>
                        <ClmnBlk>
                          <ClmnBlkProps>
                            <FCPT>0</FCPT>
                            <FCN>17</FCN>
                            <LCPT>0</LCPT>
                            <LCN>17</LCN>
                          </ClmnBlkProps>
                          <ClmnBlkPts>
                            <ClmnBlkPt>
                              <ClmnBlkPtProps>
                                <CBPT>5</CBPT>
                                <ST>8</ST>
                                <SON>3</SON>
                                <VOFFF/>
                                <UDAV><![CDATA[Outreach Clinics]]></UDAV>
                              </ClmnBlkPtProps>
                              <LnkInForms>
                                <LnkInForm>
                                  <LnkInFormProps>
                                    <CBPLI>1,1,35,6,1</CBPLI>
                                    <ELN>1</ELN>
                                    <FFF><![CDATA[=§A¿10,FALSE,0,6,0,FALSE§Z¿]]></FFF>
                                  </LnkInFormProps>
                                </LnkInForm>
                              </LnkInForms>
                            </ClmnBlkPt>
                          </ClmnBlkPts>
                        </ClmnBlk>
                      </ClmnBlks>
                      <TtlCtg>
                        <TtlCtgProps>
                          <R>1</R>
                        </TtlCtgProps>
                        <LnkIn>
                          <LnkInProps>
                            <MN>3</MN>
                            <CLI>1,1,35,True,0</CLI>
                            <ELN>1</ELN>
                            <LOOT>2</LOOT>
                            <LOMN>2</LOMN>
                            <LOMCN>1</LOMCN>
                            <LOSN>1</LOSN>
                            <LOEN>12</LOEN>
                            <LOCN>0</LOCN>
                          </LnkInProps>
                        </LnkIn>
                      </TtlCtg>
                      <ElmtLnksIn>
                        <ElmtLnk>
                          <ElmtLnkProps>
                            <ELI>1,1,35</ELI>
                            <ELN>1</ELN>
                            <ELGN>1</ELGN>
                            <MLG>292E36E1-0C4B-4819-8A43-DD7D1BFAD010</MLG>
                            <ICBI>1,2,3,4,5,6</ICBI>
                            <ILBN/>
                            <LIBN>0</LIBN>
                          </ElmtLnkProps>
                        </ElmtLnk>
                      </ElmtLnksIn>
                    </Elmt>
                    <Elmt>
                      <ElmtProps>
                        <CPT>2</CPT>
                      </ElmtProps>
                      <TtlCtg/>
                    </Elmt>
                    <Elmt>
                      <ElmtProps>
                        <CPT>2</CPT>
                      </ElmtProps>
                      <ClmnBlks>
                        <ClmnBlk>
                          <ClmnBlkProps>
                            <FCPT>0</FCPT>
                            <FCN>4</FCN>
                            <LCPT>0</LCPT>
                            <LCN>4</LCN>
                          </ClmnBlkProps>
                          <ClmnBlkPts>
                            <ClmnBlkPt>
                              <ClmnBlkPtProps>
                                <CBPT>5</CBPT>
                                <ST>6</ST>
                                <VOFFF><![CDATA[Unknown Selection]]></VOFFF>
                              </ClmnBlkPtProps>
                            </ClmnBlkPt>
                          </ClmnBlkPts>
                        </ClmnBlk>
                        <ClmnBlk>
                          <ClmnBlkProps>
                            <FCPT>0</FCPT>
                            <FCN>8</FCN>
                            <LCPT>0</LCPT>
                            <LCN>8</LCN>
                          </ClmnBlkProps>
                          <ClmnBlkPts>
                            <ClmnBlkPt>
                              <ClmnBlkPtProps>
                                <CBPT>5</CBPT>
                                <ST>18</ST>
                                <SON>11</SON>
                                <VOFFF><![CDATA[=IF(ISERROR(MATCH(§A¿0,1,0,1,6,2,1,-1,0,0,FALSE,FALSE§Z¿,§A¿0,2,1,1,4,1,1,1,0,0,TRUE,TRUE,1,4,1,1,2,0,0,TRUE,TRUE§Z¿,0)),1,0)]]></VOFFF>
                              </ClmnBlkPtProps>
                              <FmtCnds>
                                <FmtCnd>
                                  <FmtCndProps>
                                    <CBPLI>1,1,37,2,1</CBPLI>
                                    <FCN>1</FCN>
                                    <FCT>1</FCT>
                                    <FCO>4</FCO>
                                    <F1FFF><![CDATA[=0]]></F1FFF>
                                    <F2FFF/>
                                    <SIT>False</SIT>
                                    <BSV>True</BSV>
                                    <BCT>0</BCT>
                                    <CNBCN>0</CNBCN>
                                    <BTAS>0</BTAS>
                                    <IST>1</IST>
                                    <RO>False</RO>
                                    <SIO>False</SIO>
                                    <TO>0</TO>
                                    <TS/>
                                    <DO>1</DO>
                                    <TB>1</TB>
                                    <R>10</R>
                                    <P>False</P>
                                    <AB>0</AB>
                                    <NSD>1</NSD>
                                    <DU>1</DU>
                                    <INF>False</INF>
                                    <NT>0</NT>
                                    <DP>0</DP>
                                    <CNF/>
                                  </FmtCndProps>
                                  <FntOvly>
                                    <FntOvlyProps>
                                      <PT>2</PT>
                                      <SON>0</SON>
                                      <CBPLI>1,1,37,2,1</CBPLI>
                                      <FCN>1</FCN>
                                      <CN>0</CN>
                                      <IB>True</IB>
                                      <IC>True</IC>
                                      <B>True</B>
                                      <CT>2</CT>
                                      <CNU>3</CNU>
                                      <CPR>0</CPR>
                                      <TAS>0</TAS>
                                    </FntOvlyProps>
                                  </FntOvly>
                                </FmtCnd>
                              </FmtCnds>
                            </ClmnBlkPt>
                          </ClmnBlkPts>
                        </ClmnBlk>
                      </ClmnBlks>
                      <TtlCtg>
                        <TtlCtgProps>
                          <R>2</R>
                        </TtlCtgProps>
                      </TtlCtg>
                    </Elmt>
                    <Elmt>
                      <ElmtProps>
                        <CPT>2</CPT>
                      </ElmtProps>
                      <ClmnBlks>
                        <ClmnBlk>
                          <ClmnBlkProps>
                            <FCPT>0</FCPT>
                            <FCN>4</FCN>
                            <LCPT>0</LCPT>
                            <LCN>4</LCN>
                          </ClmnBlkProps>
                          <ClmnBlkPts>
                            <ClmnBlkPt>
                              <ClmnBlkPtProps>
                                <CBPT>5</CBPT>
                                <ST>6</ST>
                                <VOFFF><![CDATA[Alert Checks]]></VOFFF>
                              </ClmnBlkPtProps>
                            </ClmnBlkPt>
                          </ClmnBlkPts>
                        </ClmnBlk>
                        <ClmnBlk>
                          <ClmnBlkProps>
                            <FCPT>0</FCPT>
                            <FCN>8</FCN>
                            <LCPT>0</LCPT>
                            <LCN>8</LCN>
                          </ClmnBlkProps>
                          <ClmnBlkPts>
                            <ClmnBlkPt>
                              <ClmnBlkPtProps>
                                <CBPT>5</CBPT>
                                <ST>18</ST>
                                <SON>10</SON>
                                <VOFFF><![CDATA[=IF(ISERROR(SUM(§A¿0,1,0,1,37,2,1,-1,0,0,FALSE,FALSE§Z¿)),1,MIN(SUM(§A¿0,1,0,1,37,2,1,-1,0,0,FALSE,FALSE§Z¿),1))]]></VOFFF>
                              </ClmnBlkPtProps>
                              <Chk>
                                <ChkProps>
                                  <CBPLI>1,1,38,2,1</CBPLI>
                                  <CT>2</CT>
                                  <CN>1</CN>
                                  <HST>1</HST>
                                  <CHT/>
                                  <HCBPLI>1,1,2,1,1</HCBPLI>
                                </ChkProps>
                              </Chk>
                              <Cmts>
                                <Cmt>
                                  <CmtProps>
                                    <CBPLI>1,1,38,2,1</CBPLI>
                                    <WRN>1</WRN>
                                    <ERT>5</ERT>
                                    <COSTN>0</COSTN>
                                    <OC>0</OC>
                                    <HT><![CDATA[Alert Check]]></HT>
                                    <HFS>0</HFS>
                                    <BT><![CDATA[Flags the occurrence of designated events.]]></BT>
                                    <BFS>0</BFS>
                                    <H>279</H>
                                    <W>128</W>
                                  </CmtProps>
                                </Cmt>
                              </Cmts>
                              <FmtCnds>
                                <FmtCnd>
                                  <FmtCndProps>
                                    <CBPLI>1,1,38,2,1</CBPLI>
                                    <FCN>1</FCN>
                                    <FCT>1</FCT>
                                    <FCO>4</FCO>
                                    <F1FFF><![CDATA[=0]]></F1FFF>
                                    <F2FFF/>
                                    <SIT>False</SIT>
                                    <BSV>True</BSV>
                                    <BCT>0</BCT>
                                    <CNBCN>0</CNBCN>
                                    <BTAS>0</BTAS>
                                    <IST>1</IST>
                                    <RO>False</RO>
                                    <SIO>False</SIO>
                                    <TO>0</TO>
                                    <TS/>
                                    <DO>1</DO>
                                    <TB>1</TB>
                                    <R>10</R>
                                    <P>False</P>
                                    <AB>0</AB>
                                    <NSD>1</NSD>
                                    <DU>1</DU>
                                    <INF>False</INF>
                                    <NT>0</NT>
                                    <DP>0</DP>
                                    <CNF/>
                                  </FmtCndProps>
                                  <FntOvly>
                                    <FntOvlyProps>
                                      <PT>2</PT>
                                      <SON>0</SON>
                                      <CBPLI>1,1,38,2,1</CBPLI>
                                      <FCN>1</FCN>
                                      <CN>0</CN>
                                      <IB>True</IB>
                                      <IC>True</IC>
                                      <B>True</B>
                                      <CT>2</CT>
                                      <CNU>3</CNU>
                                      <CPR>0</CPR>
                                      <TAS>0</TAS>
                                    </FntOvlyProps>
                                  </FntOvly>
                                </FmtCnd>
                              </FmtCnd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ClmnBlks>
                        <ClmnBlk>
                          <ClmnBlkProps>
                            <FCPT>0</FCPT>
                            <FCN>4</FCN>
                            <LCPT>0</LCPT>
                            <LCN>4</LCN>
                          </ClmnBlkProps>
                          <ClmnBlkPts>
                            <ClmnBlkPt>
                              <ClmnBlkPtProps>
                                <CBPT>5</CBPT>
                                <ST>6</ST>
                                <VOFFF><![CDATA[=§A¿0,2,0,1,3,1,1,-1,0,0,FALSE,FALSE§Z¿]]></VOFFF>
                              </ClmnBlkPtProps>
                            </ClmnBlkPt>
                          </ClmnBlkPts>
                        </ClmnBlk>
                        <ClmnBlk>
                          <ClmnBlkProps>
                            <FCPT>0</FCPT>
                            <FCN>10</FCN>
                            <LCPT>0</LCPT>
                            <LCN>10</LCN>
                          </ClmnBlkProps>
                          <ClmnBlkPts>
                            <ClmnBlkPt>
                              <ClmnBlkPtProps>
                                <CBPT>5</CBPT>
                                <ST>6</ST>
                                <VOFFF><![CDATA[=§A¿1,1,2,1,3,0,2,1,1§Z¿]]></VOFFF>
                              </ClmnBlkPtProps>
                            </ClmnBlkPt>
                          </ClmnBlkPts>
                        </ClmnBlk>
                      </ClmnBlks>
                      <TtlCtg>
                        <TtlCtgProps>
                          <R>1</R>
                        </TtlCtgProps>
                      </TtlCtg>
                    </Elmt>
                    <Elmt>
                      <ElmtProps>
                        <CPT>1</CPT>
                        <TOT>False</TOT>
                        <EGN>2</EGN>
                      </ElmtProps>
                      <ClmnBlks>
                        <ClmnBlk>
                          <ClmnBlkProps>
                            <FCPT>0</FCPT>
                            <FCN>4</FCN>
                            <LCPT>0</LCPT>
                            <LCN>4</LCN>
                          </ClmnBlkProps>
                          <ClmnBlkPts>
                            <ClmnBlkPt>
                              <ClmnBlkPtProps>
                                <CBPT>0</CBPT>
                                <ST>-1</ST>
                                <VOFFF><![CDATA[=§A¿1,1,2,1,4,0,1,1,1§Z¿]]></VOFFF>
                              </ClmnBlkPtProps>
                            </ClmnBlkPt>
                            <ClmnBlkPt>
                              <ClmnBlkPtProps>
                                <CBPT>1</CBPT>
                                <ST>6</ST>
                                <VOFFF><![CDATA[=§A¿0,1,0,1,42,1,3,0,0,0,FALSE,FALSE§Z¿]]></VOFFF>
                                <UDAV><![CDATA[<CategoriesGroupName> Sub-Total <SubTotalNumber>]]></UDAV>
                              </ClmnBlkPtProps>
                            </ClmnBlkPt>
                            <ClmnBlkPt>
                              <ClmnBlkPtProps>
                                <CBPT>2</CBPT>
                                <ST>5</ST>
                                <VOFFF><![CDATA[=§A¿0,2,0,1,4,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10</FCN>
                            <LCPT>0</LCPT>
                            <LCN>10</LCN>
                          </ClmnBlkProps>
                          <ClmnBlkPts>
                            <ClmnBlkPt>
                              <ClmnBlkPtProps>
                                <CBPT>0</CBPT>
                                <ST>-1</ST>
                                <VOFFF><![CDATA[=§A¿0,2,0,1,4,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Ctgs>
                            <Ctg>
                              <CtgProps>
                                <R>1</R>
                              </CtgProps>
                            </Ctg>
                            <Ctg>
                              <CtgProps>
                                <R>3</R>
                              </CtgProps>
                            </Ctg>
                          </Ctgs>
                        </SubTtl>
                      </SubTtls>
                      <TtlCtg/>
                    </Elmt>
                    <Elmt>
                      <ElmtProps>
                        <CPT>2</CPT>
                      </ElmtProps>
                      <TtlCtg/>
                    </Elmt>
                    <Elmt>
                      <ElmtProps>
                        <CPT>2</CPT>
                      </ElmtProps>
                      <TtlCtg/>
                    </Elmt>
                    <Elmt>
                      <ElmtProps>
                        <CPT>2</CPT>
                      </ElmtProps>
                      <ClmnBlks>
                        <ClmnBlk>
                          <ClmnBlkProps>
                            <FCPT>0</FCPT>
                            <FCN>3</FCN>
                            <LCPT>0</LCPT>
                            <LCN>9</LCN>
                          </ClmnBlkProps>
                          <ClmnBlkPts>
                            <ClmnBlkPt>
                              <ClmnBlkPtProps>
                                <CBPT>5</CBPT>
                                <ST>26</ST>
                                <SON>13</SON>
                                <MC>True</MC>
                                <VOFFF><![CDATA[="Go to "&§A¿1,1,2,1,2,0,1,1,1§Z¿]]></VOFFF>
                              </ClmnBlkPtProps>
                            </ClmnBlkPt>
                          </ClmnBlkPts>
                        </ClmnBlk>
                      </ClmnBlks>
                      <TtlCtg>
                        <TtlCtgProps>
                          <R>2</R>
                        </TtlCtgProps>
                      </TtlCtg>
                    </Elmt>
                    <Elmt>
                      <ElmtProps>
                        <CPT>2</CPT>
                      </ElmtProps>
                      <TtlCtg/>
                    </Elmt>
                    <Elmt>
                      <ElmtProps>
                        <CPT>2</CPT>
                      </ElmtProps>
                      <TtlCtg/>
                    </Elmt>
                    <Elmt>
                      <ElmtProps>
                        <CPT>2</CPT>
                      </ElmtProps>
                      <TtlCtg/>
                    </Elmt>
                  </Elmts>
                </Sect>
              </Sects>
              <ResShps>
                <ResShp>
                  <ResShpProps>
                    <MN>3</MN>
                    <MCN>1</MCN>
                    <SIT>0</SIT>
                    <TLCRSN>1</TLCRSN>
                    <TLCREN>3</TLCREN>
                    <TLCRSRT>5</TLCRSRT>
                    <TLCRCSTN>0</TLCRCSTN>
                    <TLCRIP>0.274509803921569</TLCRIP>
                    <TLCCPT>0</TLCCPT>
                    <TLCCN>11</TLCCN>
                    <TLCCOT>0</TLCCOT>
                    <TLCCOC>0</TLCCOC>
                    <TLCCPTBMCN>0</TLCCPTBMCN>
                    <TLCCPTBN>0</TLCCPTBN>
                    <TLCCIP>0.203252032520325</TLCCIP>
                    <BRCRSN>1</BRCRSN>
                    <BRCREN>8</BRCREN>
                    <BRCRSRT>5</BRCRSRT>
                    <BRCRCSTN>0</BRCRCSTN>
                    <BRCRIP>0.380952380952381</BRCRIP>
                    <BRCCPT>0</BRCCPT>
                    <BRCCN>15</BRCCN>
                    <BRCCOT>0</BRCCOT>
                    <BRCCOC>0</BRCCOC>
                    <BRCCPTBMCN>0</BRCCPTBMCN>
                    <BRCCPTBN>0</BRCCPTBN>
                    <BRCCIP>0.507575757575758</BRCCIP>
                    <N><![CDATA[bpmShapeRES1]]></N>
                    <CSSN>RES_BA</CSSN>
                  </ResShpProps>
                </ResShp>
              </ResShps>
            </ModComp>
            <ModComp>
              <ModCompProps>
                <MN>3</MN>
                <MCN>2</MCN>
                <MCTK>BaseCase</MCTK>
                <RT><![CDATA[<ModuleName> - Currency Assumptions]]></RT>
                <ERN>BPMMC20</ERN>
                <MCST>1</MCST>
                <IPMC>False</IPMC>
                <SN>8</SN>
                <LODS>False</LODS>
                <LST>False</LST>
                <HS>False</HS>
                <IBOA>0</IBOA>
                <IB>True</IB>
                <CI/>
                <PTI/>
                <PTP>False</PTP>
                <PTD><![CDATA[Annual time series periods.]]></PTD>
                <PTMCN>4</PTMCN>
                <CROL>0</CROL>
                <CCOL>0</CCOL>
                <AMFN>0</AMFN>
              </ModCompProps>
              <Sects>
                <Sect>
                  <SectProps>
                    <LI>2,1</LI>
                    <EGN>0</EGN>
                  </SectProps>
                  <Elmts>
                    <Elmt>
                      <ElmtProps>
                        <CPT>2</CPT>
                      </Elmt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4</ST>
                                <VOFFF><![CDATA[Currency Rates]]></VOFFF>
                              </ClmnBlkPtProps>
                              <RgeNmes>
                                <RgeNme>
                                  <RgeNmeProps>
                                    <CBPLI>2,1,2,1,1</CBPLI>
                                    <MCN>2</MCN>
                                    <SN>1</SN>
                                    <EN>2</EN>
                                    <CN>0</CN>
                                    <CBN>1</CBN>
                                    <CBPN>1</CBPN>
                                    <PT>1</PT>
                                    <CBPRNT>6</CBPRNT>
                                    <NT>12</NT>
                                    <SP1><![CDATA[Curr_Options]]></SP1>
                                    <SP2/>
                                    <FFF/>
                                    <CMT/>
                                  </RgeNmeProps>
                                </RgeNme>
                              </RgeNmes>
                            </ClmnBlkPt>
                          </ClmnBlkPts>
                        </ClmnBlk>
                      </ClmnBlks>
                      <TtlCtg/>
                    </Elmt>
                    <Elmt>
                      <ElmtProps>
                        <CPT>2</CPT>
                      </ElmtProps>
                      <ClmnBlks>
                        <ClmnBlk>
                          <ClmnBlkProps>
                            <FCPT>3</FCPT>
                            <FCN>4</FCN>
                            <FCOT>0</FCOT>
                            <FCOC>1</FCOC>
                            <FCPTBMCN>4</FCPTBMCN>
                            <FCPTBN>2</FCPTBN>
                            <LCPT>3</LCPT>
                            <LCN>7</LCN>
                            <LCOT>0</LCOT>
                            <LCOC>4</LCOC>
                            <LCPTBMCN>4</LCPTBMCN>
                            <LCPTBN>2</LCPTBN>
                          </ClmnBlkProps>
                          <ClmnBlkPts>
                            <ClmnBlkPt>
                              <ClmnBlkPtProps>
                                <CBPT>5</CBPT>
                                <ST>6</ST>
                                <MC>True</MC>
                                <VOFFF><![CDATA[Currency Code]]></VOFFF>
                              </ClmnBlkPtProps>
                            </ClmnBlkPt>
                          </ClmnBlkPts>
                        </ClmnBlk>
                        <ClmnBlk>
                          <ClmnBlkProps>
                            <FCPT>3</FCPT>
                            <FCN>10</FCN>
                            <FCOT>0</FCOT>
                            <FCOC>0</FCOC>
                            <FCPTBMCN>4</FCPTBMCN>
                            <FCPTBN>3</FCPTBN>
                            <LCPT>3</LCPT>
                            <LCN>10</LCN>
                            <LCOT>1</LCOT>
                            <LCOC>0</LCOC>
                            <LCPTBMCN>4</LCPTBMCN>
                            <LCPTBN>3</LCPTBN>
                          </ClmnBlkProps>
                          <ClmnBlkPts>
                            <ClmnBlkPt>
                              <ClmnBlkPtProps>
                                <CBPT>5</CBPT>
                                <ST>6</ST>
                                <MC>True</MC>
                                <VOFFF><![CDATA[Exchange Rates]]></VOFFF>
                              </ClmnBlkPtProps>
                              <RgeNmes>
                                <RgeNme>
                                  <RgeNmeProps>
                                    <CBPLI>2,1,3,2,1</CBPLI>
                                    <MCN>2</MCN>
                                    <SN>1</SN>
                                    <EN>3</EN>
                                    <CN>0</CN>
                                    <CBN>2</CBN>
                                    <CBPN>1</CBPN>
                                    <PT>1</PT>
                                    <CBPRNT>6</CBPRNT>
                                    <NT>12</NT>
                                    <SP1><![CDATA[Exchange_Rates]]></SP1>
                                    <SP2/>
                                    <FFF/>
                                    <CMT/>
                                  </RgeNmeProps>
                                </RgeNme>
                              </RgeNmes>
                            </ClmnBlkPt>
                          </ClmnBlkPts>
                        </ClmnBlk>
                      </ClmnBlks>
                      <TtlCtg/>
                    </Elmt>
                    <Elmt>
                      <ElmtProps>
                        <CPT>1</CPT>
                        <TOT>False</TOT>
                        <EGN>2</EGN>
                      </ElmtProps>
                      <ClmnBlks>
                        <ClmnBlk>
                          <ClmnBlkProps>
                            <FCPT>3</FCPT>
                            <FCN>4</FCN>
                            <FCOT>0</FCOT>
                            <FCOC>1</FCOC>
                            <FCPTBMCN>4</FCPTBMCN>
                            <FCPTBN>2</FCPTBN>
                            <LCPT>3</LCPT>
                            <LCN>7</LCN>
                            <LCOT>0</LCOT>
                            <LCOC>4</LCOC>
                            <LCPTBMCN>4</LCPTBMCN>
                            <LCPTBN>2</LCPTBN>
                          </ClmnBlkProps>
                          <ClmnBlkPts>
                            <ClmnBlkPt>
                              <ClmnBlkPtProps>
                                <CBPT>0</CBPT>
                                <ST>8</ST>
                                <MC>True</MC>
                                <VOFFF/>
                                <UDAV><![CDATA[<CategoriesGroupName> Category <CategoryNumber>]]></UDAV>
                              </ClmnBlkPtProps>
                              <RgeNmes>
                                <RgeNme>
                                  <RgeNmeProps>
                                    <CBPLI>2,1,4,1,1</CBPLI>
                                    <MCN>2</MCN>
                                    <SN>1</SN>
                                    <EN>4</EN>
                                    <CN>0</CN>
                                    <CBN>1</CBN>
                                    <CBPN>1</CBPN>
                                    <PT>1</PT>
                                    <CBPRNT>0</CBPRNT>
                                    <NT>-1</NT>
                                    <SP1><![CDATA[Curr_]]></SP1>
                                    <SP2/>
                                    <FFF/>
                                    <CMT/>
                                  </RgeNmeProps>
                                </RgeNme>
                              </RgeNmes>
                            </ClmnBlkPt>
                            <ClmnBlkPt>
                              <ClmnBlkPtProps>
                                <CBPT>1</CBPT>
                                <ST>6</ST>
                                <MC>True</MC>
                                <VOFFF><![CDATA[="Total "&§A¿0,2,0,1,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3</FCPT>
                            <FCN>10</FCN>
                            <FCOT>0</FCOT>
                            <FCOC>0</FCOC>
                            <FCPTBMCN>4</FCPTBMCN>
                            <FCPTBN>3</FCPTBN>
                            <LCPT>3</LCPT>
                            <LCN>10</LCN>
                            <LCOT>1</LCOT>
                            <LCOC>0</LCOC>
                            <LCPTBMCN>4</LCPTBMCN>
                            <LCPTBN>3</LCPTBN>
                          </ClmnBlkProps>
                          <ClmnBlkPts>
                            <ClmnBlkPt>
                              <ClmnBlkPtProps>
                                <CBPT>0</CBPT>
                                <ST>11</ST>
                                <SON>5</SON>
                                <VOFFF><![CDATA[1]]></VOFFF>
                                <UDAV><![CDATA[1]]></UDAV>
                              </ClmnBlkPtProps>
                              <Vdtn>
                                <VdtnProps>
                                  <CBPLI>2,1,4,2,1</CBPLI>
                                  <ADVT>1</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2</CC>
                              <R>0</R>
                            </CatSpanProps>
                          </CatSpan>
                        </SubTtl>
                      </SubTtls>
                      <TtlCtg/>
                      <ElmtLnksOut>
                        <ElmtLnk>
                          <ElmtLnkProps>
                            <ELI>2,1,4</ELI>
                            <ELN>1</ELN>
                            <ELGN>7</ELGN>
                            <MLG>1638744F-648F-4D87-8C2C-69B71D7C5AA6</MLG>
                            <ICBI>1,2</ICBI>
                            <ILBN>1,2</ILBN>
                            <LIBN>0</LIBN>
                          </ElmtLnkProps>
                        </ElmtLnk>
                      </ElmtLnksOut>
                    </Elmt>
                    <Elmt>
                      <ElmtProps>
                        <CPT>2</CPT>
                      </ElmtProps>
                      <ClmnBlks>
                        <ClmnBlk>
                          <ClmnBlkProps>
                            <FCPT>3</FCPT>
                            <FCN>10</FCN>
                            <FCOT>0</FCOT>
                            <FCOC>0</FCOC>
                            <FCPTBMCN>4</FCPTBMCN>
                            <FCPTBN>3</FCPTBN>
                            <LCPT>3</LCPT>
                            <LCN>10</LCN>
                            <LCOT>0</LCOT>
                            <LCOC>0</LCOC>
                            <LCPTBMCN>4</LCPTBMCN>
                            <LCPTBN>3</LCPTBN>
                          </ClmnBlkProps>
                          <ClmnBlkPts>
                            <ClmnBlkPt>
                              <ClmnBlkPtProps>
                                <CBPT>5</CBPT>
                                <ST>6</ST>
                                <VOFFF><![CDATA[Note:(first currency is always 1.00)]]></VOFFF>
                              </ClmnBlkPtProps>
                            </ClmnBlkPt>
                          </ClmnBlkPts>
                        </ClmnBlk>
                      </ClmnBlks>
                      <TtlCtg/>
                    </Elmt>
                    <Elmt>
                      <ElmtProps>
                        <CPT>2</CPT>
                      </ElmtProps>
                      <ClmnBlks>
                        <ClmnBlk>
                          <ClmnBlkProps>
                            <FCPT>3</FCPT>
                            <FCN>4</FCN>
                            <FCOT>0</FCOT>
                            <FCOC>1</FCOC>
                            <FCPTBMCN>4</FCPTBMCN>
                            <FCPTBN>2</FCPTBN>
                            <LCPT>3</LCPT>
                            <LCN>4</LCN>
                            <LCOT>0</LCOT>
                            <LCOC>1</LCOC>
                            <LCPTBMCN>4</LCPTBMCN>
                            <LCPTBN>2</LCPTBN>
                          </ClmnBlkProps>
                          <ClmnBlkPts>
                            <ClmnBlkPt>
                              <ClmnBlkPtProps>
                                <CBPT>5</CBPT>
                                <ST>5</ST>
                                <VOFFF><![CDATA[Source of Currency Codes and Rates: ]]></VOFFF>
                              </ClmnBlkPtProps>
                            </ClmnBlkPt>
                          </ClmnBlkPts>
                        </ClmnBlk>
                      </ClmnBlks>
                      <TtlCtg/>
                    </Elmt>
                    <Elmt>
                      <ElmtProps>
                        <CPT>2</CPT>
                      </ElmtProps>
                      <ClmnBlks>
                        <ClmnBlk>
                          <ClmnBlkProps>
                            <FCPT>3</FCPT>
                            <FCN>4</FCN>
                            <FCOT>0</FCOT>
                            <FCOC>1</FCOC>
                            <FCPTBMCN>4</FCPTBMCN>
                            <FCPTBN>2</FCPTBN>
                            <LCPT>3</LCPT>
                            <LCN>10</LCN>
                            <LCOT>1</LCOT>
                            <LCOC>0</LCOC>
                            <LCPTBMCN>4</LCPTBMCN>
                            <LCPTBN>3</LCPTBN>
                          </ClmnBlkProps>
                          <ClmnBlkPts>
                            <ClmnBlkPt>
                              <ClmnBlkPtProps>
                                <CBPT>5</CBPT>
                                <ST>8</ST>
                                <MC>True</MC>
                                <VOFFF/>
                              </ClmnBlkPtProps>
                            </ClmnBlkPt>
                          </ClmnBlkPts>
                        </ClmnBlk>
                      </ClmnBlks>
                      <TtlCtg/>
                    </Elmt>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ST>
                                <VOFFF><![CDATA[Reserved for Future Multi-Year Expansion (Developer Use Only)]]></VOFFF>
                              </ClmnBlkPtProp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4</ST>
                                <VOFFF><![CDATA[Economic Rates]]></VOFFF>
                              </ClmnBlkPtProps>
                            </ClmnBlkPt>
                          </ClmnBlkPts>
                        </ClmnBlk>
                        <ClmnBlk>
                          <ClmnBlkProps>
                            <FCPT>3</FCPT>
                            <FCN>9</FCN>
                            <FCOT>0</FCOT>
                            <FCOC>6</FCOC>
                            <FCPTBMCN>4</FCPTBMCN>
                            <FCPTBN>2</FCPTBN>
                            <LCPT>3</LCPT>
                            <LCN>9</LCN>
                            <LCOT>1</LCOT>
                            <LCOC>0</LCOC>
                            <LCPTBMCN>4</LCPTBMCN>
                            <LCPTBN>2</LCPTBN>
                          </ClmnBlkProps>
                          <ClmnBlkPts>
                            <ClmnBlkPt>
                              <ClmnBlkPtProps>
                                <CBPT>5</CBPT>
                                <ST>6</ST>
                                <SON>6</SON>
                                <VOFFF><![CDATA[Rate]]></VOFFF>
                              </ClmnBlkPtProps>
                            </ClmnBlkPt>
                          </ClmnBlkPts>
                        </ClmnBlk>
                        <ClmnBlk>
                          <ClmnBlkProps>
                            <FCPT>3</FCPT>
                            <FCN>11</FCN>
                            <FCOT>0</FCOT>
                            <FCOC>1</FCOC>
                            <FCPTBMCN>4</FCPTBMCN>
                            <FCPTBN>3</FCPTBN>
                            <LCPT>3</LCPT>
                            <LCN>10</LCN>
                            <LCOT>0</LCOT>
                            <LCOC>1</LCOC>
                            <LCPTBMCN>4</LCPTBMCN>
                            <LCPTBN>3</LCPTBN>
                          </ClmnBlkProps>
                          <ClmnBlkPts>
                            <ClmnBlkPt>
                              <ClmnBlkPtProps>
                                <CBPT>5</CBPT>
                                <ST>6</ST>
                                <VOFFF><![CDATA[Source]]></VOFFF>
                              </ClmnBlkPtProps>
                            </ClmnBlkPt>
                          </ClmnBlkPts>
                        </ClmnBlk>
                      </ClmnBlks>
                      <TtlCtg>
                        <TtlCtgProps>
                          <R>3</R>
                        </TtlCtgProps>
                      </TtlCtg>
                    </Elmt>
                    <Elmt>
                      <ElmtProps>
                        <CPT>2</CPT>
                      </ElmtProps>
                      <ClmnBlks>
                        <ClmnBlk>
                          <ClmnBlkProps>
                            <FCPT>3</FCPT>
                            <FCN>4</FCN>
                            <FCOT>0</FCOT>
                            <FCOC>1</FCOC>
                            <FCPTBMCN>4</FCPTBMCN>
                            <FCPTBN>2</FCPTBN>
                            <LCPT>3</LCPT>
                            <LCN>4</LCN>
                            <LCOT>0</LCOT>
                            <LCOC>1</LCOC>
                            <LCPTBMCN>4</LCPTBMCN>
                            <LCPTBN>2</LCPTBN>
                          </ClmnBlkProps>
                          <ClmnBlkPts>
                            <ClmnBlkPt>
                              <ClmnBlkPtProps>
                                <CBPT>5</CBPT>
                                <ST>5</ST>
                                <VOFFF><![CDATA[Annual Inflation Rate]]></VOFFF>
                              </ClmnBlkPtProps>
                            </ClmnBlkPt>
                          </ClmnBlkPts>
                        </ClmnBlk>
                        <ClmnBlk>
                          <ClmnBlkProps>
                            <FCPT>3</FCPT>
                            <FCN>9</FCN>
                            <FCOT>0</FCOT>
                            <FCOC>6</FCOC>
                            <FCPTBMCN>4</FCPTBMCN>
                            <FCPTBN>2</FCPTBN>
                            <LCPT>3</LCPT>
                            <LCN>9</LCN>
                            <LCOT>1</LCOT>
                            <LCOC>0</LCOC>
                            <LCPTBMCN>4</LCPTBMCN>
                            <LCPTBN>2</LCPTBN>
                          </ClmnBlkProps>
                          <ClmnBlkPts>
                            <ClmnBlkPt>
                              <ClmnBlkPtProps>
                                <CBPT>5</CBPT>
                                <ST>12</ST>
                                <VOFFF><![CDATA[0]]></VOFFF>
                                <UDAV><![CDATA[0]]></UDAV>
                              </ClmnBlkPtProps>
                            </ClmnBlkPt>
                          </ClmnBlkPts>
                        </ClmnBlk>
                        <ClmnBlk>
                          <ClmnBlkProps>
                            <FCPT>3</FCPT>
                            <FCN>11</FCN>
                            <FCOT>0</FCOT>
                            <FCOC>1</FCOC>
                            <FCPTBMCN>4</FCPTBMCN>
                            <FCPTBN>3</FCPTBN>
                            <LCPT>3</LCPT>
                            <LCN>10</LCN>
                            <LCOT>1</LCOT>
                            <LCOC>0</LCOC>
                            <LCPTBMCN>4</LCPTBMCN>
                            <LCPTBN>3</LCPTBN>
                          </ClmnBlkProps>
                          <ClmnBlkPts>
                            <ClmnBlkPt>
                              <ClmnBlkPtProps>
                                <CBPT>5</CBPT>
                                <ST>8</ST>
                                <MC>True</MC>
                                <VOFFF><![CDATA[WHO_C4P_Screening-Treatment_Master10.1]]></VOFFF>
                              </ClmnBlkPtProps>
                            </ClmnBlkPt>
                          </ClmnBlkPts>
                        </ClmnBlk>
                      </ClmnBlks>
                      <TtlCtg>
                        <TtlCtgProps>
                          <R>3</R>
                        </TtlCtgProps>
                      </TtlCtg>
                    </Elmt>
                    <Elmt>
                      <ElmtProps>
                        <CPT>2</CPT>
                      </ElmtProps>
                      <ClmnBlks>
                        <ClmnBlk>
                          <ClmnBlkProps>
                            <FCPT>3</FCPT>
                            <FCN>4</FCN>
                            <FCOT>0</FCOT>
                            <FCOC>1</FCOC>
                            <FCPTBMCN>4</FCPTBMCN>
                            <FCPTBN>2</FCPTBN>
                            <LCPT>3</LCPT>
                            <LCN>4</LCN>
                            <LCOT>0</LCOT>
                            <LCOC>1</LCOC>
                            <LCPTBMCN>4</LCPTBMCN>
                            <LCPTBN>2</LCPTBN>
                          </ClmnBlkProps>
                          <ClmnBlkPts>
                            <ClmnBlkPt>
                              <ClmnBlkPtProps>
                                <CBPT>5</CBPT>
                                <ST>6</ST>
                                <VOFFF><![CDATA[Annual Discount Rate]]></VOFFF>
                              </ClmnBlkPtProps>
                            </ClmnBlkPt>
                          </ClmnBlkPts>
                        </ClmnBlk>
                        <ClmnBlk>
                          <ClmnBlkProps>
                            <FCPT>3</FCPT>
                            <FCN>9</FCN>
                            <FCOT>0</FCOT>
                            <FCOC>6</FCOC>
                            <FCPTBMCN>4</FCPTBMCN>
                            <FCPTBN>2</FCPTBN>
                            <LCPT>3</LCPT>
                            <LCN>9</LCN>
                            <LCOT>1</LCOT>
                            <LCOC>0</LCOC>
                            <LCPTBMCN>4</LCPTBMCN>
                            <LCPTBN>2</LCPTBN>
                          </ClmnBlkProps>
                          <ClmnBlkPts>
                            <ClmnBlkPt>
                              <ClmnBlkPtProps>
                                <CBPT>5</CBPT>
                                <ST>12</ST>
                                <SON>9</SON>
                                <VOFFF/>
                                <UDAV><![CDATA[0]]></UDAV>
                              </ClmnBlkPtProps>
                              <Vdtn>
                                <VdtnProps>
                                  <CBPLI>2,1,12,2,1</CBPLI>
                                  <ADVT>0</ADVT>
                                  <VT>7</VT>
                                </VdtnProps>
                              </Vdtn>
                              <RgeNmes>
                                <RgeNme>
                                  <RgeNmeProps>
                                    <CBPLI>2,1,12,2,1</CBPLI>
                                    <MCN>2</MCN>
                                    <SN>1</SN>
                                    <EN>12</EN>
                                    <CN>0</CN>
                                    <CBN>2</CBN>
                                    <CBPN>1</CBPN>
                                    <PT>1</PT>
                                    <CBPRNT>6</CBPRNT>
                                    <NT>12</NT>
                                    <SP1><![CDATA[AnnDiscountRate]]></SP1>
                                    <SP2/>
                                    <FFF/>
                                    <CMT/>
                                  </RgeNmeProps>
                                </RgeNme>
                              </RgeNmes>
                            </ClmnBlkPt>
                          </ClmnBlkPts>
                        </ClmnBlk>
                        <ClmnBlk>
                          <ClmnBlkProps>
                            <FCPT>3</FCPT>
                            <FCN>11</FCN>
                            <FCOT>0</FCOT>
                            <FCOC>1</FCOC>
                            <FCPTBMCN>4</FCPTBMCN>
                            <FCPTBN>3</FCPTBN>
                            <LCPT>3</LCPT>
                            <LCN>10</LCN>
                            <LCOT>1</LCOT>
                            <LCOC>0</LCOC>
                            <LCPTBMCN>4</LCPTBMCN>
                            <LCPTBN>3</LCPTBN>
                          </ClmnBlkProps>
                          <ClmnBlkPts>
                            <ClmnBlkPt>
                              <ClmnBlkPtProps>
                                <CBPT>5</CBPT>
                                <ST>8</ST>
                                <MC>True</MC>
                                <VOFFF/>
                              </ClmnBlkPtProps>
                            </ClmnBlkPt>
                          </ClmnBlkPts>
                        </ClmnBlk>
                      </ClmnBlks>
                      <TtlCtg>
                        <TtlCtgProps>
                          <R>3</R>
                        </TtlCtgProps>
                      </TtlCtg>
                      <ElmtLnksOut>
                        <ElmtLnk>
                          <ElmtLnkProps>
                            <ELI>2,1,12</ELI>
                            <ELN>1</ELN>
                            <ELGN>1</ELGN>
                            <MLG>6D4D245C-387E-49E6-B958-30E24DD92F01</MLG>
                            <ICBI>2</ICBI>
                            <ILBN>1</ILBN>
                            <LIBN>0</LIBN>
                          </ElmtLnkProps>
                        </ElmtLnk>
                      </ElmtLnksOut>
                    </Elmt>
                    <Elmt>
                      <ElmtProps>
                        <CPT>2</CPT>
                      </ElmtProps>
                      <TtlCtg>
                        <TtlCtgProps>
                          <R>4</R>
                        </TtlCtgProps>
                      </TtlCtg>
                    </Elmt>
                    <Elmt>
                      <ElmtProps>
                        <CPT>2</CPT>
                      </ElmtProps>
                      <ClmnBlks>
                        <ClmnBlk>
                          <ClmnBlkProps>
                            <FCPT>3</FCPT>
                            <FCN>3</FCN>
                            <FCOT>0</FCOT>
                            <FCOC>0</FCOC>
                            <FCPTBMCN>4</FCPTBMCN>
                            <FCPTBN>2</FCPTBN>
                            <LCPT>3</LCPT>
                            <LCN>9</LCN>
                            <LCOT>1</LCOT>
                            <LCOC>0</LCOC>
                            <LCPTBMCN>4</LCPTBMCN>
                            <LCPTBN>2</LCPTBN>
                          </ClmnBlkProps>
                          <ClmnBlkPts>
                            <ClmnBlkPt>
                              <ClmnBlkPtProps>
                                <CBPT>5</CBPT>
                                <ST>26</ST>
                                <MC>True</MC>
                                <VOFFF><![CDATA[="Go to "&§A¿1,1,1,1,2,0,1,1,1§Z¿]]></VOFFF>
                              </ClmnBlkPtProps>
                              <Hlk>
                                <HlkProps>
                                  <CBPLI>2,1,14,1,1</CBPLI>
                                  <RT>0</RT>
                                  <RRRT>1</RRRT>
                                  <RCBPLI>1,1,2,1,1</RCBPLI>
                                  <RCN>0</RCN>
                                  <RRNPT>1</RRNPT>
                                  <RRNN>1</RRNN>
                                  <TTDT>0</TTDT>
                                  <AGT>False</AGT>
                                  <CT/>
                                </HlkProps>
                              </Hlk>
                            </ClmnBlkPt>
                          </ClmnBlkPts>
                        </ClmnBlk>
                      </ClmnBlks>
                      <TtlCtg/>
                    </Elmt>
                  </Elmts>
                </Sect>
              </Sects>
            </ModComp>
            <ModComp>
              <ModCompProps>
                <MN>3</MN>
                <MCN>3</MCN>
                <MCTK>LU</MCTK>
                <RT><![CDATA[<ModuleName> - Lookups]]></RT>
                <ERN>BPMMC21</ERN>
                <MCST>3</MCST>
                <IPMC>False</IPMC>
                <SN>64</SN>
                <LODS>False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18</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2</EGN>
                      </ElmtProps>
                      <ClmnBlks>
                        <ClmnBlk>
                          <ClmnBlkProps>
                            <FCPT>0</FCPT>
                            <FCN>4</FCN>
                            <LCPT>0</LCPT>
                            <LCN>4</LCN>
                          </ClmnBlkProps>
                          <ClmnBlkPts>
                            <ClmnBlkPt>
                              <ClmnBlkPtProps>
                                <CBPT>0</CBPT>
                                <ST>25</ST>
                                <VOFFF><![CDATA[=§A¿0,2,0,1,4,1,1,0,0,0,FALSE,FALSE§Z¿]]></VOFFF>
                              </ClmnBlkPtProps>
                              <RgeNmes>
                                <RgeNme>
                                  <RgeNmeProps>
                                    <CBPLI>3,1,7,1,1</CBPLI>
                                    <MCN>3</MCN>
                                    <SN>1</SN>
                                    <EN>7</EN>
                                    <CN>0</CN>
                                    <CBN>1</CBN>
                                    <CBPN>1</CBPN>
                                    <PT>1</PT>
                                    <CBPRNT>2</CBPRNT>
                                    <NT>11</NT>
                                    <SP1><![CDATA[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Currenc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RES_Curr]]></VOFFF>
                              </ClmnBlkPtProps>
                            </ClmnBlkPt>
                          </ClmnBlkPts>
                        </ClmnBlk>
                      </ClmnBlks>
                      <SubTtls>
                        <SubTtl>
                          <Ctgs>
                            <Ctg>
                              <LuTblLbl>
                                <LuTblLblProps>
                                  <CLI>3,1,7,False,1</CLI>
                                  <L><![CDATA[Lookup Label <CategoryNumber>.]]></L>
                                </LuTblLblProps>
                              </LuTblLbl>
                            </Ctg>
                            <Ctg>
                              <LuTblLbl>
                                <LuTblLblProps>
                                  <CLI>3,1,7,False,2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EGN>
                      </ElmtProps>
                      <ClmnBlks>
                        <ClmnBlk>
                          <ClmnBlkProps>
                            <FCPT>0</FCPT>
                            <FCN>4</FCN>
                            <LCPT>0</LCPT>
                            <LCN>4</LCN>
                          </ClmnBlkProps>
                          <ClmnBlkPts>
                            <ClmnBlkPt>
                              <ClmnBlkPtProps>
                                <CBPT>0</CBPT>
                                <ST>25</ST>
                                <VOFFF><![CDATA[=§A¿0,1,0,1,10,1,1,0,0,0,FALSE,FALSE§Z¿]]></VOFFF>
                              </ClmnBlkPtProps>
                              <RgeNmes>
                                <RgeNme>
                                  <RgeNmeProps>
                                    <CBPLI>3,1,11,1,1</CBPLI>
                                    <MCN>3</MCN>
                                    <SN>1</SN>
                                    <EN>11</EN>
                                    <CN>0</CN>
                                    <CBN>1</CBN>
                                    <CBPN>1</CBPN>
                                    <PT>1</PT>
                                    <CBPRNT>2</CBPRNT>
                                    <NT>11</NT>
                                    <SP1><![CDATA[Personnel]]></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RES_Personnel]]></VOFFF>
                              </ClmnBlkPtProps>
                            </ClmnBlkPt>
                          </ClmnBlkPts>
                        </ClmnBlk>
                      </ClmnBlks>
                      <SubTtls>
                        <SubTtl>
                          <Ctgs>
                            <Ctg>
                              <LuTblLbl>
                                <LuTblLblProps>
                                  <CLI>3,1,11,False,1</CLI>
                                  <L><![CDATA[Lookup Label <CategoryNumber>.]]></L>
                                </LuTblLblProps>
                              </LuTblLbl>
                            </Ctg>
                            <Ctg>
                              <LuTblLbl>
                                <LuTblLblProps>
                                  <CLI>3,1,11,False,2</CLI>
                                  <L><![CDATA[Lookup Label <CategoryNumber>.]]></L>
                                </LuTblLblProps>
                              </LuTblLbl>
                            </Ctg>
                            <Ctg>
                              <LuTblLbl>
                                <LuTblLblProps>
                                  <CLI>3,1,11,False,3</CLI>
                                  <L><![CDATA[Lookup Label <CategoryNumber>.]]></L>
                                </LuTblLblProps>
                              </LuTblLbl>
                            </Ctg>
                            <Ctg>
                              <LuTblLbl>
                                <LuTblLblProps>
                                  <CLI>3,1,11,False,4</CLI>
                                  <L><![CDATA[Lookup Label <CategoryNumber>.]]></L>
                                </LuTblLblProps>
                              </LuTblLbl>
                            </Ctg>
                            <Ctg>
                              <LuTblLbl>
                                <LuTblLblProps>
                                  <CLI>3,1,11,False,5</CLI>
                                  <L><![CDATA[Lookup Label <CategoryNumber>.]]></L>
                                </LuTblLblProps>
                              </LuTblLbl>
                            </Ctg>
                            <Ctg>
                              <LuTblLbl>
                                <LuTblLblProps>
                                  <CLI>3,1,11,False,6</CLI>
                                  <L><![CDATA[Lookup Label <CategoryNumber>.]]></L>
                                </LuTblLblProps>
                              </LuTblLbl>
                            </Ctg>
                            <Ctg>
                              <LuTblLbl>
                                <LuTblLblProps>
                                  <CLI>3,1,11,False,7</CLI>
                                  <L><![CDATA[Lookup Label <CategoryNumber>.]]></L>
                                </LuTblLblProps>
                              </LuTblLbl>
                            </Ctg>
                            <Ctg>
                              <LuTblLbl>
                                <LuTblLblProps>
                                  <CLI>3,1,11,False,8</CLI>
                                  <L><![CDATA[Lookup Label <CategoryNumber>.]]></L>
                                </LuTblLblProps>
                              </LuTblLbl>
                            </Ctg>
                            <Ctg>
                              <LuTblLbl>
                                <LuTblLblProps>
                                  <CLI>3,1,11,False,9</CLI>
                                  <L><![CDATA[Lookup Label <CategoryNumber>.]]></L>
                                </LuTblLblProps>
                              </LuTblLbl>
                            </Ctg>
                            <Ctg>
                              <LuTblLbl>
                                <LuTblLblProps>
                                  <CLI>3,1,11,False,10</CLI>
                                  <L><![CDATA[Lookup Label <CategoryNumber>.]]></L>
                                </LuTblLblProps>
                              </LuTblLbl>
                            </Ctg>
                            <Ctg>
                              <LuTblLbl>
                                <LuTblLblProps>
                                  <CLI>3,1,11,False,11</CLI>
                                  <L><![CDATA[Lookup Label <CategoryNumber>.]]></L>
                                </LuTblLblProps>
                              </LuTblLbl>
                            </Ctg>
                            <Ctg>
                              <LuTblLbl>
                                <LuTblLblProps>
                                  <CLI>3,1,11,False,12</CLI>
                                  <L><![CDATA[Lookup Label <CategoryNumber>.]]></L>
                                </LuTblLblProps>
                              </LuTblLbl>
                            </Ctg>
                            <Ctg>
                              <LuTblLbl>
                                <LuTblLblProps>
                                  <CLI>3,1,11,False,13</CLI>
                                  <L><![CDATA[Lookup Label <CategoryNumber>.]]></L>
                                </LuTblLblProps>
                              </LuTblLbl>
                            </Ctg>
                            <Ctg>
                              <LuTblLbl>
                                <LuTblLblProps>
                                  <CLI>3,1,11,False,14</CLI>
                                  <L><![CDATA[Lookup Label <CategoryNumber>.]]></L>
                                </LuTblLblProps>
                              </LuTblLbl>
                            </Ctg>
                            <Ctg>
                              <LuTblLbl>
                                <LuTblLblProps>
                                  <CLI>3,1,11,False,15</CLI>
                                  <L><![CDATA[Lookup Label <CategoryNumber>.]]></L>
                                </LuTblLblProps>
                              </LuTblLbl>
                            </Ctg>
                            <Ctg>
                              <LuTblLbl>
                                <LuTblLblProps>
                                  <CLI>3,1,11,False,16</CLI>
                                  <L><![CDATA[Lookup Label <CategoryNumber>.]]></L>
                                </LuTblLblProps>
                              </LuTblLbl>
                            </Ctg>
                            <Ctg>
                              <LuTblLbl>
                                <LuTblLblProps>
                                  <CLI>3,1,11,False,17</CLI>
                                  <L><![CDATA[Lookup Label <CategoryNumber>.]]></L>
                                </LuTblLblProps>
                              </LuTblLbl>
                            </Ctg>
                            <Ctg>
                              <LuTblLbl>
                                <LuTblLblProps>
                                  <CLI>3,1,11,False,18</CLI>
                                  <L><![CDATA[Lookup Label <CategoryNumber>.]]></L>
                                </LuTblLblProps>
                              </LuTblLbl>
                            </Ctg>
                            <Ctg>
                              <LuTblLbl>
                                <LuTblLblProps>
                                  <CLI>3,1,11,False,19</CLI>
                                  <L><![CDATA[Lookup Label <CategoryNumber>.]]></L>
                                </LuTblLblProps>
                              </LuTblLbl>
                            </Ctg>
                            <Ctg>
                              <LuTblLbl>
                                <LuTblLblProps>
                                  <CLI>3,1,11,False,20</CLI>
                                  <L><![CDATA[Lookup Label <CategoryNumber>.]]></L>
                                </LuTblLblProps>
                              </LuTblLbl>
                            </Ctg>
                            <Ctg>
                              <LuTblLbl>
                                <LuTblLblProps>
                                  <CLI>3,1,11,False,21</CLI>
                                  <L><![CDATA[Lookup Label <CategoryNumber>.]]></L>
                                </LuTblLblProps>
                              </LuTblLbl>
                            </Ctg>
                            <Ctg>
                              <LuTblLbl>
                                <LuTblLblProps>
                                  <CLI>3,1,11,False,22</CLI>
                                  <L><![CDATA[Lookup Label <CategoryNumber>.]]></L>
                                </LuTblLblProps>
                              </LuTblLbl>
                            </Ctg>
                            <Ctg>
                              <LuTblLbl>
                                <LuTblLblProps>
                                  <CLI>3,1,11,False,23</CLI>
                                  <L><![CDATA[Lookup Label <CategoryNumber>.]]></L>
                                </LuTblLblProps>
                              </LuTblLbl>
                            </Ctg>
                            <Ctg>
                              <LuTblLbl>
                                <LuTblLblProps>
                                  <CLI>3,1,11,False,24</CLI>
                                  <L><![CDATA[Lookup Label <CategoryNumber>.]]></L>
                                </LuTblLblProps>
                              </LuTblLbl>
                            </Ctg>
                            <Ctg>
                              <LuTblLbl>
                                <LuTblLblProps>
                                  <CLI>3,1,11,False,25</CLI>
                                  <L><![CDATA[Lookup Label <CategoryNumber>.]]></L>
                                </LuTblLblProps>
                              </LuTblLbl>
                            </Ctg>
                            <Ctg>
                              <LuTblLbl>
                                <LuTblLblProps>
                                  <CLI>3,1,11,False,26</CLI>
                                  <L><![CDATA[Lookup Label <CategoryNumber>.]]></L>
                                </LuTblLblProps>
                              </LuTblLbl>
                            </Ctg>
                            <Ctg>
                              <LuTblLbl>
                                <LuTblLblProps>
                                  <CLI>3,1,11,False,27</CLI>
                                  <L><![CDATA[Lookup Label <CategoryNumber>.]]></L>
                                </LuTblLblProps>
                              </LuTblLbl>
                            </Ctg>
                            <Ctg>
                              <LuTblLbl>
                                <LuTblLblProps>
                                  <CLI>3,1,11,False,28</CLI>
                                  <L><![CDATA[Lookup Label <CategoryNumber>.]]></L>
                                </LuTblLblProps>
                              </LuTblLbl>
                            </Ctg>
                            <Ctg>
                              <LuTblLbl>
                                <LuTblLblProps>
                                  <CLI>3,1,11,False,29</CLI>
                                  <L><![CDATA[Lookup Label <CategoryNumber>.]]></L>
                                </LuTblLblProps>
                              </LuTblLbl>
                            </Ctg>
                            <Ctg>
                              <LuTblLbl>
                                <LuTblLblProps>
                                  <CLI>3,1,11,False,30</CLI>
                                  <L><![CDATA[Lookup Label <CategoryNumber>.]]></L>
                                </LuTblLblProps>
                              </LuTblLbl>
                            </Ctg>
                            <Ctg>
                              <LuTblLbl>
                                <LuTblLblProps>
                                  <CLI>3,1,11,False,31</CLI>
                                  <L><![CDATA[Lookup Label <CategoryNumber>.]]></L>
                                </LuTblLblProps>
                              </LuTblLbl>
                            </Ctg>
                            <Ctg>
                              <LuTblLbl>
                                <LuTblLblProps>
                                  <CLI>3,1,11,False,32</CLI>
                                  <L><![CDATA[Lookup Label <CategoryNumber>.]]></L>
                                </LuTblLblProps>
                              </LuTblLbl>
                            </Ctg>
                            <Ctg>
                              <LuTblLbl>
                                <LuTblLblProps>
                                  <CLI>3,1,11,False,33</CLI>
                                  <L><![CDATA[Lookup Label <CategoryNumber>.]]></L>
                                </LuTblLblProps>
                              </LuTblLbl>
                            </Ctg>
                            <Ctg>
                              <LuTblLbl>
                                <LuTblLblProps>
                                  <CLI>3,1,11,False,34</CLI>
                                  <L><![CDATA[Lookup Label <CategoryNumber>.]]></L>
                                </LuTblLblProps>
                              </LuTblLbl>
                            </Ctg>
                            <Ctg>
                              <LuTblLbl>
                                <LuTblLblProps>
                                  <CLI>3,1,11,False,35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15,1,1,0,0,0,FALSE,FALSE§Z¿]]></VOFFF>
                              </ClmnBlkPtProps>
                              <RgeNmes>
                                <RgeNme>
                                  <RgeNmeProps>
                                    <CBPLI>3,1,16,1,1</CBPLI>
                                    <MCN>3</MCN>
                                    <SN>1</SN>
                                    <EN>16</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RES_Allowances]]></VOFFF>
                              </ClmnBlkPtProps>
                            </ClmnBlkPt>
                          </ClmnBlkPts>
                        </ClmnBlk>
                      </ClmnBlks>
                      <SubTtls>
                        <SubTtl>
                          <Ctgs>
                            <Ctg>
                              <LuTblLbl>
                                <LuTblLblProps>
                                  <CLI>3,1,16,False,1</CLI>
                                  <L><![CDATA[Lookup Label <CategoryNumber>.]]></L>
                                </LuTblLblProps>
                              </LuTblLbl>
                            </Ctg>
                            <Ctg>
                              <LuTblLbl>
                                <LuTblLblProps>
                                  <CLI>3,1,16,False,2</CLI>
                                  <L><![CDATA[Lookup Label <CategoryNumber>.]]></L>
                                </LuTblLblProps>
                              </LuTblLbl>
                            </Ctg>
                            <Ctg>
                              <LuTblLbl>
                                <LuTblLblProps>
                                  <CLI>3,1,16,False,3</CLI>
                                  <L><![CDATA[Lookup Label <CategoryNumber>.]]></L>
                                </LuTblLblProps>
                              </LuTblLbl>
                            </Ctg>
                            <Ctg>
                              <LuTblLbl>
                                <LuTblLblProps>
                                  <CLI>3,1,16,False,4</CLI>
                                  <L><![CDATA[Lookup Label <CategoryNumber>.]]></L>
                                </LuTblLblProps>
                              </LuTblLbl>
                            </Ctg>
                            <Ctg>
                              <LuTblLbl>
                                <LuTblLblProps>
                                  <CLI>3,1,16,False,5</CLI>
                                  <L><![CDATA[Lookup Label <CategoryNumber>.]]></L>
                                </LuTblLblProps>
                              </LuTblLbl>
                            </Ctg>
                            <Ctg>
                              <LuTblLbl>
                                <LuTblLblProps>
                                  <CLI>3,1,16,False,6</CLI>
                                  <L><![CDATA[Lookup Label <CategoryNumber>.]]></L>
                                </LuTblLblProps>
                              </LuTblLbl>
                            </Ctg>
                            <Ctg>
                              <LuTblLbl>
                                <LuTblLblProps>
                                  <CLI>3,1,16,False,7</CLI>
                                  <L><![CDATA[Lookup Label <CategoryNumber>.]]></L>
                                </LuTblLblProps>
                              </LuTblLbl>
                            </Ctg>
                            <Ctg>
                              <LuTblLbl>
                                <LuTblLblProps>
                                  <CLI>3,1,16,False,8</CLI>
                                  <L><![CDATA[Lookup Label <CategoryNumber>.]]></L>
                                </LuTblLblProps>
                              </LuTblLbl>
                            </Ctg>
                            <Ctg>
                              <LuTblLbl>
                                <LuTblLblProps>
                                  <CLI>3,1,16,False,9</CLI>
                                  <L><![CDATA[Lookup Label <CategoryNumber>.]]></L>
                                </LuTblLblProps>
                              </LuTblLbl>
                            </Ctg>
                            <Ctg>
                              <LuTblLbl>
                                <LuTblLblProps>
                                  <CLI>3,1,16,False,10</CLI>
                                  <L><![CDATA[Lookup Label <CategoryNumber>.]]></L>
                                </LuTblLblProps>
                              </LuTblLbl>
                            </Ctg>
                            <Ctg>
                              <LuTblLbl>
                                <LuTblLblProps>
                                  <CLI>3,1,16,False,11</CLI>
                                  <L><![CDATA[Lookup Label <CategoryNumber>.]]></L>
                                </LuTblLblProps>
                              </LuTblLbl>
                            </Ctg>
                            <Ctg>
                              <LuTblLbl>
                                <LuTblLblProps>
                                  <CLI>3,1,16,False,12</CLI>
                                  <L><![CDATA[Lookup Label <CategoryNumber>.]]></L>
                                </LuTblLblProps>
                              </LuTblLbl>
                            </Ctg>
                            <Ctg>
                              <LuTblLbl>
                                <LuTblLblProps>
                                  <CLI>3,1,16,False,13</CLI>
                                  <L><![CDATA[Lookup Label <CategoryNumber>.]]></L>
                                </LuTblLblProps>
                              </LuTblLbl>
                            </Ctg>
                            <Ctg>
                              <LuTblLbl>
                                <LuTblLblProps>
                                  <CLI>3,1,16,False,14</CLI>
                                  <L><![CDATA[Lookup Label <CategoryNumber>.]]></L>
                                </LuTblLblProps>
                              </LuTblLbl>
                            </Ctg>
                            <Ctg>
                              <LuTblLbl>
                                <LuTblLblProps>
                                  <CLI>3,1,16,False,15</CLI>
                                  <L><![CDATA[Lookup Label <CategoryNumber>.]]></L>
                                </LuTblLblProps>
                              </LuTblLbl>
                            </Ctg>
                            <Ctg>
                              <LuTblLbl>
                                <LuTblLblProps>
                                  <CLI>3,1,16,False,16</CLI>
                                  <L><![CDATA[Lookup Label <CategoryNumber>.]]></L>
                                </LuTblLblProps>
                              </LuTblLbl>
                            </Ctg>
                            <Ctg>
                              <LuTblLbl>
                                <LuTblLblProps>
                                  <CLI>3,1,16,False,17</CLI>
                                  <L><![CDATA[Lookup Label <CategoryNumber>.]]></L>
                                </LuTblLblProps>
                              </LuTblLbl>
                            </Ctg>
                            <Ctg>
                              <LuTblLbl>
                                <LuTblLblProps>
                                  <CLI>3,1,16,False,18</CLI>
                                  <L><![CDATA[Lookup Label <CategoryNumber>.]]></L>
                                </LuTblLblProps>
                              </LuTblLbl>
                            </Ctg>
                            <Ctg>
                              <LuTblLbl>
                                <LuTblLblProps>
                                  <CLI>3,1,16,False,19</CLI>
                                  <L><![CDATA[Lookup Label <CategoryNumber>.]]></L>
                                </LuTblLblProps>
                              </LuTblLbl>
                            </Ctg>
                            <Ctg>
                              <LuTblLbl>
                                <LuTblLblProps>
                                  <CLI>3,1,16,False,20</CLI>
                                  <L><![CDATA[Lookup Label <CategoryNumber>.]]></L>
                                </LuTblLblProps>
                              </LuTblLbl>
                            </Ctg>
                            <Ctg>
                              <LuTblLbl>
                                <LuTblLblProps>
                                  <CLI>3,1,16,False,21</CLI>
                                  <L><![CDATA[Lookup Label <CategoryNumber>.]]></L>
                                </LuTblLblProps>
                              </LuTblLbl>
                            </Ctg>
                            <Ctg>
                              <LuTblLbl>
                                <LuTblLblProps>
                                  <CLI>3,1,16,False,22</CLI>
                                  <L><![CDATA[Lookup Label <CategoryNumber>.]]></L>
                                </LuTblLblProps>
                              </LuTblLbl>
                            </Ctg>
                            <Ctg>
                              <LuTblLbl>
                                <LuTblLblProps>
                                  <CLI>3,1,16,False,23</CLI>
                                  <L><![CDATA[Lookup Label <CategoryNumber>.]]></L>
                                </LuTblLblProps>
                              </LuTblLbl>
                            </Ctg>
                            <Ctg>
                              <LuTblLbl>
                                <LuTblLblProps>
                                  <CLI>3,1,16,False,24</CLI>
                                  <L><![CDATA[Lookup Label <CategoryNumber>.]]></L>
                                </LuTblLblProps>
                              </LuTblLbl>
                            </Ctg>
                            <Ctg>
                              <LuTblLbl>
                                <LuTblLblProps>
                                  <CLI>3,1,16,False,25</CLI>
                                  <L><![CDATA[Lookup Label <CategoryNumber>.]]></L>
                                </LuTblLblProps>
                              </LuTblLbl>
                            </Ctg>
                            <Ctg>
                              <LuTblLbl>
                                <LuTblLblProps>
                                  <CLI>3,1,16,False,26</CLI>
                                  <L><![CDATA[Lookup Label <CategoryNumber>.]]></L>
                                </LuTblLblProps>
                              </LuTblLbl>
                            </Ctg>
                            <Ctg>
                              <LuTblLbl>
                                <LuTblLblProps>
                                  <CLI>3,1,16,False,27</CLI>
                                  <L><![CDATA[Lookup Label <CategoryNumber>.]]></L>
                                </LuTblLblProps>
                              </LuTblLbl>
                            </Ctg>
                            <Ctg>
                              <LuTblLbl>
                                <LuTblLblProps>
                                  <CLI>3,1,16,False,28</CLI>
                                  <L><![CDATA[Lookup Label <CategoryNumber>.]]></L>
                                </LuTblLblProps>
                              </LuTblLbl>
                            </Ctg>
                            <Ctg>
                              <LuTblLbl>
                                <LuTblLblProps>
                                  <CLI>3,1,16,False,29</CLI>
                                  <L><![CDATA[Lookup Label <CategoryNumber>.]]></L>
                                </LuTblLblProps>
                              </LuTblLbl>
                            </Ctg>
                            <Ctg>
                              <LuTblLbl>
                                <LuTblLblProps>
                                  <CLI>3,1,16,False,30</CLI>
                                  <L><![CDATA[Lookup Label <CategoryNumber>.]]></L>
                                </LuTblLblProps>
                              </LuTblLbl>
                            </Ctg>
                            <Ctg>
                              <LuTblLbl>
                                <LuTblLblProps>
                                  <CLI>3,1,16,False,31</CLI>
                                  <L><![CDATA[Lookup Label <CategoryNumber>.]]></L>
                                </LuTblLblProps>
                              </LuTblLbl>
                            </Ctg>
                            <Ctg>
                              <LuTblLbl>
                                <LuTblLblProps>
                                  <CLI>3,1,16,False,32</CLI>
                                  <L><![CDATA[Lookup Label <CategoryNumber>.]]></L>
                                </LuTblLblProps>
                              </LuTblLbl>
                            </Ctg>
                            <Ctg>
                              <LuTblLbl>
                                <LuTblLblProps>
                                  <CLI>3,1,16,False,33</CLI>
                                  <L><![CDATA[Lookup Label <CategoryNumber>.]]></L>
                                </LuTblLblProps>
                              </LuTblLbl>
                            </Ctg>
                            <Ctg>
                              <LuTblLbl>
                                <LuTblLblProps>
                                  <CLI>3,1,16,False,34</CLI>
                                  <L><![CDATA[Lookup Label <CategoryNumber>.]]></L>
                                </LuTblLblProps>
                              </LuTblLbl>
                            </Ctg>
                            <Ctg>
                              <LuTblLbl>
                                <LuTblLblProps>
                                  <CLI>3,1,16,False,35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4</EGN>
                      </ElmtProps>
                      <ClmnBlks>
                        <ClmnBlk>
                          <ClmnBlkProps>
                            <FCPT>0</FCPT>
                            <FCN>4</FCN>
                            <LCPT>0</LCPT>
                            <LCN>4</LCN>
                          </ClmnBlkProps>
                          <ClmnBlkPts>
                            <ClmnBlkPt>
                              <ClmnBlkPtProps>
                                <CBPT>0</CBPT>
                                <ST>25</ST>
                                <VOFFF><![CDATA[=§A¿0,1,0,1,19,2,1,0,0,0,FALSE,FALSE§Z¿]]></VOFFF>
                              </ClmnBlkPtProps>
                              <RgeNmes>
                                <RgeNme>
                                  <RgeNmeProps>
                                    <CBPLI>3,1,21,1,1</CBPLI>
                                    <MCN>3</MCN>
                                    <SN>1</SN>
                                    <EN>21</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RES_Supplies]]></VOFFF>
                              </ClmnBlkPtProps>
                            </ClmnBlkPt>
                          </ClmnBlkPts>
                        </ClmnBlk>
                      </ClmnBlks>
                      <SubTtls>
                        <SubTtl>
                          <Ctgs>
                            <Ctg>
                              <LuTblLbl>
                                <LuTblLblProps>
                                  <CLI>3,1,21,False,1</CLI>
                                  <L><![CDATA[Lookup Label <CategoryNumber>.]]></L>
                                </LuTblLblProps>
                              </LuTblLbl>
                            </Ctg>
                            <Ctg>
                              <LuTblLbl>
                                <LuTblLblProps>
                                  <CLI>3,1,21,False,2</CLI>
                                  <L><![CDATA[Lookup Label <CategoryNumber>.]]></L>
                                </LuTblLblProps>
                              </LuTblLbl>
                            </Ctg>
                            <Ctg>
                              <LuTblLbl>
                                <LuTblLblProps>
                                  <CLI>3,1,21,False,3</CLI>
                                  <L><![CDATA[Lookup Label <CategoryNumber>.]]></L>
                                </LuTblLblProps>
                              </LuTblLbl>
                            </Ctg>
                            <Ctg>
                              <LuTblLbl>
                                <LuTblLblProps>
                                  <CLI>3,1,21,False,4</CLI>
                                  <L><![CDATA[Lookup Label <CategoryNumber>.]]></L>
                                </LuTblLblProps>
                              </LuTblLbl>
                            </Ctg>
                            <Ctg>
                              <LuTblLbl>
                                <LuTblLblProps>
                                  <CLI>3,1,21,False,5</CLI>
                                  <L><![CDATA[Lookup Label <CategoryNumber>.]]></L>
                                </LuTblLblProps>
                              </LuTblLbl>
                            </Ctg>
                            <Ctg>
                              <LuTblLbl>
                                <LuTblLblProps>
                                  <CLI>3,1,21,False,6</CLI>
                                  <L><![CDATA[Lookup Label <CategoryNumber>.]]></L>
                                </LuTblLblProps>
                              </LuTblLbl>
                            </Ctg>
                            <Ctg>
                              <LuTblLbl>
                                <LuTblLblProps>
                                  <CLI>3,1,21,False,7</CLI>
                                  <L><![CDATA[Lookup Label <CategoryNumber>.]]></L>
                                </LuTblLblProps>
                              </LuTblLbl>
                            </Ctg>
                            <Ctg>
                              <LuTblLbl>
                                <LuTblLblProps>
                                  <CLI>3,1,21,False,8</CLI>
                                  <L><![CDATA[Lookup Label <CategoryNumber>.]]></L>
                                </LuTblLblProps>
                              </LuTblLbl>
                            </Ctg>
                            <Ctg>
                              <LuTblLbl>
                                <LuTblLblProps>
                                  <CLI>3,1,21,False,9</CLI>
                                  <L><![CDATA[Lookup Label <CategoryNumber>.]]></L>
                                </LuTblLblProps>
                              </LuTblLbl>
                            </Ctg>
                            <Ctg>
                              <LuTblLbl>
                                <LuTblLblProps>
                                  <CLI>3,1,21,False,10</CLI>
                                  <L><![CDATA[Lookup Label <CategoryNumber>.]]></L>
                                </LuTblLblProps>
                              </LuTblLbl>
                            </Ctg>
                            <Ctg>
                              <LuTblLbl>
                                <LuTblLblProps>
                                  <CLI>3,1,21,False,11</CLI>
                                  <L><![CDATA[Lookup Label <CategoryNumber>.]]></L>
                                </LuTblLblProps>
                              </LuTblLbl>
                            </Ctg>
                            <Ctg>
                              <LuTblLbl>
                                <LuTblLblProps>
                                  <CLI>3,1,21,False,12</CLI>
                                  <L><![CDATA[Lookup Label <CategoryNumber>.]]></L>
                                </LuTblLblProps>
                              </LuTblLbl>
                            </Ctg>
                            <Ctg>
                              <LuTblLbl>
                                <LuTblLblProps>
                                  <CLI>3,1,21,False,13</CLI>
                                  <L><![CDATA[Lookup Label <CategoryNumber>.]]></L>
                                </LuTblLblProps>
                              </LuTblLbl>
                            </Ctg>
                            <Ctg>
                              <LuTblLbl>
                                <LuTblLblProps>
                                  <CLI>3,1,21,False,14</CLI>
                                  <L><![CDATA[Lookup Label <CategoryNumber>.]]></L>
                                </LuTblLblProps>
                              </LuTblLbl>
                            </Ctg>
                            <Ctg>
                              <LuTblLbl>
                                <LuTblLblProps>
                                  <CLI>3,1,21,False,15</CLI>
                                  <L><![CDATA[Lookup Label <CategoryNumber>.]]></L>
                                </LuTblLblProps>
                              </LuTblLbl>
                            </Ctg>
                            <Ctg>
                              <LuTblLbl>
                                <LuTblLblProps>
                                  <CLI>3,1,21,False,16</CLI>
                                  <L><![CDATA[Lookup Label <CategoryNumber>.]]></L>
                                </LuTblLblProps>
                              </LuTblLbl>
                            </Ctg>
                            <Ctg>
                              <LuTblLbl>
                                <LuTblLblProps>
                                  <CLI>3,1,21,False,17</CLI>
                                  <L><![CDATA[Lookup Label <CategoryNumber>.]]></L>
                                </LuTblLblProps>
                              </LuTblLbl>
                            </Ctg>
                            <Ctg>
                              <LuTblLbl>
                                <LuTblLblProps>
                                  <CLI>3,1,21,False,18</CLI>
                                  <L><![CDATA[Lookup Label <CategoryNumber>.]]></L>
                                </LuTblLblProps>
                              </LuTblLbl>
                            </Ctg>
                            <Ctg>
                              <LuTblLbl>
                                <LuTblLblProps>
                                  <CLI>3,1,21,False,19</CLI>
                                  <L><![CDATA[Lookup Label <CategoryNumber>.]]></L>
                                </LuTblLblProps>
                              </LuTblLbl>
                            </Ctg>
                            <Ctg>
                              <LuTblLbl>
                                <LuTblLblProps>
                                  <CLI>3,1,21,False,20</CLI>
                                  <L><![CDATA[Lookup Label <CategoryNumber>.]]></L>
                                </LuTblLblProps>
                              </LuTblLbl>
                            </Ctg>
                            <Ctg>
                              <LuTblLbl>
                                <LuTblLblProps>
                                  <CLI>3,1,21,False,21</CLI>
                                  <L><![CDATA[Lookup Label <CategoryNumber>.]]></L>
                                </LuTblLblProps>
                              </LuTblLbl>
                            </Ctg>
                            <Ctg>
                              <LuTblLbl>
                                <LuTblLblProps>
                                  <CLI>3,1,21,False,22</CLI>
                                  <L><![CDATA[Lookup Label <CategoryNumber>.]]></L>
                                </LuTblLblProps>
                              </LuTblLbl>
                            </Ctg>
                            <Ctg>
                              <LuTblLbl>
                                <LuTblLblProps>
                                  <CLI>3,1,21,False,23</CLI>
                                  <L><![CDATA[Lookup Label <CategoryNumber>.]]></L>
                                </LuTblLblProps>
                              </LuTblLbl>
                            </Ctg>
                            <Ctg>
                              <LuTblLbl>
                                <LuTblLblProps>
                                  <CLI>3,1,21,False,24</CLI>
                                  <L><![CDATA[Lookup Label <CategoryNumber>.]]></L>
                                </LuTblLblProps>
                              </LuTblLbl>
                            </Ctg>
                            <Ctg>
                              <LuTblLbl>
                                <LuTblLblProps>
                                  <CLI>3,1,21,False,25</CLI>
                                  <L><![CDATA[Lookup Label <CategoryNumber>.]]></L>
                                </LuTblLblProps>
                              </LuTblLbl>
                            </Ctg>
                            <Ctg>
                              <LuTblLbl>
                                <LuTblLblProps>
                                  <CLI>3,1,21,False,26</CLI>
                                  <L><![CDATA[Lookup Label <CategoryNumber>.]]></L>
                                </LuTblLblProps>
                              </LuTblLbl>
                            </Ctg>
                            <Ctg>
                              <LuTblLbl>
                                <LuTblLblProps>
                                  <CLI>3,1,21,False,27</CLI>
                                  <L><![CDATA[Lookup Label <CategoryNumber>.]]></L>
                                </LuTblLblProps>
                              </LuTblLbl>
                            </Ctg>
                            <Ctg>
                              <LuTblLbl>
                                <LuTblLblProps>
                                  <CLI>3,1,21,False,28</CLI>
                                  <L><![CDATA[Lookup Label <CategoryNumber>.]]></L>
                                </LuTblLblProps>
                              </LuTblLbl>
                            </Ctg>
                            <Ctg>
                              <LuTblLbl>
                                <LuTblLblProps>
                                  <CLI>3,1,21,False,29</CLI>
                                  <L><![CDATA[Lookup Label <CategoryNumber>.]]></L>
                                </LuTblLblProps>
                              </LuTblLbl>
                            </Ctg>
                            <Ctg>
                              <LuTblLbl>
                                <LuTblLblProps>
                                  <CLI>3,1,21,False,30</CLI>
                                  <L><![CDATA[Lookup Label <CategoryNumber>.]]></L>
                                </LuTblLblProps>
                              </LuTblLbl>
                            </Ctg>
                            <Ctg>
                              <LuTblLbl>
                                <LuTblLblProps>
                                  <CLI>3,1,21,False,31</CLI>
                                  <L><![CDATA[Lookup Label <CategoryNumber>.]]></L>
                                </LuTblLblProps>
                              </LuTblLbl>
                            </Ctg>
                            <Ctg>
                              <LuTblLbl>
                                <LuTblLblProps>
                                  <CLI>3,1,21,False,32</CLI>
                                  <L><![CDATA[Lookup Label <CategoryNumber>.]]></L>
                                </LuTblLblProps>
                              </LuTblLbl>
                            </Ctg>
                            <Ctg>
                              <LuTblLbl>
                                <LuTblLblProps>
                                  <CLI>3,1,21,False,33</CLI>
                                  <L><![CDATA[Lookup Label <CategoryNumber>.]]></L>
                                </LuTblLblProps>
                              </LuTblLbl>
                            </Ctg>
                            <Ctg>
                              <LuTblLbl>
                                <LuTblLblProps>
                                  <CLI>3,1,21,False,34</CLI>
                                  <L><![CDATA[Lookup Label <CategoryNumber>.]]></L>
                                </LuTblLblProps>
                              </LuTblLbl>
                            </Ctg>
                            <Ctg>
                              <LuTblLbl>
                                <LuTblLblProps>
                                  <CLI>3,1,21,False,35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3</EGN>
                      </ElmtProps>
                      <ClmnBlks>
                        <ClmnBlk>
                          <ClmnBlkProps>
                            <FCPT>0</FCPT>
                            <FCN>4</FCN>
                            <LCPT>0</LCPT>
                            <LCN>4</LCN>
                          </ClmnBlkProps>
                          <ClmnBlkPts>
                            <ClmnBlkPt>
                              <ClmnBlkPtProps>
                                <CBPT>0</CBPT>
                                <ST>25</ST>
                                <VOFFF><![CDATA[=§A¿0,1,0,1,24,1,1,0,0,0,FALSE,FALSE§Z¿]]></VOFFF>
                              </ClmnBlkPtProps>
                              <RgeNmes>
                                <RgeNme>
                                  <RgeNmeProps>
                                    <CBPLI>3,1,26,1,1</CBPLI>
                                    <MCN>3</MCN>
                                    <SN>1</SN>
                                    <EN>26</EN>
                                    <CN>0</CN>
                                    <CBN>1</CBN>
                                    <CBPN>1</CBPN>
                                    <PT>1</PT>
                                    <CBPRNT>2</CBPRNT>
                                    <NT>11</NT>
                                    <SP1><![CDATA[Equip]]></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RES_Equip]]></VOFFF>
                              </ClmnBlkPtProps>
                            </ClmnBlkPt>
                          </ClmnBlkPts>
                        </ClmnBlk>
                      </ClmnBlks>
                      <SubTtls>
                        <SubTtl>
                          <Ctgs>
                            <Ctg>
                              <LuTblLbl>
                                <LuTblLblProps>
                                  <CLI>3,1,26,False,1</CLI>
                                  <L><![CDATA[Lookup Label <CategoryNumber>.]]></L>
                                </LuTblLblProps>
                              </LuTblLbl>
                            </Ctg>
                            <Ctg>
                              <LuTblLbl>
                                <LuTblLblProps>
                                  <CLI>3,1,26,False,2</CLI>
                                  <L><![CDATA[Lookup Label <CategoryNumber>.]]></L>
                                </LuTblLblProps>
                              </LuTblLbl>
                            </Ctg>
                            <Ctg>
                              <LuTblLbl>
                                <LuTblLblProps>
                                  <CLI>3,1,26,False,3</CLI>
                                  <L><![CDATA[Lookup Label <CategoryNumber>.]]></L>
                                </LuTblLblProps>
                              </LuTblLbl>
                            </Ctg>
                            <Ctg>
                              <LuTblLbl>
                                <LuTblLblProps>
                                  <CLI>3,1,26,False,4</CLI>
                                  <L><![CDATA[Lookup Label <CategoryNumber>.]]></L>
                                </LuTblLblProps>
                              </LuTblLbl>
                            </Ctg>
                            <Ctg>
                              <LuTblLbl>
                                <LuTblLblProps>
                                  <CLI>3,1,26,False,5</CLI>
                                  <L><![CDATA[Lookup Label <CategoryNumber>.]]></L>
                                </LuTblLblProps>
                              </LuTblLbl>
                            </Ctg>
                            <Ctg>
                              <LuTblLbl>
                                <LuTblLblProps>
                                  <CLI>3,1,26,False,6</CLI>
                                  <L><![CDATA[Lookup Label <CategoryNumber>.]]></L>
                                </LuTblLblProps>
                              </LuTblLbl>
                            </Ctg>
                            <Ctg>
                              <LuTblLbl>
                                <LuTblLblProps>
                                  <CLI>3,1,26,False,7</CLI>
                                  <L><![CDATA[Lookup Label <CategoryNumber>.]]></L>
                                </LuTblLblProps>
                              </LuTblLbl>
                            </Ctg>
                            <Ctg>
                              <LuTblLbl>
                                <LuTblLblProps>
                                  <CLI>3,1,26,False,8</CLI>
                                  <L><![CDATA[Lookup Label <CategoryNumber>.]]></L>
                                </LuTblLblProps>
                              </LuTblLbl>
                            </Ctg>
                            <Ctg>
                              <LuTblLbl>
                                <LuTblLblProps>
                                  <CLI>3,1,26,False,9</CLI>
                                  <L><![CDATA[Lookup Label <CategoryNumber>.]]></L>
                                </LuTblLblProps>
                              </LuTblLbl>
                            </Ctg>
                            <Ctg>
                              <LuTblLbl>
                                <LuTblLblProps>
                                  <CLI>3,1,26,False,10</CLI>
                                  <L><![CDATA[Lookup Label <CategoryNumber>.]]></L>
                                </LuTblLblProps>
                              </LuTblLbl>
                            </Ctg>
                            <Ctg>
                              <LuTblLbl>
                                <LuTblLblProps>
                                  <CLI>3,1,26,False,11</CLI>
                                  <L><![CDATA[Lookup Label <CategoryNumber>.]]></L>
                                </LuTblLblProps>
                              </LuTblLbl>
                            </Ctg>
                            <Ctg>
                              <LuTblLbl>
                                <LuTblLblProps>
                                  <CLI>3,1,26,False,12</CLI>
                                  <L><![CDATA[Lookup Label <CategoryNumber>.]]></L>
                                </LuTblLblProps>
                              </LuTblLbl>
                            </Ctg>
                            <Ctg>
                              <LuTblLbl>
                                <LuTblLblProps>
                                  <CLI>3,1,26,False,13</CLI>
                                  <L><![CDATA[Lookup Label <CategoryNumber>.]]></L>
                                </LuTblLblProps>
                              </LuTblLbl>
                            </Ctg>
                            <Ctg>
                              <LuTblLbl>
                                <LuTblLblProps>
                                  <CLI>3,1,26,False,14</CLI>
                                  <L><![CDATA[Lookup Label <CategoryNumber>.]]></L>
                                </LuTblLblProps>
                              </LuTblLbl>
                            </Ctg>
                            <Ctg>
                              <LuTblLbl>
                                <LuTblLblProps>
                                  <CLI>3,1,26,False,15</CLI>
                                  <L><![CDATA[Lookup Label <CategoryNumber>.]]></L>
                                </LuTblLblProps>
                              </LuTblLbl>
                            </Ctg>
                            <Ctg>
                              <LuTblLbl>
                                <LuTblLblProps>
                                  <CLI>3,1,26,False,16</CLI>
                                  <L><![CDATA[Lookup Label <CategoryNumber>.]]></L>
                                </LuTblLblProps>
                              </LuTblLbl>
                            </Ctg>
                            <Ctg>
                              <LuTblLbl>
                                <LuTblLblProps>
                                  <CLI>3,1,26,False,17</CLI>
                                  <L><![CDATA[Lookup Label <CategoryNumber>.]]></L>
                                </LuTblLblProps>
                              </LuTblLbl>
                            </Ctg>
                            <Ctg>
                              <LuTblLbl>
                                <LuTblLblProps>
                                  <CLI>3,1,26,False,18</CLI>
                                  <L><![CDATA[Lookup Label <CategoryNumber>.]]></L>
                                </LuTblLblProps>
                              </LuTblLbl>
                            </Ctg>
                            <Ctg>
                              <LuTblLbl>
                                <LuTblLblProps>
                                  <CLI>3,1,26,False,19</CLI>
                                  <L><![CDATA[Lookup Label <CategoryNumber>.]]></L>
                                </LuTblLblProps>
                              </LuTblLbl>
                            </Ctg>
                            <Ctg>
                              <LuTblLbl>
                                <LuTblLblProps>
                                  <CLI>3,1,26,False,20</CLI>
                                  <L><![CDATA[Lookup Label <CategoryNumber>.]]></L>
                                </LuTblLblProps>
                              </LuTblLbl>
                            </Ctg>
                            <Ctg>
                              <LuTblLbl>
                                <LuTblLblProps>
                                  <CLI>3,1,26,False,21</CLI>
                                  <L><![CDATA[Lookup Label <CategoryNumber>.]]></L>
                                </LuTblLblProps>
                              </LuTblLbl>
                            </Ctg>
                            <Ctg>
                              <LuTblLbl>
                                <LuTblLblProps>
                                  <CLI>3,1,26,False,22</CLI>
                                  <L><![CDATA[Lookup Label <CategoryNumber>.]]></L>
                                </LuTblLblProps>
                              </LuTblLbl>
                            </Ctg>
                            <Ctg>
                              <LuTblLbl>
                                <LuTblLblProps>
                                  <CLI>3,1,26,False,23</CLI>
                                  <L><![CDATA[Lookup Label <CategoryNumber>.]]></L>
                                </LuTblLblProps>
                              </LuTblLbl>
                            </Ctg>
                            <Ctg>
                              <LuTblLbl>
                                <LuTblLblProps>
                                  <CLI>3,1,26,False,24</CLI>
                                  <L><![CDATA[Lookup Label <CategoryNumber>.]]></L>
                                </LuTblLblProps>
                              </LuTblLbl>
                            </Ctg>
                            <Ctg>
                              <LuTblLbl>
                                <LuTblLblProps>
                                  <CLI>3,1,26,False,25</CLI>
                                  <L><![CDATA[Lookup Label <CategoryNumber>.]]></L>
                                </LuTblLblProps>
                              </LuTblLbl>
                            </Ctg>
                            <Ctg>
                              <LuTblLbl>
                                <LuTblLblProps>
                                  <CLI>3,1,26,False,26</CLI>
                                  <L><![CDATA[Lookup Label <CategoryNumber>.]]></L>
                                </LuTblLblProps>
                              </LuTblLbl>
                            </Ctg>
                            <Ctg>
                              <LuTblLbl>
                                <LuTblLblProps>
                                  <CLI>3,1,26,False,27</CLI>
                                  <L><![CDATA[Lookup Label <CategoryNumber>.]]></L>
                                </LuTblLblProps>
                              </LuTblLbl>
                            </Ctg>
                            <Ctg>
                              <LuTblLbl>
                                <LuTblLblProps>
                                  <CLI>3,1,26,False,28</CLI>
                                  <L><![CDATA[Lookup Label <CategoryNumber>.]]></L>
                                </LuTblLblProps>
                              </LuTblLbl>
                            </Ctg>
                            <Ctg>
                              <LuTblLbl>
                                <LuTblLblProps>
                                  <CLI>3,1,26,False,29</CLI>
                                  <L><![CDATA[Lookup Label <CategoryNumber>.]]></L>
                                </LuTblLblProps>
                              </LuTblLbl>
                            </Ctg>
                            <Ctg>
                              <LuTblLbl>
                                <LuTblLblProps>
                                  <CLI>3,1,26,False,30</CLI>
                                  <L><![CDATA[Lookup Label <CategoryNumber>.]]></L>
                                </LuTblLblProps>
                              </LuTblLbl>
                            </Ctg>
                            <Ctg>
                              <LuTblLbl>
                                <LuTblLblProps>
                                  <CLI>3,1,26,False,31</CLI>
                                  <L><![CDATA[Lookup Label <CategoryNumber>.]]></L>
                                </LuTblLblProps>
                              </LuTblLbl>
                            </Ctg>
                            <Ctg>
                              <LuTblLbl>
                                <LuTblLblProps>
                                  <CLI>3,1,26,False,32</CLI>
                                  <L><![CDATA[Lookup Label <CategoryNumber>.]]></L>
                                </LuTblLblProps>
                              </LuTblLbl>
                            </Ctg>
                            <Ctg>
                              <LuTblLbl>
                                <LuTblLblProps>
                                  <CLI>3,1,26,False,33</CLI>
                                  <L><![CDATA[Lookup Label <CategoryNumber>.]]></L>
                                </LuTblLblProps>
                              </LuTblLbl>
                            </Ctg>
                            <Ctg>
                              <LuTblLbl>
                                <LuTblLblProps>
                                  <CLI>3,1,26,False,34</CLI>
                                  <L><![CDATA[Lookup Label <CategoryNumber>.]]></L>
                                </LuTblLblProps>
                              </LuTblLbl>
                            </Ctg>
                            <Ctg>
                              <LuTblLbl>
                                <LuTblLblProps>
                                  <CLI>3,1,26,False,35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29,1,1,0,0,0,FALSE,FALSE§Z¿]]></VOFFF>
                              </ClmnBlkPtProps>
                              <RgeNmes>
                                <RgeNme>
                                  <RgeNmeProps>
                                    <CBPLI>3,1,31,1,1</CBPLI>
                                    <MCN>3</MCN>
                                    <SN>1</SN>
                                    <EN>31</EN>
                                    <CN>0</CN>
                                    <CBN>1</CBN>
                                    <CBPN>1</CBPN>
                                    <PT>1</PT>
                                    <CBPRNT>2</CBPRNT>
                                    <NT>11</NT>
                                    <SP1><![CDATA[ODC]]></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Other DIrect Cost]]></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RES_ODC]]></VOFFF>
                              </ClmnBlkPtProps>
                            </ClmnBlkPt>
                          </ClmnBlkPts>
                        </ClmnBlk>
                      </ClmnBlks>
                      <SubTtls>
                        <SubTtl>
                          <Ctgs>
                            <Ctg>
                              <LuTblLbl>
                                <LuTblLblProps>
                                  <CLI>3,1,31,False,1</CLI>
                                  <L><![CDATA[Lookup Label <CategoryNumber>.]]></L>
                                </LuTblLblProps>
                              </LuTblLbl>
                            </Ctg>
                            <Ctg>
                              <LuTblLbl>
                                <LuTblLblProps>
                                  <CLI>3,1,31,False,2</CLI>
                                  <L><![CDATA[Lookup Label <CategoryNumber>.]]></L>
                                </LuTblLblProps>
                              </LuTblLbl>
                            </Ctg>
                            <Ctg>
                              <LuTblLbl>
                                <LuTblLblProps>
                                  <CLI>3,1,31,False,3</CLI>
                                  <L><![CDATA[Lookup Label <CategoryNumber>.]]></L>
                                </LuTblLblProps>
                              </LuTblLbl>
                            </Ctg>
                            <Ctg>
                              <LuTblLbl>
                                <LuTblLblProps>
                                  <CLI>3,1,31,False,4</CLI>
                                  <L><![CDATA[Lookup Label <CategoryNumber>.]]></L>
                                </LuTblLblProps>
                              </LuTblLbl>
                            </Ctg>
                            <Ctg>
                              <LuTblLbl>
                                <LuTblLblProps>
                                  <CLI>3,1,31,False,5</CLI>
                                  <L><![CDATA[Lookup Label <CategoryNumber>.]]></L>
                                </LuTblLblProps>
                              </LuTblLbl>
                            </Ctg>
                            <Ctg>
                              <LuTblLbl>
                                <LuTblLblProps>
                                  <CLI>3,1,31,False,6</CLI>
                                  <L><![CDATA[Lookup Label <CategoryNumber>.]]></L>
                                </LuTblLblProps>
                              </LuTblLbl>
                            </Ctg>
                            <Ctg>
                              <LuTblLbl>
                                <LuTblLblProps>
                                  <CLI>3,1,31,False,7</CLI>
                                  <L><![CDATA[Lookup Label <CategoryNumber>.]]></L>
                                </LuTblLblProps>
                              </LuTblLbl>
                            </Ctg>
                            <Ctg>
                              <LuTblLbl>
                                <LuTblLblProps>
                                  <CLI>3,1,31,False,8</CLI>
                                  <L><![CDATA[Lookup Label <CategoryNumber>.]]></L>
                                </LuTblLblProps>
                              </LuTblLbl>
                            </Ctg>
                            <Ctg>
                              <LuTblLbl>
                                <LuTblLblProps>
                                  <CLI>3,1,31,False,9</CLI>
                                  <L><![CDATA[Lookup Label <CategoryNumber>.]]></L>
                                </LuTblLblProps>
                              </LuTblLbl>
                            </Ctg>
                            <Ctg>
                              <LuTblLbl>
                                <LuTblLblProps>
                                  <CLI>3,1,31,False,10</CLI>
                                  <L><![CDATA[Lookup Label <CategoryNumber>.]]></L>
                                </LuTblLblProps>
                              </LuTblLbl>
                            </Ctg>
                            <Ctg>
                              <LuTblLbl>
                                <LuTblLblProps>
                                  <CLI>3,1,31,False,11</CLI>
                                  <L><![CDATA[Lookup Label <CategoryNumber>.]]></L>
                                </LuTblLblProps>
                              </LuTblLbl>
                            </Ctg>
                            <Ctg>
                              <LuTblLbl>
                                <LuTblLblProps>
                                  <CLI>3,1,31,False,12</CLI>
                                  <L><![CDATA[Lookup Label <CategoryNumber>.]]></L>
                                </LuTblLblProps>
                              </LuTblLbl>
                            </Ctg>
                            <Ctg>
                              <LuTblLbl>
                                <LuTblLblProps>
                                  <CLI>3,1,31,False,13</CLI>
                                  <L><![CDATA[Lookup Label <CategoryNumber>.]]></L>
                                </LuTblLblProps>
                              </LuTblLbl>
                            </Ctg>
                            <Ctg>
                              <LuTblLbl>
                                <LuTblLblProps>
                                  <CLI>3,1,31,False,14</CLI>
                                  <L><![CDATA[Lookup Label <CategoryNumber>.]]></L>
                                </LuTblLblProps>
                              </LuTblLbl>
                            </Ctg>
                            <Ctg>
                              <LuTblLbl>
                                <LuTblLblProps>
                                  <CLI>3,1,31,False,15</CLI>
                                  <L><![CDATA[Lookup Label <CategoryNumber>.]]></L>
                                </LuTblLblProps>
                              </LuTblLbl>
                            </Ctg>
                            <Ctg>
                              <LuTblLbl>
                                <LuTblLblProps>
                                  <CLI>3,1,31,False,16</CLI>
                                  <L><![CDATA[Lookup Label <CategoryNumber>.]]></L>
                                </LuTblLblProps>
                              </LuTblLbl>
                            </Ctg>
                            <Ctg>
                              <LuTblLbl>
                                <LuTblLblProps>
                                  <CLI>3,1,31,False,17</CLI>
                                  <L><![CDATA[Lookup Label <CategoryNumber>.]]></L>
                                </LuTblLblProps>
                              </LuTblLbl>
                            </Ctg>
                            <Ctg>
                              <LuTblLbl>
                                <LuTblLblProps>
                                  <CLI>3,1,31,False,18</CLI>
                                  <L><![CDATA[Lookup Label <CategoryNumber>.]]></L>
                                </LuTblLblProps>
                              </LuTblLbl>
                            </Ctg>
                            <Ctg>
                              <LuTblLbl>
                                <LuTblLblProps>
                                  <CLI>3,1,31,False,19</CLI>
                                  <L><![CDATA[Lookup Label <CategoryNumber>.]]></L>
                                </LuTblLblProps>
                              </LuTblLbl>
                            </Ctg>
                            <Ctg>
                              <LuTblLbl>
                                <LuTblLblProps>
                                  <CLI>3,1,31,False,20</CLI>
                                  <L><![CDATA[Lookup Label <CategoryNumber>.]]></L>
                                </LuTblLblProps>
                              </LuTblLbl>
                            </Ctg>
                            <Ctg>
                              <LuTblLbl>
                                <LuTblLblProps>
                                  <CLI>3,1,31,False,21</CLI>
                                  <L><![CDATA[Lookup Label <CategoryNumber>.]]></L>
                                </LuTblLblProps>
                              </LuTblLbl>
                            </Ctg>
                            <Ctg>
                              <LuTblLbl>
                                <LuTblLblProps>
                                  <CLI>3,1,31,False,22</CLI>
                                  <L><![CDATA[Lookup Label <CategoryNumber>.]]></L>
                                </LuTblLblProps>
                              </LuTblLbl>
                            </Ctg>
                            <Ctg>
                              <LuTblLbl>
                                <LuTblLblProps>
                                  <CLI>3,1,31,False,23</CLI>
                                  <L><![CDATA[Lookup Label <CategoryNumber>.]]></L>
                                </LuTblLblProps>
                              </LuTblLbl>
                            </Ctg>
                            <Ctg>
                              <LuTblLbl>
                                <LuTblLblProps>
                                  <CLI>3,1,31,False,24</CLI>
                                  <L><![CDATA[Lookup Label <CategoryNumber>.]]></L>
                                </LuTblLblProps>
                              </LuTblLbl>
                            </Ctg>
                            <Ctg>
                              <LuTblLbl>
                                <LuTblLblProps>
                                  <CLI>3,1,31,False,25</CLI>
                                  <L><![CDATA[Lookup Label <CategoryNumber>.]]></L>
                                </LuTblLblProps>
                              </LuTblLbl>
                            </Ctg>
                            <Ctg>
                              <LuTblLbl>
                                <LuTblLblProps>
                                  <CLI>3,1,31,False,26</CLI>
                                  <L><![CDATA[Lookup Label <CategoryNumber>.]]></L>
                                </LuTblLblProps>
                              </LuTblLbl>
                            </Ctg>
                            <Ctg>
                              <LuTblLbl>
                                <LuTblLblProps>
                                  <CLI>3,1,31,False,27</CLI>
                                  <L><![CDATA[Lookup Label <CategoryNumber>.]]></L>
                                </LuTblLblProps>
                              </LuTblLbl>
                            </Ctg>
                            <Ctg>
                              <LuTblLbl>
                                <LuTblLblProps>
                                  <CLI>3,1,31,False,28</CLI>
                                  <L><![CDATA[Lookup Label <CategoryNumber>.]]></L>
                                </LuTblLblProps>
                              </LuTblLbl>
                            </Ctg>
                            <Ctg>
                              <LuTblLbl>
                                <LuTblLblProps>
                                  <CLI>3,1,31,False,29</CLI>
                                  <L><![CDATA[Lookup Label <CategoryNumber>.]]></L>
                                </LuTblLblProps>
                              </LuTblLbl>
                            </Ctg>
                            <Ctg>
                              <LuTblLbl>
                                <LuTblLblProps>
                                  <CLI>3,1,31,False,30</CLI>
                                  <L><![CDATA[Lookup Label <CategoryNumber>.]]></L>
                                </LuTblLblProps>
                              </LuTblLbl>
                            </Ctg>
                            <Ctg>
                              <LuTblLbl>
                                <LuTblLblProps>
                                  <CLI>3,1,31,False,31</CLI>
                                  <L><![CDATA[Lookup Label <CategoryNumber>.]]></L>
                                </LuTblLblProps>
                              </LuTblLbl>
                            </Ctg>
                            <Ctg>
                              <LuTblLbl>
                                <LuTblLblProps>
                                  <CLI>3,1,31,False,32</CLI>
                                  <L><![CDATA[Lookup Label <CategoryNumber>.]]></L>
                                </LuTblLblProps>
                              </LuTblLbl>
                            </Ctg>
                            <Ctg>
                              <LuTblLbl>
                                <LuTblLblProps>
                                  <CLI>3,1,31,False,33</CLI>
                                  <L><![CDATA[Lookup Label <CategoryNumber>.]]></L>
                                </LuTblLblProps>
                              </LuTblLbl>
                            </Ctg>
                            <Ctg>
                              <LuTblLbl>
                                <LuTblLblProps>
                                  <CLI>3,1,31,False,34</CLI>
                                  <L><![CDATA[Lookup Label <CategoryNumber>.]]></L>
                                </LuTblLblProps>
                              </LuTblLbl>
                            </Ctg>
                            <Ctg>
                              <LuTblLbl>
                                <LuTblLblProps>
                                  <CLI>3,1,31,False,35</CLI>
                                  <L><![CDATA[Lookup Label <CategoryNumber>.]]></L>
                                </LuTblLblProps>
                              </LuTblLbl>
                            </Ctg>
                          </Ctgs>
                        </SubTtl>
                      </SubTtls>
                      <TtlCtg/>
                    </Elmt>
                  </Elmts>
                </Sect>
              </Sects>
            </ModComp>
          </ModComps>
        </Mod>
        <Mod>
          <ModProps>
            <MVS>10.16.9.0</MVS>
            <RAV/>
            <RXV>0</RXV>
            <FV>3</FV>
            <MT>0</MT>
            <SCT>-1</SCT>
            <P><![CDATA[Count]]></P>
            <OI>0</OI>
            <MN>1</MN>
            <MAG>48B2C558-7DFB-4D85-8940-C66816DD84A3</MAG>
            <BN><![CDATA[Counts]]></BN>
            <N><![CDATA[Counts]]></N>
            <TS><![CDATA[Annual]]></TS>
            <D><![CDATA[Used for counting target populations, facilities, etc.]]></D>
            <FS/>
            <R/>
            <GE/>
            <CA/>
            <VA/>
            <GST/>
            <DE/>
            <E/>
            <C/>
            <W/>
            <K/>
            <CO/>
            <V>1.0.0.0.</V>
            <AX/>
            <PMLO>False</PMLO>
            <IPMLO>False</IPMLO>
            <MACA>1</MACA>
            <RTSM>True</RTSM>
            <CC>True</CC>
            <X>False</X>
            <G>0AF691FE-7EF8-476B-9B53-2590DE620579</G>
          </ModProps>
          <RowStgs>
            <RowStg>
              <RowStgProps>
                <RSN>1</RSN>
                <RHST>0</RHST>
                <HS>0</HS>
                <OL>2</OL>
                <RH>True</RH>
              </RowStgProps>
            </RowStg>
            <RowStg>
              <RowStgProps>
                <RSN>2</RSN>
                <RHST>0</RHST>
                <HS>0</HS>
                <OL>1</OL>
                <RH>True</RH>
              </RowStgProps>
            </RowStg>
          </RowStgs>
          <StlOvlys>
            <StlOvly>
              <StlOvlyProps>
                <SON>1</SON>
                <IHA>True</IHA>
                <HA>-4108</HA>
              </StlOvlyProps>
            </StlOvly>
            <StlOvly>
              <StlOvlyProps>
                <SON>2</SON>
                <INF>True</INF>
                <NT>0</NT>
                <DP>0</DP>
                <CNF/>
              </StlOvlyProps>
            </StlOvly>
            <StlOvly>
              <StlOvlyProps>
                <SON>3</SON>
                <INF>True</INF>
                <NT>1</NT>
                <DP>0</DP>
                <CNF/>
              </StlOvlyProps>
            </StlOvly>
            <StlOvly>
              <StlOvlyProps>
                <SON>4</SON>
                <INF>True</INF>
                <NT>0</NT>
                <DP>0</DP>
                <CNF/>
              </StlOvlyProps>
              <FntOvly>
                <FntOvlyProps>
                  <PT>1</PT>
                  <SON>4</SON>
                  <CBPLI>0,0,0,0,0</CBPLI>
                  <FCN>0</FCN>
                  <CN>0</CN>
                  <IB>True</IB>
                  <B>True</B>
                </FntOvlyProps>
              </FntOvly>
            </StlOvly>
            <StlOvly>
              <StlOvlyProps>
                <SON>5</SON>
                <INF>True</INF>
                <NT>1</NT>
                <DP>0</DP>
                <CNF/>
              </StlOvlyProps>
              <FntOvly>
                <FntOvlyProps>
                  <PT>1</PT>
                  <SON>5</SON>
                  <CBPLI>0,0,0,0,0</CBPLI>
                  <FCN>0</FCN>
                  <CN>0</CN>
                  <IB>True</IB>
                  <B>True</B>
                </FntOvlyProps>
              </FntOvly>
            </StlOvly>
            <StlOvly>
              <StlOvlyProps>
                <SON>6</SON>
              </StlOvlyProps>
              <FntOvly>
                <FntOvlyProps>
                  <PT>1</PT>
                  <SON>6</SON>
                  <CBPLI>0,0,0,0,0</CBPLI>
                  <FCN>0</FCN>
                  <CN>0</CN>
                  <IB>True</IB>
                  <B>True</B>
                </FntOvlyProps>
              </FntOvly>
            </StlOvly>
            <StlOvly>
              <StlOvlyProps>
                <SON>7</SON>
                <INF>True</INF>
                <NT>0</NT>
                <DP>0</DP>
                <CNF/>
              </StlOvlyProps>
              <IntOvly>
                <IntOvlyProps>
                  <PT>1</PT>
                  <SON>7</SON>
                  <CBPLI/>
                  <FCN>0</FCN>
                  <IC>True</IC>
                </IntOvlyProps>
              </IntOvly>
            </StlOvly>
            <StlOvly>
              <StlOvlyProps>
                <SON>8</SON>
              </StlOvlyProps>
              <IntOvly>
                <IntOvlyProps>
                  <PT>1</PT>
                  <SON>8</SON>
                  <CBPLI/>
                  <FCN>0</FCN>
                  <IC>True</IC>
                </IntOvlyProps>
              </IntOvly>
            </StlOvly>
          </StlOvlys>
          <ElmtsGrps>
            <ElmtsGrp>
              <ElmtsGrpProps>
                <NU>1</NU>
                <NA><![CDATA[Area_Counts]]></NA>
                <EGT>0</EGT>
                <DCC>10</DCC>
                <AST>False</AST>
                <ISTH>True</ISTH>
                <PTMCN>0</PTMCN>
                <PTBN>0</PTBN>
                <PTBI>0</PTBI>
                <GLN/>
                <CLOT>0</CLOT>
                <CLIT>0</CLIT>
                <PMLO>0</PMLO>
                <IPMLO>0</IPMLO>
              </ElmtsGrpProps>
            </ElmtsGrp>
          </ElmtsGrps>
          <ModComps>
            <ModComp>
              <ModCompProps>
                <MN>4</MN>
                <MCN>1</MCN>
                <MCTK>BaseCase</MCTK>
                <RT><![CDATA[<ModuleName> - Assumptions]]></RT>
                <ERN>BPMMC119</ERN>
                <MCST>0</MCST>
                <IPMC>False</IPMC>
                <SN>6</SN>
                <LODS>True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91</CTHN>
                                <ST>3</ST>
                                <VOFFF><![CDATA[<ModuleComponentTitle>]]></VOFFF>
                              </ClmnBlkPtProps>
                              <RgeNmes>
                                <RgeNme>
                                  <RgeNmeProps>
                                    <CBPLI>1,1,3,1,1</CBPLI>
                                    <MCN>1</MCN>
                                    <SN>1</SN>
                                    <EN>3</EN>
                                    <CN>0</CN>
                                    <CBN>1</CBN>
                                    <CBPN>1</CBPN>
                                    <PT>1</PT>
                                    <CBPRNT>6</CBPRNT>
                                    <NT>12</NT>
                                    <SP1><![CDATA[Ass]]></SP1>
                                    <SP2/>
                                    <FFF/>
                                    <CMT/>
                                  </RgeNmeProps>
                                </RgeNme>
                              </RgeNmes>
                            </ClmnBlkPt>
                          </ClmnBlkPts>
                        </ClmnBlk>
                      </ClmnBlks>
                      <TtlCtg/>
                    </Elmt>
                    <Elmt>
                      <ElmtProps>
                        <CPT>2</CPT>
                      </ElmtProps>
                      <ClmnBlks>
                        <ClmnBlk>
                          <ClmnBlkProps>
                            <FCPT>0</FCPT>
                            <FCN>2</FCN>
                            <LCPT>0</LCPT>
                            <LCN>3</LCN>
                          </ClmnBlkProps>
                          <ClmnBlkPts>
                            <ClmnBlkPt>
                              <ClmnBlkPtProps>
                                <CBPT>5</CBPT>
                                <ST>6</ST>
                                <MC>True</MC>
                                <VOFFF><![CDATA[ID]]></VOFFF>
                              </ClmnBlkPtProps>
                            </ClmnBlkPt>
                          </ClmnBlkPts>
                        </ClmnBlk>
                        <ClmnBlk>
                          <ClmnBlkProps>
                            <FCPT>0</FCPT>
                            <FCN>4</FCN>
                            <LCPT>0</LCPT>
                            <LCN>8</LCN>
                          </ClmnBlkProps>
                          <ClmnBlkPts>
                            <ClmnBlkPt>
                              <ClmnBlkPtProps>
                                <CBPT>5</CBPT>
                                <ST>6</ST>
                                <MC>True</MC>
                                <VOFFF><![CDATA[Area Name]]></VOFFF>
                              </ClmnBlkPtProps>
                            </ClmnBlkPt>
                          </ClmnBlkPts>
                        </ClmnBlk>
                        <ClmnBlk>
                          <ClmnBlkProps>
                            <FCPT>0</FCPT>
                            <FCN>9</FCN>
                            <LCPT>0</LCPT>
                            <LCN>9</LCN>
                          </ClmnBlkProps>
                          <ClmnBlkPts>
                            <ClmnBlkPt>
                              <ClmnBlkPtProps>
                                <CBPT>5</CBPT>
                                <ST>6</ST>
                                <VOFFF><![CDATA[Target Pop]]></VOFFF>
                              </ClmnBlkPtProps>
                            </ClmnBlkPt>
                          </ClmnBlkPts>
                        </ClmnBlk>
                        <ClmnBlk>
                          <ClmnBlkProps>
                            <FCPT>0</FCPT>
                            <FCN>11</FCN>
                            <LCPT>0</LCPT>
                            <LCN>11</LCN>
                          </ClmnBlkProps>
                          <ClmnBlkPts>
                            <ClmnBlkPt>
                              <ClmnBlkPtProps>
                                <CBPT>5</CBPT>
                                <ST>6</ST>
                                <VOFFF><![CDATA[=IF(§A¿0,1,0,1,9,1,1,-1,0,0,FALSE,FALSE§Z¿=0," ",§A¿0,1,0,1,9,1,1,-1,0,0,FALSE,FALSE§Z¿)]]></VOFFF>
                              </ClmnBlkPtProps>
                            </ClmnBlkPt>
                          </ClmnBlkPts>
                        </ClmnBlk>
                        <ClmnBlk>
                          <ClmnBlkProps>
                            <FCPT>0</FCPT>
                            <FCN>12</FCN>
                            <LCPT>0</LCPT>
                            <LCN>12</LCN>
                          </ClmnBlkProps>
                          <ClmnBlkPts>
                            <ClmnBlkPt>
                              <ClmnBlkPtProps>
                                <CBPT>5</CBPT>
                                <ST>6</ST>
                                <VOFFF><![CDATA[=IF(§A¿0,1,0,1,9,1,1,-1,0,1,FALSE,FALSE§Z¿=0,"Not in Use ",§A¿0,1,0,1,9,1,1,-1,0,1,FALSE,FALSE§Z¿)]]></VOFFF>
                              </ClmnBlkPtProps>
                            </ClmnBlkPt>
                          </ClmnBlkPts>
                        </ClmnBlk>
                        <ClmnBlk>
                          <ClmnBlkProps>
                            <FCPT>0</FCPT>
                            <FCN>13</FCN>
                            <LCPT>0</LCPT>
                            <LCN>13</LCN>
                          </ClmnBlkProps>
                          <ClmnBlkPts>
                            <ClmnBlkPt>
                              <ClmnBlkPtProps>
                                <CBPT>5</CBPT>
                                <ST>6</ST>
                                <VOFFF><![CDATA[=IF(§A¿0,1,0,1,9,1,1,-1,1,0,FALSE,FALSE§Z¿=0,"Not in Use ",§A¿0,1,0,1,9,1,1,-1,1,0,FALSE,FALSE§Z¿)]]></VOFFF>
                              </ClmnBlkPtProps>
                            </ClmnBlkPt>
                          </ClmnBlkPts>
                        </ClmnBlk>
                        <ClmnBlk>
                          <ClmnBlkProps>
                            <FCPT>0</FCPT>
                            <FCN>15</FCN>
                            <LCPT>0</LCPT>
                            <LCN>15</LCN>
                          </ClmnBlkProps>
                          <ClmnBlkPts>
                            <ClmnBlkPt>
                              <ClmnBlkPtProps>
                                <CBPT>5</CBPT>
                                <ST>6</ST>
                                <VOFFF><![CDATA[=IF(§A¿0,1,0,1,16,1,1,-1,0,0,FALSE,FALSE§Z¿=0,"Not in Use ",§A¿0,1,0,1,16,1,1,-1,0,0,FALSE,FALSE§Z¿)]]></VOFFF>
                              </ClmnBlkPtProps>
                            </ClmnBlkPt>
                          </ClmnBlkPts>
                        </ClmnBlk>
                        <ClmnBlk>
                          <ClmnBlkProps>
                            <FCPT>0</FCPT>
                            <FCN>16</FCN>
                            <LCPT>0</LCPT>
                            <LCN>16</LCN>
                          </ClmnBlkProps>
                          <ClmnBlkPts>
                            <ClmnBlkPt>
                              <ClmnBlkPtProps>
                                <CBPT>5</CBPT>
                                <ST>6</ST>
                                <VOFFF><![CDATA[=IF(§A¿0,1,0,1,16,1,1,-1,0,1,FALSE,FALSE§Z¿=0,"Not in Use ",§A¿0,1,0,1,16,1,1,-1,0,1,FALSE,FALSE§Z¿)]]></VOFFF>
                              </ClmnBlkPtProps>
                            </ClmnBlkPt>
                          </ClmnBlkPts>
                        </ClmnBlk>
                        <ClmnBlk>
                          <ClmnBlkProps>
                            <FCPT>0</FCPT>
                            <FCN>17</FCN>
                            <LCPT>0</LCPT>
                            <LCN>17</LCN>
                          </ClmnBlkProps>
                          <ClmnBlkPts>
                            <ClmnBlkPt>
                              <ClmnBlkPtProps>
                                <CBPT>5</CBPT>
                                <ST>6</ST>
                                <VOFFF><![CDATA[=IF(§A¿0,1,0,1,16,1,1,-1,0,2,FALSE,FALSE§Z¿=0,"Not in Use ",§A¿0,1,0,1,16,1,1,-1,0,2,FALSE,FALSE§Z¿)]]></VOFFF>
                              </ClmnBlkPtProps>
                              <LnkInForms>
                                <LnkInForm>
                                  <LnkInFormProps>
                                    <CBPLI>1,1,4,9,1</CBPLI>
                                    <ELN>1</ELN>
                                    <FFF><![CDATA[=§A¿10,FALSE,0,1,0,FALSE§Z¿]]></FFF>
                                  </LnkInFormProps>
                                </LnkInForm>
                              </LnkInForms>
                            </ClmnBlkPt>
                          </ClmnBlkPts>
                        </ClmnBlk>
                        <ClmnBlk>
                          <ClmnBlkProps>
                            <FCPT>0</FCPT>
                            <FCN>18</FCN>
                            <LCPT>0</LCPT>
                            <LCN>18</LCN>
                          </ClmnBlkProps>
                          <ClmnBlkPts>
                            <ClmnBlkPt>
                              <ClmnBlkPtProps>
                                <CBPT>5</CBPT>
                                <ST>6</ST>
                                <VOFFF><![CDATA[=IF(§A¿0,1,0,1,16,1,1,-1,0,3,FALSE,FALSE§Z¿=0,"Not in Use ",§A¿0,1,0,1,16,1,1,-1,0,3,FALSE,FALSE§Z¿)]]></VOFFF>
                              </ClmnBlkPtProps>
                            </ClmnBlkPt>
                          </ClmnBlkPts>
                        </ClmnBlk>
                        <ClmnBlk>
                          <ClmnBlkProps>
                            <FCPT>0</FCPT>
                            <FCN>19</FCN>
                            <LCPT>0</LCPT>
                            <LCN>19</LCN>
                          </ClmnBlkProps>
                          <ClmnBlkPts>
                            <ClmnBlkPt>
                              <ClmnBlkPtProps>
                                <CBPT>5</CBPT>
                                <ST>6</ST>
                                <VOFFF><![CDATA[=IF(§A¿0,1,0,1,16,1,1,-1,0,4,FALSE,FALSE§Z¿=0,"Not in Use ",§A¿0,1,0,1,16,1,1,-1,0,4,FALSE,FALSE§Z¿)]]></VOFFF>
                              </ClmnBlkPtProps>
                            </ClmnBlkPt>
                          </ClmnBlkPts>
                        </ClmnBlk>
                        <ClmnBlk>
                          <ClmnBlkProps>
                            <FCPT>0</FCPT>
                            <FCN>20</FCN>
                            <LCPT>0</LCPT>
                            <LCN>20</LCN>
                          </ClmnBlkProps>
                          <ClmnBlkPts>
                            <ClmnBlkPt>
                              <ClmnBlkPtProps>
                                <CBPT>5</CBPT>
                                <ST>6</ST>
                                <VOFFF><![CDATA[=IF(§A¿0,1,0,1,16,1,1,-1,1,0,FALSE,FALSE§Z¿=0,"Not in Use ",§A¿0,1,0,1,16,1,1,-1,1,0,FALSE,FALSE§Z¿)]]></VOFFF>
                              </ClmnBlkPtProps>
                            </ClmnBlkPt>
                          </ClmnBlkPts>
                        </ClmnBlk>
                        <ClmnBlk>
                          <ClmnBlkProps>
                            <FCPT>0</FCPT>
                            <FCN>22</FCN>
                            <LCPT>0</LCPT>
                            <LCN>24</LCN>
                          </ClmnBlkProps>
                          <ClmnBlkPts>
                            <ClmnBlkPt>
                              <ClmnBlkPtProps>
                                <CBPT>5</CBPT>
                                <ST>6</ST>
                                <SON>1</SON>
                                <MC>True</MC>
                                <VOFFF><![CDATA[Notes/source of information]]></VOFFF>
                              </ClmnBlkPtProps>
                            </ClmnBlkPt>
                          </ClmnBlkPts>
                        </ClmnBlk>
                      </ClmnBlks>
                      <TtlCtg/>
                      <ElmtLnksIn>
                        <ElmtLnk>
                          <ElmtLnkProps>
                            <ELI>1,1,4</ELI>
                            <ELN>1</ELN>
                            <ELGN>1</ELGN>
                            <MLG>239EF18E-35E7-4324-9303-BF517B195EEF</MLG>
                            <ICBI>9</ICBI>
                            <ILBN/>
                            <LIBN>0</LIBN>
                          </ElmtLnkProps>
                        </ElmtLnk>
                      </ElmtLnksIn>
                    </Elmt>
                    <Elmt>
                      <ElmtProps>
                        <CPT>0</CPT>
                        <TOT>False</TOT>
                        <EGN>1</EGN>
                      </ElmtProps>
                      <ClmnBlks>
                        <ClmnBlk>
                          <ClmnBlkProps>
                            <FCPT>0</FCPT>
                            <FCN>2</FCN>
                            <LCPT>0</LCPT>
                            <LCN>3</LCN>
                          </ClmnBlkProps>
                          <ClmnBlkPts>
                            <ClmnBlkPt>
                              <ClmnBlkPtProps>
                                <CBPT>0</CBPT>
                                <ST>18</ST>
                                <MC>True</MC>
                                <VOFFF><![CDATA[=ROW()-8]]></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0</FCPT>
                            <FCN>4</FCN>
                            <LCPT>0</LCPT>
                            <LCN>8</LCN>
                          </ClmnBlkProps>
                          <ClmnBlkPts>
                            <ClmnBlkPt>
                              <ClmnBlkPtProps>
                                <CBPT>0</CBPT>
                                <ST>8</ST>
                                <MC>True</MC>
                                <VOFFF><![CDATA[Bura]]></VOFFF>
                                <UDAV><![CDATA[<CategoriesGroupName> Category <CategoryNumber>]]></UDAV>
                              </ClmnBlkPtProps>
                            </ClmnBlkPt>
                            <ClmnBlkPt>
                              <ClmnBlkPtProps>
                                <CBPT>1</CBPT>
                                <ST>6</ST>
                                <MC>True</MC>
                                <VOFFF><![CDATA[="Total "&§A¿0,1,0,1,5,2,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12</FCN>
                            <LCPT>0</LCPT>
                            <LCN>12</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16</FCN>
                            <LCPT>0</LCPT>
                            <LCN>16</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18</FCN>
                            <LCPT>0</LCPT>
                            <LCN>18</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20</FCN>
                            <LCPT>0</LCPT>
                            <LCN>20</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22</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LnksOut>
                        <ElmtLnk>
                          <ElmtLnkProps>
                            <ELI>1,1,5</ELI>
                            <ELN>1</ELN>
                            <ELGN>1</ELGN>
                            <MLG>D04A3F50-482A-4C9F-B3E7-C912DCAAD294</MLG>
                            <ICBI>2,3,4,5,6,7,8,9</ICBI>
                            <ILBN>1,2,3,4,5,6,7,8</ILBN>
                            <LIBN>0</LIBN>
                          </ElmtLnkProps>
                        </ElmtLnk>
                      </ElmtLnksOut>
                    </Elmt>
                    <Elmt>
                      <ElmtProps>
                        <CPT>2</CPT>
                      </ElmtProps>
                      <TtlCtg/>
                    </Elmt>
                    <Elmt>
                      <ElmtProps>
                        <CPT>2</CPT>
                      </ElmtProps>
                      <TtlCtg>
                        <TtlCtgProps>
                          <R>2</R>
                        </TtlCtgProps>
                      </TtlCtg>
                    </Elmt>
                    <Elmt>
                      <ElmtProps>
                        <CPT>2</CPT>
                      </ElmtProps>
                      <ClmnBlks>
                        <ClmnBlk>
                          <ClmnBlkProps>
                            <FCPT>0</FCPT>
                            <FCN>3</FCN>
                            <LCPT>0</LCPT>
                            <LCN>3</LCN>
                          </ClmnBlkProps>
                          <ClmnBlkPts>
                            <ClmnBlkPt>
                              <ClmnBlkPtProps>
                                <CBPT>5</CBPT>
                                <ST>6</ST>
                                <VOFFF><![CDATA[Vaccination Site Type Names Reference Links (Developer Only. User May Change in Step 1.b.)]]></VOFFF>
                              </ClmnBlkPtProps>
                            </ClmnBlkPt>
                          </ClmnBlkPts>
                        </ClmnBlk>
                      </ClmnBlks>
                      <TtlCtg>
                        <TtlCtgProps>
                          <R>2</R>
                        </TtlCtgProps>
                      </TtlCtg>
                    </Elmt>
                    <Elmt>
                      <ElmtProps>
                        <CPT>2</CPT>
                      </ElmtProps>
                      <ClmnBlks>
                        <ClmnBlk>
                          <ClmnBlkProps>
                            <FCPT>0</FCPT>
                            <FCN>11</FCN>
                            <LCPT>0</LCPT>
                            <LCN>13</LCN>
                          </ClmnBlkProps>
                          <ClmnBlkPts>
                            <ClmnBlkPt>
                              <ClmnBlkPtProps>
                                <CBPT>5</CBPT>
                                <ST>8</ST>
                                <VOFFF/>
                              </ClmnBlkPtProps>
                              <LnkInForms>
                                <LnkInForm>
                                  <LnkInFormProps>
                                    <CBPLI>1,1,9,1,1</CBPLI>
                                    <ELN>1</ELN>
                                    <FFF><![CDATA[=§A¿10,FALSE,0,1,0,FALSE§Z¿]]></FFF>
                                  </LnkInFormProps>
                                </LnkInForm>
                              </LnkInForms>
                            </ClmnBlkPt>
                          </ClmnBlkPts>
                        </ClmnBlk>
                      </ClmnBlks>
                      <TtlCtg>
                        <TtlCtgProps>
                          <R>1</R>
                        </TtlCtgProps>
                        <LnkIn>
                          <LnkInProps>
                            <MN>4</MN>
                            <CLI>1,1,9,True,0</CLI>
                            <ELN>1</ELN>
                            <LOOT>2</LOOT>
                            <LOMN>2</LOMN>
                            <LOMCN>1</LOMCN>
                            <LOSN>1</LOSN>
                            <LOEN>12</LOEN>
                            <LOCN>0</LOCN>
                          </LnkInProps>
                        </LnkIn>
                      </TtlCtg>
                      <ElmtLnksIn>
                        <ElmtLnk>
                          <ElmtLnkProps>
                            <ELI>1,1,9</ELI>
                            <ELN>1</ELN>
                            <ELGN>1</ELGN>
                            <MLG>C4EF049E-6BCC-447F-994C-323AF0352095</MLG>
                            <ICBI>1</ICBI>
                            <ILBN/>
                            <LIBN>0</LIBN>
                          </ElmtLnkProps>
                        </ElmtLnk>
                      </ElmtLnksIn>
                    </Elmt>
                    <Elmt>
                      <ElmtProps>
                        <CPT>2</CPT>
                      </ElmtProps>
                      <TtlCtg>
                        <TtlCtgProps>
                          <R>1</R>
                        </TtlCtgProps>
                      </TtlCtg>
                    </Elmt>
                    <Elmt>
                      <ElmtProps>
                        <CPT>2</CPT>
                      </ElmtProps>
                      <ClmnBlks>
                        <ClmnBlk>
                          <ClmnBlkProps>
                            <FCPT>0</FCPT>
                            <FCN>3</FCN>
                            <LCPT>0</LCPT>
                            <LCN>3</LCN>
                          </ClmnBlkProps>
                          <ClmnBlkPts>
                            <ClmnBlkPt>
                              <ClmnBlkPtProps>
                                <CBPT>5</CBPT>
                                <ST>6</ST>
                                <VOFFF><![CDATA[Target Population (Developer Only. User May Change in Step 1.b.)]]></VOFFF>
                              </ClmnBlkPtProps>
                            </ClmnBlkPt>
                          </ClmnBlkPts>
                        </ClmnBlk>
                      </ClmnBlks>
                      <TtlCtg>
                        <TtlCtgProps>
                          <R>2</R>
                        </TtlCtgProps>
                      </TtlCtg>
                    </Elmt>
                    <Elmt>
                      <ElmtProps>
                        <CPT>2</CPT>
                      </ElmtProps>
                      <ClmnBlks>
                        <ClmnBlk>
                          <ClmnBlkProps>
                            <FCPT>0</FCPT>
                            <FCN>11</FCN>
                            <LCPT>0</LCPT>
                            <LCN>13</LCN>
                          </ClmnBlkProps>
                          <ClmnBlkPts>
                            <ClmnBlkPt>
                              <ClmnBlkPtProps>
                                <CBPT>5</CBPT>
                                <ST>6</ST>
                                <MC>True</MC>
                                <VOFFF/>
                              </ClmnBlkPtProps>
                              <LnkInForms>
                                <LnkInForm>
                                  <LnkInFormProps>
                                    <CBPLI>1,1,12,1,1</CBPLI>
                                    <ELN>1</ELN>
                                    <FFF><![CDATA[=§A¿10,FALSE,0,1,0,FALSE§Z¿]]></FFF>
                                  </LnkInFormProps>
                                </LnkInForm>
                              </LnkInForms>
                            </ClmnBlkPt>
                          </ClmnBlkPts>
                        </ClmnBlk>
                      </ClmnBlks>
                      <TtlCtg>
                        <TtlCtgProps>
                          <R>1</R>
                        </TtlCtgProps>
                        <LnkIn>
                          <LnkInProps>
                            <MN>4</MN>
                            <CLI>1,1,12,True,0</CLI>
                            <ELN>1</ELN>
                            <LOOT>2</LOOT>
                            <LOMN>2</LOMN>
                            <LOMCN>1</LOMCN>
                            <LOSN>1</LOSN>
                            <LOEN>22</LOEN>
                            <LOCN>0</LOCN>
                          </LnkInProps>
                        </LnkIn>
                      </TtlCtg>
                      <ElmtLnksIn>
                        <ElmtLnk>
                          <ElmtLnkProps>
                            <ELI>1,1,12</ELI>
                            <ELN>1</ELN>
                            <ELGN>1</ELGN>
                            <MLG>97AC83E1-E43A-49EE-9865-CFAF25411E35</MLG>
                            <ICBI>1</ICBI>
                            <ILBN/>
                            <LIBN>0</LIBN>
                          </ElmtLnkProps>
                        </ElmtLnk>
                      </ElmtLnksIn>
                    </Elmt>
                    <Elmt>
                      <ElmtProps>
                        <CPT>2</CPT>
                      </ElmtProps>
                      <TtlCtg>
                        <TtlCtgProps>
                          <R>1</R>
                        </TtlCtgProps>
                      </TtlCtg>
                    </Elmt>
                    <Elmt>
                      <ElmtProps>
                        <CPT>2</CPT>
                      </ElmtProps>
                      <TtlCtg>
                        <TtlCtgProps>
                          <R>2</R>
                        </TtlCtgProps>
                      </TtlCtg>
                    </Elmt>
                    <Elmt>
                      <ElmtProps>
                        <CPT>2</CPT>
                      </ElmtProps>
                      <ClmnBlks>
                        <ClmnBlk>
                          <ClmnBlkProps>
                            <FCPT>0</FCPT>
                            <FCN>3</FCN>
                            <LCPT>0</LCPT>
                            <LCN>3</LCN>
                          </ClmnBlkProps>
                          <ClmnBlkPts>
                            <ClmnBlkPt>
                              <ClmnBlkPtProps>
                                <CBPT>5</CBPT>
                                <ST>6</ST>
                                <VOFFF><![CDATA[Vaccination Team Roles (Developer Only. User May Change in Step 1.b.)]]></VOFFF>
                              </ClmnBlkPtProps>
                            </ClmnBlkPt>
                          </ClmnBlkPts>
                        </ClmnBlk>
                      </ClmnBlks>
                      <TtlCtg>
                        <TtlCtgProps>
                          <R>2</R>
                        </TtlCtgProps>
                      </TtlCtg>
                    </Elmt>
                    <Elmt>
                      <ElmtProps>
                        <CPT>2</CPT>
                      </ElmtProps>
                      <ClmnBlks>
                        <ClmnBlk>
                          <ClmnBlkProps>
                            <FCPT>0</FCPT>
                            <FCN>11</FCN>
                            <LCPT>0</LCPT>
                            <LCN>16</LCN>
                          </ClmnBlkProps>
                          <ClmnBlkPts>
                            <ClmnBlkPt>
                              <ClmnBlkPtProps>
                                <CBPT>5</CBPT>
                                <ST>6</ST>
                                <VOFFF/>
                              </ClmnBlkPtProps>
                              <LnkInForms>
                                <LnkInForm>
                                  <LnkInFormProps>
                                    <CBPLI>1,1,16,1,1</CBPLI>
                                    <ELN>1</ELN>
                                    <FFF><![CDATA[=§A¿10,FALSE,0,1,0,FALSE§Z¿]]></FFF>
                                  </LnkInFormProps>
                                </LnkInForm>
                              </LnkInForms>
                            </ClmnBlkPt>
                          </ClmnBlkPts>
                        </ClmnBlk>
                      </ClmnBlks>
                      <TtlCtg>
                        <TtlCtgProps>
                          <R>1</R>
                        </TtlCtgProps>
                        <LnkIn>
                          <LnkInProps>
                            <MN>4</MN>
                            <CLI>1,1,16,True,0</CLI>
                            <ELN>1</ELN>
                            <LOOT>2</LOOT>
                            <LOMN>2</LOMN>
                            <LOMCN>1</LOMCN>
                            <LOSN>1</LOSN>
                            <LOEN>18</LOEN>
                            <LOCN>0</LOCN>
                          </LnkInProps>
                        </LnkIn>
                      </TtlCtg>
                      <ElmtLnksIn>
                        <ElmtLnk>
                          <ElmtLnkProps>
                            <ELI>1,1,16</ELI>
                            <ELN>1</ELN>
                            <ELGN>1</ELGN>
                            <MLG>0D0A8A29-720A-407A-9491-C3D4DBF646B4</MLG>
                            <ICBI>1</ICBI>
                            <ILBN/>
                            <LIBN>0</LIBN>
                          </ElmtLnkProps>
                        </ElmtLnk>
                      </ElmtLnksIn>
                    </Elmt>
                    <Elmt>
                      <ElmtProps>
                        <CPT>2</CPT>
                      </ElmtProps>
                      <TtlCtg>
                        <TtlCtgProps>
                          <R>2</R>
                        </TtlCtgProps>
                      </TtlCtg>
                    </Elmt>
                    <Elmt>
                      <ElmtProps>
                        <CPT>2</CPT>
                      </ElmtProps>
                      <TtlCtg>
                        <TtlCtgProps>
                          <R>2</R>
                        </TtlCtgProps>
                      </TtlCtg>
                    </Elmt>
                    <Elmt>
                      <ElmtProps>
                        <CPT>2</CPT>
                      </ElmtProps>
                      <ClmnBlks>
                        <ClmnBlk>
                          <ClmnBlkProps>
                            <FCPT>0</FCPT>
                            <FCN>3</FCN>
                            <LCPT>0</LCPT>
                            <LCN>9</LCN>
                          </ClmnBlkProps>
                          <ClmnBlkPts>
                            <ClmnBlkPt>
                              <ClmnBlkPtProps>
                                <CBPT>5</CBPT>
                                <ST>26</ST>
                                <MC>True</MC>
                                <VOFFF><![CDATA[="Go to "&§A¿1,1,2,1,3,0,1,1,1§Z¿]]></VOFFF>
                              </ClmnBlkPtProps>
                              <Hlk>
                                <HlkProps>
                                  <CBPLI>1,1,19,1,1</CBPLI>
                                  <RT>0</RT>
                                  <RRRT>1</RRRT>
                                  <RCBPLI>2,1,3,1,1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3,1,3,0,1,1,1§Z¿]]></VOFFF>
                              </ClmnBlkPtProps>
                              <Hlk>
                                <HlkProps>
                                  <CBPLI>1,1,20,1,1</CBPLI>
                                  <RT>0</RT>
                                  <RRRT>1</RRRT>
                                  <RCBPLI>3,1,3,1,1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4,1,3,0,1,1,1§Z¿]]></VOFFF>
                              </ClmnBlkPtProps>
                              <Hlk>
                                <HlkProps>
                                  <CBPLI>1,1,21,1,1</CBPLI>
                                  <RT>0</RT>
                                  <RRRT>1</RRRT>
                                  <RCBPLI>4,1,3,1,1</RCBPLI>
                                  <RCN>0</RCN>
                                  <RRNPT>1</RRNPT>
                                  <RRNN>1</RRNN>
                                  <TTDT>0</TTDT>
                                  <AGT>False</AGT>
                                  <CT/>
                                </HlkProps>
                              </Hlk>
                            </ClmnBlkPt>
                          </ClmnBlkPts>
                        </ClmnBlk>
                      </ClmnBlks>
                      <TtlCtg/>
                    </Elmt>
                  </Elmts>
                </Sect>
              </Sects>
            </ModComp>
            <ModComp>
              <ModCompProps>
                <MN>4</MN>
                <MCN>2</MCN>
                <MCTK>BaseCase</MCTK>
                <RT><![CDATA[<ModuleName> - Assumptions]]></RT>
                <ERN>BPMMC120</ERN>
                <MCST>1</MCST>
                <IPMC>False</IPMC>
                <SN>7</SN>
                <LODS>True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92</CTHN>
                                <ST>3</ST>
                                <VOFFF><![CDATA[<ModuleComponentTitle>]]></VOFFF>
                              </ClmnBlkPtProps>
                              <RgeNmes>
                                <RgeNme>
                                  <RgeNmeProps>
                                    <CBPLI>2,1,3,1,1</CBPLI>
                                    <MCN>2</MCN>
                                    <SN>1</SN>
                                    <EN>3</EN>
                                    <CN>0</CN>
                                    <CBN>1</CBN>
                                    <CBPN>1</CBPN>
                                    <PT>1</PT>
                                    <CBPRNT>6</CBPRNT>
                                    <NT>12</NT>
                                    <SP1><![CDATA[Ass_A]]></SP1>
                                    <SP2/>
                                    <FFF/>
                                    <CMT/>
                                  </RgeNmeProps>
                                </RgeNme>
                              </RgeNmes>
                            </ClmnBlkPt>
                          </ClmnBlkPts>
                        </ClmnBlk>
                      </ClmnBlks>
                      <TtlCtg/>
                    </Elmt>
                    <Elmt>
                      <ElmtProps>
                        <CPT>2</CPT>
                      </ElmtProps>
                      <ClmnBlks>
                        <ClmnBlk>
                          <ClmnBlkProps>
                            <FCPT>3</FCPT>
                            <FCN>3</FCN>
                            <FCOT>0</FCOT>
                            <FCOC>0</FCOC>
                            <FCPTBMCN>3</FCPTBMCN>
                            <FCPTBN>2</FCPTBN>
                            <LCPT>3</LCPT>
                            <LCN>7</LCN>
                            <LCOT>0</LCOT>
                            <LCOC>4</LCOC>
                            <LCPTBMCN>3</LCPTBMCN>
                            <LCPTBN>2</LCPTBN>
                          </ClmnBlkProps>
                          <ClmnBlkPts>
                            <ClmnBlkPt>
                              <ClmnBlkPtProps>
                                <CBPT>5</CBPT>
                                <ST>-1</ST>
                                <SON>1</SON>
                                <MC>True</MC>
                                <VOFFF><![CDATA[Population Growth Rates]]></VOFFF>
                              </ClmnBlkPtProps>
                            </ClmnBlkPt>
                          </ClmnBlkPts>
                        </ClmnBlk>
                        <ClmnBlk>
                          <ClmnBlkProps>
                            <FCPT>3</FCPT>
                            <FCN>11</FCN>
                            <FCOT>0</FCOT>
                            <FCOC>0</FCOC>
                            <FCPTBMCN>3</FCPTBMCN>
                            <FCPTBN>3</FCPTBN>
                            <LCPT>3</LCPT>
                            <LCN>11</LCN>
                            <LCOT>1</LCOT>
                            <LCOC>0</LCOC>
                            <LCPTBMCN>3</LCPTBMCN>
                            <LCPTBN>3</LCPTBN>
                          </ClmnBlkProps>
                          <ClmnBlkPts>
                            <ClmnBlkPt>
                              <ClmnBlkPtProps>
                                <CBPT>5</CBPT>
                                <ST>12</ST>
                                <VOFFF><![CDATA[0]]></VOFFF>
                                <UDAV><![CDATA[0]]></UDAV>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1,1,3,0,1,1,1§Z¿]]></VOFFF>
                              </ClmnBlkPtProps>
                              <Hlk>
                                <HlkProps>
                                  <CBPLI>2,1,16,1,1</CBPLI>
                                  <RT>0</RT>
                                  <RRRT>1</RRRT>
                                  <RCBPLI>1,1,3,1,1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3,1,3,0,1,1,1§Z¿]]></VOFFF>
                              </ClmnBlkPtProps>
                              <Hlk>
                                <HlkProps>
                                  <CBPLI>2,1,17,1,1</CBPLI>
                                  <RT>0</RT>
                                  <RRRT>1</RRRT>
                                  <RCBPLI>3,1,3,1,1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4,1,3,0,1,1,1§Z¿]]></VOFFF>
                              </ClmnBlkPtProps>
                              <Hlk>
                                <HlkProps>
                                  <CBPLI>2,1,18,1,1</CBPLI>
                                  <RT>0</RT>
                                  <RRRT>1</RRRT>
                                  <RCBPLI>4,1,3,1,1</RCBPLI>
                                  <RCN>0</RCN>
                                  <RRNPT>1</RRNPT>
                                  <RRNN>1</RRNN>
                                  <TTDT>0</TTDT>
                                  <AGT>False</AGT>
                                  <CT/>
                                </HlkProps>
                              </Hlk>
                            </ClmnBlkPt>
                          </ClmnBlkPts>
                        </ClmnBlk>
                      </ClmnBlks>
                      <TtlCtg/>
                    </Elmt>
                  </Elmts>
                </Sect>
              </Sects>
            </ModComp>
            <ModComp>
              <ModCompProps>
                <MN>4</MN>
                <MCN>3</MCN>
                <MCTK>OP</MCTK>
                <RT><![CDATA[<ModuleName> - Outputs]]></RT>
                <ERN>BPMMC121</ERN>
                <MCST>0</MCST>
                <IPMC>False</IPMC>
                <SN>23</SN>
                <LODS>True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93</CTHN>
                                <ST>3</ST>
                                <VOFFF><![CDATA[Vaccination Counts - Prospective by Rates]]></VOFFF>
                              </ClmnBlkPtProps>
                              <RgeNmes>
                                <RgeNme>
                                  <RgeNmeProps>
                                    <CBPLI>3,1,3,1,1</CBPLI>
                                    <MCN>3</MCN>
                                    <SN>1</SN>
                                    <EN>3</EN>
                                    <CN>0</CN>
                                    <CBN>1</CBN>
                                    <CBPN>1</CBPN>
                                    <PT>1</PT>
                                    <CBPRNT>6</CBPRNT>
                                    <NT>12</NT>
                                    <SP1><![CDATA[Out]]></SP1>
                                    <SP2/>
                                    <FFF/>
                                    <CMT/>
                                  </RgeNmeProps>
                                </RgeNme>
                              </RgeNmes>
                            </ClmnBlkPt>
                          </ClmnBlkPts>
                        </ClmnBlk>
                        <ClmnBlk>
                          <ClmnBlkProps>
                            <FCPT>0</FCPT>
                            <FCN>10</FCN>
                            <LCPT>0</LCPT>
                            <LCN>10</LCN>
                          </ClmnBlkProps>
                          <ClmnBlkPts>
                            <ClmnBlkPt>
                              <ClmnBlkPtProps>
                                <CBPT>5</CBPT>
                                <ST>6</ST>
                                <SON>1</SON>
                                <VOFFF><![CDATA[ROUND 1]]></VOFFF>
                              </ClmnBlkPtProps>
                            </ClmnBlkPt>
                          </ClmnBlkPts>
                        </ClmnBlk>
                        <ClmnBlk>
                          <ClmnBlkProps>
                            <FCPT>0</FCPT>
                            <FCN>11</FCN>
                            <LCPT>0</LCPT>
                            <LCN>12</LCN>
                          </ClmnBlkProps>
                          <ClmnBlkPts>
                            <ClmnBlkPt>
                              <ClmnBlkPtProps>
                                <CBPT>5</CBPT>
                                <ST>6</ST>
                                <SON>1</SON>
                                <MC>True</MC>
                                <VOFFF><![CDATA[ROUND 2]]></VOFFF>
                              </ClmnBlkPtProps>
                            </ClmnBlkPt>
                          </ClmnBlkPts>
                        </ClmnBlk>
                        <ClmnBlk>
                          <ClmnBlkProps>
                            <FCPT>0</FCPT>
                            <FCN>13</FCN>
                            <LCPT>0</LCPT>
                            <LCN>13</LCN>
                          </ClmnBlkProps>
                          <ClmnBlkPts>
                            <ClmnBlkPt>
                              <ClmnBlkPtProps>
                                <CBPT>5</CBPT>
                                <ST>6</ST>
                                <VOFFF><![CDATA[ROUND 1]]></VOFFF>
                              </ClmnBlkPtProps>
                            </ClmnBlkPt>
                          </ClmnBlkPts>
                        </ClmnBlk>
                        <ClmnBlk>
                          <ClmnBlkProps>
                            <FCPT>0</FCPT>
                            <FCN>14</FCN>
                            <LCPT>0</LCPT>
                            <LCN>14</LCN>
                          </ClmnBlkProps>
                          <ClmnBlkPts>
                            <ClmnBlkPt>
                              <ClmnBlkPtProps>
                                <CBPT>5</CBPT>
                                <ST>6</ST>
                                <VOFFF><![CDATA[ROUND 2]]></VOFFF>
                              </ClmnBlkPtProps>
                            </ClmnBlkPt>
                          </ClmnBlkPts>
                        </ClmnBlk>
                        <ClmnBlk>
                          <ClmnBlkProps>
                            <FCPT>0</FCPT>
                            <FCN>15</FCN>
                            <LCPT>0</LCPT>
                            <LCN>15</LCN>
                          </ClmnBlkProps>
                          <ClmnBlkPts>
                            <ClmnBlkPt>
                              <ClmnBlkPtProps>
                                <CBPT>5</CBPT>
                                <ST>6</ST>
                                <VOFFF><![CDATA[ROUND 2]]></VOFFF>
                              </ClmnBlkPtProps>
                            </ClmnBlkPt>
                          </ClmnBlkPts>
                        </ClmnBlk>
                        <ClmnBlk>
                          <ClmnBlkProps>
                            <FCPT>0</FCPT>
                            <FCN>16</FCN>
                            <LCPT>0</LCPT>
                            <LCN>17</LCN>
                          </ClmnBlkProps>
                          <ClmnBlkPts>
                            <ClmnBlkPt>
                              <ClmnBlkPtProps>
                                <CBPT>5</CBPT>
                                <ST>6</ST>
                                <SON>1</SON>
                                <MC>True</MC>
                                <VOFFF><![CDATA[FINAL]]></VOFFF>
                              </ClmnBlkPtProps>
                            </ClmnBlkPt>
                          </ClmnBlkPts>
                        </ClmnBlk>
                      </ClmnBlks>
                      <TtlCtg/>
                    </Elmt>
                    <Elmt>
                      <ElmtProps>
                        <CPT>2</CPT>
                      </ElmtProps>
                      <ClmnBlks>
                        <ClmnBlk>
                          <ClmnBlkProps>
                            <FCPT>0</FCPT>
                            <FCN>4</FCN>
                            <LCPT>0</LCPT>
                            <LCN>4</LCN>
                          </ClmnBlkProps>
                          <ClmnBlkPts>
                            <ClmnBlkPt>
                              <ClmnBlkPtProps>
                                <CBPT>5</CBPT>
                                <ST>5</ST>
                                <VOFFF><![CDATA[Area Name]]></VOFFF>
                              </ClmnBlkPtProps>
                            </ClmnBlkPt>
                          </ClmnBlkPts>
                        </ClmnBlk>
                        <ClmnBlk>
                          <ClmnBlkProps>
                            <FCPT>0</FCPT>
                            <FCN>9</FCN>
                            <LCPT>0</LCPT>
                            <LCN>9</LCN>
                          </ClmnBlkProps>
                          <ClmnBlkPts>
                            <ClmnBlkPt>
                              <ClmnBlkPtProps>
                                <CBPT>5</CBPT>
                                <ST>6</ST>
                                <VOFFF><![CDATA[TGT POP]]></VOFFF>
                              </ClmnBlkPtProps>
                            </ClmnBlkPt>
                          </ClmnBlkPts>
                        </ClmnBlk>
                        <ClmnBlk>
                          <ClmnBlkProps>
                            <FCPT>0</FCPT>
                            <FCN>10</FCN>
                            <LCPT>0</LCPT>
                            <LCN>10</LCN>
                          </ClmnBlkProps>
                          <ClmnBlkPts>
                            <ClmnBlkPt>
                              <ClmnBlkPtProps>
                                <CBPT>5</CBPT>
                                <ST>6</ST>
                                <VOFFF><![CDATA[OCV-1 RATE]]></VOFFF>
                              </ClmnBlkPtProps>
                            </ClmnBlkPt>
                          </ClmnBlkPts>
                        </ClmnBlk>
                        <ClmnBlk>
                          <ClmnBlkProps>
                            <FCPT>0</FCPT>
                            <FCN>11</FCN>
                            <LCPT>0</LCPT>
                            <LCN>11</LCN>
                          </ClmnBlkProps>
                          <ClmnBlkPts>
                            <ClmnBlkPt>
                              <ClmnBlkPtProps>
                                <CBPT>5</CBPT>
                                <ST>6</ST>
                                <VOFFF><![CDATA[OCV-1 RATE]]></VOFFF>
                              </ClmnBlkPtProps>
                            </ClmnBlkPt>
                          </ClmnBlkPts>
                        </ClmnBlk>
                        <ClmnBlk>
                          <ClmnBlkProps>
                            <FCPT>0</FCPT>
                            <FCN>12</FCN>
                            <LCPT>0</LCPT>
                            <LCN>12</LCN>
                          </ClmnBlkProps>
                          <ClmnBlkPts>
                            <ClmnBlkPt>
                              <ClmnBlkPtProps>
                                <CBPT>5</CBPT>
                                <ST>6</ST>
                                <VOFFF><![CDATA[OCV-2 RATE]]></VOFFF>
                              </ClmnBlkPtProps>
                            </ClmnBlkPt>
                          </ClmnBlkPts>
                        </ClmnBlk>
                        <ClmnBlk>
                          <ClmnBlkProps>
                            <FCPT>0</FCPT>
                            <FCN>13</FCN>
                            <LCPT>0</LCPT>
                            <LCN>13</LCN>
                          </ClmnBlkProps>
                          <ClmnBlkPts>
                            <ClmnBlkPt>
                              <ClmnBlkPtProps>
                                <CBPT>5</CBPT>
                                <ST>6</ST>
                                <SON>1</SON>
                                <VOFFF><![CDATA[OCV-1]]></VOFFF>
                              </ClmnBlkPtProps>
                            </ClmnBlkPt>
                          </ClmnBlkPts>
                        </ClmnBlk>
                        <ClmnBlk>
                          <ClmnBlkProps>
                            <FCPT>0</FCPT>
                            <FCN>14</FCN>
                            <LCPT>0</LCPT>
                            <LCN>14</LCN>
                          </ClmnBlkProps>
                          <ClmnBlkPts>
                            <ClmnBlkPt>
                              <ClmnBlkPtProps>
                                <CBPT>5</CBPT>
                                <ST>6</ST>
                                <SON>1</SON>
                                <VOFFF><![CDATA[OCV-1]]></VOFFF>
                              </ClmnBlkPtProps>
                            </ClmnBlkPt>
                          </ClmnBlkPts>
                        </ClmnBlk>
                        <ClmnBlk>
                          <ClmnBlkProps>
                            <FCPT>0</FCPT>
                            <FCN>15</FCN>
                            <LCPT>0</LCPT>
                            <LCN>15</LCN>
                          </ClmnBlkProps>
                          <ClmnBlkPts>
                            <ClmnBlkPt>
                              <ClmnBlkPtProps>
                                <CBPT>5</CBPT>
                                <ST>6</ST>
                                <SON>1</SON>
                                <VOFFF><![CDATA[OCV-2]]></VOFFF>
                              </ClmnBlkPtProps>
                            </ClmnBlkPt>
                          </ClmnBlkPts>
                        </ClmnBlk>
                        <ClmnBlk>
                          <ClmnBlkProps>
                            <FCPT>0</FCPT>
                            <FCN>16</FCN>
                            <LCPT>0</LCPT>
                            <LCN>16</LCN>
                          </ClmnBlkProps>
                          <ClmnBlkPts>
                            <ClmnBlkPt>
                              <ClmnBlkPtProps>
                                <CBPT>5</CBPT>
                                <ST>6</ST>
                                <SON>1</SON>
                                <VOFFF><![CDATA[OCV-1]]></VOFFF>
                              </ClmnBlkPtProps>
                            </ClmnBlkPt>
                          </ClmnBlkPts>
                        </ClmnBlk>
                        <ClmnBlk>
                          <ClmnBlkProps>
                            <FCPT>0</FCPT>
                            <FCN>17</FCN>
                            <LCPT>0</LCPT>
                            <LCN>17</LCN>
                          </ClmnBlkProps>
                          <ClmnBlkPts>
                            <ClmnBlkPt>
                              <ClmnBlkPtProps>
                                <CBPT>5</CBPT>
                                <ST>6</ST>
                                <SON>1</SON>
                                <VOFFF><![CDATA[OCV-2]]></VOFFF>
                              </ClmnBlkPtProps>
                            </ClmnBlkPt>
                          </ClmnBlkPts>
                        </ClmnBlk>
                      </ClmnBlks>
                      <TtlCtg/>
                    </Elmt>
                    <Elmt>
                      <ElmtProps>
                        <CPT>0</CPT>
                        <TOT>False</TOT>
                        <EGN>1</EGN>
                      </ElmtProps>
                      <ClmnBlks>
                        <ClmnBlk>
                          <ClmnBlkProps>
                            <FCPT>0</FCPT>
                            <FCN>4</FCN>
                            <LCPT>0</LCPT>
                            <LCN>4</LCN>
                          </ClmnBlkProps>
                          <ClmnBlkPts>
                            <ClmnBlkPt>
                              <ClmnBlkPtProps>
                                <CBPT>0</CBPT>
                                <ST>-1</ST>
                                <VOFFF><![CDATA[=§A¿0,1,0,1,5,2,1,0,0,0,FALSE,FALSE§Z¿]]></VOFFF>
                              </ClmnBlkPtProps>
                            </ClmnBlkPt>
                            <ClmnBlkPt>
                              <ClmnBlkPtProps>
                                <CBPT>1</CBPT>
                                <ST>6</ST>
                                <VOFFF><![CDATA[=§A¿0,3,0,1,5,1,3,0,0,0,FALSE,FALSE§Z¿]]></VOFFF>
                                <UDAV><![CDATA[<CategoriesGroupName> Sub-Total <SubTotalNumber>]]></UDAV>
                              </ClmnBlkPtProps>
                            </ClmnBlkPt>
                            <ClmnBlkPt>
                              <ClmnBlkPtProps>
                                <CBPT>2</CBPT>
                                <ST>5</ST>
                                <VOFFF><![CDATA[=§A¿0,1,0,1,5,2,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9</FCN>
                            <LCPT>0</LCPT>
                            <LCN>9</LCN>
                          </ClmnBlkProps>
                          <ClmnBlkPts>
                            <ClmnBlkPt>
                              <ClmnBlkPtProps>
                                <CBPT>0</CBPT>
                                <ST>18</ST>
                                <SON>2</SON>
                                <VOFFF><![CDATA[=§A¿0,1,0,1,5,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10</FCN>
                            <LCPT>0</LCPT>
                            <LCN>10</LCN>
                          </ClmnBlkProps>
                          <ClmnBlkPts>
                            <ClmnBlkPt>
                              <ClmnBlkPtProps>
                                <CBPT>0</CBPT>
                                <ST>12</ST>
                                <SON>3</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5</SON>
                                <VOFFF><![CDATA[=IFERROR(§A¿0,3,0,1,5,6,6,-1,0,0,FALSE,FALSE§Z¿/§A¿0,3,0,1,5,2,6,-1,0,0,FALSE,FALSE§Z¿,0)]]></VOFFF>
                              </ClmnBlkPtProps>
                            </ClmnBlkPt>
                          </ClmnBlkPts>
                        </ClmnBlk>
                        <ClmnBlk>
                          <ClmnBlkProps>
                            <FCPT>0</FCPT>
                            <FCN>11</FCN>
                            <LCPT>0</LCPT>
                            <LCN>11</LCN>
                          </ClmnBlkProps>
                          <ClmnBlkPts>
                            <ClmnBlkPt>
                              <ClmnBlkPtProps>
                                <CBPT>0</CBPT>
                                <ST>12</ST>
                                <SON>3</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5</SON>
                                <VOFFF><![CDATA[=IFERROR(§A¿0,3,0,1,5,9,6,-1,0,0,FALSE,FALSE§Z¿/§A¿0,3,0,1,5,2,6,-1,0,0,FALSE,FALSE§Z¿, 0)]]></VOFFF>
                              </ClmnBlkPtProps>
                            </ClmnBlkPt>
                          </ClmnBlkPts>
                        </ClmnBlk>
                        <ClmnBlk>
                          <ClmnBlkProps>
                            <FCPT>0</FCPT>
                            <FCN>12</FCN>
                            <LCPT>0</LCPT>
                            <LCN>12</LCN>
                          </ClmnBlkProps>
                          <ClmnBlkPts>
                            <ClmnBlkPt>
                              <ClmnBlkPtProps>
                                <CBPT>0</CBPT>
                                <ST>12</ST>
                                <SON>3</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5</SON>
                                <VOFFF><![CDATA[=IFERROR(§A¿0,3,0,1,5,10,6,-1,0,0,FALSE,FALSE§Z¿/§A¿0,3,0,1,5,2,6,-1,0,0,FALSE,FALSE§Z¿, 0)]]></VOFFF>
                              </ClmnBlkPtProps>
                            </ClmnBlkPt>
                          </ClmnBlkPts>
                        </ClmnBlk>
                        <ClmnBlk>
                          <ClmnBlkProps>
                            <FCPT>0</FCPT>
                            <FCN>13</FCN>
                            <LCPT>0</LCPT>
                            <LCN>13</LCN>
                          </ClmnBlkProps>
                          <ClmnBlkPts>
                            <ClmnBlkPt>
                              <ClmnBlkPtProps>
                                <CBPT>0</CBPT>
                                <ST>18</ST>
                                <SON>2</SON>
                                <VOFFF><![CDATA[=§A¿0,3,0,1,5,2,1,0,0,0,FALSE,FALSE§Z¿*§A¿0,3,0,1,5,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14</FCN>
                            <LCPT>0</LCPT>
                            <LCN>14</LCN>
                          </ClmnBlkProps>
                          <ClmnBlkPts>
                            <ClmnBlkPt>
                              <ClmnBlkPtProps>
                                <CBPT>0</CBPT>
                                <ST>18</ST>
                                <SON>2</SON>
                                <VOFFF><![CDATA[=§A¿0,3,0,1,5,2,1,0,0,0,FALSE,FALSE§Z¿*(§A¿0,3,0,1,5,4,1,0,0,0,FALSE,FALSE§Z¿-§A¿0,3,0,1,5,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15</FCN>
                            <LCPT>0</LCPT>
                            <LCN>15</LCN>
                          </ClmnBlkProps>
                          <ClmnBlkPts>
                            <ClmnBlkPt>
                              <ClmnBlkPtProps>
                                <CBPT>0</CBPT>
                                <ST>18</ST>
                                <SON>2</SON>
                                <VOFFF><![CDATA[=§A¿0,3,0,1,5,2,1,0,0,0,FALSE,FALSE§Z¿*§A¿0,3,0,1,5,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16</FCN>
                            <LCPT>0</LCPT>
                            <LCN>16</LCN>
                          </ClmnBlkProps>
                          <ClmnBlkPts>
                            <ClmnBlkPt>
                              <ClmnBlkPtProps>
                                <CBPT>0</CBPT>
                                <ST>18</ST>
                                <SON>2</SON>
                                <VOFFF><![CDATA[=§A¿0,3,0,1,5,6,1,0,0,0,FALSE,FALSE§Z¿+§A¿0,3,0,1,5,7,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17</FCN>
                            <LCPT>0</LCPT>
                            <LCN>17</LCN>
                          </ClmnBlkProps>
                          <ClmnBlkPts>
                            <ClmnBlkPt>
                              <ClmnBlkPtProps>
                                <CBPT>0</CBPT>
                                <ST>18</ST>
                                <SON>2</SON>
                                <VOFFF><![CDATA[=§A¿0,3,0,1,5,8,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18</FCN>
                            <LCPT>0</LCPT>
                            <LCN>18</LCN>
                          </ClmnBlkProps>
                          <ClmnBlkPts>
                            <ClmnBlkPt>
                              <ClmnBlkPtProps>
                                <CBPT>0</CBPT>
                                <ST>18</ST>
                                <VOFFF><![CDATA[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0,3,0,1,5,9,6,-1,0,0,FALSE,FALSE§Z¿+§A¿0,3,0,1,5,10,6,-1,0,0,FALSE,FALSE§Z¿]]></VOFFF>
                              </ClmnBlkPtProps>
                            </ClmnBlkPt>
                          </ClmnBlkPts>
                        </ClmnBlk>
                      </ClmnBlks>
                      <SubTtls>
                        <SubTtl>
                          <CatSpan>
                            <CatSpanProps>
                              <CC>25</CC>
                              <R>0</R>
                            </CatSpanProps>
                          </CatSpan>
                        </SubTtl>
                      </SubTtls>
                      <TtlCtg/>
                    </Elmt>
                    <Elmt>
                      <ElmtProps>
                        <CPT>2</CPT>
                      </ElmtProps>
                      <TtlCtg/>
                    </Elmt>
                    <Elmt>
                      <ElmtProps>
                        <CPT>2</CPT>
                      </ElmtProps>
                      <TtlCtg/>
                    </Elmt>
                    <Elmt>
                      <ElmtProps>
                        <CPT>2</CPT>
                      </ElmtProps>
                      <ClmnBlks>
                        <ClmnBlk>
                          <ClmnBlkProps>
                            <FCPT>0</FCPT>
                            <FCN>2</FCN>
                            <LCPT>0</LCPT>
                            <LCN>2</LCN>
                          </ClmnBlkProps>
                          <ClmnBlkPts>
                            <ClmnBlkPt>
                              <ClmnBlkPtProps>
                                <CBPT>5</CBPT>
                                <ST>3</ST>
                                <VOFFF><![CDATA[Vaccination Counts - Retrospective by Numbers]]></VOFFF>
                              </ClmnBlkPtProps>
                            </ClmnBlkPt>
                          </ClmnBlkPts>
                        </ClmnBlk>
                      </ClmnBlks>
                      <TtlCtg/>
                    </Elmt>
                    <Elmt>
                      <ElmtProps>
                        <CPT>2</CPT>
                      </ElmtProps>
                      <ClmnBlks>
                        <ClmnBlk>
                          <ClmnBlkProps>
                            <FCPT>0</FCPT>
                            <FCN>10</FCN>
                            <LCPT>0</LCPT>
                            <LCN>10</LCN>
                          </ClmnBlkProps>
                          <ClmnBlkPts>
                            <ClmnBlkPt>
                              <ClmnBlkPtProps>
                                <CBPT>5</CBPT>
                                <ST>6</ST>
                                <SON>1</SON>
                                <VOFFF><![CDATA[ROUND 1]]></VOFFF>
                              </ClmnBlkPtProps>
                            </ClmnBlkPt>
                          </ClmnBlkPts>
                        </ClmnBlk>
                        <ClmnBlk>
                          <ClmnBlkProps>
                            <FCPT>0</FCPT>
                            <FCN>11</FCN>
                            <LCPT>0</LCPT>
                            <LCN>12</LCN>
                          </ClmnBlkProps>
                          <ClmnBlkPts>
                            <ClmnBlkPt>
                              <ClmnBlkPtProps>
                                <CBPT>5</CBPT>
                                <ST>6</ST>
                                <SON>1</SON>
                                <MC>True</MC>
                                <VOFFF><![CDATA[ROUND 2]]></VOFFF>
                              </ClmnBlkPtProps>
                            </ClmnBlkPt>
                          </ClmnBlkPts>
                        </ClmnBlk>
                        <ClmnBlk>
                          <ClmnBlkProps>
                            <FCPT>0</FCPT>
                            <FCN>15</FCN>
                            <LCPT>0</LCPT>
                            <LCN>15</LCN>
                          </ClmnBlkProps>
                          <ClmnBlkPts>
                            <ClmnBlkPt>
                              <ClmnBlkPtProps>
                                <CBPT>5</CBPT>
                                <ST>6</ST>
                                <VOFFF><![CDATA[ROUND 1]]></VOFFF>
                              </ClmnBlkPtProps>
                            </ClmnBlkPt>
                          </ClmnBlkPts>
                        </ClmnBlk>
                        <ClmnBlk>
                          <ClmnBlkProps>
                            <FCPT>0</FCPT>
                            <FCN>16</FCN>
                            <LCPT>0</LCPT>
                            <LCN>17</LCN>
                          </ClmnBlkProps>
                          <ClmnBlkPts>
                            <ClmnBlkPt>
                              <ClmnBlkPtProps>
                                <CBPT>5</CBPT>
                                <ST>6</ST>
                                <SON>1</SON>
                                <MC>True</MC>
                                <VOFFF><![CDATA[FINAL]]></VOFFF>
                              </ClmnBlkPtProps>
                            </ClmnBlkPt>
                          </ClmnBlkPts>
                        </ClmnBlk>
                      </ClmnBlks>
                      <TtlCtg/>
                    </Elmt>
                    <Elmt>
                      <ElmtProps>
                        <CPT>2</CPT>
                      </ElmtProps>
                      <ClmnBlks>
                        <ClmnBlk>
                          <ClmnBlkProps>
                            <FCPT>0</FCPT>
                            <FCN>4</FCN>
                            <LCPT>0</LCPT>
                            <LCN>4</LCN>
                          </ClmnBlkProps>
                          <ClmnBlkPts>
                            <ClmnBlkPt>
                              <ClmnBlkPtProps>
                                <CBPT>5</CBPT>
                                <ST>5</ST>
                                <VOFFF><![CDATA[Area Name]]></VOFFF>
                              </ClmnBlkPtProps>
                            </ClmnBlkPt>
                          </ClmnBlkPts>
                        </ClmnBlk>
                        <ClmnBlk>
                          <ClmnBlkProps>
                            <FCPT>0</FCPT>
                            <FCN>9</FCN>
                            <LCPT>0</LCPT>
                            <LCN>9</LCN>
                          </ClmnBlkProps>
                          <ClmnBlkPts>
                            <ClmnBlkPt>
                              <ClmnBlkPtProps>
                                <CBPT>5</CBPT>
                                <ST>6</ST>
                                <VOFFF><![CDATA[TGT POP]]></VOFFF>
                              </ClmnBlkPtProps>
                            </ClmnBlkPt>
                          </ClmnBlkPts>
                        </ClmnBlk>
                        <ClmnBlk>
                          <ClmnBlkProps>
                            <FCPT>0</FCPT>
                            <FCN>10</FCN>
                            <LCPT>0</LCPT>
                            <LCN>10</LCN>
                          </ClmnBlkProps>
                          <ClmnBlkPts>
                            <ClmnBlkPt>
                              <ClmnBlkPtProps>
                                <CBPT>5</CBPT>
                                <ST>6</ST>
                                <SON>1</SON>
                                <VOFFF><![CDATA[OCV-1]]></VOFFF>
                              </ClmnBlkPtProps>
                            </ClmnBlkPt>
                          </ClmnBlkPts>
                        </ClmnBlk>
                        <ClmnBlk>
                          <ClmnBlkProps>
                            <FCPT>0</FCPT>
                            <FCN>11</FCN>
                            <LCPT>0</LCPT>
                            <LCN>11</LCN>
                          </ClmnBlkProps>
                          <ClmnBlkPts>
                            <ClmnBlkPt>
                              <ClmnBlkPtProps>
                                <CBPT>5</CBPT>
                                <ST>6</ST>
                                <SON>1</SON>
                                <VOFFF><![CDATA[OCV-1]]></VOFFF>
                              </ClmnBlkPtProps>
                            </ClmnBlkPt>
                          </ClmnBlkPts>
                        </ClmnBlk>
                        <ClmnBlk>
                          <ClmnBlkProps>
                            <FCPT>0</FCPT>
                            <FCN>12</FCN>
                            <LCPT>0</LCPT>
                            <LCN>12</LCN>
                          </ClmnBlkProps>
                          <ClmnBlkPts>
                            <ClmnBlkPt>
                              <ClmnBlkPtProps>
                                <CBPT>5</CBPT>
                                <ST>6</ST>
                                <SON>1</SON>
                                <VOFFF><![CDATA[OCV-2]]></VOFFF>
                              </ClmnBlkPtProps>
                            </ClmnBlkPt>
                          </ClmnBlkPts>
                        </ClmnBlk>
                        <ClmnBlk>
                          <ClmnBlkProps>
                            <FCPT>0</FCPT>
                            <FCN>13</FCN>
                            <LCPT>0</LCPT>
                            <LCN>13</LCN>
                          </ClmnBlkProps>
                          <ClmnBlkPts>
                            <ClmnBlkPt>
                              <ClmnBlkPtProps>
                                <CBPT>5</CBPT>
                                <ST>6</ST>
                                <VOFFF><![CDATA[TOTAL OCV-1]]></VOFFF>
                              </ClmnBlkPtProps>
                            </ClmnBlkPt>
                          </ClmnBlkPts>
                        </ClmnBlk>
                        <ClmnBlk>
                          <ClmnBlkProps>
                            <FCPT>0</FCPT>
                            <FCN>14</FCN>
                            <LCPT>0</LCPT>
                            <LCN>14</LCN>
                          </ClmnBlkProps>
                          <ClmnBlkPts>
                            <ClmnBlkPt>
                              <ClmnBlkPtProps>
                                <CBPT>5</CBPT>
                                <ST>6</ST>
                                <VOFFF><![CDATA[TOTAL-OCV-2]]></VOFFF>
                              </ClmnBlkPtProps>
                            </ClmnBlkPt>
                          </ClmnBlkPts>
                        </ClmnBlk>
                        <ClmnBlk>
                          <ClmnBlkProps>
                            <FCPT>0</FCPT>
                            <FCN>15</FCN>
                            <LCPT>0</LCPT>
                            <LCN>15</LCN>
                          </ClmnBlkProps>
                          <ClmnBlkPts>
                            <ClmnBlkPt>
                              <ClmnBlkPtProps>
                                <CBPT>5</CBPT>
                                <ST>6</ST>
                                <VOFFF><![CDATA[OCV-1 RATE]]></VOFFF>
                              </ClmnBlkPtProps>
                            </ClmnBlkPt>
                          </ClmnBlkPts>
                        </ClmnBlk>
                        <ClmnBlk>
                          <ClmnBlkProps>
                            <FCPT>0</FCPT>
                            <FCN>16</FCN>
                            <LCPT>0</LCPT>
                            <LCN>16</LCN>
                          </ClmnBlkProps>
                          <ClmnBlkPts>
                            <ClmnBlkPt>
                              <ClmnBlkPtProps>
                                <CBPT>5</CBPT>
                                <ST>6</ST>
                                <VOFFF><![CDATA[OCV-1 RATE]]></VOFFF>
                              </ClmnBlkPtProps>
                            </ClmnBlkPt>
                          </ClmnBlkPts>
                        </ClmnBlk>
                        <ClmnBlk>
                          <ClmnBlkProps>
                            <FCPT>0</FCPT>
                            <FCN>17</FCN>
                            <LCPT>0</LCPT>
                            <LCN>17</LCN>
                          </ClmnBlkProps>
                          <ClmnBlkPts>
                            <ClmnBlkPt>
                              <ClmnBlkPtProps>
                                <CBPT>5</CBPT>
                                <ST>6</ST>
                                <VOFFF><![CDATA[OCV-2 RATE]]></VOFFF>
                              </ClmnBlkPtProps>
                            </ClmnBlkPt>
                          </ClmnBlkPts>
                        </ClmnBlk>
                      </ClmnBlks>
                      <TtlCtg/>
                    </Elmt>
                    <Elmt>
                      <ElmtProps>
                        <CPT>0</CPT>
                        <TOT>False</TOT>
                        <EGN>1</EGN>
                      </ElmtProps>
                      <ClmnBlks>
                        <ClmnBlk>
                          <ClmnBlkProps>
                            <FCPT>0</FCPT>
                            <FCN>4</FCN>
                            <LCPT>0</LCPT>
                            <LCN>8</LCN>
                          </ClmnBlkProps>
                          <ClmnBlkPts>
                            <ClmnBlkPt>
                              <ClmnBlkPtProps>
                                <CBPT>0</CBPT>
                                <ST>6</ST>
                                <MC>True</MC>
                                <VOFFF><![CDATA[=§A¿0,1,0,1,5,2,1,0,0,0,FALSE,FALSE§Z¿]]></VOFFF>
                              </ClmnBlkPtProps>
                            </ClmnBlkPt>
                            <ClmnBlkPt>
                              <ClmnBlkPtProps>
                                <CBPT>1</CBPT>
                                <ST>6</ST>
                                <MC>True</MC>
                                <VOFFF><![CDATA[=§A¿0,3,0,1,11,1,3,0,0,0,FALSE,FALSE§Z¿]]></VOFFF>
                                <UDAV><![CDATA[<CategoriesGroupName> Sub-Total <SubTotalNumber>]]></UDAV>
                              </ClmnBlkPtProps>
                            </ClmnBlkPt>
                            <ClmnBlkPt>
                              <ClmnBlkPtProps>
                                <CBPT>2</CBPT>
                                <ST>5</ST>
                                <MC>True</MC>
                                <VOFFF><![CDATA[=§A¿0,1,0,1,5,2,3,0,0,0,FALSE,FALSE§Z¿]]></VOFFF>
                                <UDAV><![CDATA[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18</ST>
                                <VOFFF><![CDATA[=§A¿0,1,0,1,5,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10</FCN>
                            <LCPT>0</LCPT>
                            <LCN>10</LCN>
                          </ClmnBlkProps>
                          <ClmnBlkPts>
                            <ClmnBlkPt>
                              <ClmnBlkPtProps>
                                <CBPT>0</CBPT>
                                <ST>11</ST>
                                <SON>2</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7</ST>
                                <SON>4</SON>
                                <VOFFF><![CDATA[=§A¿3§Z¿]]></VOFFF>
                              </ClmnBlkPtProps>
                            </ClmnBlkPt>
                          </ClmnBlkPts>
                        </ClmnBlk>
                        <ClmnBlk>
                          <ClmnBlkProps>
                            <FCPT>0</FCPT>
                            <FCN>11</FCN>
                            <LCPT>0</LCPT>
                            <LCN>11</LCN>
                          </ClmnBlkProps>
                          <ClmnBlkPts>
                            <ClmnBlkPt>
                              <ClmnBlkPtProps>
                                <CBPT>0</CBPT>
                                <ST>11</ST>
                                <SON>2</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7</ST>
                                <SON>4</SON>
                                <VOFFF><![CDATA[=§A¿3§Z¿]]></VOFFF>
                              </ClmnBlkPtProps>
                            </ClmnBlkPt>
                          </ClmnBlkPts>
                        </ClmnBlk>
                        <ClmnBlk>
                          <ClmnBlkProps>
                            <FCPT>0</FCPT>
                            <FCN>12</FCN>
                            <LCPT>0</LCPT>
                            <LCN>12</LCN>
                          </ClmnBlkProps>
                          <ClmnBlkPts>
                            <ClmnBlkPt>
                              <ClmnBlkPtProps>
                                <CBPT>0</CBPT>
                                <ST>11</ST>
                                <SON>2</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7</ST>
                                <SON>4</SON>
                                <VOFFF><![CDATA[=§A¿3§Z¿]]></VOFFF>
                              </ClmnBlkPtProps>
                            </ClmnBlkPt>
                          </ClmnBlkPts>
                        </ClmnBlk>
                        <ClmnBlk>
                          <ClmnBlkProps>
                            <FCPT>0</FCPT>
                            <FCN>13</FCN>
                            <LCPT>0</LCPT>
                            <LCN>13</LCN>
                          </ClmnBlkProps>
                          <ClmnBlkPts>
                            <ClmnBlkPt>
                              <ClmnBlkPtProps>
                                <CBPT>0</CBPT>
                                <ST>18</ST>
                                <SON>2</SON>
                                <VOFFF><![CDATA[=§A¿0,3,0,1,11,3,1,0,0,0,FALSE,FALSE§Z¿+§A¿0,3,0,1,11,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7</ST>
                                <SON>4</SON>
                                <VOFFF><![CDATA[=§A¿3§Z¿]]></VOFFF>
                              </ClmnBlkPtProps>
                            </ClmnBlkPt>
                          </ClmnBlkPts>
                        </ClmnBlk>
                        <ClmnBlk>
                          <ClmnBlkProps>
                            <FCPT>0</FCPT>
                            <FCN>14</FCN>
                            <LCPT>0</LCPT>
                            <LCN>14</LCN>
                          </ClmnBlkProps>
                          <ClmnBlkPts>
                            <ClmnBlkPt>
                              <ClmnBlkPtProps>
                                <CBPT>0</CBPT>
                                <ST>18</ST>
                                <SON>2</SON>
                                <VOFFF><![CDATA[=§A¿0,3,0,1,11,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7</ST>
                                <SON>4</SON>
                                <VOFFF><![CDATA[=§A¿3§Z¿]]></VOFFF>
                              </ClmnBlkPtProps>
                            </ClmnBlkPt>
                          </ClmnBlkPts>
                        </ClmnBlk>
                        <ClmnBlk>
                          <ClmnBlkProps>
                            <FCPT>0</FCPT>
                            <FCN>15</FCN>
                            <LCPT>0</LCPT>
                            <LCN>15</LCN>
                          </ClmnBlkProps>
                          <ClmnBlkPts>
                            <ClmnBlkPt>
                              <ClmnBlkPtProps>
                                <CBPT>0</CBPT>
                                <ST>19</ST>
                                <VOFFF><![CDATA[=IFERROR(§A¿0,3,0,1,11,3,1,0,0,0,FALSE,FALSE§Z¿/§A¿0,3,0,1,11,2,1,0,0,0,FALSE,TRUE§Z¿,0)]]></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6</SON>
                                <VOFFF><![CDATA[=IFERROR(§A¿0,3,0,1,11,3,6,-1,0,0,FALSE,FALSE§Z¿/§A¿0,3,0,1,11,2,6,-1,0,0,FALSE,TRUE§Z¿, 0)]]></VOFFF>
                              </ClmnBlkPtProps>
                            </ClmnBlkPt>
                          </ClmnBlkPts>
                        </ClmnBlk>
                        <ClmnBlk>
                          <ClmnBlkProps>
                            <FCPT>0</FCPT>
                            <FCN>16</FCN>
                            <LCPT>0</LCPT>
                            <LCN>16</LCN>
                          </ClmnBlkProps>
                          <ClmnBlkPts>
                            <ClmnBlkPt>
                              <ClmnBlkPtProps>
                                <CBPT>0</CBPT>
                                <ST>19</ST>
                                <VOFFF><![CDATA[=IFERROR(§A¿0,3,0,1,11,6,1,0,0,0,FALSE,FALSE§Z¿/§A¿0,3,0,1,11,2,1,0,0,0,FALSE,TRU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19</ST>
                                <SON>5</SON>
                                <VOFFF><![CDATA[=IFERROR(§A¿0,3,0,1,11,6,6,-1,0,0,FALSE,FALSE§Z¿/§A¿0,3,0,1,11,2,6,-1,0,0,FALSE,FALSE§Z¿, 0)]]></VOFFF>
                              </ClmnBlkPtProps>
                            </ClmnBlkPt>
                          </ClmnBlkPts>
                        </ClmnBlk>
                        <ClmnBlk>
                          <ClmnBlkProps>
                            <FCPT>0</FCPT>
                            <FCN>17</FCN>
                            <LCPT>0</LCPT>
                            <LCN>17</LCN>
                          </ClmnBlkProps>
                          <ClmnBlkPts>
                            <ClmnBlkPt>
                              <ClmnBlkPtProps>
                                <CBPT>0</CBPT>
                                <ST>19</ST>
                                <VOFFF><![CDATA[=IFERROR(§A¿0,3,0,1,11,7,1,0,0,0,FALSE,FALSE§Z¿/§A¿0,3,0,1,11,2,1,0,0,0,FALSE,FALS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19</ST>
                                <SON>5</SON>
                                <VOFFF><![CDATA[=IFERROR(§A¿0,3,0,1,11,7,6,-1,0,0,FALSE,FALSE§Z¿/§A¿0,3,0,1,11,2,6,-1,0,0,FALSE,FALSE§Z¿,0)]]></VOFFF>
                              </ClmnBlkPtProps>
                            </ClmnBlkPt>
                          </ClmnBlkPts>
                        </ClmnBlk>
                      </ClmnBlks>
                      <SubTtls>
                        <SubTtl>
                          <CatSpan>
                            <CatSpanProps>
                              <CC>25</CC>
                              <R>0</R>
                            </CatSpanProps>
                          </CatSpan>
                        </SubTtl>
                      </SubTtls>
                      <TtlCtg/>
                    </Elmt>
                    <Elmt>
                      <ElmtProps>
                        <CPT>2</CPT>
                      </ElmtProps>
                      <TtlCtg/>
                    </Elmt>
                    <Elmt>
                      <ElmtProps>
                        <CPT>2</CPT>
                      </ElmtProps>
                      <TtlCtg/>
                    </Elmt>
                    <Elmt>
                      <ElmtProps>
                        <CPT>2</CPT>
                      </ElmtProps>
                      <ClmnBlks>
                        <ClmnBlk>
                          <ClmnBlkProps>
                            <FCPT>0</FCPT>
                            <FCN>2</FCN>
                            <LCPT>0</LCPT>
                            <LCN>2</LCN>
                          </ClmnBlkProps>
                          <ClmnBlkPts>
                            <ClmnBlkPt>
                              <ClmnBlkPtProps>
                                <CBPT>5</CBPT>
                                <ST>3</ST>
                                <VOFFF><![CDATA[Site Counts - Retrospective]]></VOFFF>
                              </ClmnBlkPtProps>
                            </ClmnBlkPt>
                          </ClmnBlkPts>
                        </ClmnBlk>
                      </ClmnBlks>
                      <TtlCtg/>
                    </Elmt>
                    <Elmt>
                      <ElmtProps>
                        <CPT>2</CPT>
                      </ElmtProps>
                      <ClmnBlks>
                        <ClmnBlk>
                          <ClmnBlkProps>
                            <FCPT>0</FCPT>
                            <FCN>4</FCN>
                            <LCPT>0</LCPT>
                            <LCN>4</LCN>
                          </ClmnBlkProps>
                          <ClmnBlkPts>
                            <ClmnBlkPt>
                              <ClmnBlkPtProps>
                                <CBPT>5</CBPT>
                                <ST>5</ST>
                                <VOFFF><![CDATA[Area Name]]></VOFFF>
                              </ClmnBlkPtProps>
                            </ClmnBlkPt>
                          </ClmnBlkPts>
                        </ClmnBlk>
                        <ClmnBlk>
                          <ClmnBlkProps>
                            <FCPT>0</FCPT>
                            <FCN>9</FCN>
                            <LCPT>0</LCPT>
                            <LCN>9</LCN>
                          </ClmnBlkProps>
                          <ClmnBlkPts>
                            <ClmnBlkPt>
                              <ClmnBlkPtProps>
                                <CBPT>5</CBPT>
                                <ST>6</ST>
                                <VOFFF><![CDATA[HQ]]></VOFFF>
                              </ClmnBlkPtProps>
                            </ClmnBlkPt>
                          </ClmnBlkPts>
                        </ClmnBlk>
                        <ClmnBlk>
                          <ClmnBlkProps>
                            <FCPT>0</FCPT>
                            <FCN>10</FCN>
                            <LCPT>0</LCPT>
                            <LCN>10</LCN>
                          </ClmnBlkProps>
                          <ClmnBlkPts>
                            <ClmnBlkPt>
                              <ClmnBlkPtProps>
                                <CBPT>5</CBPT>
                                <ST>6</ST>
                                <SON>1</SON>
                                <VOFFF><![CDATA[Fixed]]></VOFFF>
                              </ClmnBlkPtProps>
                            </ClmnBlkPt>
                          </ClmnBlkPts>
                        </ClmnBlk>
                        <ClmnBlk>
                          <ClmnBlkProps>
                            <FCPT>0</FCPT>
                            <FCN>11</FCN>
                            <LCPT>0</LCPT>
                            <LCN>11</LCN>
                          </ClmnBlkProps>
                          <ClmnBlkPts>
                            <ClmnBlkPt>
                              <ClmnBlkPtProps>
                                <CBPT>5</CBPT>
                                <ST>6</ST>
                                <SON>1</SON>
                                <VOFFF><![CDATA[Mobile]]></VOFFF>
                              </ClmnBlkPtProps>
                            </ClmnBlkPt>
                          </ClmnBlkPts>
                        </ClmnBlk>
                        <ClmnBlk>
                          <ClmnBlkProps>
                            <FCPT>0</FCPT>
                            <FCN>12</FCN>
                            <LCPT>0</LCPT>
                            <LCN>12</LCN>
                          </ClmnBlkProps>
                          <ClmnBlkPts>
                            <ClmnBlkPt>
                              <ClmnBlkPtProps>
                                <CBPT>5</CBPT>
                                <ST>6</ST>
                                <SON>1</SON>
                                <VOFFF><![CDATA[Temporary]]></VOFFF>
                              </ClmnBlkPtProps>
                            </ClmnBlkPt>
                          </ClmnBlkPts>
                        </ClmnBlk>
                        <ClmnBlk>
                          <ClmnBlkProps>
                            <FCPT>0</FCPT>
                            <FCN>13</FCN>
                            <LCPT>0</LCPT>
                            <LCN>13</LCN>
                          </ClmnBlkProps>
                          <ClmnBlkPts>
                            <ClmnBlkPt>
                              <ClmnBlkPtProps>
                                <CBPT>5</CBPT>
                                <ST>6</ST>
                                <SON>1</SON>
                                <VOFFF><![CDATA[TOTAL SITES]]></VOFFF>
                              </ClmnBlkPtProps>
                            </ClmnBlkPt>
                          </ClmnBlkPts>
                        </ClmnBlk>
                        <ClmnBlk>
                          <ClmnBlkProps>
                            <FCPT>0</FCPT>
                            <FCN>14</FCN>
                            <LCPT>0</LCPT>
                            <LCN>14</LCN>
                          </ClmnBlkProps>
                          <ClmnBlkPts>
                            <ClmnBlkPt>
                              <ClmnBlkPtProps>
                                <CBPT>5</CBPT>
                                <ST>6</ST>
                                <VOFFF><![CDATA[TGT POP]]></VOFFF>
                              </ClmnBlkPtProps>
                            </ClmnBlkPt>
                          </ClmnBlkPts>
                        </ClmnBlk>
                        <ClmnBlk>
                          <ClmnBlkProps>
                            <FCPT>0</FCPT>
                            <FCN>15</FCN>
                            <LCPT>0</LCPT>
                            <LCN>15</LCN>
                          </ClmnBlkProps>
                          <ClmnBlkPts>
                            <ClmnBlkPt>
                              <ClmnBlkPtProps>
                                <CBPT>5</CBPT>
                                <ST>6</ST>
                                <VOFFF><![CDATA[AVG. POP PER SITE]]></VOFFF>
                              </ClmnBlkPtProps>
                            </ClmnBlkPt>
                          </ClmnBlkPts>
                        </ClmnBlk>
                        <ClmnBlk>
                          <ClmnBlkProps>
                            <FCPT>0</FCPT>
                            <FCN>17</FCN>
                            <LCPT>0</LCPT>
                            <LCN>17</LCN>
                          </ClmnBlkProps>
                          <ClmnBlkPts>
                            <ClmnBlkPt>
                              <ClmnBlkPtProps>
                                <CBPT>5</CBPT>
                                <ST>6</ST>
                                <VOFFF><![CDATA[FULL IMM RATE]]></VOFFF>
                              </ClmnBlkPtProps>
                            </ClmnBlkPt>
                          </ClmnBlkPts>
                        </ClmnBlk>
                      </ClmnBlks>
                      <TtlCtg/>
                    </Elmt>
                    <Elmt>
                      <ElmtProps>
                        <CPT>0</CPT>
                        <TOT>False</TOT>
                        <EGN>1</EGN>
                      </ElmtProps>
                      <ClmnBlks>
                        <ClmnBlk>
                          <ClmnBlkProps>
                            <FCPT>0</FCPT>
                            <FCN>4</FCN>
                            <LCPT>0</LCPT>
                            <LCN>8</LCN>
                          </ClmnBlkProps>
                          <ClmnBlkPts>
                            <ClmnBlkPt>
                              <ClmnBlkPtProps>
                                <CBPT>0</CBPT>
                                <ST>6</ST>
                                <MC>True</MC>
                                <VOFFF><![CDATA[=§A¿0,1,0,1,5,2,1,0,0,0,FALSE,FALSE§Z¿]]></VOFFF>
                              </ClmnBlkPtProps>
                            </ClmnBlkPt>
                            <ClmnBlkPt>
                              <ClmnBlkPtProps>
                                <CBPT>1</CBPT>
                                <ST>6</ST>
                                <MC>True</MC>
                                <VOFFF><![CDATA[=§A¿0,3,0,1,16,1,3,0,0,0,FALSE,FALSE§Z¿]]></VOFFF>
                                <UDAV><![CDATA[<CategoriesGroupName> Sub-Total <SubTotalNumber>]]></UDAV>
                              </ClmnBlkPtProps>
                            </ClmnBlkPt>
                            <ClmnBlkPt>
                              <ClmnBlkPtProps>
                                <CBPT>2</CBPT>
                                <ST>5</ST>
                                <MC>True</MC>
                                <VOFFF><![CDATA[=§A¿0,1,0,1,5,2,3,0,0,0,FALSE,FALSE§Z¿]]></VOFFF>
                                <UDAV><![CDATA[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SON>2</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10</FCN>
                            <LCPT>0</LCPT>
                            <LCN>10</LCN>
                          </ClmnBlkProps>
                          <ClmnBlkPts>
                            <ClmnBlkPt>
                              <ClmnBlkPtProps>
                                <CBPT>0</CBPT>
                                <ST>18</ST>
                                <SON>2</SON>
                                <VOFFF><![CDATA[=§A¿0,1,0,1,5,4,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11</FCN>
                            <LCPT>0</LCPT>
                            <LCN>11</LCN>
                          </ClmnBlkProps>
                          <ClmnBlkPts>
                            <ClmnBlkPt>
                              <ClmnBlkPtProps>
                                <CBPT>0</CBPT>
                                <ST>18</ST>
                                <SON>2</SON>
                                <VOFFF><![CDATA[=§A¿0,1,0,1,5,5,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12</FCN>
                            <LCPT>0</LCPT>
                            <LCN>12</LCN>
                          </ClmnBlkProps>
                          <ClmnBlkPts>
                            <ClmnBlkPt>
                              <ClmnBlkPtProps>
                                <CBPT>0</CBPT>
                                <ST>18</ST>
                                <SON>2</SON>
                                <VOFFF><![CDATA[=§A¿0,1,0,1,5,6,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13</FCN>
                            <LCPT>0</LCPT>
                            <LCN>13</LCN>
                          </ClmnBlkProps>
                          <ClmnBlkPts>
                            <ClmnBlkPt>
                              <ClmnBlkPtProps>
                                <CBPT>0</CBPT>
                                <ST>18</ST>
                                <SON>4</SON>
                                <VOFFF><![CDATA[=SUM(§A¿0,3,1,1,16,3,1,0,0,0,FALSE,FALSE,1,16,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14</FCN>
                            <LCPT>0</LCPT>
                            <LCN>14</LCN>
                          </ClmnBlkProps>
                          <ClmnBlkPts>
                            <ClmnBlkPt>
                              <ClmnBlkPtProps>
                                <CBPT>0</CBPT>
                                <ST>18</ST>
                                <SON>2</SON>
                                <VOFFF><![CDATA[=§A¿0,1,0,1,5,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A¿3§Z¿]]></VOFFF>
                              </ClmnBlkPtProps>
                            </ClmnBlkPt>
                          </ClmnBlkPts>
                        </ClmnBlk>
                        <ClmnBlk>
                          <ClmnBlkProps>
                            <FCPT>0</FCPT>
                            <FCN>15</FCN>
                            <LCPT>0</LCPT>
                            <LCN>15</LCN>
                          </ClmnBlkProps>
                          <ClmnBlkPts>
                            <ClmnBlkPt>
                              <ClmnBlkPtProps>
                                <CBPT>0</CBPT>
                                <ST>18</ST>
                                <SON>7</SON>
                                <VOFFF><![CDATA[=IFERROR(§A¿0,3,0,1,16,7,1,0,0,0,FALSE,FALSE§Z¿/§A¿0,3,0,1,16,6,1,0,0,0,FALSE,FALSE§Z¿,0)]]></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4</SON>
                                <VOFFF><![CDATA[=IFERROR(§A¿0,3,0,1,16,7,6,-1,0,0,FALSE,FALSE§Z¿/§A¿0,3,0,1,16,6,6,-1,0,0,FALSE,FALSE§Z¿,0)]]></VOFFF>
                              </ClmnBlkPtProps>
                            </ClmnBlkPt>
                          </ClmnBlkPts>
                        </ClmnBlk>
                        <ClmnBlk>
                          <ClmnBlkProps>
                            <FCPT>0</FCPT>
                            <FCN>17</FCN>
                            <LCPT>0</LCPT>
                            <LCN>17</LCN>
                          </ClmnBlkProps>
                          <ClmnBlkPts>
                            <ClmnBlkPt>
                              <ClmnBlkPtProps>
                                <CBPT>0</CBPT>
                                <ST>19</ST>
                                <SON>8</SON>
                                <VOFFF><![CDATA[=§A¿0,3,0,1,11,10,1,0,0,0,FALSE,FALSE§Z¿]]></VOFFF>
                              </ClmnBlkPtProps>
                            </ClmnBlkPt>
                            <ClmnBlkPt>
                              <ClmnBlkPtProps>
                                <CBPT>1</CBPT>
                                <ST>19</ST>
                                <VOFFF><![CDATA[=§A¿2§Z¿]]></VOFFF>
                              </ClmnBlkPtProps>
                            </ClmnBlkPt>
                            <ClmnBlkPt>
                              <ClmnBlkPtProps>
                                <CBPT>2</CBPT>
                                <ST>19</ST>
                                <VOFFF/>
                              </ClmnBlkPtProps>
                            </ClmnBlkPt>
                            <ClmnBlkPt>
                              <ClmnBlkPtProps>
                                <CBPT>3</CBPT>
                                <ST>-1</ST>
                                <VOFFF/>
                              </ClmnBlkPtProps>
                            </ClmnBlkPt>
                            <ClmnBlkPt>
                              <ClmnBlkPtProps>
                                <CBPT>4</CBPT>
                                <ST>-1</ST>
                                <VOFFF/>
                              </ClmnBlkPtProps>
                            </ClmnBlkPt>
                            <ClmnBlkPt>
                              <ClmnBlkPtProps>
                                <CBPT>5</CBPT>
                                <ST>19</ST>
                                <SON>6</SON>
                                <VOFFF><![CDATA[=§A¿0,3,0,1,11,10,6,-1,0,0,FALSE,FALSE§Z¿]]></VOFFF>
                              </ClmnBlkPtProps>
                            </ClmnBlkPt>
                          </ClmnBlkPts>
                        </ClmnBlk>
                      </ClmnBlks>
                      <SubTtls>
                        <SubTtl>
                          <CatSpan>
                            <CatSpanProps>
                              <CC>25</CC>
                              <R>0</R>
                            </CatSpanProps>
                          </CatSpan>
                        </SubTtl>
                      </SubTtls>
                      <TtlCtg/>
                    </Elmt>
                    <Elmt>
                      <ElmtProps>
                        <CPT>2</CPT>
                      </ElmtProps>
                      <TtlCtg/>
                    </Elmt>
                    <Elmt>
                      <ElmtProps>
                        <CPT>2</CPT>
                      </ElmtProps>
                      <ClmnBlks>
                        <ClmnBlk>
                          <ClmnBlkProps>
                            <FCPT>0</FCPT>
                            <FCN>2</FCN>
                            <LCPT>0</LCPT>
                            <LCN>2</LCN>
                          </ClmnBlkProps>
                          <ClmnBlkPts>
                            <ClmnBlkPt>
                              <ClmnBlkPtProps>
                                <CBPT>5</CBPT>
                                <ST>3</ST>
                                <VOFFF><![CDATA[Personnel Counts - Retrospective]]></VOFFF>
                              </ClmnBlkPtProps>
                            </ClmnBlkPt>
                          </ClmnBlkPts>
                        </ClmnBlk>
                      </ClmnBlks>
                      <TtlCtg/>
                    </Elmt>
                    <Elmt>
                      <ElmtProps>
                        <CPT>2</CPT>
                      </ElmtProps>
                      <ClmnBlks>
                        <ClmnBlk>
                          <ClmnBlkProps>
                            <FCPT>0</FCPT>
                            <FCN>4</FCN>
                            <LCPT>0</LCPT>
                            <LCN>4</LCN>
                          </ClmnBlkProps>
                          <ClmnBlkPts>
                            <ClmnBlkPt>
                              <ClmnBlkPtProps>
                                <CBPT>5</CBPT>
                                <ST>5</ST>
                                <VOFFF><![CDATA[Area Name]]></VOFFF>
                              </ClmnBlkPtProps>
                            </ClmnBlkPt>
                          </ClmnBlkPts>
                        </ClmnBlk>
                        <ClmnBlk>
                          <ClmnBlkProps>
                            <FCPT>0</FCPT>
                            <FCN>9</FCN>
                            <LCPT>0</LCPT>
                            <LCN>9</LCN>
                          </ClmnBlkProps>
                          <ClmnBlkPts>
                            <ClmnBlkPt>
                              <ClmnBlkPtProps>
                                <CBPT>5</CBPT>
                                <ST>6</ST>
                                <VOFFF><![CDATA[Vaccinators]]></VOFFF>
                              </ClmnBlkPtProps>
                            </ClmnBlkPt>
                          </ClmnBlkPts>
                        </ClmnBlk>
                        <ClmnBlk>
                          <ClmnBlkProps>
                            <FCPT>0</FCPT>
                            <FCN>10</FCN>
                            <LCPT>0</LCPT>
                            <LCN>10</LCN>
                          </ClmnBlkProps>
                          <ClmnBlkPts>
                            <ClmnBlkPt>
                              <ClmnBlkPtProps>
                                <CBPT>5</CBPT>
                                <ST>6</ST>
                                <VOFFF><![CDATA[Volunteers]]></VOFFF>
                              </ClmnBlkPtProps>
                            </ClmnBlkPt>
                          </ClmnBlkPts>
                        </ClmnBlk>
                        <ClmnBlk>
                          <ClmnBlkProps>
                            <FCPT>0</FCPT>
                            <FCN>11</FCN>
                            <LCPT>0</LCPT>
                            <LCN>11</LCN>
                          </ClmnBlkProps>
                          <ClmnBlkPts>
                            <ClmnBlkPt>
                              <ClmnBlkPtProps>
                                <CBPT>5</CBPT>
                                <ST>6</ST>
                                <VOFFF><![CDATA[Local Leaders]]></VOFFF>
                              </ClmnBlkPtProps>
                            </ClmnBlkPt>
                          </ClmnBlkPts>
                        </ClmnBlk>
                      </ClmnBlks>
                      <TtlCtg/>
                    </Elmt>
                    <Elmt>
                      <ElmtProps>
                        <CPT>1</CPT>
                        <TOT>False</TOT>
                        <EGN>1</EGN>
                      </ElmtProps>
                      <ClmnBlks>
                        <ClmnBlk>
                          <ClmnBlkProps>
                            <FCPT>0</FCPT>
                            <FCN>4</FCN>
                            <LCPT>0</LCPT>
                            <LCN>8</LCN>
                          </ClmnBlkProps>
                          <ClmnBlkPts>
                            <ClmnBlkPt>
                              <ClmnBlkPtProps>
                                <CBPT>0</CBPT>
                                <ST>6</ST>
                                <MC>True</MC>
                                <VOFFF><![CDATA[=§A¿0,1,0,1,5,2,1,0,0,0,FALSE,FALSE§Z¿]]></VOFFF>
                              </ClmnBlkPtProps>
                            </ClmnBlkPt>
                            <ClmnBlkPt>
                              <ClmnBlkPtProps>
                                <CBPT>1</CBPT>
                                <ST>6</ST>
                                <MC>True</MC>
                                <VOFFF><![CDATA[=§A¿0,3,0,1,20,1,3,0,0,0,FALSE,FALSE§Z¿]]></VOFFF>
                                <UDAV><![CDATA[<CategoriesGroupName> Sub-Total <SubTotalNumber>]]></UDAV>
                              </ClmnBlkPtProps>
                            </ClmnBlkPt>
                            <ClmnBlkPt>
                              <ClmnBlkPtProps>
                                <CBPT>2</CBPT>
                                <ST>5</ST>
                                <MC>True</MC>
                                <VOFFF><![CDATA[=§A¿0,1,0,1,5,2,3,0,0,0,FALSE,FALSE§Z¿]]></VOFFF>
                                <UDAV><![CDATA[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18</ST>
                                <VOFFF><![CDATA[=§A¿0,1,0,1,5,7,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10</FCN>
                            <LCPT>0</LCPT>
                            <LCN>10</LCN>
                          </ClmnBlkProps>
                          <ClmnBlkPts>
                            <ClmnBlkPt>
                              <ClmnBlkPtProps>
                                <CBPT>0</CBPT>
                                <ST>18</ST>
                                <VOFFF><![CDATA[=§A¿0,1,0,1,5,8,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11</FCN>
                            <LCPT>0</LCPT>
                            <LCN>11</LCN>
                          </ClmnBlkProps>
                          <ClmnBlkPts>
                            <ClmnBlkPt>
                              <ClmnBlkPtProps>
                                <CBPT>0</CBPT>
                                <ST>18</ST>
                                <VOFFF><![CDATA[=§A¿0,1,0,1,5,9,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25</CC>
                              <R>0</R>
                            </CatSpanProps>
                          </CatSpan>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0</FCPT>
                            <FCN>3</FCN>
                            <LCPT>0</LCPT>
                            <LCN>9</LCN>
                          </ClmnBlkProps>
                          <ClmnBlkPts>
                            <ClmnBlkPt>
                              <ClmnBlkPtProps>
                                <CBPT>5</CBPT>
                                <ST>26</ST>
                                <MC>True</MC>
                                <VOFFF><![CDATA[="Go to "&§A¿1,1,1,1,3,0,1,1,1§Z¿]]></VOFFF>
                              </ClmnBlkPtProps>
                              <Hlk>
                                <HlkProps>
                                  <CBPLI>3,1,33,1,1</CBPLI>
                                  <RT>0</RT>
                                  <RRRT>1</RRRT>
                                  <RCBPLI>1,1,3,1,1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2,1,3,0,1,1,1§Z¿]]></VOFFF>
                              </ClmnBlkPtProps>
                              <Hlk>
                                <HlkProps>
                                  <CBPLI>3,1,34,1,1</CBPLI>
                                  <RT>0</RT>
                                  <RRRT>1</RRRT>
                                  <RCBPLI>2,1,3,1,1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4,1,3,0,1,1,1§Z¿]]></VOFFF>
                              </ClmnBlkPtProps>
                              <Hlk>
                                <HlkProps>
                                  <CBPLI>3,1,35,1,1</CBPLI>
                                  <RT>0</RT>
                                  <RRRT>1</RRRT>
                                  <RCBPLI>4,1,3,1,1</RCBPLI>
                                  <RCN>0</RCN>
                                  <RRNPT>1</RRNPT>
                                  <RRNN>1</RRNN>
                                  <TTDT>0</TTDT>
                                  <AGT>False</AGT>
                                  <CT/>
                                </HlkProps>
                              </Hlk>
                            </ClmnBlkPt>
                          </ClmnBlkPts>
                        </ClmnBlk>
                      </ClmnBlks>
                      <TtlCtg/>
                    </Elmt>
                  </Elmts>
                </Sect>
              </Sects>
            </ModComp>
            <ModComp>
              <ModCompProps>
                <MN>4</MN>
                <MCN>4</MCN>
                <MCTK>OP</MCTK>
                <RT><![CDATA[<ModuleName> - Outputs]]></RT>
                <ERN>BPMMC122</ERN>
                <MCST>1</MCST>
                <IPMC>False</IPMC>
                <SN>32</SN>
                <LODS>True</LODS>
                <LST>False</LST>
                <HS>False</HS>
                <IBOA>3</IBOA>
                <IB>True</IB>
                <CI/>
                <PTI/>
                <PTP>False</PTP>
                <PTD><![CDATA[Annual time series periods.]]></PTD>
                <PTMCN>3</PTMCN>
                <CROL>0</CROL>
                <CCOL>0</CCOL>
                <AMFN>0</AMFN>
              </ModCompProps>
              <Sects>
                <Sect>
                  <SectProps>
                    <LI>4,1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94</CTHN>
                                <ST>3</ST>
                                <VOFFF><![CDATA[<ModuleComponentTitle>]]></VOFFF>
                              </ClmnBlkPtProps>
                              <RgeNmes>
                                <RgeNme>
                                  <RgeNmeProps>
                                    <CBPLI>4,1,3,1,1</CBPLI>
                                    <MCN>4</MCN>
                                    <SN>1</SN>
                                    <EN>3</EN>
                                    <CN>0</CN>
                                    <CBN>1</CBN>
                                    <CBPN>1</CBPN>
                                    <PT>1</PT>
                                    <CBPRNT>6</CBPRNT>
                                    <NT>12</NT>
                                    <SP1><![CDATA[Out_A]]></SP1>
                                    <SP2/>
                                    <FFF/>
                                    <CMT/>
                                  </RgeNmeProps>
                                </RgeNme>
                              </RgeNme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1,1,3,0,1,1,1§Z¿]]></VOFFF>
                              </ClmnBlkPtProps>
                              <Hlk>
                                <HlkProps>
                                  <CBPLI>4,1,16,1,1</CBPLI>
                                  <RT>0</RT>
                                  <RRRT>1</RRRT>
                                  <RCBPLI>1,1,3,1,1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2,1,3,0,1,1,1§Z¿]]></VOFFF>
                              </ClmnBlkPtProps>
                              <Hlk>
                                <HlkProps>
                                  <CBPLI>4,1,17,1,1</CBPLI>
                                  <RT>0</RT>
                                  <RRRT>1</RRRT>
                                  <RCBPLI>2,1,3,1,1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3,1,3,0,1,1,1§Z¿]]></VOFFF>
                              </ClmnBlkPtProps>
                              <Hlk>
                                <HlkProps>
                                  <CBPLI>4,1,18,1,1</CBPLI>
                                  <RT>0</RT>
                                  <RRRT>1</RRRT>
                                  <RCBPLI>3,1,3,1,1</RCBPLI>
                                  <RCN>0</RCN>
                                  <RRNPT>1</RRNPT>
                                  <RRNN>1</RRNN>
                                  <TTDT>0</TTDT>
                                  <AGT>False</AGT>
                                  <CT/>
                                </HlkProps>
                              </Hlk>
                            </ClmnBlkPt>
                          </ClmnBlkPts>
                        </ClmnBlk>
                      </ClmnBlks>
                      <TtlCtg/>
                    </Elmt>
                  </Elmts>
                </Sect>
              </Sects>
            </ModComp>
            <ModComp>
              <ModCompProps>
                <MN>4</MN>
                <MCN>5</MCN>
                <MCTK>LU</MCTK>
                <RT><![CDATA[<ModuleName> - Lookups]]></RT>
                <ERN>BPMMC123</ERN>
                <MCST>3</MCST>
                <IPMC>False</IPMC>
                <SN>57</SN>
                <LODS>True</LODS>
                <LST>False</LST>
                <HS>False</HS>
                <IBOA>0</IBOA>
                <IB>True</IB>
                <CI/>
                <PTI/>
                <PTP>False</PTP>
                <PTD/>
                <PTMCN>0</PTMCN>
                <CROL>0</CROL>
                <CCOL>0</CCOL>
                <AMFN>0</AMFN>
              </ModCompProps>
              <Sects>
                <Sect>
                  <SectProps>
                    <LI>5,1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95</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0</FCPT>
                            <FCN>3</FCN>
                            <LCPT>0</LCPT>
                            <LCN>9</LCN>
                          </ClmnBlkProps>
                          <ClmnBlkPts>
                            <ClmnBlkPt>
                              <ClmnBlkPtProps>
                                <CBPT>5</CBPT>
                                <ST>26</ST>
                                <MC>True</MC>
                                <VOFFF><![CDATA[="Go to "&§A¿1,1,1,1,3,0,1,1,1§Z¿]]></VOFFF>
                              </ClmnBlkPtProps>
                              <Hlk>
                                <HlkProps>
                                  <CBPLI>5,1,15,1,1</CBPLI>
                                  <RT>0</RT>
                                  <RRRT>1</RRRT>
                                  <RCBPLI>1,1,3,1,1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2,1,3,0,1,1,1§Z¿]]></VOFFF>
                              </ClmnBlkPtProps>
                              <Hlk>
                                <HlkProps>
                                  <CBPLI>5,1,16,1,1</CBPLI>
                                  <RT>0</RT>
                                  <RRRT>1</RRRT>
                                  <RCBPLI>2,1,3,1,1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3,1,3,0,1,1,1§Z¿]]></VOFFF>
                              </ClmnBlkPtProps>
                              <Hlk>
                                <HlkProps>
                                  <CBPLI>5,1,17,1,1</CBPLI>
                                  <RT>0</RT>
                                  <RRRT>1</RRRT>
                                  <RCBPLI>3,1,3,1,1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4,1,3,0,1,1,1§Z¿]]></VOFFF>
                              </ClmnBlkPtProps>
                              <Hlk>
                                <HlkProps>
                                  <CBPLI>5,1,18,1,1</CBPLI>
                                  <RT>0</RT>
                                  <RRRT>1</RRRT>
                                  <RCBPLI>4,1,3,1,1</RCBPLI>
                                  <RCN>0</RCN>
                                  <RRNPT>1</RRNPT>
                                  <RRNN>1</RRNN>
                                  <TTDT>0</TTDT>
                                  <AGT>False</AGT>
                                  <CT/>
                                </HlkProps>
                              </Hlk>
                            </ClmnBlkPt>
                          </ClmnBlkPts>
                        </ClmnBlk>
                      </ClmnBlks>
                      <TtlCtg/>
                    </Elmt>
                  </Elmts>
                </Sect>
              </Sects>
            </ModComp>
          </ModComps>
        </Mod>
        <Mod>
          <ModProps>
            <MVS>10.16.9.0</MVS>
            <RAV/>
            <RXV>0</RXV>
            <FV>3</FV>
            <MT>0</MT>
            <SCT>-1</SCT>
            <P><![CDATA[ACT]]></P>
            <OI>0</OI>
            <MN>0</MN>
            <MAG>303E605B-FA76-4A65-9C34-2538BF31F1F5</MAG>
            <BN><![CDATA[PLUG_ACTIVITY]]></BN>
            <N><![CDATA[MICRO-NATL]]></N>
            <TS><![CDATA[Annual]]></TS>
            <D><![CDATA[Assists with planning the cost of an activity. Should be used with Prices module.]]></D>
            <FS/>
            <R/>
            <GE/>
            <CA/>
            <VA/>
            <GST/>
            <DE/>
            <E/>
            <C/>
            <W/>
            <K/>
            <CO/>
            <V>1.0.0.0.</V>
            <AX/>
            <PMLO>False</PMLO>
            <IPMLO>False</IPMLO>
            <MACA>1</MACA>
            <RTSM>True</RTSM>
            <CC>True</CC>
            <X>False</X>
            <G>436C9D82-7614-47F9-8294-19BF542C7BA7</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
              <StlOvlyProps>
                <SON>19</SON>
              </StlOvlyProps>
              <BdrOvlys>
                <BdrOvly>
                  <BdrOvlyProps>
                    <PT>1</PT>
                    <SON>19</SON>
                    <CBPLI/>
                    <FCN>0</FCN>
                    <I>True</I>
                    <BI>9</BI>
                    <LS>1</LS>
                    <W>2</W>
                  </BdrOvlyProps>
                </BdrOvly>
              </BdrOvlys>
            </StlOvly>
          </StlOvlys>
          <ElmtsGrps>
            <ElmtsGrp>
              <ElmtsGrpProps>
                <NU>1</NU>
                <NA><![CDATA[Activity Personnel]]></NA>
                <EGT>0</EGT>
                <DCC>5</DCC>
                <AST>True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5</MN>
                <MCN>1</MCN>
                <MCTK>BaseCase</MCTK>
                <RT><![CDATA[MICRO-NATL - Assumptions]]></RT>
                <ERN>BPMMC38</ERN>
                <MCST>0</MCST>
                <IPMC>False</IPMC>
                <SN>13</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CTHN>
                                <ST>3</ST>
                                <VOFFF><![CDATA[=§A¿0,1,0,1,4,2,1,-1,0,0,FALSE,FALSE§Z¿]]></VOFFF>
                              </ClmnBlkPtProps>
                              <RgeNmes>
                                <RgeNme>
                                  <RgeNmeProps>
                                    <CBPLI>1,1,3,1,1</CBPLI>
                                    <MCN>1</MCN>
                                    <SN>1</SN>
                                    <EN>3</EN>
                                    <CN>0</CN>
                                    <CBN>1</CBN>
                                    <CBPN>1</CBPN>
                                    <PT>1</PT>
                                    <CBPRNT>6</CBPRNT>
                                    <NT>12</NT>
                                    <SP1><![CDATA[Nat_Microplanning]]></SP1>
                                    <SP2/>
                                    <FFF/>
                                    <CMT/>
                                  </RgeNmeProps>
                                </RgeNme>
                              </RgeNme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6,1,1,1,0,0,TRUE,TRUE§Z¿,§A¿0,1,0,1,36,1,1,2,0,0,TRUE,TRUE§Z¿)]]></VOFFF>
                              </ClmnBlkPtProps>
                            </ClmnBlkPt>
                          </ClmnBlkPts>
                        </ClmnBlk>
                        <ClmnBlk>
                          <ClmnBlkProps>
                            <FCPT>0</FCPT>
                            <FCN>15</FCN>
                            <LCPT>0</LCPT>
                            <LCN>15</LCN>
                          </ClmnBlkProps>
                          <ClmnBlkPts>
                            <ClmnBlkPt>
                              <ClmnBlkPtProps>
                                <CBPT>5</CBPT>
                                <ST>18</ST>
                                <VOFFF><![CDATA[=IF(§A¿1,1,1,1,5,0,2,1,1§Z¿=1,§A¿0,1,0,1,36,1,1,1,0,0,TRUE,TRUE§Z¿,§A¿0,1,0,1,36,1,1,2,0,0,TRUE,TRUE§Z¿)]]></VOFFF>
                              </ClmnBlkPtProps>
                            </ClmnBlkPt>
                          </ClmnBlkPts>
                        </ClmnBlk>
                        <ClmnBlk>
                          <ClmnBlkProps>
                            <FCPT>0</FCPT>
                            <FCN>17</FCN>
                            <LCPT>0</LCPT>
                            <LCN>17</LCN>
                          </ClmnBlkProps>
                          <ClmnBlkPts>
                            <ClmnBlkPt>
                              <ClmnBlkPtProps>
                                <CBPT>5</CBPT>
                                <ST>18</ST>
                                <VOFFF><![CDATA[=IF(§A¿1,1,1,1,5,0,2,1,1§Z¿=1,§A¿0,1,0,1,36,1,1,1,0,0,TRUE,TRUE§Z¿,§A¿0,1,0,1,36,1,1,2,0,0,TRUE,TRUE§Z¿)]]></VOFFF>
                              </ClmnBlkPtProps>
                            </ClmnBlkPt>
                          </ClmnBlkPts>
                        </ClmnBlk>
                        <ClmnBlk>
                          <ClmnBlkProps>
                            <FCPT>0</FCPT>
                            <FCN>19</FCN>
                            <LCPT>0</LCPT>
                            <LCN>19</LCN>
                          </ClmnBlkProps>
                          <ClmnBlkPts>
                            <ClmnBlkPt>
                              <ClmnBlkPtProps>
                                <CBPT>5</CBPT>
                                <ST>18</ST>
                                <VOFFF><![CDATA[=IF(§A¿1,1,1,1,5,0,2,1,1§Z¿=1,§A¿0,1,0,1,36,1,1,1,0,0,TRUE,TRUE§Z¿,§A¿0,1,0,1,36,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1,2,1,1,0,0,TRUE,TRUE,1,41,2,1,2,0,0,TRUE,TRUE§Z¿,MATCH(§A¿0,1,0,1,8,1,1,0,0,0,FALSE,FALSE§Z¿,§A¿1,1,4,1,13,0,1,1,1§Z¿,0)),INDEX(§A¿0,1,1,1,41,4,1,1,0,0,TRUE,TRUE,1,41,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1,3,1,1,0,0,TRUE,TRUE,1,41,3,1,2,0,0,TRUE,TRUE§Z¿,MATCH(§A¿0,1,0,1,8,1,1,0,0,0,FALSE,FALSE§Z¿,§A¿1,1,4,1,13,0,1,1,1§Z¿,0)),INDEX(§A¿0,1,1,1,41,5,1,1,0,0,TRUE,TRUE,1,41,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1,1,13,1,1</CBPLI>
                                  <ADVT>-1</ADVT>
                                  <VT>3</VT>
                                  <AS>1</AS>
                                  <O>1</O>
                                  <F1FFF><![CDATA[=§A¿1,1,4,1,17,0,1,1,1§Z¿]]></F1FFF>
                                  <F2FFF/>
                                  <IB>True</IB>
                                  <ICDD>True</ICDD>
                                  <SI>True</SI>
                                  <IT/>
                                  <IM/>
                                  <SE>True</SE>
                                  <ET/>
                                  <EM/>
                                  <IMO>0</IMO>
                                </VdtnProps>
                              </Vdtn>
                            </ClmnBlkPt>
                            <ClmnBlkPt>
                              <ClmnBlkPtProps>
                                <CBPT>1</CBPT>
                                <ST>6</ST>
                                <MC>True</MC>
                                <VOFFF><![CDATA[="Total "&§A¿0,1,0,1,13,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4,2,1,1,0,0,TRUE,TRUE,1,44,2,1,2,0,0,TRUE,TRUE§Z¿,MATCH(§A¿0,1,0,1,13,1,1,0,0,0,FALSE,FALSE§Z¿,§A¿1,1,4,1,17,0,1,1,1§Z¿,0)),INDEX(§A¿0,1,1,1,44,4,1,1,0,0,TRUE,TRUE,1,44,4,1,2,0,0,TRUE,TRUE§Z¿,MATCH(§A¿0,1,0,1,13,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4,3,1,1,0,0,TRUE,TRUE,1,44,3,1,2,0,0,TRUE,TRUE§Z¿,MATCH(§A¿0,1,0,1,13,1,1,0,0,0,FALSE,FALSE§Z¿,§A¿1,1,4,1,17,0,1,1,1§Z¿,0)),INDEX(§A¿0,1,1,1,44,5,1,1,0,0,TRUE,TRUE,1,44,5,1,2,0,0,TRUE,TRUE§Z¿,MATCH(§A¿0,1,0,1,13,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3,2,1,0,0,0,FALSE,FALSE§Z¿*§A¿0,1,0,1,13,3,1,0,0,0,FALSE,FALSE§Z¿*§A¿0,1,0,1,13,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3,2,1,0,0,0,FALSE,FALSE§Z¿*§A¿0,1,0,1,13,3,1,0,0,0,FALSE,FALSE§Z¿*§A¿0,1,0,1,13,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1,1,13,1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8,2,1,1,0,0,TRUE,TRUE,1,48,2,1,2,0,0,TRUE,TRUE§Z¿,MATCH(§A¿0,1,0,1,18,1,1,0,0,0,FALSE,FALSE§Z¿,§A¿1,1,4,1,22,0,1,1,1§Z¿,0)),INDEX(§A¿0,1,1,1,48,4,1,1,0,0,TRUE,TRUE,1,48,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8,3,1,1,0,0,TRUE,TRUE,1,48,3,1,2,0,0,TRUE,TRUE§Z¿,MATCH(§A¿0,1,0,1,18,1,1,0,0,0,FALSE,FALSE§Z¿,§A¿1,1,4,1,22,0,1,1,1§Z¿,0)),INDEX(§A¿0,1,1,1,48,5,1,1,0,0,TRUE,TRUE,1,48,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1,1,23,1,1</CBPLI>
                                  <ADVT>-1</ADVT>
                                  <VT>3</VT>
                                  <AS>1</AS>
                                  <O>1</O>
                                  <F1FFF><![CDATA[=§A¿1,1,4,1,27,0,1,1,1§Z¿]]></F1FFF>
                                  <F2FFF/>
                                  <IB>True</IB>
                                  <ICDD>True</ICDD>
                                  <SI>True</SI>
                                  <IT/>
                                  <IM/>
                                  <SE>True</SE>
                                  <ET/>
                                  <EM/>
                                  <IMO>0</IMO>
                                </VdtnProps>
                              </Vdtn>
                            </ClmnBlkPt>
                            <ClmnBlkPt>
                              <ClmnBlkPtProps>
                                <CBPT>1</CBPT>
                                <ST>6</ST>
                                <MC>True</MC>
                                <VOFFF><![CDATA[="Total "&§A¿0,1,0,1,23,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51,2,1,1,0,0,TRUE,TRUE,1,51,2,1,2,0,0,TRUE,TRUE§Z¿,MATCH(§A¿0,1,0,1,23,1,1,0,0,0,FALSE,FALSE§Z¿,§A¿1,1,4,1,27,0,1,1,1§Z¿,0)),INDEX(§A¿0,1,1,1,51,4,1,1,0,0,TRUE,TRUE,1,51,4,1,2,0,0,TRUE,TRUE§Z¿,MATCH(§A¿0,1,0,1,23,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1,3,1,1,0,0,TRUE,TRUE,1,51,3,1,2,0,0,TRUE,TRUE§Z¿,MATCH(§A¿0,1,0,1,23,1,1,0,0,0,FALSE,FALSE§Z¿,§A¿1,1,4,1,27,0,1,1,1§Z¿,0)),INDEX(§A¿0,1,1,1,51,5,1,1,0,0,TRUE,TRUE,1,51,5,1,2,0,0,TRUE,TRUE§Z¿,MATCH(§A¿0,1,0,1,23,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3,2,1,0,0,0,FALSE,FALSE§Z¿*§A¿0,1,0,1,23,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3,2,1,0,0,0,FALSE,FALSE§Z¿*§A¿0,1,0,1,23,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1,1,29,1,1</CBPLI>
                                  <ADVT>-1</ADVT>
                                  <VT>3</VT>
                                  <AS>1</AS>
                                  <O>1</O>
                                  <F1FFF><![CDATA[=§A¿1,1,4,1,31,0,1,1,1§Z¿]]></F1FFF>
                                  <F2FFF/>
                                  <IB>True</IB>
                                  <ICDD>True</ICDD>
                                  <SI>True</SI>
                                  <IT/>
                                  <IM/>
                                  <SE>True</SE>
                                  <ET/>
                                  <EM/>
                                  <IMO>0</IMO>
                                </VdtnProps>
                              </Vdtn>
                            </ClmnBlkPt>
                            <ClmnBlkPt>
                              <ClmnBlkPtProps>
                                <CBPT>1</CBPT>
                                <ST>6</ST>
                                <MC>True</MC>
                                <VOFFF><![CDATA[="Total "&§A¿0,1,0,1,29,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5,2,1,1,0,0,TRUE,TRUE,1,55,2,1,2,0,0,TRUE,TRUE§Z¿,MATCH(§A¿0,1,0,1,29,1,1,0,0,0,FALSE,FALSE§Z¿,§A¿1,1,4,1,31,0,1,1,1§Z¿,0)),INDEX(§A¿0,1,1,1,55,4,1,1,0,0,TRUE,TRUE,1,55,4,1,2,0,0,TRUE,TRUE§Z¿,MATCH(§A¿0,1,0,1,29,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5,3,1,1,0,0,TRUE,TRUE,1,55,3,1,2,0,0,TRUE,TRUE§Z¿,MATCH(§A¿0,1,0,1,29,1,1,0,0,0,FALSE,FALSE§Z¿,§A¿1,1,4,1,31,0,1,1,1§Z¿,0)),INDEX(§A¿0,1,1,1,55,5,1,1,0,0,TRUE,TRUE,1,55,5,1,2,0,0,TRUE,TRUE§Z¿,MATCH(§A¿0,1,0,1,29,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9,2,1,0,0,0,FALSE,FALSE§Z¿*§A¿0,1,0,1,29,3,1,0,0,0,FALSE,FALSE§Z¿*§A¿0,1,0,1,29,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9,2,1,0,0,0,FALSE,FALSE§Z¿*§A¿0,1,0,1,29,3,1,0,0,0,FALSE,FALSE§Z¿*§A¿0,1,0,1,29,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6,1,1,1,0,0,TRUE,TRUE§Z¿,§A¿0,1,0,1,36,1,1,2,0,0,TRUE,TRUE§Z¿)&")"]]></VOFFF>
                              </ClmnBlkPtProps>
                            </ClmnBlkPt>
                          </ClmnBlkPts>
                        </ClmnBlk>
                        <ClmnBlk>
                          <ClmnBlkProps>
                            <FCPT>0</FCPT>
                            <FCN>23</FCN>
                            <LCPT>0</LCPT>
                            <LCN>23</LCN>
                          </ClmnBlkProps>
                          <ClmnBlkPts>
                            <ClmnBlkPt>
                              <ClmnBlkPtProps>
                                <CBPT>5</CBPT>
                                <ST>6</ST>
                                <SON>2</SON>
                                <VOFFF><![CDATA[="ECONOMIC COST ("&IF(§A¿1,1,1,1,5,0,2,1,1§Z¿=2,§A¿0,1,0,1,36,1,1,1,0,0,TRUE,TRUE§Z¿,§A¿0,1,0,1,36,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3,6,6,-1,0,0,FALSE,FALSE§Z¿,§A¿0,1,0,1,18,6,6,-1,0,0,FALSE,FALSE§Z¿,§A¿0,1,0,1,23,5,6,-1,0,0,FALSE,FALSE§Z¿,§A¿0,1,0,1,29,6,6,-1,0,0,FALSE,FALSE§Z¿)]]></VOFFF>
                              </ClmnBlkPtProps>
                            </ClmnBlkPt>
                          </ClmnBlkPts>
                        </ClmnBlk>
                        <ClmnBlk>
                          <ClmnBlkProps>
                            <FCPT>0</FCPT>
                            <FCN>19</FCN>
                            <LCPT>0</LCPT>
                            <LCN>19</LCN>
                          </ClmnBlkProps>
                          <ClmnBlkPts>
                            <ClmnBlkPt>
                              <ClmnBlkPtProps>
                                <CBPT>5</CBPT>
                                <ST>18</ST>
                                <SON>11</SON>
                                <VOFFF><![CDATA[=SUM(§A¿0,1,0,1,8,7,6,-1,0,0,FALSE,FALSE§Z¿,§A¿0,1,0,1,13,7,6,-1,0,0,FALSE,FALSE§Z¿,§A¿0,1,0,1,18,7,6,-1,0,0,FALSE,FALSE§Z¿,§A¿0,1,0,1,23,6,6,-1,0,0,FALSE,FALSE§Z¿,§A¿0,1,0,1,29,7,6,-1,0,0,FALSE,FALSE§Z¿)]]></VOFFF>
                              </ClmnBlkPtProps>
                            </ClmnBlkPt>
                          </ClmnBlkPts>
                        </ClmnBlk>
                        <ClmnBlk>
                          <ClmnBlkProps>
                            <FCPT>0</FCPT>
                            <FCN>21</FCN>
                            <LCPT>0</LCPT>
                            <LCN>21</LCN>
                          </ClmnBlkProps>
                          <ClmnBlkPts>
                            <ClmnBlkPt>
                              <ClmnBlkPtProps>
                                <CBPT>5</CBPT>
                                <ST>18</ST>
                                <SON>6</SON>
                                <VOFFF><![CDATA[=IFERROR(IF(§A¿1,1,1,1,5,0,2,1,1§Z¿=2,§A¿0,1,0,1,32,2,1,-1,0,0,FALSE,TRUE§Z¿/§A¿0,1,0,1,36,2,1,2,0,0,TRUE,TRUE§Z¿,§A¿0,1,0,1,32,2,1,-1,0,0,FALSE,TRUE§Z¿*§A¿0,1,0,1,36,2,1,2,0,0,TRUE,TRUE§Z¿), 0)]]></VOFFF>
                              </ClmnBlkPtProps>
                            </ClmnBlkPt>
                          </ClmnBlkPts>
                        </ClmnBlk>
                        <ClmnBlk>
                          <ClmnBlkProps>
                            <FCPT>0</FCPT>
                            <FCN>23</FCN>
                            <LCPT>0</LCPT>
                            <LCN>23</LCN>
                          </ClmnBlkProps>
                          <ClmnBlkPts>
                            <ClmnBlkPt>
                              <ClmnBlkPtProps>
                                <CBPT>5</CBPT>
                                <ST>18</ST>
                                <SON>6</SON>
                                <VOFFF><![CDATA[=IFERROR(IF(§A¿1,1,1,1,5,0,2,1,1§Z¿=2,§A¿0,1,0,1,32,3,1,-1,0,0,FALSE,TRUE§Z¿/§A¿0,1,0,1,36,2,1,2,0,0,TRUE,TRUE§Z¿,§A¿0,1,0,1,32,3,1,-1,0,0,FALSE,TRUE§Z¿*§A¿0,1,0,1,36,2,1,2,0,0,TRUE,TRUE§Z¿), 0)]]></VOFFF>
                              </ClmnBlkPtProps>
                            </ClmnBlkPt>
                          </ClmnBlkPts>
                        </ClmnBlk>
                      </ClmnBlks>
                      <TtlCtg/>
                    </Elmt>
                    <Elmt>
                      <ElmtProps>
                        <CPT>2</CPT>
                      </ElmtProps>
                      <ClmnBlks>
                        <ClmnBlk>
                          <ClmnBlkProps>
                            <FCPT>0</FCPT>
                            <FCN>2</FCN>
                            <LCPT>0</LCPT>
                            <LCN>2</LCN>
                          </ClmnBlkProps>
                          <ClmnBlkPts>
                            <ClmnBlkPt>
                              <ClmnBlkPtProps>
                                <CBPT>5</CBPT>
                                <ST>26</ST>
                                <MC>True</MC>
                                <VOFFF><![CDATA[Go to National Microplanning Outputs]]></VOFFF>
                              </ClmnBlkPtProps>
                              <Hlk>
                                <HlkProps>
                                  <CBPLI>1,1,33,1,1</CBPLI>
                                  <RT>0</RT>
                                  <RRRT>1</RRRT>
                                  <RCBPLI>3,1,4,1,1</RCBPLI>
                                  <RCN>0</RCN>
                                  <RRNPT>1</RRNPT>
                                  <RRNN>1</RRNN>
                                  <TTDT>0</TTDT>
                                  <AGT>False</AGT>
                                  <CT/>
                                </HlkProps>
                              </Hlk>
                            </ClmnBlkPt>
                          </ClmnBlkPts>
                        </ClmnBlk>
                      </ClmnBlk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1,1,36,1,1</CBPLI>
                                    <ELN>1</ELN>
                                    <FFF><![CDATA[=§A¿10,FALSE,0,1,0,FALSE§Z¿]]></FFF>
                                  </LnkInFormProps>
                                </LnkInForm>
                              </LnkInForms>
                            </ClmnBlkPt>
                            <ClmnBlkPt>
                              <ClmnBlkPtProps>
                                <CBPT>1</CBPT>
                                <ST>6</ST>
                                <MC>True</MC>
                                <VOFFF><![CDATA[="Total "&§A¿0,1,0,1,36,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5</MN>
                                  <CLI>1,1,36,False,1</CLI>
                                  <ELN>1</ELN>
                                  <LOOT>0</LOOT>
                                  <LOMN>3</LOMN>
                                  <LOMCN>2</LOMCN>
                                  <LOSN>1</LOSN>
                                  <LOEN>4</LOEN>
                                  <LOCN>1</LOCN>
                                </LnkInProps>
                              </LnkIn>
                            </Ctg>
                            <Ctg>
                              <CtgProps>
                                <R>5</R>
                              </CtgProps>
                              <LnkIn>
                                <LnkInProps>
                                  <MN>5</MN>
                                  <CLI>1,1,36,False,2</CLI>
                                  <ELN>1</ELN>
                                  <LOOT>0</LOOT>
                                  <LOMN>3</LOMN>
                                  <LOMCN>2</LOMCN>
                                  <LOSN>1</LOSN>
                                  <LOEN>4</LOEN>
                                  <LOCN>2</LOCN>
                                </LnkInProps>
                              </LnkIn>
                            </Ctg>
                          </Ctgs>
                        </SubTtl>
                      </SubTtls>
                      <TtlCtg/>
                      <ElmtLnksIn>
                        <ElmtLnk>
                          <ElmtLnkProps>
                            <ELI>1,1,36</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 References (Developer Only. User May Change in Step 1.e)]]></VOFFF>
                              </ClmnBlkPtProps>
                            </ClmnBlkPt>
                          </ClmnBlkPts>
                        </ClmnBlk>
                      </ClmnBlks>
                      <TtlCtg/>
                    </Elmt>
                    <Elmt>
                      <ElmtProps>
                        <CPT>2</CPT>
                      </ElmtProps>
                      <ClmnBlks>
                        <ClmnBlk>
                          <ClmnBlkProps>
                            <FCPT>0</FCPT>
                            <FCN>13</FCN>
                            <LCPT>0</LCPT>
                            <LCN>13</LCN>
                          </ClmnBlkProps>
                          <ClmnBlkPts>
                            <ClmnBlkPt>
                              <ClmnBlkPtProps>
                                <CBPT>5</CBPT>
                                <ST>18</ST>
                                <VOFFF><![CDATA[=§A¿0,1,0,1,36,1,1,1,0,0,TRUE,TRUE§Z¿]]></VOFFF>
                              </ClmnBlkPtProps>
                            </ClmnBlkPt>
                          </ClmnBlkPts>
                        </ClmnBlk>
                        <ClmnBlk>
                          <ClmnBlkProps>
                            <FCPT>0</FCPT>
                            <FCN>15</FCN>
                            <LCPT>0</LCPT>
                            <LCN>15</LCN>
                          </ClmnBlkProps>
                          <ClmnBlkPts>
                            <ClmnBlkPt>
                              <ClmnBlkPtProps>
                                <CBPT>5</CBPT>
                                <ST>18</ST>
                                <VOFFF><![CDATA[=§A¿0,1,0,1,36,1,1,1,0,0,TRUE,TRUE§Z¿]]></VOFFF>
                              </ClmnBlkPtProps>
                            </ClmnBlkPt>
                          </ClmnBlkPts>
                        </ClmnBlk>
                        <ClmnBlk>
                          <ClmnBlkProps>
                            <FCPT>0</FCPT>
                            <FCN>17</FCN>
                            <LCPT>0</LCPT>
                            <LCN>17</LCN>
                          </ClmnBlkProps>
                          <ClmnBlkPts>
                            <ClmnBlkPt>
                              <ClmnBlkPtProps>
                                <CBPT>5</CBPT>
                                <ST>18</ST>
                                <VOFFF><![CDATA[=§A¿0,1,0,1,36,1,1,2,0,0,TRUE,TRUE§Z¿]]></VOFFF>
                              </ClmnBlkPtProps>
                            </ClmnBlkPt>
                          </ClmnBlkPts>
                        </ClmnBlk>
                        <ClmnBlk>
                          <ClmnBlkProps>
                            <FCPT>0</FCPT>
                            <FCN>19</FCN>
                            <LCPT>0</LCPT>
                            <LCN>19</LCN>
                          </ClmnBlkProps>
                          <ClmnBlkPts>
                            <ClmnBlkPt>
                              <ClmnBlkPtProps>
                                <CBPT>5</CBPT>
                                <ST>18</ST>
                                <VOFFF><![CDATA[=§A¿0,1,0,1,36,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1,1,41,1,1</CBPLI>
                                    <ELN>1</ELN>
                                    <FFF><![CDATA[=§A¿10,FALSE,0,1,0,FALSE§Z¿]]></FFF>
                                  </LnkInFormProps>
                                </LnkInForm>
                              </LnkInForms>
                            </ClmnBlkPt>
                            <ClmnBlkPt>
                              <ClmnBlkPtProps>
                                <CBPT>1</CBPT>
                                <ST>6</ST>
                                <VOFFF><![CDATA[="Total "&§A¿0,1,0,1,4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1,1,41,2,1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1,1,41,3,1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5</MN>
                                  <CLI>1,1,41,False,1</CLI>
                                  <ELN>1</ELN>
                                  <LOOT>0</LOOT>
                                  <LOMN>3</LOMN>
                                  <LOMCN>1</LOMCN>
                                  <LOSN>1</LOSN>
                                  <LOEN>10</LOEN>
                                  <LOCN>1</LOCN>
                                </LnkInProps>
                              </LnkIn>
                            </Ctg>
                            <Ctg>
                              <CtgProps>
                                <R>4</R>
                              </CtgProps>
                              <LnkIn>
                                <LnkInProps>
                                  <MN>5</MN>
                                  <CLI>1,1,41,False,2</CLI>
                                  <ELN>1</ELN>
                                  <LOOT>0</LOOT>
                                  <LOMN>3</LOMN>
                                  <LOMCN>1</LOMCN>
                                  <LOSN>1</LOSN>
                                  <LOEN>10</LOEN>
                                  <LOCN>2</LOCN>
                                </LnkInProps>
                              </LnkIn>
                            </Ctg>
                            <Ctg>
                              <CtgProps>
                                <R>4</R>
                              </CtgProps>
                              <LnkIn>
                                <LnkInProps>
                                  <MN>5</MN>
                                  <CLI>1,1,41,False,3</CLI>
                                  <ELN>1</ELN>
                                  <LOOT>0</LOOT>
                                  <LOMN>3</LOMN>
                                  <LOMCN>1</LOMCN>
                                  <LOSN>1</LOSN>
                                  <LOEN>10</LOEN>
                                  <LOCN>3</LOCN>
                                </LnkInProps>
                              </LnkIn>
                            </Ctg>
                            <Ctg>
                              <CtgProps>
                                <R>4</R>
                              </CtgProps>
                              <LnkIn>
                                <LnkInProps>
                                  <MN>5</MN>
                                  <CLI>1,1,41,False,4</CLI>
                                  <ELN>1</ELN>
                                  <LOOT>0</LOOT>
                                  <LOMN>3</LOMN>
                                  <LOMCN>1</LOMCN>
                                  <LOSN>1</LOSN>
                                  <LOEN>10</LOEN>
                                  <LOCN>4</LOCN>
                                </LnkInProps>
                              </LnkIn>
                            </Ctg>
                            <Ctg>
                              <CtgProps>
                                <R>4</R>
                              </CtgProps>
                              <LnkIn>
                                <LnkInProps>
                                  <MN>5</MN>
                                  <CLI>1,1,41,False,5</CLI>
                                  <ELN>1</ELN>
                                  <LOOT>0</LOOT>
                                  <LOMN>3</LOMN>
                                  <LOMCN>1</LOMCN>
                                  <LOSN>1</LOSN>
                                  <LOEN>10</LOEN>
                                  <LOCN>5</LOCN>
                                </LnkInProps>
                              </LnkIn>
                            </Ctg>
                            <Ctg>
                              <CtgProps>
                                <R>4</R>
                              </CtgProps>
                              <LnkIn>
                                <LnkInProps>
                                  <MN>5</MN>
                                  <CLI>1,1,41,False,6</CLI>
                                  <ELN>1</ELN>
                                  <LOOT>0</LOOT>
                                  <LOMN>3</LOMN>
                                  <LOMCN>1</LOMCN>
                                  <LOSN>1</LOSN>
                                  <LOEN>10</LOEN>
                                  <LOCN>6</LOCN>
                                </LnkInProps>
                              </LnkIn>
                            </Ctg>
                            <Ctg>
                              <CtgProps>
                                <R>4</R>
                              </CtgProps>
                              <LnkIn>
                                <LnkInProps>
                                  <MN>5</MN>
                                  <CLI>1,1,41,False,7</CLI>
                                  <ELN>1</ELN>
                                  <LOOT>0</LOOT>
                                  <LOMN>3</LOMN>
                                  <LOMCN>1</LOMCN>
                                  <LOSN>1</LOSN>
                                  <LOEN>10</LOEN>
                                  <LOCN>7</LOCN>
                                </LnkInProps>
                              </LnkIn>
                            </Ctg>
                            <Ctg>
                              <CtgProps>
                                <R>4</R>
                              </CtgProps>
                              <LnkIn>
                                <LnkInProps>
                                  <MN>5</MN>
                                  <CLI>1,1,41,False,8</CLI>
                                  <ELN>1</ELN>
                                  <LOOT>0</LOOT>
                                  <LOMN>3</LOMN>
                                  <LOMCN>1</LOMCN>
                                  <LOSN>1</LOSN>
                                  <LOEN>10</LOEN>
                                  <LOCN>8</LOCN>
                                </LnkInProps>
                              </LnkIn>
                            </Ctg>
                            <Ctg>
                              <CtgProps>
                                <R>4</R>
                              </CtgProps>
                              <LnkIn>
                                <LnkInProps>
                                  <MN>5</MN>
                                  <CLI>1,1,41,False,9</CLI>
                                  <ELN>1</ELN>
                                  <LOOT>0</LOOT>
                                  <LOMN>3</LOMN>
                                  <LOMCN>1</LOMCN>
                                  <LOSN>1</LOSN>
                                  <LOEN>10</LOEN>
                                  <LOCN>9</LOCN>
                                </LnkInProps>
                              </LnkIn>
                            </Ctg>
                            <Ctg>
                              <CtgProps>
                                <R>4</R>
                              </CtgProps>
                              <LnkIn>
                                <LnkInProps>
                                  <MN>5</MN>
                                  <CLI>1,1,41,False,10</CLI>
                                  <ELN>1</ELN>
                                  <LOOT>0</LOOT>
                                  <LOMN>3</LOMN>
                                  <LOMCN>1</LOMCN>
                                  <LOSN>1</LOSN>
                                  <LOEN>10</LOEN>
                                  <LOCN>10</LOCN>
                                </LnkInProps>
                              </LnkIn>
                            </Ctg>
                            <Ctg>
                              <CtgProps>
                                <R>4</R>
                              </CtgProps>
                              <LnkIn>
                                <LnkInProps>
                                  <MN>5</MN>
                                  <CLI>1,1,41,False,11</CLI>
                                  <ELN>1</ELN>
                                  <LOOT>0</LOOT>
                                  <LOMN>3</LOMN>
                                  <LOMCN>1</LOMCN>
                                  <LOSN>1</LOSN>
                                  <LOEN>10</LOEN>
                                  <LOCN>11</LOCN>
                                </LnkInProps>
                              </LnkIn>
                            </Ctg>
                            <Ctg>
                              <CtgProps>
                                <R>4</R>
                              </CtgProps>
                              <LnkIn>
                                <LnkInProps>
                                  <MN>5</MN>
                                  <CLI>1,1,41,False,12</CLI>
                                  <ELN>1</ELN>
                                  <LOOT>0</LOOT>
                                  <LOMN>3</LOMN>
                                  <LOMCN>1</LOMCN>
                                  <LOSN>1</LOSN>
                                  <LOEN>10</LOEN>
                                  <LOCN>12</LOCN>
                                </LnkInProps>
                              </LnkIn>
                            </Ctg>
                            <Ctg>
                              <CtgProps>
                                <R>4</R>
                              </CtgProps>
                              <LnkIn>
                                <LnkInProps>
                                  <MN>5</MN>
                                  <CLI>1,1,41,False,13</CLI>
                                  <ELN>1</ELN>
                                  <LOOT>0</LOOT>
                                  <LOMN>3</LOMN>
                                  <LOMCN>1</LOMCN>
                                  <LOSN>1</LOSN>
                                  <LOEN>10</LOEN>
                                  <LOCN>13</LOCN>
                                </LnkInProps>
                              </LnkIn>
                            </Ctg>
                            <Ctg>
                              <CtgProps>
                                <R>4</R>
                              </CtgProps>
                              <LnkIn>
                                <LnkInProps>
                                  <MN>5</MN>
                                  <CLI>1,1,41,False,14</CLI>
                                  <ELN>1</ELN>
                                  <LOOT>0</LOOT>
                                  <LOMN>3</LOMN>
                                  <LOMCN>1</LOMCN>
                                  <LOSN>1</LOSN>
                                  <LOEN>10</LOEN>
                                  <LOCN>14</LOCN>
                                </LnkInProps>
                              </LnkIn>
                            </Ctg>
                            <Ctg>
                              <CtgProps>
                                <R>5</R>
                              </CtgProps>
                              <LnkIn>
                                <LnkInProps>
                                  <MN>5</MN>
                                  <CLI>1,1,41,False,15</CLI>
                                  <ELN>1</ELN>
                                  <LOOT>0</LOOT>
                                  <LOMN>3</LOMN>
                                  <LOMCN>1</LOMCN>
                                  <LOSN>1</LOSN>
                                  <LOEN>10</LOEN>
                                  <LOCN>15</LOCN>
                                </LnkInProps>
                              </LnkIn>
                            </Ctg>
                            <Ctg>
                              <CtgProps>
                                <R>5</R>
                              </CtgProps>
                              <LnkIn>
                                <LnkInProps>
                                  <MN>5</MN>
                                  <CLI>1,1,41,False,16</CLI>
                                  <ELN>1</ELN>
                                  <LOOT>0</LOOT>
                                  <LOMN>3</LOMN>
                                  <LOMCN>1</LOMCN>
                                  <LOSN>1</LOSN>
                                  <LOEN>10</LOEN>
                                  <LOCN>16</LOCN>
                                </LnkInProps>
                              </LnkIn>
                            </Ctg>
                            <Ctg>
                              <CtgProps>
                                <R>5</R>
                              </CtgProps>
                              <LnkIn>
                                <LnkInProps>
                                  <MN>5</MN>
                                  <CLI>1,1,41,False,17</CLI>
                                  <ELN>1</ELN>
                                  <LOOT>0</LOOT>
                                  <LOMN>3</LOMN>
                                  <LOMCN>1</LOMCN>
                                  <LOSN>1</LOSN>
                                  <LOEN>10</LOEN>
                                  <LOCN>17</LOCN>
                                </LnkInProps>
                              </LnkIn>
                            </Ctg>
                            <Ctg>
                              <CtgProps>
                                <R>5</R>
                              </CtgProps>
                              <LnkIn>
                                <LnkInProps>
                                  <MN>5</MN>
                                  <CLI>1,1,41,False,18</CLI>
                                  <ELN>1</ELN>
                                  <LOOT>0</LOOT>
                                  <LOMN>3</LOMN>
                                  <LOMCN>1</LOMCN>
                                  <LOSN>1</LOSN>
                                  <LOEN>10</LOEN>
                                  <LOCN>18</LOCN>
                                </LnkInProps>
                              </LnkIn>
                            </Ctg>
                            <Ctg>
                              <CtgProps>
                                <R>5</R>
                              </CtgProps>
                              <LnkIn>
                                <LnkInProps>
                                  <MN>5</MN>
                                  <CLI>1,1,41,False,19</CLI>
                                  <ELN>1</ELN>
                                  <LOOT>0</LOOT>
                                  <LOMN>3</LOMN>
                                  <LOMCN>1</LOMCN>
                                  <LOSN>1</LOSN>
                                  <LOEN>10</LOEN>
                                  <LOCN>19</LOCN>
                                </LnkInProps>
                              </LnkIn>
                            </Ctg>
                            <Ctg>
                              <CtgProps>
                                <R>5</R>
                              </CtgProps>
                              <LnkIn>
                                <LnkInProps>
                                  <MN>5</MN>
                                  <CLI>1,1,41,False,20</CLI>
                                  <ELN>1</ELN>
                                  <LOOT>0</LOOT>
                                  <LOMN>3</LOMN>
                                  <LOMCN>1</LOMCN>
                                  <LOSN>1</LOSN>
                                  <LOEN>10</LOEN>
                                  <LOCN>20</LOCN>
                                </LnkInProps>
                              </LnkIn>
                            </Ctg>
                            <Ctg>
                              <CtgProps>
                                <R>5</R>
                              </CtgProps>
                              <LnkIn>
                                <LnkInProps>
                                  <MN>5</MN>
                                  <CLI>1,1,41,False,21</CLI>
                                  <ELN>1</ELN>
                                  <LOOT>0</LOOT>
                                  <LOMN>3</LOMN>
                                  <LOMCN>1</LOMCN>
                                  <LOSN>1</LOSN>
                                  <LOEN>10</LOEN>
                                  <LOCN>21</LOCN>
                                </LnkInProps>
                              </LnkIn>
                            </Ctg>
                            <Ctg>
                              <CtgProps>
                                <R>5</R>
                              </CtgProps>
                              <LnkIn>
                                <LnkInProps>
                                  <MN>5</MN>
                                  <CLI>1,1,41,False,22</CLI>
                                  <ELN>1</ELN>
                                  <LOOT>0</LOOT>
                                  <LOMN>3</LOMN>
                                  <LOMCN>1</LOMCN>
                                  <LOSN>1</LOSN>
                                  <LOEN>10</LOEN>
                                  <LOCN>22</LOCN>
                                </LnkInProps>
                              </LnkIn>
                            </Ctg>
                            <Ctg>
                              <CtgProps>
                                <R>5</R>
                              </CtgProps>
                              <LnkIn>
                                <LnkInProps>
                                  <MN>5</MN>
                                  <CLI>1,1,41,False,23</CLI>
                                  <ELN>1</ELN>
                                  <LOOT>0</LOOT>
                                  <LOMN>3</LOMN>
                                  <LOMCN>1</LOMCN>
                                  <LOSN>1</LOSN>
                                  <LOEN>10</LOEN>
                                  <LOCN>23</LOCN>
                                </LnkInProps>
                              </LnkIn>
                            </Ctg>
                            <Ctg>
                              <CtgProps>
                                <R>5</R>
                              </CtgProps>
                              <LnkIn>
                                <LnkInProps>
                                  <MN>5</MN>
                                  <CLI>1,1,41,False,24</CLI>
                                  <ELN>1</ELN>
                                  <LOOT>0</LOOT>
                                  <LOMN>3</LOMN>
                                  <LOMCN>1</LOMCN>
                                  <LOSN>1</LOSN>
                                  <LOEN>10</LOEN>
                                  <LOCN>24</LOCN>
                                </LnkInProps>
                              </LnkIn>
                            </Ctg>
                            <Ctg>
                              <CtgProps>
                                <R>5</R>
                              </CtgProps>
                              <LnkIn>
                                <LnkInProps>
                                  <MN>5</MN>
                                  <CLI>1,1,41,False,25</CLI>
                                  <ELN>1</ELN>
                                  <LOOT>0</LOOT>
                                  <LOMN>3</LOMN>
                                  <LOMCN>1</LOMCN>
                                  <LOSN>1</LOSN>
                                  <LOEN>10</LOEN>
                                  <LOCN>25</LOCN>
                                </LnkInProps>
                              </LnkIn>
                            </Ctg>
                            <Ctg>
                              <CtgProps>
                                <R>5</R>
                              </CtgProps>
                              <LnkIn>
                                <LnkInProps>
                                  <MN>5</MN>
                                  <CLI>1,1,41,False,26</CLI>
                                  <ELN>1</ELN>
                                  <LOOT>0</LOOT>
                                  <LOMN>3</LOMN>
                                  <LOMCN>1</LOMCN>
                                  <LOSN>1</LOSN>
                                  <LOEN>10</LOEN>
                                  <LOCN>26</LOCN>
                                </LnkInProps>
                              </LnkIn>
                            </Ctg>
                            <Ctg>
                              <CtgProps>
                                <R>5</R>
                              </CtgProps>
                              <LnkIn>
                                <LnkInProps>
                                  <MN>5</MN>
                                  <CLI>1,1,41,False,27</CLI>
                                  <ELN>1</ELN>
                                  <LOOT>0</LOOT>
                                  <LOMN>3</LOMN>
                                  <LOMCN>1</LOMCN>
                                  <LOSN>1</LOSN>
                                  <LOEN>10</LOEN>
                                  <LOCN>27</LOCN>
                                </LnkInProps>
                              </LnkIn>
                            </Ctg>
                            <Ctg>
                              <CtgProps>
                                <R>5</R>
                              </CtgProps>
                              <LnkIn>
                                <LnkInProps>
                                  <MN>5</MN>
                                  <CLI>1,1,41,False,28</CLI>
                                  <ELN>1</ELN>
                                  <LOOT>0</LOOT>
                                  <LOMN>3</LOMN>
                                  <LOMCN>1</LOMCN>
                                  <LOSN>1</LOSN>
                                  <LOEN>10</LOEN>
                                  <LOCN>28</LOCN>
                                </LnkInProps>
                              </LnkIn>
                            </Ctg>
                            <Ctg>
                              <CtgProps>
                                <R>5</R>
                              </CtgProps>
                              <LnkIn>
                                <LnkInProps>
                                  <MN>5</MN>
                                  <CLI>1,1,41,False,29</CLI>
                                  <ELN>1</ELN>
                                  <LOOT>0</LOOT>
                                  <LOMN>3</LOMN>
                                  <LOMCN>1</LOMCN>
                                  <LOSN>1</LOSN>
                                  <LOEN>10</LOEN>
                                  <LOCN>29</LOCN>
                                </LnkInProps>
                              </LnkIn>
                            </Ctg>
                            <Ctg>
                              <CtgProps>
                                <R>5</R>
                              </CtgProps>
                              <LnkIn>
                                <LnkInProps>
                                  <MN>5</MN>
                                  <CLI>1,1,41,False,30</CLI>
                                  <ELN>1</ELN>
                                  <LOOT>0</LOOT>
                                  <LOMN>3</LOMN>
                                  <LOMCN>1</LOMCN>
                                  <LOSN>1</LOSN>
                                  <LOEN>10</LOEN>
                                  <LOCN>30</LOCN>
                                </LnkInProps>
                              </LnkIn>
                            </Ctg>
                            <Ctg>
                              <CtgProps>
                                <R>5</R>
                              </CtgProps>
                              <LnkIn>
                                <LnkInProps>
                                  <MN>5</MN>
                                  <CLI>1,1,41,False,31</CLI>
                                  <ELN>1</ELN>
                                  <LOOT>0</LOOT>
                                  <LOMN>3</LOMN>
                                  <LOMCN>1</LOMCN>
                                  <LOSN>1</LOSN>
                                  <LOEN>10</LOEN>
                                  <LOCN>31</LOCN>
                                </LnkInProps>
                              </LnkIn>
                            </Ctg>
                            <Ctg>
                              <CtgProps>
                                <R>5</R>
                              </CtgProps>
                              <LnkIn>
                                <LnkInProps>
                                  <MN>5</MN>
                                  <CLI>1,1,41,False,32</CLI>
                                  <ELN>1</ELN>
                                  <LOOT>0</LOOT>
                                  <LOMN>3</LOMN>
                                  <LOMCN>1</LOMCN>
                                  <LOSN>1</LOSN>
                                  <LOEN>10</LOEN>
                                  <LOCN>32</LOCN>
                                </LnkInProps>
                              </LnkIn>
                            </Ctg>
                            <Ctg>
                              <CtgProps>
                                <R>5</R>
                              </CtgProps>
                              <LnkIn>
                                <LnkInProps>
                                  <MN>5</MN>
                                  <CLI>1,1,41,False,33</CLI>
                                  <ELN>1</ELN>
                                  <LOOT>0</LOOT>
                                  <LOMN>3</LOMN>
                                  <LOMCN>1</LOMCN>
                                  <LOSN>1</LOSN>
                                  <LOEN>10</LOEN>
                                  <LOCN>33</LOCN>
                                </LnkInProps>
                              </LnkIn>
                            </Ctg>
                            <Ctg>
                              <CtgProps>
                                <R>5</R>
                              </CtgProps>
                              <LnkIn>
                                <LnkInProps>
                                  <MN>5</MN>
                                  <CLI>1,1,41,False,34</CLI>
                                  <ELN>1</ELN>
                                  <LOOT>0</LOOT>
                                  <LOMN>3</LOMN>
                                  <LOMCN>1</LOMCN>
                                  <LOSN>1</LOSN>
                                  <LOEN>10</LOEN>
                                  <LOCN>34</LOCN>
                                </LnkInProps>
                              </LnkIn>
                            </Ctg>
                            <Ctg>
                              <CtgProps>
                                <R>5</R>
                              </CtgProps>
                              <LnkIn>
                                <LnkInProps>
                                  <MN>5</MN>
                                  <CLI>1,1,41,False,35</CLI>
                                  <ELN>1</ELN>
                                  <LOOT>0</LOOT>
                                  <LOMN>3</LOMN>
                                  <LOMCN>1</LOMCN>
                                  <LOSN>1</LOSN>
                                  <LOEN>10</LOEN>
                                  <LOCN>35</LOCN>
                                </LnkInProps>
                              </LnkIn>
                            </Ctg>
                          </Ctgs>
                        </SubTtl>
                      </SubTtls>
                      <TtlCtg/>
                      <ElmtLnksIn>
                        <ElmtLnk>
                          <ElmtLnkProps>
                            <ELI>1,1,41</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6,1,1,1,0,0,TRUE,TRUE§Z¿]]></VOFFF>
                              </ClmnBlkPtProps>
                            </ClmnBlkPt>
                          </ClmnBlkPts>
                        </ClmnBlk>
                        <ClmnBlk>
                          <ClmnBlkProps>
                            <FCPT>0</FCPT>
                            <FCN>15</FCN>
                            <LCPT>0</LCPT>
                            <LCN>15</LCN>
                          </ClmnBlkProps>
                          <ClmnBlkPts>
                            <ClmnBlkPt>
                              <ClmnBlkPtProps>
                                <CBPT>5</CBPT>
                                <ST>18</ST>
                                <VOFFF><![CDATA[=§A¿0,1,0,1,36,1,1,1,0,0,TRUE,TRUE§Z¿]]></VOFFF>
                              </ClmnBlkPtProps>
                            </ClmnBlkPt>
                          </ClmnBlkPts>
                        </ClmnBlk>
                        <ClmnBlk>
                          <ClmnBlkProps>
                            <FCPT>0</FCPT>
                            <FCN>17</FCN>
                            <LCPT>0</LCPT>
                            <LCN>17</LCN>
                          </ClmnBlkProps>
                          <ClmnBlkPts>
                            <ClmnBlkPt>
                              <ClmnBlkPtProps>
                                <CBPT>5</CBPT>
                                <ST>18</ST>
                                <VOFFF><![CDATA[=§A¿0,1,0,1,36,1,1,2,0,0,TRUE,TRUE§Z¿]]></VOFFF>
                              </ClmnBlkPtProps>
                            </ClmnBlkPt>
                          </ClmnBlkPts>
                        </ClmnBlk>
                        <ClmnBlk>
                          <ClmnBlkProps>
                            <FCPT>0</FCPT>
                            <FCN>19</FCN>
                            <LCPT>0</LCPT>
                            <LCN>19</LCN>
                          </ClmnBlkProps>
                          <ClmnBlkPts>
                            <ClmnBlkPt>
                              <ClmnBlkPtProps>
                                <CBPT>5</CBPT>
                                <ST>18</ST>
                                <VOFFF><![CDATA[=§A¿0,1,0,1,36,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1,1,44,1,1</CBPLI>
                                    <ELN>1</ELN>
                                    <FFF><![CDATA[=§A¿10,FALSE,0,1,0,FALSE§Z¿]]></FFF>
                                  </LnkInFormProps>
                                </LnkInForm>
                              </LnkInForms>
                            </ClmnBlkPt>
                            <ClmnBlkPt>
                              <ClmnBlkPtProps>
                                <CBPT>1</CBPT>
                                <ST>6</ST>
                                <VOFFF><![CDATA[="Total "&§A¿0,1,0,1,44,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1,1,44,3,1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1,1,44,4,1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1,1,44,5,1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5</MN>
                                  <CLI>1,1,44,False,1</CLI>
                                  <ELN>1</ELN>
                                  <LOOT>0</LOOT>
                                  <LOMN>3</LOMN>
                                  <LOMCN>1</LOMCN>
                                  <LOSN>1</LOSN>
                                  <LOEN>15</LOEN>
                                  <LOCN>1</LOCN>
                                </LnkInProps>
                              </LnkIn>
                            </Ctg>
                            <Ctg>
                              <CtgProps>
                                <R>4</R>
                              </CtgProps>
                              <LnkIn>
                                <LnkInProps>
                                  <MN>5</MN>
                                  <CLI>1,1,44,False,2</CLI>
                                  <ELN>1</ELN>
                                  <LOOT>0</LOOT>
                                  <LOMN>3</LOMN>
                                  <LOMCN>1</LOMCN>
                                  <LOSN>1</LOSN>
                                  <LOEN>15</LOEN>
                                  <LOCN>2</LOCN>
                                </LnkInProps>
                              </LnkIn>
                            </Ctg>
                            <Ctg>
                              <CtgProps>
                                <R>4</R>
                              </CtgProps>
                              <LnkIn>
                                <LnkInProps>
                                  <MN>5</MN>
                                  <CLI>1,1,44,False,3</CLI>
                                  <ELN>1</ELN>
                                  <LOOT>0</LOOT>
                                  <LOMN>3</LOMN>
                                  <LOMCN>1</LOMCN>
                                  <LOSN>1</LOSN>
                                  <LOEN>15</LOEN>
                                  <LOCN>3</LOCN>
                                </LnkInProps>
                              </LnkIn>
                            </Ctg>
                            <Ctg>
                              <CtgProps>
                                <R>4</R>
                              </CtgProps>
                              <LnkIn>
                                <LnkInProps>
                                  <MN>5</MN>
                                  <CLI>1,1,44,False,4</CLI>
                                  <ELN>1</ELN>
                                  <LOOT>0</LOOT>
                                  <LOMN>3</LOMN>
                                  <LOMCN>1</LOMCN>
                                  <LOSN>1</LOSN>
                                  <LOEN>15</LOEN>
                                  <LOCN>4</LOCN>
                                </LnkInProps>
                              </LnkIn>
                            </Ctg>
                            <Ctg>
                              <CtgProps>
                                <R>5</R>
                              </CtgProps>
                              <LnkIn>
                                <LnkInProps>
                                  <MN>5</MN>
                                  <CLI>1,1,44,False,5</CLI>
                                  <ELN>1</ELN>
                                  <LOOT>0</LOOT>
                                  <LOMN>3</LOMN>
                                  <LOMCN>1</LOMCN>
                                  <LOSN>1</LOSN>
                                  <LOEN>15</LOEN>
                                  <LOCN>5</LOCN>
                                </LnkInProps>
                              </LnkIn>
                            </Ctg>
                            <Ctg>
                              <CtgProps>
                                <R>5</R>
                              </CtgProps>
                              <LnkIn>
                                <LnkInProps>
                                  <MN>5</MN>
                                  <CLI>1,1,44,False,6</CLI>
                                  <ELN>1</ELN>
                                  <LOOT>0</LOOT>
                                  <LOMN>3</LOMN>
                                  <LOMCN>1</LOMCN>
                                  <LOSN>1</LOSN>
                                  <LOEN>15</LOEN>
                                  <LOCN>6</LOCN>
                                </LnkInProps>
                              </LnkIn>
                            </Ctg>
                            <Ctg>
                              <CtgProps>
                                <R>5</R>
                              </CtgProps>
                              <LnkIn>
                                <LnkInProps>
                                  <MN>5</MN>
                                  <CLI>1,1,44,False,7</CLI>
                                  <ELN>1</ELN>
                                  <LOOT>0</LOOT>
                                  <LOMN>3</LOMN>
                                  <LOMCN>1</LOMCN>
                                  <LOSN>1</LOSN>
                                  <LOEN>15</LOEN>
                                  <LOCN>7</LOCN>
                                </LnkInProps>
                              </LnkIn>
                            </Ctg>
                            <Ctg>
                              <CtgProps>
                                <R>5</R>
                              </CtgProps>
                              <LnkIn>
                                <LnkInProps>
                                  <MN>5</MN>
                                  <CLI>1,1,44,False,8</CLI>
                                  <ELN>1</ELN>
                                  <LOOT>0</LOOT>
                                  <LOMN>3</LOMN>
                                  <LOMCN>1</LOMCN>
                                  <LOSN>1</LOSN>
                                  <LOEN>15</LOEN>
                                  <LOCN>8</LOCN>
                                </LnkInProps>
                              </LnkIn>
                            </Ctg>
                            <Ctg>
                              <CtgProps>
                                <R>5</R>
                              </CtgProps>
                              <LnkIn>
                                <LnkInProps>
                                  <MN>5</MN>
                                  <CLI>1,1,44,False,9</CLI>
                                  <ELN>1</ELN>
                                  <LOOT>0</LOOT>
                                  <LOMN>3</LOMN>
                                  <LOMCN>1</LOMCN>
                                  <LOSN>1</LOSN>
                                  <LOEN>15</LOEN>
                                  <LOCN>9</LOCN>
                                </LnkInProps>
                              </LnkIn>
                            </Ctg>
                            <Ctg>
                              <CtgProps>
                                <R>5</R>
                              </CtgProps>
                              <LnkIn>
                                <LnkInProps>
                                  <MN>5</MN>
                                  <CLI>1,1,44,False,10</CLI>
                                  <ELN>1</ELN>
                                  <LOOT>0</LOOT>
                                  <LOMN>3</LOMN>
                                  <LOMCN>1</LOMCN>
                                  <LOSN>1</LOSN>
                                  <LOEN>15</LOEN>
                                  <LOCN>10</LOCN>
                                </LnkInProps>
                              </LnkIn>
                            </Ctg>
                            <Ctg>
                              <CtgProps>
                                <R>5</R>
                              </CtgProps>
                              <LnkIn>
                                <LnkInProps>
                                  <MN>5</MN>
                                  <CLI>1,1,44,False,11</CLI>
                                  <ELN>1</ELN>
                                  <LOOT>0</LOOT>
                                  <LOMN>3</LOMN>
                                  <LOMCN>1</LOMCN>
                                  <LOSN>1</LOSN>
                                  <LOEN>15</LOEN>
                                  <LOCN>11</LOCN>
                                </LnkInProps>
                              </LnkIn>
                            </Ctg>
                            <Ctg>
                              <CtgProps>
                                <R>5</R>
                              </CtgProps>
                              <LnkIn>
                                <LnkInProps>
                                  <MN>5</MN>
                                  <CLI>1,1,44,False,12</CLI>
                                  <ELN>1</ELN>
                                  <LOOT>0</LOOT>
                                  <LOMN>3</LOMN>
                                  <LOMCN>1</LOMCN>
                                  <LOSN>1</LOSN>
                                  <LOEN>15</LOEN>
                                  <LOCN>12</LOCN>
                                </LnkInProps>
                              </LnkIn>
                            </Ctg>
                            <Ctg>
                              <CtgProps>
                                <R>5</R>
                              </CtgProps>
                              <LnkIn>
                                <LnkInProps>
                                  <MN>5</MN>
                                  <CLI>1,1,44,False,13</CLI>
                                  <ELN>1</ELN>
                                  <LOOT>0</LOOT>
                                  <LOMN>3</LOMN>
                                  <LOMCN>1</LOMCN>
                                  <LOSN>1</LOSN>
                                  <LOEN>15</LOEN>
                                  <LOCN>13</LOCN>
                                </LnkInProps>
                              </LnkIn>
                            </Ctg>
                            <Ctg>
                              <CtgProps>
                                <R>5</R>
                              </CtgProps>
                              <LnkIn>
                                <LnkInProps>
                                  <MN>5</MN>
                                  <CLI>1,1,44,False,14</CLI>
                                  <ELN>1</ELN>
                                  <LOOT>0</LOOT>
                                  <LOMN>3</LOMN>
                                  <LOMCN>1</LOMCN>
                                  <LOSN>1</LOSN>
                                  <LOEN>15</LOEN>
                                  <LOCN>14</LOCN>
                                </LnkInProps>
                              </LnkIn>
                            </Ctg>
                            <Ctg>
                              <CtgProps>
                                <R>5</R>
                              </CtgProps>
                              <LnkIn>
                                <LnkInProps>
                                  <MN>5</MN>
                                  <CLI>1,1,44,False,15</CLI>
                                  <ELN>1</ELN>
                                  <LOOT>0</LOOT>
                                  <LOMN>3</LOMN>
                                  <LOMCN>1</LOMCN>
                                  <LOSN>1</LOSN>
                                  <LOEN>15</LOEN>
                                  <LOCN>15</LOCN>
                                </LnkInProps>
                              </LnkIn>
                            </Ctg>
                            <Ctg>
                              <CtgProps>
                                <R>5</R>
                              </CtgProps>
                              <LnkIn>
                                <LnkInProps>
                                  <MN>5</MN>
                                  <CLI>1,1,44,False,16</CLI>
                                  <ELN>1</ELN>
                                  <LOOT>0</LOOT>
                                  <LOMN>3</LOMN>
                                  <LOMCN>1</LOMCN>
                                  <LOSN>1</LOSN>
                                  <LOEN>15</LOEN>
                                  <LOCN>16</LOCN>
                                </LnkInProps>
                              </LnkIn>
                            </Ctg>
                            <Ctg>
                              <CtgProps>
                                <R>4</R>
                              </CtgProps>
                              <LnkIn>
                                <LnkInProps>
                                  <MN>5</MN>
                                  <CLI>1,1,44,False,17</CLI>
                                  <ELN>1</ELN>
                                  <LOOT>0</LOOT>
                                  <LOMN>3</LOMN>
                                  <LOMCN>1</LOMCN>
                                  <LOSN>1</LOSN>
                                  <LOEN>15</LOEN>
                                  <LOCN>17</LOCN>
                                </LnkInProps>
                              </LnkIn>
                            </Ctg>
                            <Ctg>
                              <CtgProps>
                                <R>4</R>
                              </CtgProps>
                              <LnkIn>
                                <LnkInProps>
                                  <MN>5</MN>
                                  <CLI>1,1,44,False,18</CLI>
                                  <ELN>1</ELN>
                                  <LOOT>0</LOOT>
                                  <LOMN>3</LOMN>
                                  <LOMCN>1</LOMCN>
                                  <LOSN>1</LOSN>
                                  <LOEN>15</LOEN>
                                  <LOCN>18</LOCN>
                                </LnkInProps>
                              </LnkIn>
                            </Ctg>
                            <Ctg>
                              <CtgProps>
                                <R>4</R>
                              </CtgProps>
                              <LnkIn>
                                <LnkInProps>
                                  <MN>5</MN>
                                  <CLI>1,1,44,False,19</CLI>
                                  <ELN>1</ELN>
                                  <LOOT>0</LOOT>
                                  <LOMN>3</LOMN>
                                  <LOMCN>1</LOMCN>
                                  <LOSN>1</LOSN>
                                  <LOEN>15</LOEN>
                                  <LOCN>19</LOCN>
                                </LnkInProps>
                              </LnkIn>
                            </Ctg>
                            <Ctg>
                              <CtgProps>
                                <R>4</R>
                              </CtgProps>
                              <LnkIn>
                                <LnkInProps>
                                  <MN>5</MN>
                                  <CLI>1,1,44,False,20</CLI>
                                  <ELN>1</ELN>
                                  <LOOT>0</LOOT>
                                  <LOMN>3</LOMN>
                                  <LOMCN>1</LOMCN>
                                  <LOSN>1</LOSN>
                                  <LOEN>15</LOEN>
                                  <LOCN>20</LOCN>
                                </LnkInProps>
                              </LnkIn>
                            </Ctg>
                            <Ctg>
                              <CtgProps>
                                <R>4</R>
                              </CtgProps>
                              <LnkIn>
                                <LnkInProps>
                                  <MN>5</MN>
                                  <CLI>1,1,44,False,21</CLI>
                                  <ELN>1</ELN>
                                  <LOOT>0</LOOT>
                                  <LOMN>3</LOMN>
                                  <LOMCN>1</LOMCN>
                                  <LOSN>1</LOSN>
                                  <LOEN>15</LOEN>
                                  <LOCN>21</LOCN>
                                </LnkInProps>
                              </LnkIn>
                            </Ctg>
                            <Ctg>
                              <CtgProps>
                                <R>4</R>
                              </CtgProps>
                              <LnkIn>
                                <LnkInProps>
                                  <MN>5</MN>
                                  <CLI>1,1,44,False,22</CLI>
                                  <ELN>1</ELN>
                                  <LOOT>0</LOOT>
                                  <LOMN>3</LOMN>
                                  <LOMCN>1</LOMCN>
                                  <LOSN>1</LOSN>
                                  <LOEN>15</LOEN>
                                  <LOCN>22</LOCN>
                                </LnkInProps>
                              </LnkIn>
                            </Ctg>
                            <Ctg>
                              <CtgProps>
                                <R>5</R>
                              </CtgProps>
                              <LnkIn>
                                <LnkInProps>
                                  <MN>5</MN>
                                  <CLI>1,1,44,False,23</CLI>
                                  <ELN>1</ELN>
                                  <LOOT>0</LOOT>
                                  <LOMN>3</LOMN>
                                  <LOMCN>1</LOMCN>
                                  <LOSN>1</LOSN>
                                  <LOEN>15</LOEN>
                                  <LOCN>23</LOCN>
                                </LnkInProps>
                              </LnkIn>
                            </Ctg>
                            <Ctg>
                              <CtgProps>
                                <R>5</R>
                              </CtgProps>
                              <LnkIn>
                                <LnkInProps>
                                  <MN>5</MN>
                                  <CLI>1,1,44,False,24</CLI>
                                  <ELN>1</ELN>
                                  <LOOT>0</LOOT>
                                  <LOMN>3</LOMN>
                                  <LOMCN>1</LOMCN>
                                  <LOSN>1</LOSN>
                                  <LOEN>15</LOEN>
                                  <LOCN>24</LOCN>
                                </LnkInProps>
                              </LnkIn>
                            </Ctg>
                            <Ctg>
                              <CtgProps>
                                <R>5</R>
                              </CtgProps>
                              <LnkIn>
                                <LnkInProps>
                                  <MN>5</MN>
                                  <CLI>1,1,44,False,25</CLI>
                                  <ELN>1</ELN>
                                  <LOOT>0</LOOT>
                                  <LOMN>3</LOMN>
                                  <LOMCN>1</LOMCN>
                                  <LOSN>1</LOSN>
                                  <LOEN>15</LOEN>
                                  <LOCN>25</LOCN>
                                </LnkInProps>
                              </LnkIn>
                            </Ctg>
                            <Ctg>
                              <CtgProps>
                                <R>5</R>
                              </CtgProps>
                              <LnkIn>
                                <LnkInProps>
                                  <MN>5</MN>
                                  <CLI>1,1,44,False,26</CLI>
                                  <ELN>1</ELN>
                                  <LOOT>0</LOOT>
                                  <LOMN>3</LOMN>
                                  <LOMCN>1</LOMCN>
                                  <LOSN>1</LOSN>
                                  <LOEN>15</LOEN>
                                  <LOCN>26</LOCN>
                                </LnkInProps>
                              </LnkIn>
                            </Ctg>
                            <Ctg>
                              <CtgProps>
                                <R>5</R>
                              </CtgProps>
                              <LnkIn>
                                <LnkInProps>
                                  <MN>5</MN>
                                  <CLI>1,1,44,False,27</CLI>
                                  <ELN>1</ELN>
                                  <LOOT>0</LOOT>
                                  <LOMN>3</LOMN>
                                  <LOMCN>1</LOMCN>
                                  <LOSN>1</LOSN>
                                  <LOEN>15</LOEN>
                                  <LOCN>27</LOCN>
                                </LnkInProps>
                              </LnkIn>
                            </Ctg>
                            <Ctg>
                              <CtgProps>
                                <R>5</R>
                              </CtgProps>
                              <LnkIn>
                                <LnkInProps>
                                  <MN>5</MN>
                                  <CLI>1,1,44,False,28</CLI>
                                  <ELN>1</ELN>
                                  <LOOT>0</LOOT>
                                  <LOMN>3</LOMN>
                                  <LOMCN>1</LOMCN>
                                  <LOSN>1</LOSN>
                                  <LOEN>15</LOEN>
                                  <LOCN>28</LOCN>
                                </LnkInProps>
                              </LnkIn>
                            </Ctg>
                            <Ctg>
                              <CtgProps>
                                <R>5</R>
                              </CtgProps>
                              <LnkIn>
                                <LnkInProps>
                                  <MN>5</MN>
                                  <CLI>1,1,44,False,29</CLI>
                                  <ELN>1</ELN>
                                  <LOOT>0</LOOT>
                                  <LOMN>3</LOMN>
                                  <LOMCN>1</LOMCN>
                                  <LOSN>1</LOSN>
                                  <LOEN>15</LOEN>
                                  <LOCN>29</LOCN>
                                </LnkInProps>
                              </LnkIn>
                            </Ctg>
                            <Ctg>
                              <CtgProps>
                                <R>5</R>
                              </CtgProps>
                              <LnkIn>
                                <LnkInProps>
                                  <MN>5</MN>
                                  <CLI>1,1,44,False,30</CLI>
                                  <ELN>1</ELN>
                                  <LOOT>0</LOOT>
                                  <LOMN>3</LOMN>
                                  <LOMCN>1</LOMCN>
                                  <LOSN>1</LOSN>
                                  <LOEN>15</LOEN>
                                  <LOCN>30</LOCN>
                                </LnkInProps>
                              </LnkIn>
                            </Ctg>
                            <Ctg>
                              <CtgProps>
                                <R>4</R>
                              </CtgProps>
                              <LnkIn>
                                <LnkInProps>
                                  <MN>5</MN>
                                  <CLI>1,1,44,False,31</CLI>
                                  <ELN>1</ELN>
                                  <LOOT>0</LOOT>
                                  <LOMN>3</LOMN>
                                  <LOMCN>1</LOMCN>
                                  <LOSN>1</LOSN>
                                  <LOEN>15</LOEN>
                                  <LOCN>31</LOCN>
                                </LnkInProps>
                              </LnkIn>
                            </Ctg>
                            <Ctg>
                              <CtgProps>
                                <R>4</R>
                              </CtgProps>
                              <LnkIn>
                                <LnkInProps>
                                  <MN>5</MN>
                                  <CLI>1,1,44,False,32</CLI>
                                  <ELN>1</ELN>
                                  <LOOT>0</LOOT>
                                  <LOMN>3</LOMN>
                                  <LOMCN>1</LOMCN>
                                  <LOSN>1</LOSN>
                                  <LOEN>15</LOEN>
                                  <LOCN>32</LOCN>
                                </LnkInProps>
                              </LnkIn>
                            </Ctg>
                            <Ctg>
                              <CtgProps>
                                <R>4</R>
                              </CtgProps>
                              <LnkIn>
                                <LnkInProps>
                                  <MN>5</MN>
                                  <CLI>1,1,44,False,33</CLI>
                                  <ELN>1</ELN>
                                  <LOOT>0</LOOT>
                                  <LOMN>3</LOMN>
                                  <LOMCN>1</LOMCN>
                                  <LOSN>1</LOSN>
                                  <LOEN>15</LOEN>
                                  <LOCN>33</LOCN>
                                </LnkInProps>
                              </LnkIn>
                            </Ctg>
                            <Ctg>
                              <CtgProps>
                                <R>4</R>
                              </CtgProps>
                              <LnkIn>
                                <LnkInProps>
                                  <MN>5</MN>
                                  <CLI>1,1,44,False,34</CLI>
                                  <ELN>1</ELN>
                                  <LOOT>0</LOOT>
                                  <LOMN>3</LOMN>
                                  <LOMCN>1</LOMCN>
                                  <LOSN>1</LOSN>
                                  <LOEN>15</LOEN>
                                  <LOCN>34</LOCN>
                                </LnkInProps>
                              </LnkIn>
                            </Ctg>
                            <Ctg>
                              <CtgProps>
                                <R>4</R>
                              </CtgProps>
                              <LnkIn>
                                <LnkInProps>
                                  <MN>5</MN>
                                  <CLI>1,1,44,False,35</CLI>
                                  <ELN>1</ELN>
                                  <LOOT>0</LOOT>
                                  <LOMN>3</LOMN>
                                  <LOMCN>1</LOMCN>
                                  <LOSN>1</LOSN>
                                  <LOEN>15</LOEN>
                                  <LOCN>35</LOCN>
                                </LnkInProps>
                              </LnkIn>
                            </Ctg>
                          </Ctgs>
                        </SubTtl>
                      </SubTtls>
                      <TtlCtg/>
                      <ElmtLnksIn>
                        <ElmtLnk>
                          <ElmtLnkProps>
                            <ELI>1,1,44</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6,1,1,1,0,0,TRUE,TRUE§Z¿]]></VOFFF>
                              </ClmnBlkPtProps>
                            </ClmnBlkPt>
                          </ClmnBlkPts>
                        </ClmnBlk>
                        <ClmnBlk>
                          <ClmnBlkProps>
                            <FCPT>0</FCPT>
                            <FCN>15</FCN>
                            <LCPT>0</LCPT>
                            <LCN>15</LCN>
                          </ClmnBlkProps>
                          <ClmnBlkPts>
                            <ClmnBlkPt>
                              <ClmnBlkPtProps>
                                <CBPT>5</CBPT>
                                <ST>18</ST>
                                <VOFFF><![CDATA[=§A¿0,1,0,1,36,1,1,1,0,0,TRUE,TRUE§Z¿]]></VOFFF>
                              </ClmnBlkPtProps>
                            </ClmnBlkPt>
                          </ClmnBlkPts>
                        </ClmnBlk>
                        <ClmnBlk>
                          <ClmnBlkProps>
                            <FCPT>0</FCPT>
                            <FCN>17</FCN>
                            <LCPT>0</LCPT>
                            <LCN>17</LCN>
                          </ClmnBlkProps>
                          <ClmnBlkPts>
                            <ClmnBlkPt>
                              <ClmnBlkPtProps>
                                <CBPT>5</CBPT>
                                <ST>18</ST>
                                <VOFFF><![CDATA[=§A¿0,1,0,1,36,1,1,2,0,0,TRUE,TRUE§Z¿]]></VOFFF>
                              </ClmnBlkPtProps>
                            </ClmnBlkPt>
                          </ClmnBlkPts>
                        </ClmnBlk>
                        <ClmnBlk>
                          <ClmnBlkProps>
                            <FCPT>0</FCPT>
                            <FCN>19</FCN>
                            <LCPT>0</LCPT>
                            <LCN>19</LCN>
                          </ClmnBlkProps>
                          <ClmnBlkPts>
                            <ClmnBlkPt>
                              <ClmnBlkPtProps>
                                <CBPT>5</CBPT>
                                <ST>18</ST>
                                <VOFFF><![CDATA[=§A¿0,1,0,1,36,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1,1,48,1,1</CBPLI>
                                    <ELN>1</ELN>
                                    <FFF><![CDATA[=§A¿10,FALSE,0,1,0,FALSE§Z¿]]></FFF>
                                  </LnkInFormProps>
                                </LnkInForm>
                              </LnkInForms>
                            </ClmnBlkPt>
                            <ClmnBlkPt>
                              <ClmnBlkPtProps>
                                <CBPT>1</CBPT>
                                <ST>6</ST>
                                <VOFFF><![CDATA[="Total "&§A¿0,1,0,1,4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5</MN>
                                  <CLI>1,1,48,False,1</CLI>
                                  <ELN>1</ELN>
                                  <LOOT>0</LOOT>
                                  <LOMN>3</LOMN>
                                  <LOMCN>1</LOMCN>
                                  <LOSN>1</LOSN>
                                  <LOEN>19</LOEN>
                                  <LOCN>1</LOCN>
                                </LnkInProps>
                              </LnkIn>
                            </Ctg>
                            <Ctg>
                              <CtgProps>
                                <R>4</R>
                              </CtgProps>
                              <LnkIn>
                                <LnkInProps>
                                  <MN>5</MN>
                                  <CLI>1,1,48,False,2</CLI>
                                  <ELN>1</ELN>
                                  <LOOT>0</LOOT>
                                  <LOMN>3</LOMN>
                                  <LOMCN>1</LOMCN>
                                  <LOSN>1</LOSN>
                                  <LOEN>19</LOEN>
                                  <LOCN>2</LOCN>
                                </LnkInProps>
                              </LnkIn>
                            </Ctg>
                            <Ctg>
                              <CtgProps>
                                <R>4</R>
                              </CtgProps>
                              <LnkIn>
                                <LnkInProps>
                                  <MN>5</MN>
                                  <CLI>1,1,48,False,3</CLI>
                                  <ELN>1</ELN>
                                  <LOOT>0</LOOT>
                                  <LOMN>3</LOMN>
                                  <LOMCN>1</LOMCN>
                                  <LOSN>1</LOSN>
                                  <LOEN>19</LOEN>
                                  <LOCN>3</LOCN>
                                </LnkInProps>
                              </LnkIn>
                            </Ctg>
                            <Ctg>
                              <CtgProps>
                                <R>4</R>
                              </CtgProps>
                              <LnkIn>
                                <LnkInProps>
                                  <MN>5</MN>
                                  <CLI>1,1,48,False,4</CLI>
                                  <ELN>1</ELN>
                                  <LOOT>0</LOOT>
                                  <LOMN>3</LOMN>
                                  <LOMCN>1</LOMCN>
                                  <LOSN>1</LOSN>
                                  <LOEN>19</LOEN>
                                  <LOCN>4</LOCN>
                                </LnkInProps>
                              </LnkIn>
                            </Ctg>
                            <Ctg>
                              <CtgProps>
                                <R>4</R>
                              </CtgProps>
                              <LnkIn>
                                <LnkInProps>
                                  <MN>5</MN>
                                  <CLI>1,1,48,False,5</CLI>
                                  <ELN>1</ELN>
                                  <LOOT>0</LOOT>
                                  <LOMN>3</LOMN>
                                  <LOMCN>1</LOMCN>
                                  <LOSN>1</LOSN>
                                  <LOEN>19</LOEN>
                                  <LOCN>5</LOCN>
                                </LnkInProps>
                              </LnkIn>
                            </Ctg>
                            <Ctg>
                              <CtgProps>
                                <R>4</R>
                              </CtgProps>
                              <LnkIn>
                                <LnkInProps>
                                  <MN>5</MN>
                                  <CLI>1,1,48,False,6</CLI>
                                  <ELN>1</ELN>
                                  <LOOT>0</LOOT>
                                  <LOMN>3</LOMN>
                                  <LOMCN>1</LOMCN>
                                  <LOSN>1</LOSN>
                                  <LOEN>19</LOEN>
                                  <LOCN>6</LOCN>
                                </LnkInProps>
                              </LnkIn>
                            </Ctg>
                            <Ctg>
                              <CtgProps>
                                <R>4</R>
                              </CtgProps>
                              <LnkIn>
                                <LnkInProps>
                                  <MN>5</MN>
                                  <CLI>1,1,48,False,7</CLI>
                                  <ELN>1</ELN>
                                  <LOOT>0</LOOT>
                                  <LOMN>3</LOMN>
                                  <LOMCN>1</LOMCN>
                                  <LOSN>1</LOSN>
                                  <LOEN>19</LOEN>
                                  <LOCN>7</LOCN>
                                </LnkInProps>
                              </LnkIn>
                            </Ctg>
                            <Ctg>
                              <CtgProps>
                                <R>4</R>
                              </CtgProps>
                              <LnkIn>
                                <LnkInProps>
                                  <MN>5</MN>
                                  <CLI>1,1,48,False,8</CLI>
                                  <ELN>1</ELN>
                                  <LOOT>0</LOOT>
                                  <LOMN>3</LOMN>
                                  <LOMCN>1</LOMCN>
                                  <LOSN>1</LOSN>
                                  <LOEN>19</LOEN>
                                  <LOCN>8</LOCN>
                                </LnkInProps>
                              </LnkIn>
                            </Ctg>
                            <Ctg>
                              <CtgProps>
                                <R>4</R>
                              </CtgProps>
                              <LnkIn>
                                <LnkInProps>
                                  <MN>5</MN>
                                  <CLI>1,1,48,False,9</CLI>
                                  <ELN>1</ELN>
                                  <LOOT>0</LOOT>
                                  <LOMN>3</LOMN>
                                  <LOMCN>1</LOMCN>
                                  <LOSN>1</LOSN>
                                  <LOEN>19</LOEN>
                                  <LOCN>9</LOCN>
                                </LnkInProps>
                              </LnkIn>
                            </Ctg>
                            <Ctg>
                              <CtgProps>
                                <R>4</R>
                              </CtgProps>
                              <LnkIn>
                                <LnkInProps>
                                  <MN>5</MN>
                                  <CLI>1,1,48,False,10</CLI>
                                  <ELN>1</ELN>
                                  <LOOT>0</LOOT>
                                  <LOMN>3</LOMN>
                                  <LOMCN>1</LOMCN>
                                  <LOSN>1</LOSN>
                                  <LOEN>19</LOEN>
                                  <LOCN>10</LOCN>
                                </LnkInProps>
                              </LnkIn>
                            </Ctg>
                            <Ctg>
                              <CtgProps>
                                <R>4</R>
                              </CtgProps>
                              <LnkIn>
                                <LnkInProps>
                                  <MN>5</MN>
                                  <CLI>1,1,48,False,11</CLI>
                                  <ELN>1</ELN>
                                  <LOOT>0</LOOT>
                                  <LOMN>3</LOMN>
                                  <LOMCN>1</LOMCN>
                                  <LOSN>1</LOSN>
                                  <LOEN>19</LOEN>
                                  <LOCN>11</LOCN>
                                </LnkInProps>
                              </LnkIn>
                            </Ctg>
                            <Ctg>
                              <CtgProps>
                                <R>4</R>
                              </CtgProps>
                              <LnkIn>
                                <LnkInProps>
                                  <MN>5</MN>
                                  <CLI>1,1,48,False,12</CLI>
                                  <ELN>1</ELN>
                                  <LOOT>0</LOOT>
                                  <LOMN>3</LOMN>
                                  <LOMCN>1</LOMCN>
                                  <LOSN>1</LOSN>
                                  <LOEN>19</LOEN>
                                  <LOCN>12</LOCN>
                                </LnkInProps>
                              </LnkIn>
                            </Ctg>
                            <Ctg>
                              <CtgProps>
                                <R>4</R>
                              </CtgProps>
                              <LnkIn>
                                <LnkInProps>
                                  <MN>5</MN>
                                  <CLI>1,1,48,False,13</CLI>
                                  <ELN>1</ELN>
                                  <LOOT>0</LOOT>
                                  <LOMN>3</LOMN>
                                  <LOMCN>1</LOMCN>
                                  <LOSN>1</LOSN>
                                  <LOEN>19</LOEN>
                                  <LOCN>13</LOCN>
                                </LnkInProps>
                              </LnkIn>
                            </Ctg>
                            <Ctg>
                              <CtgProps>
                                <R>4</R>
                              </CtgProps>
                              <LnkIn>
                                <LnkInProps>
                                  <MN>5</MN>
                                  <CLI>1,1,48,False,14</CLI>
                                  <ELN>1</ELN>
                                  <LOOT>0</LOOT>
                                  <LOMN>3</LOMN>
                                  <LOMCN>1</LOMCN>
                                  <LOSN>1</LOSN>
                                  <LOEN>19</LOEN>
                                  <LOCN>14</LOCN>
                                </LnkInProps>
                              </LnkIn>
                            </Ctg>
                            <Ctg>
                              <CtgProps>
                                <R>4</R>
                              </CtgProps>
                              <LnkIn>
                                <LnkInProps>
                                  <MN>5</MN>
                                  <CLI>1,1,48,False,15</CLI>
                                  <ELN>1</ELN>
                                  <LOOT>0</LOOT>
                                  <LOMN>3</LOMN>
                                  <LOMCN>1</LOMCN>
                                  <LOSN>1</LOSN>
                                  <LOEN>19</LOEN>
                                  <LOCN>15</LOCN>
                                </LnkInProps>
                              </LnkIn>
                            </Ctg>
                            <Ctg>
                              <CtgProps>
                                <R>5</R>
                              </CtgProps>
                              <LnkIn>
                                <LnkInProps>
                                  <MN>5</MN>
                                  <CLI>1,1,48,False,16</CLI>
                                  <ELN>1</ELN>
                                  <LOOT>0</LOOT>
                                  <LOMN>3</LOMN>
                                  <LOMCN>1</LOMCN>
                                  <LOSN>1</LOSN>
                                  <LOEN>19</LOEN>
                                  <LOCN>16</LOCN>
                                </LnkInProps>
                              </LnkIn>
                            </Ctg>
                            <Ctg>
                              <CtgProps>
                                <R>5</R>
                              </CtgProps>
                              <LnkIn>
                                <LnkInProps>
                                  <MN>5</MN>
                                  <CLI>1,1,48,False,17</CLI>
                                  <ELN>1</ELN>
                                  <LOOT>0</LOOT>
                                  <LOMN>3</LOMN>
                                  <LOMCN>1</LOMCN>
                                  <LOSN>1</LOSN>
                                  <LOEN>19</LOEN>
                                  <LOCN>17</LOCN>
                                </LnkInProps>
                              </LnkIn>
                            </Ctg>
                            <Ctg>
                              <CtgProps>
                                <R>5</R>
                              </CtgProps>
                              <LnkIn>
                                <LnkInProps>
                                  <MN>5</MN>
                                  <CLI>1,1,48,False,18</CLI>
                                  <ELN>1</ELN>
                                  <LOOT>0</LOOT>
                                  <LOMN>3</LOMN>
                                  <LOMCN>1</LOMCN>
                                  <LOSN>1</LOSN>
                                  <LOEN>19</LOEN>
                                  <LOCN>18</LOCN>
                                </LnkInProps>
                              </LnkIn>
                            </Ctg>
                            <Ctg>
                              <CtgProps>
                                <R>5</R>
                              </CtgProps>
                              <LnkIn>
                                <LnkInProps>
                                  <MN>5</MN>
                                  <CLI>1,1,48,False,19</CLI>
                                  <ELN>1</ELN>
                                  <LOOT>0</LOOT>
                                  <LOMN>3</LOMN>
                                  <LOMCN>1</LOMCN>
                                  <LOSN>1</LOSN>
                                  <LOEN>19</LOEN>
                                  <LOCN>19</LOCN>
                                </LnkInProps>
                              </LnkIn>
                            </Ctg>
                            <Ctg>
                              <CtgProps>
                                <R>5</R>
                              </CtgProps>
                              <LnkIn>
                                <LnkInProps>
                                  <MN>5</MN>
                                  <CLI>1,1,48,False,20</CLI>
                                  <ELN>1</ELN>
                                  <LOOT>0</LOOT>
                                  <LOMN>3</LOMN>
                                  <LOMCN>1</LOMCN>
                                  <LOSN>1</LOSN>
                                  <LOEN>19</LOEN>
                                  <LOCN>20</LOCN>
                                </LnkInProps>
                              </LnkIn>
                            </Ctg>
                            <Ctg>
                              <CtgProps>
                                <R>5</R>
                              </CtgProps>
                              <LnkIn>
                                <LnkInProps>
                                  <MN>5</MN>
                                  <CLI>1,1,48,False,21</CLI>
                                  <ELN>1</ELN>
                                  <LOOT>0</LOOT>
                                  <LOMN>3</LOMN>
                                  <LOMCN>1</LOMCN>
                                  <LOSN>1</LOSN>
                                  <LOEN>19</LOEN>
                                  <LOCN>21</LOCN>
                                </LnkInProps>
                              </LnkIn>
                            </Ctg>
                            <Ctg>
                              <CtgProps>
                                <R>5</R>
                              </CtgProps>
                              <LnkIn>
                                <LnkInProps>
                                  <MN>5</MN>
                                  <CLI>1,1,48,False,22</CLI>
                                  <ELN>1</ELN>
                                  <LOOT>0</LOOT>
                                  <LOMN>3</LOMN>
                                  <LOMCN>1</LOMCN>
                                  <LOSN>1</LOSN>
                                  <LOEN>19</LOEN>
                                  <LOCN>22</LOCN>
                                </LnkInProps>
                              </LnkIn>
                            </Ctg>
                            <Ctg>
                              <CtgProps>
                                <R>5</R>
                              </CtgProps>
                              <LnkIn>
                                <LnkInProps>
                                  <MN>5</MN>
                                  <CLI>1,1,48,False,23</CLI>
                                  <ELN>1</ELN>
                                  <LOOT>0</LOOT>
                                  <LOMN>3</LOMN>
                                  <LOMCN>1</LOMCN>
                                  <LOSN>1</LOSN>
                                  <LOEN>19</LOEN>
                                  <LOCN>23</LOCN>
                                </LnkInProps>
                              </LnkIn>
                            </Ctg>
                            <Ctg>
                              <CtgProps>
                                <R>5</R>
                              </CtgProps>
                              <LnkIn>
                                <LnkInProps>
                                  <MN>5</MN>
                                  <CLI>1,1,48,False,24</CLI>
                                  <ELN>1</ELN>
                                  <LOOT>0</LOOT>
                                  <LOMN>3</LOMN>
                                  <LOMCN>1</LOMCN>
                                  <LOSN>1</LOSN>
                                  <LOEN>19</LOEN>
                                  <LOCN>24</LOCN>
                                </LnkInProps>
                              </LnkIn>
                            </Ctg>
                            <Ctg>
                              <CtgProps>
                                <R>5</R>
                              </CtgProps>
                              <LnkIn>
                                <LnkInProps>
                                  <MN>5</MN>
                                  <CLI>1,1,48,False,25</CLI>
                                  <ELN>1</ELN>
                                  <LOOT>0</LOOT>
                                  <LOMN>3</LOMN>
                                  <LOMCN>1</LOMCN>
                                  <LOSN>1</LOSN>
                                  <LOEN>19</LOEN>
                                  <LOCN>25</LOCN>
                                </LnkInProps>
                              </LnkIn>
                            </Ctg>
                            <Ctg>
                              <CtgProps>
                                <R>5</R>
                              </CtgProps>
                              <LnkIn>
                                <LnkInProps>
                                  <MN>5</MN>
                                  <CLI>1,1,48,False,26</CLI>
                                  <ELN>1</ELN>
                                  <LOOT>0</LOOT>
                                  <LOMN>3</LOMN>
                                  <LOMCN>1</LOMCN>
                                  <LOSN>1</LOSN>
                                  <LOEN>19</LOEN>
                                  <LOCN>26</LOCN>
                                </LnkInProps>
                              </LnkIn>
                            </Ctg>
                            <Ctg>
                              <CtgProps>
                                <R>5</R>
                              </CtgProps>
                              <LnkIn>
                                <LnkInProps>
                                  <MN>5</MN>
                                  <CLI>1,1,48,False,27</CLI>
                                  <ELN>1</ELN>
                                  <LOOT>0</LOOT>
                                  <LOMN>3</LOMN>
                                  <LOMCN>1</LOMCN>
                                  <LOSN>1</LOSN>
                                  <LOEN>19</LOEN>
                                  <LOCN>27</LOCN>
                                </LnkInProps>
                              </LnkIn>
                            </Ctg>
                            <Ctg>
                              <CtgProps>
                                <R>5</R>
                              </CtgProps>
                              <LnkIn>
                                <LnkInProps>
                                  <MN>5</MN>
                                  <CLI>1,1,48,False,28</CLI>
                                  <ELN>1</ELN>
                                  <LOOT>0</LOOT>
                                  <LOMN>3</LOMN>
                                  <LOMCN>1</LOMCN>
                                  <LOSN>1</LOSN>
                                  <LOEN>19</LOEN>
                                  <LOCN>28</LOCN>
                                </LnkInProps>
                              </LnkIn>
                            </Ctg>
                            <Ctg>
                              <CtgProps>
                                <R>5</R>
                              </CtgProps>
                              <LnkIn>
                                <LnkInProps>
                                  <MN>5</MN>
                                  <CLI>1,1,48,False,29</CLI>
                                  <ELN>1</ELN>
                                  <LOOT>0</LOOT>
                                  <LOMN>3</LOMN>
                                  <LOMCN>1</LOMCN>
                                  <LOSN>1</LOSN>
                                  <LOEN>19</LOEN>
                                  <LOCN>29</LOCN>
                                </LnkInProps>
                              </LnkIn>
                            </Ctg>
                            <Ctg>
                              <CtgProps>
                                <R>5</R>
                              </CtgProps>
                              <LnkIn>
                                <LnkInProps>
                                  <MN>5</MN>
                                  <CLI>1,1,48,False,30</CLI>
                                  <ELN>1</ELN>
                                  <LOOT>0</LOOT>
                                  <LOMN>3</LOMN>
                                  <LOMCN>1</LOMCN>
                                  <LOSN>1</LOSN>
                                  <LOEN>19</LOEN>
                                  <LOCN>30</LOCN>
                                </LnkInProps>
                              </LnkIn>
                            </Ctg>
                            <Ctg>
                              <CtgProps>
                                <R>5</R>
                              </CtgProps>
                              <LnkIn>
                                <LnkInProps>
                                  <MN>5</MN>
                                  <CLI>1,1,48,False,31</CLI>
                                  <ELN>1</ELN>
                                  <LOOT>0</LOOT>
                                  <LOMN>3</LOMN>
                                  <LOMCN>1</LOMCN>
                                  <LOSN>1</LOSN>
                                  <LOEN>19</LOEN>
                                  <LOCN>31</LOCN>
                                </LnkInProps>
                              </LnkIn>
                            </Ctg>
                            <Ctg>
                              <CtgProps>
                                <R>5</R>
                              </CtgProps>
                              <LnkIn>
                                <LnkInProps>
                                  <MN>5</MN>
                                  <CLI>1,1,48,False,32</CLI>
                                  <ELN>1</ELN>
                                  <LOOT>0</LOOT>
                                  <LOMN>3</LOMN>
                                  <LOMCN>1</LOMCN>
                                  <LOSN>1</LOSN>
                                  <LOEN>19</LOEN>
                                  <LOCN>32</LOCN>
                                </LnkInProps>
                              </LnkIn>
                            </Ctg>
                            <Ctg>
                              <CtgProps>
                                <R>5</R>
                              </CtgProps>
                              <LnkIn>
                                <LnkInProps>
                                  <MN>5</MN>
                                  <CLI>1,1,48,False,33</CLI>
                                  <ELN>1</ELN>
                                  <LOOT>0</LOOT>
                                  <LOMN>3</LOMN>
                                  <LOMCN>1</LOMCN>
                                  <LOSN>1</LOSN>
                                  <LOEN>19</LOEN>
                                  <LOCN>33</LOCN>
                                </LnkInProps>
                              </LnkIn>
                            </Ctg>
                            <Ctg>
                              <CtgProps>
                                <R>5</R>
                              </CtgProps>
                              <LnkIn>
                                <LnkInProps>
                                  <MN>5</MN>
                                  <CLI>1,1,48,False,34</CLI>
                                  <ELN>1</ELN>
                                  <LOOT>0</LOOT>
                                  <LOMN>3</LOMN>
                                  <LOMCN>1</LOMCN>
                                  <LOSN>1</LOSN>
                                  <LOEN>19</LOEN>
                                  <LOCN>34</LOCN>
                                </LnkInProps>
                              </LnkIn>
                            </Ctg>
                            <Ctg>
                              <CtgProps>
                                <R>5</R>
                              </CtgProps>
                              <LnkIn>
                                <LnkInProps>
                                  <MN>5</MN>
                                  <CLI>1,1,48,False,35</CLI>
                                  <ELN>1</ELN>
                                  <LOOT>0</LOOT>
                                  <LOMN>3</LOMN>
                                  <LOMCN>1</LOMCN>
                                  <LOSN>1</LOSN>
                                  <LOEN>19</LOEN>
                                  <LOCN>35</LOCN>
                                </LnkInProps>
                              </LnkIn>
                            </Ctg>
                          </Ctgs>
                        </SubTtl>
                      </SubTtls>
                      <TtlCtg/>
                      <ElmtLnksIn>
                        <ElmtLnk>
                          <ElmtLnkProps>
                            <ELI>1,1,48</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6,1,1,1,0,0,TRUE,TRUE§Z¿]]></VOFFF>
                              </ClmnBlkPtProps>
                            </ClmnBlkPt>
                          </ClmnBlkPts>
                        </ClmnBlk>
                        <ClmnBlk>
                          <ClmnBlkProps>
                            <FCPT>0</FCPT>
                            <FCN>15</FCN>
                            <LCPT>0</LCPT>
                            <LCN>15</LCN>
                          </ClmnBlkProps>
                          <ClmnBlkPts>
                            <ClmnBlkPt>
                              <ClmnBlkPtProps>
                                <CBPT>5</CBPT>
                                <ST>18</ST>
                                <VOFFF><![CDATA[=§A¿0,1,0,1,36,1,1,1,0,0,TRUE,TRUE§Z¿]]></VOFFF>
                              </ClmnBlkPtProps>
                            </ClmnBlkPt>
                          </ClmnBlkPts>
                        </ClmnBlk>
                        <ClmnBlk>
                          <ClmnBlkProps>
                            <FCPT>0</FCPT>
                            <FCN>17</FCN>
                            <LCPT>0</LCPT>
                            <LCN>17</LCN>
                          </ClmnBlkProps>
                          <ClmnBlkPts>
                            <ClmnBlkPt>
                              <ClmnBlkPtProps>
                                <CBPT>5</CBPT>
                                <ST>18</ST>
                                <VOFFF><![CDATA[=§A¿0,1,0,1,36,1,1,2,0,0,TRUE,TRUE§Z¿]]></VOFFF>
                              </ClmnBlkPtProps>
                            </ClmnBlkPt>
                          </ClmnBlkPts>
                        </ClmnBlk>
                        <ClmnBlk>
                          <ClmnBlkProps>
                            <FCPT>0</FCPT>
                            <FCN>19</FCN>
                            <LCPT>0</LCPT>
                            <LCN>19</LCN>
                          </ClmnBlkProps>
                          <ClmnBlkPts>
                            <ClmnBlkPt>
                              <ClmnBlkPtProps>
                                <CBPT>5</CBPT>
                                <ST>18</ST>
                                <VOFFF><![CDATA[=§A¿0,1,0,1,36,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1,1,51,1,1</CBPLI>
                                    <ELN>1</ELN>
                                    <FFF><![CDATA[=§A¿10,FALSE,0,1,0,FALSE§Z¿]]></FFF>
                                  </LnkInFormProps>
                                </LnkInForm>
                              </LnkInForms>
                            </ClmnBlkPt>
                            <ClmnBlkPt>
                              <ClmnBlkPtProps>
                                <CBPT>1</CBPT>
                                <ST>6</ST>
                                <VOFFF><![CDATA[="Total "&§A¿0,1,0,1,5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5</MN>
                                  <CLI>1,1,51,False,1</CLI>
                                  <ELN>1</ELN>
                                  <LOOT>0</LOOT>
                                  <LOMN>3</LOMN>
                                  <LOMCN>1</LOMCN>
                                  <LOSN>1</LOSN>
                                  <LOEN>24</LOEN>
                                  <LOCN>1</LOCN>
                                </LnkInProps>
                              </LnkIn>
                            </Ctg>
                            <Ctg>
                              <CtgProps>
                                <R>4</R>
                              </CtgProps>
                              <LnkIn>
                                <LnkInProps>
                                  <MN>5</MN>
                                  <CLI>1,1,51,False,2</CLI>
                                  <ELN>1</ELN>
                                  <LOOT>0</LOOT>
                                  <LOMN>3</LOMN>
                                  <LOMCN>1</LOMCN>
                                  <LOSN>1</LOSN>
                                  <LOEN>24</LOEN>
                                  <LOCN>2</LOCN>
                                </LnkInProps>
                              </LnkIn>
                            </Ctg>
                            <Ctg>
                              <CtgProps>
                                <R>4</R>
                              </CtgProps>
                              <LnkIn>
                                <LnkInProps>
                                  <MN>5</MN>
                                  <CLI>1,1,51,False,3</CLI>
                                  <ELN>1</ELN>
                                  <LOOT>0</LOOT>
                                  <LOMN>3</LOMN>
                                  <LOMCN>1</LOMCN>
                                  <LOSN>1</LOSN>
                                  <LOEN>24</LOEN>
                                  <LOCN>3</LOCN>
                                </LnkInProps>
                              </LnkIn>
                            </Ctg>
                            <Ctg>
                              <CtgProps>
                                <R>4</R>
                              </CtgProps>
                              <LnkIn>
                                <LnkInProps>
                                  <MN>5</MN>
                                  <CLI>1,1,51,False,4</CLI>
                                  <ELN>1</ELN>
                                  <LOOT>0</LOOT>
                                  <LOMN>3</LOMN>
                                  <LOMCN>1</LOMCN>
                                  <LOSN>1</LOSN>
                                  <LOEN>24</LOEN>
                                  <LOCN>4</LOCN>
                                </LnkInProps>
                              </LnkIn>
                            </Ctg>
                            <Ctg>
                              <CtgProps>
                                <R>4</R>
                              </CtgProps>
                              <LnkIn>
                                <LnkInProps>
                                  <MN>5</MN>
                                  <CLI>1,1,51,False,5</CLI>
                                  <ELN>1</ELN>
                                  <LOOT>0</LOOT>
                                  <LOMN>3</LOMN>
                                  <LOMCN>1</LOMCN>
                                  <LOSN>1</LOSN>
                                  <LOEN>24</LOEN>
                                  <LOCN>5</LOCN>
                                </LnkInProps>
                              </LnkIn>
                            </Ctg>
                            <Ctg>
                              <CtgProps>
                                <R>5</R>
                              </CtgProps>
                              <LnkIn>
                                <LnkInProps>
                                  <MN>5</MN>
                                  <CLI>1,1,51,False,6</CLI>
                                  <ELN>1</ELN>
                                  <LOOT>0</LOOT>
                                  <LOMN>3</LOMN>
                                  <LOMCN>1</LOMCN>
                                  <LOSN>1</LOSN>
                                  <LOEN>24</LOEN>
                                  <LOCN>6</LOCN>
                                </LnkInProps>
                              </LnkIn>
                            </Ctg>
                            <Ctg>
                              <CtgProps>
                                <R>5</R>
                              </CtgProps>
                              <LnkIn>
                                <LnkInProps>
                                  <MN>5</MN>
                                  <CLI>1,1,51,False,7</CLI>
                                  <ELN>1</ELN>
                                  <LOOT>0</LOOT>
                                  <LOMN>3</LOMN>
                                  <LOMCN>1</LOMCN>
                                  <LOSN>1</LOSN>
                                  <LOEN>24</LOEN>
                                  <LOCN>7</LOCN>
                                </LnkInProps>
                              </LnkIn>
                            </Ctg>
                            <Ctg>
                              <CtgProps>
                                <R>5</R>
                              </CtgProps>
                              <LnkIn>
                                <LnkInProps>
                                  <MN>5</MN>
                                  <CLI>1,1,51,False,8</CLI>
                                  <ELN>1</ELN>
                                  <LOOT>0</LOOT>
                                  <LOMN>3</LOMN>
                                  <LOMCN>1</LOMCN>
                                  <LOSN>1</LOSN>
                                  <LOEN>24</LOEN>
                                  <LOCN>8</LOCN>
                                </LnkInProps>
                              </LnkIn>
                            </Ctg>
                            <Ctg>
                              <CtgProps>
                                <R>5</R>
                              </CtgProps>
                              <LnkIn>
                                <LnkInProps>
                                  <MN>5</MN>
                                  <CLI>1,1,51,False,9</CLI>
                                  <ELN>1</ELN>
                                  <LOOT>0</LOOT>
                                  <LOMN>3</LOMN>
                                  <LOMCN>1</LOMCN>
                                  <LOSN>1</LOSN>
                                  <LOEN>24</LOEN>
                                  <LOCN>9</LOCN>
                                </LnkInProps>
                              </LnkIn>
                            </Ctg>
                            <Ctg>
                              <CtgProps>
                                <R>5</R>
                              </CtgProps>
                              <LnkIn>
                                <LnkInProps>
                                  <MN>5</MN>
                                  <CLI>1,1,51,False,10</CLI>
                                  <ELN>1</ELN>
                                  <LOOT>0</LOOT>
                                  <LOMN>3</LOMN>
                                  <LOMCN>1</LOMCN>
                                  <LOSN>1</LOSN>
                                  <LOEN>24</LOEN>
                                  <LOCN>10</LOCN>
                                </LnkInProps>
                              </LnkIn>
                            </Ctg>
                            <Ctg>
                              <CtgProps>
                                <R>5</R>
                              </CtgProps>
                              <LnkIn>
                                <LnkInProps>
                                  <MN>5</MN>
                                  <CLI>1,1,51,False,11</CLI>
                                  <ELN>1</ELN>
                                  <LOOT>0</LOOT>
                                  <LOMN>3</LOMN>
                                  <LOMCN>1</LOMCN>
                                  <LOSN>1</LOSN>
                                  <LOEN>24</LOEN>
                                  <LOCN>11</LOCN>
                                </LnkInProps>
                              </LnkIn>
                            </Ctg>
                            <Ctg>
                              <CtgProps>
                                <R>5</R>
                              </CtgProps>
                              <LnkIn>
                                <LnkInProps>
                                  <MN>5</MN>
                                  <CLI>1,1,51,False,12</CLI>
                                  <ELN>1</ELN>
                                  <LOOT>0</LOOT>
                                  <LOMN>3</LOMN>
                                  <LOMCN>1</LOMCN>
                                  <LOSN>1</LOSN>
                                  <LOEN>24</LOEN>
                                  <LOCN>12</LOCN>
                                </LnkInProps>
                              </LnkIn>
                            </Ctg>
                            <Ctg>
                              <CtgProps>
                                <R>5</R>
                              </CtgProps>
                              <LnkIn>
                                <LnkInProps>
                                  <MN>5</MN>
                                  <CLI>1,1,51,False,13</CLI>
                                  <ELN>1</ELN>
                                  <LOOT>0</LOOT>
                                  <LOMN>3</LOMN>
                                  <LOMCN>1</LOMCN>
                                  <LOSN>1</LOSN>
                                  <LOEN>24</LOEN>
                                  <LOCN>13</LOCN>
                                </LnkInProps>
                              </LnkIn>
                            </Ctg>
                            <Ctg>
                              <CtgProps>
                                <R>5</R>
                              </CtgProps>
                              <LnkIn>
                                <LnkInProps>
                                  <MN>5</MN>
                                  <CLI>1,1,51,False,14</CLI>
                                  <ELN>1</ELN>
                                  <LOOT>0</LOOT>
                                  <LOMN>3</LOMN>
                                  <LOMCN>1</LOMCN>
                                  <LOSN>1</LOSN>
                                  <LOEN>24</LOEN>
                                  <LOCN>14</LOCN>
                                </LnkInProps>
                              </LnkIn>
                            </Ctg>
                            <Ctg>
                              <CtgProps>
                                <R>5</R>
                              </CtgProps>
                              <LnkIn>
                                <LnkInProps>
                                  <MN>5</MN>
                                  <CLI>1,1,51,False,15</CLI>
                                  <ELN>1</ELN>
                                  <LOOT>0</LOOT>
                                  <LOMN>3</LOMN>
                                  <LOMCN>1</LOMCN>
                                  <LOSN>1</LOSN>
                                  <LOEN>24</LOEN>
                                  <LOCN>15</LOCN>
                                </LnkInProps>
                              </LnkIn>
                            </Ctg>
                            <Ctg>
                              <CtgProps>
                                <R>5</R>
                              </CtgProps>
                              <LnkIn>
                                <LnkInProps>
                                  <MN>5</MN>
                                  <CLI>1,1,51,False,16</CLI>
                                  <ELN>1</ELN>
                                  <LOOT>0</LOOT>
                                  <LOMN>3</LOMN>
                                  <LOMCN>1</LOMCN>
                                  <LOSN>1</LOSN>
                                  <LOEN>24</LOEN>
                                  <LOCN>16</LOCN>
                                </LnkInProps>
                              </LnkIn>
                            </Ctg>
                            <Ctg>
                              <CtgProps>
                                <R>5</R>
                              </CtgProps>
                              <LnkIn>
                                <LnkInProps>
                                  <MN>5</MN>
                                  <CLI>1,1,51,False,17</CLI>
                                  <ELN>1</ELN>
                                  <LOOT>0</LOOT>
                                  <LOMN>3</LOMN>
                                  <LOMCN>1</LOMCN>
                                  <LOSN>1</LOSN>
                                  <LOEN>24</LOEN>
                                  <LOCN>17</LOCN>
                                </LnkInProps>
                              </LnkIn>
                            </Ctg>
                            <Ctg>
                              <CtgProps>
                                <R>5</R>
                              </CtgProps>
                              <LnkIn>
                                <LnkInProps>
                                  <MN>5</MN>
                                  <CLI>1,1,51,False,18</CLI>
                                  <ELN>1</ELN>
                                  <LOOT>0</LOOT>
                                  <LOMN>3</LOMN>
                                  <LOMCN>1</LOMCN>
                                  <LOSN>1</LOSN>
                                  <LOEN>24</LOEN>
                                  <LOCN>18</LOCN>
                                </LnkInProps>
                              </LnkIn>
                            </Ctg>
                            <Ctg>
                              <CtgProps>
                                <R>5</R>
                              </CtgProps>
                              <LnkIn>
                                <LnkInProps>
                                  <MN>5</MN>
                                  <CLI>1,1,51,False,19</CLI>
                                  <ELN>1</ELN>
                                  <LOOT>0</LOOT>
                                  <LOMN>3</LOMN>
                                  <LOMCN>1</LOMCN>
                                  <LOSN>1</LOSN>
                                  <LOEN>24</LOEN>
                                  <LOCN>19</LOCN>
                                </LnkInProps>
                              </LnkIn>
                            </Ctg>
                            <Ctg>
                              <CtgProps>
                                <R>5</R>
                              </CtgProps>
                              <LnkIn>
                                <LnkInProps>
                                  <MN>5</MN>
                                  <CLI>1,1,51,False,20</CLI>
                                  <ELN>1</ELN>
                                  <LOOT>0</LOOT>
                                  <LOMN>3</LOMN>
                                  <LOMCN>1</LOMCN>
                                  <LOSN>1</LOSN>
                                  <LOEN>24</LOEN>
                                  <LOCN>20</LOCN>
                                </LnkInProps>
                              </LnkIn>
                            </Ctg>
                            <Ctg>
                              <CtgProps>
                                <R>5</R>
                              </CtgProps>
                              <LnkIn>
                                <LnkInProps>
                                  <MN>5</MN>
                                  <CLI>1,1,51,False,21</CLI>
                                  <ELN>1</ELN>
                                  <LOOT>0</LOOT>
                                  <LOMN>3</LOMN>
                                  <LOMCN>1</LOMCN>
                                  <LOSN>1</LOSN>
                                  <LOEN>24</LOEN>
                                  <LOCN>21</LOCN>
                                </LnkInProps>
                              </LnkIn>
                            </Ctg>
                            <Ctg>
                              <CtgProps>
                                <R>5</R>
                              </CtgProps>
                              <LnkIn>
                                <LnkInProps>
                                  <MN>5</MN>
                                  <CLI>1,1,51,False,22</CLI>
                                  <ELN>1</ELN>
                                  <LOOT>0</LOOT>
                                  <LOMN>3</LOMN>
                                  <LOMCN>1</LOMCN>
                                  <LOSN>1</LOSN>
                                  <LOEN>24</LOEN>
                                  <LOCN>22</LOCN>
                                </LnkInProps>
                              </LnkIn>
                            </Ctg>
                            <Ctg>
                              <CtgProps>
                                <R>5</R>
                              </CtgProps>
                              <LnkIn>
                                <LnkInProps>
                                  <MN>5</MN>
                                  <CLI>1,1,51,False,23</CLI>
                                  <ELN>1</ELN>
                                  <LOOT>0</LOOT>
                                  <LOMN>3</LOMN>
                                  <LOMCN>1</LOMCN>
                                  <LOSN>1</LOSN>
                                  <LOEN>24</LOEN>
                                  <LOCN>23</LOCN>
                                </LnkInProps>
                              </LnkIn>
                            </Ctg>
                            <Ctg>
                              <CtgProps>
                                <R>5</R>
                              </CtgProps>
                              <LnkIn>
                                <LnkInProps>
                                  <MN>5</MN>
                                  <CLI>1,1,51,False,24</CLI>
                                  <ELN>1</ELN>
                                  <LOOT>0</LOOT>
                                  <LOMN>3</LOMN>
                                  <LOMCN>1</LOMCN>
                                  <LOSN>1</LOSN>
                                  <LOEN>24</LOEN>
                                  <LOCN>24</LOCN>
                                </LnkInProps>
                              </LnkIn>
                            </Ctg>
                            <Ctg>
                              <CtgProps>
                                <R>5</R>
                              </CtgProps>
                              <LnkIn>
                                <LnkInProps>
                                  <MN>5</MN>
                                  <CLI>1,1,51,False,25</CLI>
                                  <ELN>1</ELN>
                                  <LOOT>0</LOOT>
                                  <LOMN>3</LOMN>
                                  <LOMCN>1</LOMCN>
                                  <LOSN>1</LOSN>
                                  <LOEN>24</LOEN>
                                  <LOCN>25</LOCN>
                                </LnkInProps>
                              </LnkIn>
                            </Ctg>
                            <Ctg>
                              <CtgProps>
                                <R>5</R>
                              </CtgProps>
                              <LnkIn>
                                <LnkInProps>
                                  <MN>5</MN>
                                  <CLI>1,1,51,False,26</CLI>
                                  <ELN>1</ELN>
                                  <LOOT>0</LOOT>
                                  <LOMN>3</LOMN>
                                  <LOMCN>1</LOMCN>
                                  <LOSN>1</LOSN>
                                  <LOEN>24</LOEN>
                                  <LOCN>26</LOCN>
                                </LnkInProps>
                              </LnkIn>
                            </Ctg>
                            <Ctg>
                              <CtgProps>
                                <R>5</R>
                              </CtgProps>
                              <LnkIn>
                                <LnkInProps>
                                  <MN>5</MN>
                                  <CLI>1,1,51,False,27</CLI>
                                  <ELN>1</ELN>
                                  <LOOT>0</LOOT>
                                  <LOMN>3</LOMN>
                                  <LOMCN>1</LOMCN>
                                  <LOSN>1</LOSN>
                                  <LOEN>24</LOEN>
                                  <LOCN>27</LOCN>
                                </LnkInProps>
                              </LnkIn>
                            </Ctg>
                            <Ctg>
                              <CtgProps>
                                <R>5</R>
                              </CtgProps>
                              <LnkIn>
                                <LnkInProps>
                                  <MN>5</MN>
                                  <CLI>1,1,51,False,28</CLI>
                                  <ELN>1</ELN>
                                  <LOOT>0</LOOT>
                                  <LOMN>3</LOMN>
                                  <LOMCN>1</LOMCN>
                                  <LOSN>1</LOSN>
                                  <LOEN>24</LOEN>
                                  <LOCN>28</LOCN>
                                </LnkInProps>
                              </LnkIn>
                            </Ctg>
                            <Ctg>
                              <CtgProps>
                                <R>5</R>
                              </CtgProps>
                              <LnkIn>
                                <LnkInProps>
                                  <MN>5</MN>
                                  <CLI>1,1,51,False,29</CLI>
                                  <ELN>1</ELN>
                                  <LOOT>0</LOOT>
                                  <LOMN>3</LOMN>
                                  <LOMCN>1</LOMCN>
                                  <LOSN>1</LOSN>
                                  <LOEN>24</LOEN>
                                  <LOCN>29</LOCN>
                                </LnkInProps>
                              </LnkIn>
                            </Ctg>
                            <Ctg>
                              <CtgProps>
                                <R>5</R>
                              </CtgProps>
                              <LnkIn>
                                <LnkInProps>
                                  <MN>5</MN>
                                  <CLI>1,1,51,False,30</CLI>
                                  <ELN>1</ELN>
                                  <LOOT>0</LOOT>
                                  <LOMN>3</LOMN>
                                  <LOMCN>1</LOMCN>
                                  <LOSN>1</LOSN>
                                  <LOEN>24</LOEN>
                                  <LOCN>30</LOCN>
                                </LnkInProps>
                              </LnkIn>
                            </Ctg>
                            <Ctg>
                              <CtgProps>
                                <R>5</R>
                              </CtgProps>
                              <LnkIn>
                                <LnkInProps>
                                  <MN>5</MN>
                                  <CLI>1,1,51,False,31</CLI>
                                  <ELN>1</ELN>
                                  <LOOT>0</LOOT>
                                  <LOMN>3</LOMN>
                                  <LOMCN>1</LOMCN>
                                  <LOSN>1</LOSN>
                                  <LOEN>24</LOEN>
                                  <LOCN>31</LOCN>
                                </LnkInProps>
                              </LnkIn>
                            </Ctg>
                            <Ctg>
                              <CtgProps>
                                <R>5</R>
                              </CtgProps>
                              <LnkIn>
                                <LnkInProps>
                                  <MN>5</MN>
                                  <CLI>1,1,51,False,32</CLI>
                                  <ELN>1</ELN>
                                  <LOOT>0</LOOT>
                                  <LOMN>3</LOMN>
                                  <LOMCN>1</LOMCN>
                                  <LOSN>1</LOSN>
                                  <LOEN>24</LOEN>
                                  <LOCN>32</LOCN>
                                </LnkInProps>
                              </LnkIn>
                            </Ctg>
                            <Ctg>
                              <CtgProps>
                                <R>5</R>
                              </CtgProps>
                              <LnkIn>
                                <LnkInProps>
                                  <MN>5</MN>
                                  <CLI>1,1,51,False,33</CLI>
                                  <ELN>1</ELN>
                                  <LOOT>0</LOOT>
                                  <LOMN>3</LOMN>
                                  <LOMCN>1</LOMCN>
                                  <LOSN>1</LOSN>
                                  <LOEN>24</LOEN>
                                  <LOCN>33</LOCN>
                                </LnkInProps>
                              </LnkIn>
                            </Ctg>
                            <Ctg>
                              <CtgProps>
                                <R>5</R>
                              </CtgProps>
                              <LnkIn>
                                <LnkInProps>
                                  <MN>5</MN>
                                  <CLI>1,1,51,False,34</CLI>
                                  <ELN>1</ELN>
                                  <LOOT>0</LOOT>
                                  <LOMN>3</LOMN>
                                  <LOMCN>1</LOMCN>
                                  <LOSN>1</LOSN>
                                  <LOEN>24</LOEN>
                                  <LOCN>34</LOCN>
                                </LnkInProps>
                              </LnkIn>
                            </Ctg>
                            <Ctg>
                              <CtgProps>
                                <R>5</R>
                              </CtgProps>
                              <LnkIn>
                                <LnkInProps>
                                  <MN>5</MN>
                                  <CLI>1,1,51,False,35</CLI>
                                  <ELN>1</ELN>
                                  <LOOT>0</LOOT>
                                  <LOMN>3</LOMN>
                                  <LOMCN>1</LOMCN>
                                  <LOSN>1</LOSN>
                                  <LOEN>24</LOEN>
                                  <LOCN>35</LOCN>
                                </LnkInProps>
                              </LnkIn>
                            </Ctg>
                          </Ctgs>
                        </SubTtl>
                      </SubTtls>
                      <TtlCtg/>
                      <ElmtLnksIn>
                        <ElmtLnk>
                          <ElmtLnkProps>
                            <ELI>1,1,51</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6,1,1,1,0,0,TRUE,TRUE§Z¿]]></VOFFF>
                              </ClmnBlkPtProps>
                            </ClmnBlkPt>
                          </ClmnBlkPts>
                        </ClmnBlk>
                        <ClmnBlk>
                          <ClmnBlkProps>
                            <FCPT>0</FCPT>
                            <FCN>15</FCN>
                            <LCPT>0</LCPT>
                            <LCN>15</LCN>
                          </ClmnBlkProps>
                          <ClmnBlkPts>
                            <ClmnBlkPt>
                              <ClmnBlkPtProps>
                                <CBPT>5</CBPT>
                                <ST>18</ST>
                                <VOFFF><![CDATA[=§A¿0,1,0,1,36,1,1,1,0,0,TRUE,TRUE§Z¿]]></VOFFF>
                              </ClmnBlkPtProps>
                            </ClmnBlkPt>
                          </ClmnBlkPts>
                        </ClmnBlk>
                        <ClmnBlk>
                          <ClmnBlkProps>
                            <FCPT>0</FCPT>
                            <FCN>17</FCN>
                            <LCPT>0</LCPT>
                            <LCN>17</LCN>
                          </ClmnBlkProps>
                          <ClmnBlkPts>
                            <ClmnBlkPt>
                              <ClmnBlkPtProps>
                                <CBPT>5</CBPT>
                                <ST>18</ST>
                                <VOFFF><![CDATA[=§A¿0,1,0,1,36,1,1,2,0,0,TRUE,TRUE§Z¿]]></VOFFF>
                              </ClmnBlkPtProps>
                            </ClmnBlkPt>
                          </ClmnBlkPts>
                        </ClmnBlk>
                        <ClmnBlk>
                          <ClmnBlkProps>
                            <FCPT>0</FCPT>
                            <FCN>19</FCN>
                            <LCPT>0</LCPT>
                            <LCN>19</LCN>
                          </ClmnBlkProps>
                          <ClmnBlkPts>
                            <ClmnBlkPt>
                              <ClmnBlkPtProps>
                                <CBPT>5</CBPT>
                                <ST>18</ST>
                                <VOFFF><![CDATA[=§A¿0,1,0,1,36,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1,1,55,1,1</CBPLI>
                                    <ELN>1</ELN>
                                    <FFF><![CDATA[=§A¿10,FALSE,0,1,0,FALSE§Z¿]]></FFF>
                                  </LnkInFormProps>
                                </LnkInForm>
                              </LnkInForms>
                            </ClmnBlkPt>
                            <ClmnBlkPt>
                              <ClmnBlkPtProps>
                                <CBPT>1</CBPT>
                                <ST>6</ST>
                                <VOFFF><![CDATA[="Total "&§A¿0,1,0,1,55,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1,1,55,3,1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1,1,55,4,1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1,1,55,5,1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5</MN>
                                  <CLI>1,1,55,False,1</CLI>
                                  <ELN>1</ELN>
                                  <LOOT>0</LOOT>
                                  <LOMN>3</LOMN>
                                  <LOMCN>1</LOMCN>
                                  <LOSN>1</LOSN>
                                  <LOEN>29</LOEN>
                                  <LOCN>1</LOCN>
                                </LnkInProps>
                              </LnkIn>
                            </Ctg>
                            <Ctg>
                              <CtgProps>
                                <R>4</R>
                              </CtgProps>
                              <LnkIn>
                                <LnkInProps>
                                  <MN>5</MN>
                                  <CLI>1,1,55,False,2</CLI>
                                  <ELN>1</ELN>
                                  <LOOT>0</LOOT>
                                  <LOMN>3</LOMN>
                                  <LOMCN>1</LOMCN>
                                  <LOSN>1</LOSN>
                                  <LOEN>29</LOEN>
                                  <LOCN>2</LOCN>
                                </LnkInProps>
                              </LnkIn>
                            </Ctg>
                            <Ctg>
                              <CtgProps>
                                <R>5</R>
                              </CtgProps>
                              <LnkIn>
                                <LnkInProps>
                                  <MN>5</MN>
                                  <CLI>1,1,55,False,3</CLI>
                                  <ELN>1</ELN>
                                  <LOOT>0</LOOT>
                                  <LOMN>3</LOMN>
                                  <LOMCN>1</LOMCN>
                                  <LOSN>1</LOSN>
                                  <LOEN>29</LOEN>
                                  <LOCN>3</LOCN>
                                </LnkInProps>
                              </LnkIn>
                            </Ctg>
                            <Ctg>
                              <CtgProps>
                                <R>5</R>
                              </CtgProps>
                              <LnkIn>
                                <LnkInProps>
                                  <MN>5</MN>
                                  <CLI>1,1,55,False,4</CLI>
                                  <ELN>1</ELN>
                                  <LOOT>0</LOOT>
                                  <LOMN>3</LOMN>
                                  <LOMCN>1</LOMCN>
                                  <LOSN>1</LOSN>
                                  <LOEN>29</LOEN>
                                  <LOCN>4</LOCN>
                                </LnkInProps>
                              </LnkIn>
                            </Ctg>
                            <Ctg>
                              <CtgProps>
                                <R>5</R>
                              </CtgProps>
                              <LnkIn>
                                <LnkInProps>
                                  <MN>5</MN>
                                  <CLI>1,1,55,False,5</CLI>
                                  <ELN>1</ELN>
                                  <LOOT>0</LOOT>
                                  <LOMN>3</LOMN>
                                  <LOMCN>1</LOMCN>
                                  <LOSN>1</LOSN>
                                  <LOEN>29</LOEN>
                                  <LOCN>5</LOCN>
                                </LnkInProps>
                              </LnkIn>
                            </Ctg>
                            <Ctg>
                              <CtgProps>
                                <R>5</R>
                              </CtgProps>
                              <LnkIn>
                                <LnkInProps>
                                  <MN>5</MN>
                                  <CLI>1,1,55,False,6</CLI>
                                  <ELN>1</ELN>
                                  <LOOT>0</LOOT>
                                  <LOMN>3</LOMN>
                                  <LOMCN>1</LOMCN>
                                  <LOSN>1</LOSN>
                                  <LOEN>29</LOEN>
                                  <LOCN>6</LOCN>
                                </LnkInProps>
                              </LnkIn>
                            </Ctg>
                            <Ctg>
                              <CtgProps>
                                <R>5</R>
                              </CtgProps>
                              <LnkIn>
                                <LnkInProps>
                                  <MN>5</MN>
                                  <CLI>1,1,55,False,7</CLI>
                                  <ELN>1</ELN>
                                  <LOOT>0</LOOT>
                                  <LOMN>3</LOMN>
                                  <LOMCN>1</LOMCN>
                                  <LOSN>1</LOSN>
                                  <LOEN>29</LOEN>
                                  <LOCN>7</LOCN>
                                </LnkInProps>
                              </LnkIn>
                            </Ctg>
                            <Ctg>
                              <CtgProps>
                                <R>5</R>
                              </CtgProps>
                              <LnkIn>
                                <LnkInProps>
                                  <MN>5</MN>
                                  <CLI>1,1,55,False,8</CLI>
                                  <ELN>1</ELN>
                                  <LOOT>0</LOOT>
                                  <LOMN>3</LOMN>
                                  <LOMCN>1</LOMCN>
                                  <LOSN>1</LOSN>
                                  <LOEN>29</LOEN>
                                  <LOCN>8</LOCN>
                                </LnkInProps>
                              </LnkIn>
                            </Ctg>
                            <Ctg>
                              <CtgProps>
                                <R>5</R>
                              </CtgProps>
                              <LnkIn>
                                <LnkInProps>
                                  <MN>5</MN>
                                  <CLI>1,1,55,False,9</CLI>
                                  <ELN>1</ELN>
                                  <LOOT>0</LOOT>
                                  <LOMN>3</LOMN>
                                  <LOMCN>1</LOMCN>
                                  <LOSN>1</LOSN>
                                  <LOEN>29</LOEN>
                                  <LOCN>9</LOCN>
                                </LnkInProps>
                              </LnkIn>
                            </Ctg>
                            <Ctg>
                              <CtgProps>
                                <R>5</R>
                              </CtgProps>
                              <LnkIn>
                                <LnkInProps>
                                  <MN>5</MN>
                                  <CLI>1,1,55,False,10</CLI>
                                  <ELN>1</ELN>
                                  <LOOT>0</LOOT>
                                  <LOMN>3</LOMN>
                                  <LOMCN>1</LOMCN>
                                  <LOSN>1</LOSN>
                                  <LOEN>29</LOEN>
                                  <LOCN>10</LOCN>
                                </LnkInProps>
                              </LnkIn>
                            </Ctg>
                            <Ctg>
                              <CtgProps>
                                <R>5</R>
                              </CtgProps>
                              <LnkIn>
                                <LnkInProps>
                                  <MN>5</MN>
                                  <CLI>1,1,55,False,11</CLI>
                                  <ELN>1</ELN>
                                  <LOOT>0</LOOT>
                                  <LOMN>3</LOMN>
                                  <LOMCN>1</LOMCN>
                                  <LOSN>1</LOSN>
                                  <LOEN>29</LOEN>
                                  <LOCN>11</LOCN>
                                </LnkInProps>
                              </LnkIn>
                            </Ctg>
                            <Ctg>
                              <CtgProps>
                                <R>5</R>
                              </CtgProps>
                              <LnkIn>
                                <LnkInProps>
                                  <MN>5</MN>
                                  <CLI>1,1,55,False,12</CLI>
                                  <ELN>1</ELN>
                                  <LOOT>0</LOOT>
                                  <LOMN>3</LOMN>
                                  <LOMCN>1</LOMCN>
                                  <LOSN>1</LOSN>
                                  <LOEN>29</LOEN>
                                  <LOCN>12</LOCN>
                                </LnkInProps>
                              </LnkIn>
                            </Ctg>
                            <Ctg>
                              <CtgProps>
                                <R>5</R>
                              </CtgProps>
                              <LnkIn>
                                <LnkInProps>
                                  <MN>5</MN>
                                  <CLI>1,1,55,False,13</CLI>
                                  <ELN>1</ELN>
                                  <LOOT>0</LOOT>
                                  <LOMN>3</LOMN>
                                  <LOMCN>1</LOMCN>
                                  <LOSN>1</LOSN>
                                  <LOEN>29</LOEN>
                                  <LOCN>13</LOCN>
                                </LnkInProps>
                              </LnkIn>
                            </Ctg>
                            <Ctg>
                              <CtgProps>
                                <R>5</R>
                              </CtgProps>
                              <LnkIn>
                                <LnkInProps>
                                  <MN>5</MN>
                                  <CLI>1,1,55,False,14</CLI>
                                  <ELN>1</ELN>
                                  <LOOT>0</LOOT>
                                  <LOMN>3</LOMN>
                                  <LOMCN>1</LOMCN>
                                  <LOSN>1</LOSN>
                                  <LOEN>29</LOEN>
                                  <LOCN>14</LOCN>
                                </LnkInProps>
                              </LnkIn>
                            </Ctg>
                            <Ctg>
                              <CtgProps>
                                <R>5</R>
                              </CtgProps>
                              <LnkIn>
                                <LnkInProps>
                                  <MN>5</MN>
                                  <CLI>1,1,55,False,15</CLI>
                                  <ELN>1</ELN>
                                  <LOOT>0</LOOT>
                                  <LOMN>3</LOMN>
                                  <LOMCN>1</LOMCN>
                                  <LOSN>1</LOSN>
                                  <LOEN>29</LOEN>
                                  <LOCN>15</LOCN>
                                </LnkInProps>
                              </LnkIn>
                            </Ctg>
                            <Ctg>
                              <CtgProps>
                                <R>5</R>
                              </CtgProps>
                              <LnkIn>
                                <LnkInProps>
                                  <MN>5</MN>
                                  <CLI>1,1,55,False,16</CLI>
                                  <ELN>1</ELN>
                                  <LOOT>0</LOOT>
                                  <LOMN>3</LOMN>
                                  <LOMCN>1</LOMCN>
                                  <LOSN>1</LOSN>
                                  <LOEN>29</LOEN>
                                  <LOCN>16</LOCN>
                                </LnkInProps>
                              </LnkIn>
                            </Ctg>
                            <Ctg>
                              <CtgProps>
                                <R>5</R>
                              </CtgProps>
                              <LnkIn>
                                <LnkInProps>
                                  <MN>5</MN>
                                  <CLI>1,1,55,False,17</CLI>
                                  <ELN>1</ELN>
                                  <LOOT>0</LOOT>
                                  <LOMN>3</LOMN>
                                  <LOMCN>1</LOMCN>
                                  <LOSN>1</LOSN>
                                  <LOEN>29</LOEN>
                                  <LOCN>17</LOCN>
                                </LnkInProps>
                              </LnkIn>
                            </Ctg>
                            <Ctg>
                              <CtgProps>
                                <R>5</R>
                              </CtgProps>
                              <LnkIn>
                                <LnkInProps>
                                  <MN>5</MN>
                                  <CLI>1,1,55,False,18</CLI>
                                  <ELN>1</ELN>
                                  <LOOT>0</LOOT>
                                  <LOMN>3</LOMN>
                                  <LOMCN>1</LOMCN>
                                  <LOSN>1</LOSN>
                                  <LOEN>29</LOEN>
                                  <LOCN>18</LOCN>
                                </LnkInProps>
                              </LnkIn>
                            </Ctg>
                            <Ctg>
                              <CtgProps>
                                <R>5</R>
                              </CtgProps>
                              <LnkIn>
                                <LnkInProps>
                                  <MN>5</MN>
                                  <CLI>1,1,55,False,19</CLI>
                                  <ELN>1</ELN>
                                  <LOOT>0</LOOT>
                                  <LOMN>3</LOMN>
                                  <LOMCN>1</LOMCN>
                                  <LOSN>1</LOSN>
                                  <LOEN>29</LOEN>
                                  <LOCN>19</LOCN>
                                </LnkInProps>
                              </LnkIn>
                            </Ctg>
                            <Ctg>
                              <CtgProps>
                                <R>5</R>
                              </CtgProps>
                              <LnkIn>
                                <LnkInProps>
                                  <MN>5</MN>
                                  <CLI>1,1,55,False,20</CLI>
                                  <ELN>1</ELN>
                                  <LOOT>0</LOOT>
                                  <LOMN>3</LOMN>
                                  <LOMCN>1</LOMCN>
                                  <LOSN>1</LOSN>
                                  <LOEN>29</LOEN>
                                  <LOCN>20</LOCN>
                                </LnkInProps>
                              </LnkIn>
                            </Ctg>
                            <Ctg>
                              <CtgProps>
                                <R>5</R>
                              </CtgProps>
                              <LnkIn>
                                <LnkInProps>
                                  <MN>5</MN>
                                  <CLI>1,1,55,False,21</CLI>
                                  <ELN>1</ELN>
                                  <LOOT>0</LOOT>
                                  <LOMN>3</LOMN>
                                  <LOMCN>1</LOMCN>
                                  <LOSN>1</LOSN>
                                  <LOEN>29</LOEN>
                                  <LOCN>21</LOCN>
                                </LnkInProps>
                              </LnkIn>
                            </Ctg>
                            <Ctg>
                              <CtgProps>
                                <R>5</R>
                              </CtgProps>
                              <LnkIn>
                                <LnkInProps>
                                  <MN>5</MN>
                                  <CLI>1,1,55,False,22</CLI>
                                  <ELN>1</ELN>
                                  <LOOT>0</LOOT>
                                  <LOMN>3</LOMN>
                                  <LOMCN>1</LOMCN>
                                  <LOSN>1</LOSN>
                                  <LOEN>29</LOEN>
                                  <LOCN>22</LOCN>
                                </LnkInProps>
                              </LnkIn>
                            </Ctg>
                            <Ctg>
                              <CtgProps>
                                <R>5</R>
                              </CtgProps>
                              <LnkIn>
                                <LnkInProps>
                                  <MN>5</MN>
                                  <CLI>1,1,55,False,23</CLI>
                                  <ELN>1</ELN>
                                  <LOOT>0</LOOT>
                                  <LOMN>3</LOMN>
                                  <LOMCN>1</LOMCN>
                                  <LOSN>1</LOSN>
                                  <LOEN>29</LOEN>
                                  <LOCN>23</LOCN>
                                </LnkInProps>
                              </LnkIn>
                            </Ctg>
                            <Ctg>
                              <CtgProps>
                                <R>5</R>
                              </CtgProps>
                              <LnkIn>
                                <LnkInProps>
                                  <MN>5</MN>
                                  <CLI>1,1,55,False,24</CLI>
                                  <ELN>1</ELN>
                                  <LOOT>0</LOOT>
                                  <LOMN>3</LOMN>
                                  <LOMCN>1</LOMCN>
                                  <LOSN>1</LOSN>
                                  <LOEN>29</LOEN>
                                  <LOCN>24</LOCN>
                                </LnkInProps>
                              </LnkIn>
                            </Ctg>
                            <Ctg>
                              <CtgProps>
                                <R>5</R>
                              </CtgProps>
                              <LnkIn>
                                <LnkInProps>
                                  <MN>5</MN>
                                  <CLI>1,1,55,False,25</CLI>
                                  <ELN>1</ELN>
                                  <LOOT>0</LOOT>
                                  <LOMN>3</LOMN>
                                  <LOMCN>1</LOMCN>
                                  <LOSN>1</LOSN>
                                  <LOEN>29</LOEN>
                                  <LOCN>25</LOCN>
                                </LnkInProps>
                              </LnkIn>
                            </Ctg>
                            <Ctg>
                              <CtgProps>
                                <R>5</R>
                              </CtgProps>
                              <LnkIn>
                                <LnkInProps>
                                  <MN>5</MN>
                                  <CLI>1,1,55,False,26</CLI>
                                  <ELN>1</ELN>
                                  <LOOT>0</LOOT>
                                  <LOMN>3</LOMN>
                                  <LOMCN>1</LOMCN>
                                  <LOSN>1</LOSN>
                                  <LOEN>29</LOEN>
                                  <LOCN>26</LOCN>
                                </LnkInProps>
                              </LnkIn>
                            </Ctg>
                            <Ctg>
                              <CtgProps>
                                <R>5</R>
                              </CtgProps>
                              <LnkIn>
                                <LnkInProps>
                                  <MN>5</MN>
                                  <CLI>1,1,55,False,27</CLI>
                                  <ELN>1</ELN>
                                  <LOOT>0</LOOT>
                                  <LOMN>3</LOMN>
                                  <LOMCN>1</LOMCN>
                                  <LOSN>1</LOSN>
                                  <LOEN>29</LOEN>
                                  <LOCN>27</LOCN>
                                </LnkInProps>
                              </LnkIn>
                            </Ctg>
                            <Ctg>
                              <CtgProps>
                                <R>5</R>
                              </CtgProps>
                              <LnkIn>
                                <LnkInProps>
                                  <MN>5</MN>
                                  <CLI>1,1,55,False,28</CLI>
                                  <ELN>1</ELN>
                                  <LOOT>0</LOOT>
                                  <LOMN>3</LOMN>
                                  <LOMCN>1</LOMCN>
                                  <LOSN>1</LOSN>
                                  <LOEN>29</LOEN>
                                  <LOCN>28</LOCN>
                                </LnkInProps>
                              </LnkIn>
                            </Ctg>
                            <Ctg>
                              <CtgProps>
                                <R>5</R>
                              </CtgProps>
                              <LnkIn>
                                <LnkInProps>
                                  <MN>5</MN>
                                  <CLI>1,1,55,False,29</CLI>
                                  <ELN>1</ELN>
                                  <LOOT>0</LOOT>
                                  <LOMN>3</LOMN>
                                  <LOMCN>1</LOMCN>
                                  <LOSN>1</LOSN>
                                  <LOEN>29</LOEN>
                                  <LOCN>29</LOCN>
                                </LnkInProps>
                              </LnkIn>
                            </Ctg>
                            <Ctg>
                              <CtgProps>
                                <R>5</R>
                              </CtgProps>
                              <LnkIn>
                                <LnkInProps>
                                  <MN>5</MN>
                                  <CLI>1,1,55,False,30</CLI>
                                  <ELN>1</ELN>
                                  <LOOT>0</LOOT>
                                  <LOMN>3</LOMN>
                                  <LOMCN>1</LOMCN>
                                  <LOSN>1</LOSN>
                                  <LOEN>29</LOEN>
                                  <LOCN>30</LOCN>
                                </LnkInProps>
                              </LnkIn>
                            </Ctg>
                            <Ctg>
                              <CtgProps>
                                <R>5</R>
                              </CtgProps>
                              <LnkIn>
                                <LnkInProps>
                                  <MN>5</MN>
                                  <CLI>1,1,55,False,31</CLI>
                                  <ELN>1</ELN>
                                  <LOOT>0</LOOT>
                                  <LOMN>3</LOMN>
                                  <LOMCN>1</LOMCN>
                                  <LOSN>1</LOSN>
                                  <LOEN>29</LOEN>
                                  <LOCN>31</LOCN>
                                </LnkInProps>
                              </LnkIn>
                            </Ctg>
                            <Ctg>
                              <CtgProps>
                                <R>5</R>
                              </CtgProps>
                              <LnkIn>
                                <LnkInProps>
                                  <MN>5</MN>
                                  <CLI>1,1,55,False,32</CLI>
                                  <ELN>1</ELN>
                                  <LOOT>0</LOOT>
                                  <LOMN>3</LOMN>
                                  <LOMCN>1</LOMCN>
                                  <LOSN>1</LOSN>
                                  <LOEN>29</LOEN>
                                  <LOCN>32</LOCN>
                                </LnkInProps>
                              </LnkIn>
                            </Ctg>
                            <Ctg>
                              <CtgProps>
                                <R>5</R>
                              </CtgProps>
                              <LnkIn>
                                <LnkInProps>
                                  <MN>5</MN>
                                  <CLI>1,1,55,False,33</CLI>
                                  <ELN>1</ELN>
                                  <LOOT>0</LOOT>
                                  <LOMN>3</LOMN>
                                  <LOMCN>1</LOMCN>
                                  <LOSN>1</LOSN>
                                  <LOEN>29</LOEN>
                                  <LOCN>33</LOCN>
                                </LnkInProps>
                              </LnkIn>
                            </Ctg>
                            <Ctg>
                              <CtgProps>
                                <R>5</R>
                              </CtgProps>
                              <LnkIn>
                                <LnkInProps>
                                  <MN>5</MN>
                                  <CLI>1,1,55,False,34</CLI>
                                  <ELN>1</ELN>
                                  <LOOT>0</LOOT>
                                  <LOMN>3</LOMN>
                                  <LOMCN>1</LOMCN>
                                  <LOSN>1</LOSN>
                                  <LOEN>29</LOEN>
                                  <LOCN>34</LOCN>
                                </LnkInProps>
                              </LnkIn>
                            </Ctg>
                            <Ctg>
                              <CtgProps>
                                <R>5</R>
                              </CtgProps>
                              <LnkIn>
                                <LnkInProps>
                                  <MN>5</MN>
                                  <CLI>1,1,55,False,35</CLI>
                                  <ELN>1</ELN>
                                  <LOOT>0</LOOT>
                                  <LOMN>3</LOMN>
                                  <LOMCN>1</LOMCN>
                                  <LOSN>1</LOSN>
                                  <LOEN>29</LOEN>
                                  <LOCN>35</LOCN>
                                </LnkInProps>
                              </LnkIn>
                            </Ctg>
                          </Ctgs>
                        </SubTtl>
                      </SubTtls>
                      <TtlCtg/>
                      <ElmtLnksIn>
                        <ElmtLnk>
                          <ElmtLnkProps>
                            <ELI>1,1,55</ELI>
                            <ELN>1</ELN>
                            <ELGN>6</ELGN>
                            <MLG>A4172745-D85C-404E-8029-461F8AE9358B</MLG>
                            <ICBI>1,2,3,4,5</ICBI>
                            <ILBN/>
                            <LIBN>0</LIBN>
                          </ElmtLnkProps>
                        </ElmtLnk>
                      </ElmtLnksIn>
                    </Elmt>
                  </Elmts>
                </Sect>
              </Sects>
              <Ctrls>
                <Ctrl>
                  <CtrlProps>
                    <MN>5</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5</MN>
                <MCN>2</MCN>
                <MCTK>BaseCase</MCTK>
                <RT><![CDATA[<ModuleName> - Assumptions]]></RT>
                <ERN>BPMMC39</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6</CTHN>
                                <ST>5</ST>
                                <VOFFF><![CDATA[Microplanning]]></VOFFF>
                              </ClmnBlkPtProps>
                            </ClmnBlkPt>
                          </ClmnBlkPts>
                        </ClmnBlk>
                      </ClmnBlks>
                      <TtlCtg/>
                    </Elmt>
                    <Elmt>
                      <ElmtProps>
                        <CPT>2</CPT>
                      </ElmtProps>
                      <ClmnBlks>
                        <ClmnBlk>
                          <ClmnBlkProps>
                            <FCPT>3</FCPT>
                            <FCN>3</FCN>
                            <FCOT>0</FCOT>
                            <FCOC>0</FCOC>
                            <FCPTBMCN>3</FCPTBMCN>
                            <FCPTBN>2</FCPTBN>
                            <LCPT>3</LCPT>
                            <LCN>7</LCN>
                            <LCOT>0</LCOT>
                            <LCOC>4</LCOC>
                            <LCPTBMCN>3</LCPTBMCN>
                            <LCPTBN>2</LCPTBN>
                          </ClmnBlkProps>
                          <ClmnBlkPts>
                            <ClmnBlkPt>
                              <ClmnBlkPtProps>
                                <CBPT>5</CBPT>
                                <ST>6</ST>
                                <MC>True</MC>
                                <VOFFF><![CDATA[Number of National Microplanning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CDATA[0]]></VOFFF>
                                <UDAV><![CDATA[0]]></UDAV>
                              </ClmnBlkPtProps>
                            </ClmnBlkPt>
                          </ClmnBlkPts>
                        </ClmnBlk>
                      </ClmnBlks>
                      <TtlCtg/>
                    </Elmt>
                  </Elmts>
                </Sect>
              </Sects>
            </ModComp>
            <ModComp>
              <ModCompProps>
                <MN>5</MN>
                <MCN>3</MCN>
                <MCTK>OP</MCTK>
                <RT><![CDATA[<ModuleName> - Outputs]]></RT>
                <ERN>BPMMC40</ERN>
                <MCST>0</MCST>
                <IPMC>False</IPMC>
                <SN>25</SN>
                <LODS>False</LODS>
                <LST>False</LST>
                <HS>False</HS>
                <IBOA>0</IBOA>
                <IB>True</IB>
                <CI/>
                <PTI/>
                <PTP>False</PTP>
                <PTD/>
                <PTMCN>0</PTMCN>
                <CROL>0</CROL>
                <CCOL>0</CCOL>
                <AMFN>0</AMFN>
              </ModCompProps>
              <Sects>
                <Sect>
                  <SectProps>
                    <LI>3,1</LI>
                    <EGN>0</EGN>
                  </SectProps>
                  <Elmts>
                    <Elmt>
                      <ElmtProps>
                        <CPT>2</CPT>
                      </ElmtProps>
                      <TtlCtg/>
                    </Elmt>
                    <Elmt>
                      <ElmtProps>
                        <CPT>2</CPT>
                      </ElmtProps>
                      <ClmnBlks>
                        <ClmnBlk>
                          <ClmnBlkProps>
                            <FCPT>0</FCPT>
                            <FCN>2</FCN>
                            <LCPT>0</LCPT>
                            <LCN>2</LCN>
                          </ClmnBlkProps>
                          <ClmnBlkPts>
                            <ClmnBlkPt>
                              <ClmnBlkPtProps>
                                <CBPT>5</CBPT>
                                <HCTHR>True</HCTHR>
                                <CTHN>7</CTHN>
                                <ST>3</ST>
                                <VOFFF><![CDATA[Microplanning]]></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RgeNmes>
                                <RgeNme>
                                  <RgeNmeProps>
                                    <CBPLI>3,1,4,1,1</CBPLI>
                                    <MCN>3</MCN>
                                    <SN>1</SN>
                                    <EN>4</EN>
                                    <CN>0</CN>
                                    <CBN>1</CBN>
                                    <CBPN>1</CBPN>
                                    <PT>1</PT>
                                    <CBPRNT>6</CBPRNT>
                                    <NT>12</NT>
                                    <SP1><![CDATA[Nat_Micrp_Out]]></SP1>
                                    <SP2/>
                                    <FFF/>
                                    <CMT/>
                                  </RgeNmeProps>
                                </RgeNme>
                              </RgeNme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6,1,1,1,0,0,TRUE,TRUE§Z¿,§A¿0,1,0,1,36,1,1,2,0,0,TRUE,TRUE§Z¿)&")"]]></VOFFF>
                              </ClmnBlkPtProps>
                            </ClmnBlkPt>
                          </ClmnBlkPts>
                        </ClmnBlk>
                        <ClmnBlk>
                          <ClmnBlkProps>
                            <FCPT>0</FCPT>
                            <FCN>17</FCN>
                            <LCPT>0</LCPT>
                            <LCN>17</LCN>
                          </ClmnBlkProps>
                          <ClmnBlkPts>
                            <ClmnBlkPt>
                              <ClmnBlkPtProps>
                                <CBPT>5</CBPT>
                                <ST>6</ST>
                                <SON>2</SON>
                                <VOFFF><![CDATA[="FINANCIAL COST ("&IF(§A¿1,1,1,1,5,0,2,1,1§Z¿=2,§A¿0,1,0,1,36,1,1,1,0,0,TRUE,TRUE§Z¿,§A¿0,1,0,1,36,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6,2,1,-1,0,0,FALSE,FALSE§Z¿/§A¿0,1,0,1,36,2,1,2,0,0,TRUE,TRUE§Z¿,§A¿0,3,0,1,6,2,1,-1,0,0,FALSE,FALSE§Z¿*§A¿0,1,0,1,36,2,1,2,0,0,TRUE,TRUE§Z¿), 0)]]></VOFFF>
                              </ClmnBlkPtProps>
                            </ClmnBlkPt>
                          </ClmnBlkPts>
                        </ClmnBlk>
                        <ClmnBlk>
                          <ClmnBlkProps>
                            <FCPT>0</FCPT>
                            <FCN>17</FCN>
                            <LCPT>0</LCPT>
                            <LCN>17</LCN>
                          </ClmnBlkProps>
                          <ClmnBlkPts>
                            <ClmnBlkPt>
                              <ClmnBlkPtProps>
                                <CBPT>5</CBPT>
                                <ST>18</ST>
                                <SON>14</SON>
                                <VOFFF><![CDATA[=IFERROR(IF(§A¿1,1,1,1,5,0,2,1,1§Z¿=2,§A¿0,3,0,1,6,3,1,-1,0,0,FALSE,FALSE§Z¿/§A¿0,1,0,1,36,2,1,2,0,0,TRUE,TRUE§Z¿,§A¿0,3,0,1,6,3,1,-1,0,0,FALSE,FALSE§Z¿*§A¿0,1,0,1,36,2,1,2,0,0,TRUE,TRUE§Z¿), 0)]]></VOFFF>
                              </ClmnBlkPtProps>
                            </ClmnBlkPt>
                          </ClmnBlkPts>
                        </ClmnBlk>
                      </ClmnBlks>
                      <TtlCtg/>
                    </Elmt>
                    <Elmt>
                      <ElmtProps>
                        <CPT>2</CPT>
                      </ElmtProps>
                      <ClmnBlks>
                        <ClmnBlk>
                          <ClmnBlkProps>
                            <FCPT>0</FCPT>
                            <FCN>4</FCN>
                            <LCPT>0</LCPT>
                            <LCN>4</LCN>
                          </ClmnBlkProps>
                          <ClmnBlkPts>
                            <ClmnBlkPt>
                              <ClmnBlkPtProps>
                                <CBPT>5</CBPT>
                                <ST>6</ST>
                                <VOFFF><![CDATA[=§A¿0,1,0,1,11,1,1,-1,0,0,FALSE,FALSE§Z¿]]></VOFFF>
                              </ClmnBlkPtProps>
                            </ClmnBlkPt>
                          </ClmnBlkPts>
                        </ClmnBlk>
                        <ClmnBlk>
                          <ClmnBlkProps>
                            <FCPT>0</FCPT>
                            <FCN>10</FCN>
                            <LCPT>0</LCPT>
                            <LCN>10</LCN>
                          </ClmnBlkProps>
                          <ClmnBlkPts>
                            <ClmnBlkPt>
                              <ClmnBlkPtProps>
                                <CBPT>5</CBPT>
                                <ST>18</ST>
                                <SON>14</SON>
                                <VOFFF><![CDATA[=§A¿0,1,0,1,13,6,6,-1,0,0,FALSE,FALSE§Z¿]]></VOFFF>
                              </ClmnBlkPtProps>
                            </ClmnBlkPt>
                          </ClmnBlkPts>
                        </ClmnBlk>
                        <ClmnBlk>
                          <ClmnBlkProps>
                            <FCPT>0</FCPT>
                            <FCN>12</FCN>
                            <LCPT>0</LCPT>
                            <LCN>12</LCN>
                          </ClmnBlkProps>
                          <ClmnBlkPts>
                            <ClmnBlkPt>
                              <ClmnBlkPtProps>
                                <CBPT>5</CBPT>
                                <ST>18</ST>
                                <SON>14</SON>
                                <VOFFF><![CDATA[=§A¿0,1,0,1,13,7,6,-1,0,0,FALSE,FALSE§Z¿]]></VOFFF>
                              </ClmnBlkPtProps>
                            </ClmnBlkPt>
                          </ClmnBlkPts>
                        </ClmnBlk>
                        <ClmnBlk>
                          <ClmnBlkProps>
                            <FCPT>0</FCPT>
                            <FCN>15</FCN>
                            <LCPT>0</LCPT>
                            <LCN>15</LCN>
                          </ClmnBlkProps>
                          <ClmnBlkPts>
                            <ClmnBlkPt>
                              <ClmnBlkPtProps>
                                <CBPT>5</CBPT>
                                <ST>18</ST>
                                <SON>14</SON>
                                <VOFFF><![CDATA[=IFERROR(IF(§A¿1,1,1,1,5,0,2,1,1§Z¿=2,§A¿0,3,0,1,7,2,1,-1,0,0,FALSE,FALSE§Z¿/§A¿0,1,0,1,36,2,1,2,0,0,TRUE,TRUE§Z¿,§A¿0,3,0,1,7,2,1,-1,0,0,FALSE,FALSE§Z¿*§A¿0,1,0,1,36,2,1,2,0,0,TRUE,TRUE§Z¿), 0)]]></VOFFF>
                              </ClmnBlkPtProps>
                            </ClmnBlkPt>
                          </ClmnBlkPts>
                        </ClmnBlk>
                        <ClmnBlk>
                          <ClmnBlkProps>
                            <FCPT>0</FCPT>
                            <FCN>17</FCN>
                            <LCPT>0</LCPT>
                            <LCN>17</LCN>
                          </ClmnBlkProps>
                          <ClmnBlkPts>
                            <ClmnBlkPt>
                              <ClmnBlkPtProps>
                                <CBPT>5</CBPT>
                                <ST>18</ST>
                                <SON>14</SON>
                                <VOFFF><![CDATA[=IFERROR(IF(§A¿1,1,1,1,5,0,2,1,1§Z¿=2,§A¿0,3,0,1,7,3,1,-1,0,0,FALSE,FALSE§Z¿/§A¿0,1,0,1,36,2,1,2,0,0,TRUE,TRUE§Z¿,§A¿0,3,0,1,7,3,1,-1,0,0,FALSE,FALSE§Z¿*§A¿0,1,0,1,36,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8,2,1,-1,0,0,FALSE,FALSE§Z¿/§A¿0,1,0,1,36,2,1,2,0,0,TRUE,TRUE§Z¿,§A¿0,3,0,1,8,2,1,-1,0,0,FALSE,FALSE§Z¿*§A¿0,1,0,1,36,2,1,2,0,0,TRUE,TRUE§Z¿), 0)]]></VOFFF>
                              </ClmnBlkPtProps>
                            </ClmnBlkPt>
                          </ClmnBlkPts>
                        </ClmnBlk>
                        <ClmnBlk>
                          <ClmnBlkProps>
                            <FCPT>0</FCPT>
                            <FCN>17</FCN>
                            <LCPT>0</LCPT>
                            <LCN>17</LCN>
                          </ClmnBlkProps>
                          <ClmnBlkPts>
                            <ClmnBlkPt>
                              <ClmnBlkPtProps>
                                <CBPT>5</CBPT>
                                <ST>18</ST>
                                <SON>14</SON>
                                <VOFFF><![CDATA[=IFERROR(IF(§A¿1,1,1,1,5,0,2,1,1§Z¿=2,§A¿0,3,0,1,8,3,1,-1,0,0,FALSE,FALSE§Z¿/§A¿0,1,0,1,36,2,1,2,0,0,TRUE,TRUE§Z¿,§A¿0,3,0,1,8,3,1,-1,0,0,FALSE,FALSE§Z¿*§A¿0,1,0,1,36,2,1,2,0,0,TRUE,TRUE§Z¿), 0)]]></VOFFF>
                              </ClmnBlkPtProps>
                            </ClmnBlkPt>
                          </ClmnBlkPts>
                        </ClmnBlk>
                      </ClmnBlks>
                      <TtlCtg/>
                    </Elmt>
                    <Elmt>
                      <ElmtProps>
                        <CPT>2</CPT>
                      </ElmtProps>
                      <ClmnBlks>
                        <ClmnBlk>
                          <ClmnBlkProps>
                            <FCPT>0</FCPT>
                            <FCN>4</FCN>
                            <LCPT>0</LCPT>
                            <LCN>4</LCN>
                          </ClmnBlkProps>
                          <ClmnBlkPts>
                            <ClmnBlkPt>
                              <ClmnBlkPtProps>
                                <CBPT>5</CBPT>
                                <ST>6</ST>
                                <VOFFF><![CDATA[=§A¿0,1,0,1,21,1,1,-1,0,0,FALSE,FALSE§Z¿]]></VOFFF>
                              </ClmnBlkPtProps>
                            </ClmnBlkPt>
                          </ClmnBlkPts>
                        </ClmnBlk>
                        <ClmnBlk>
                          <ClmnBlkProps>
                            <FCPT>0</FCPT>
                            <FCN>10</FCN>
                            <LCPT>0</LCPT>
                            <LCN>10</LCN>
                          </ClmnBlkProps>
                          <ClmnBlkPts>
                            <ClmnBlkPt>
                              <ClmnBlkPtProps>
                                <CBPT>5</CBPT>
                                <ST>18</ST>
                                <SON>14</SON>
                                <VOFFF><![CDATA[=§A¿0,1,0,1,23,5,6,-1,0,0,FALSE,FALSE§Z¿]]></VOFFF>
                              </ClmnBlkPtProps>
                            </ClmnBlkPt>
                          </ClmnBlkPts>
                        </ClmnBlk>
                        <ClmnBlk>
                          <ClmnBlkProps>
                            <FCPT>0</FCPT>
                            <FCN>12</FCN>
                            <LCPT>0</LCPT>
                            <LCN>12</LCN>
                          </ClmnBlkProps>
                          <ClmnBlkPts>
                            <ClmnBlkPt>
                              <ClmnBlkPtProps>
                                <CBPT>5</CBPT>
                                <ST>18</ST>
                                <SON>14</SON>
                                <VOFFF><![CDATA[=§A¿0,1,0,1,23,6,6,-1,0,0,FALSE,FALSE§Z¿]]></VOFFF>
                              </ClmnBlkPtProps>
                            </ClmnBlkPt>
                          </ClmnBlkPts>
                        </ClmnBlk>
                        <ClmnBlk>
                          <ClmnBlkProps>
                            <FCPT>0</FCPT>
                            <FCN>15</FCN>
                            <LCPT>0</LCPT>
                            <LCN>15</LCN>
                          </ClmnBlkProps>
                          <ClmnBlkPts>
                            <ClmnBlkPt>
                              <ClmnBlkPtProps>
                                <CBPT>5</CBPT>
                                <ST>18</ST>
                                <SON>14</SON>
                                <VOFFF><![CDATA[=IFERROR(IF(§A¿1,1,1,1,5,0,2,1,1§Z¿=2,§A¿0,3,0,1,9,2,1,-1,0,0,FALSE,FALSE§Z¿/§A¿0,1,0,1,36,2,1,2,0,0,TRUE,TRUE§Z¿,§A¿0,3,0,1,9,2,1,-1,0,0,FALSE,FALSE§Z¿*§A¿0,1,0,1,36,2,1,2,0,0,TRUE,TRUE§Z¿), 0)]]></VOFFF>
                              </ClmnBlkPtProps>
                            </ClmnBlkPt>
                          </ClmnBlkPts>
                        </ClmnBlk>
                        <ClmnBlk>
                          <ClmnBlkProps>
                            <FCPT>0</FCPT>
                            <FCN>17</FCN>
                            <LCPT>0</LCPT>
                            <LCN>17</LCN>
                          </ClmnBlkProps>
                          <ClmnBlkPts>
                            <ClmnBlkPt>
                              <ClmnBlkPtProps>
                                <CBPT>5</CBPT>
                                <ST>18</ST>
                                <SON>14</SON>
                                <VOFFF><![CDATA[=IFERROR(IF(§A¿1,1,1,1,5,0,2,1,1§Z¿=2,§A¿0,3,0,1,9,3,1,-1,0,0,FALSE,FALSE§Z¿/§A¿0,1,0,1,36,2,1,2,0,0,TRUE,TRUE§Z¿,§A¿0,3,0,1,9,3,1,-1,0,0,FALSE,FALSE§Z¿*§A¿0,1,0,1,36,2,1,2,0,0,TRUE,TRUE§Z¿), 0)]]></VOFFF>
                              </ClmnBlkPtProps>
                            </ClmnBlkPt>
                          </ClmnBlkPts>
                        </ClmnBlk>
                      </ClmnBlks>
                      <TtlCtg/>
                    </Elmt>
                    <Elmt>
                      <ElmtProps>
                        <CPT>2</CPT>
                      </ElmtProps>
                      <ClmnBlks>
                        <ClmnBlk>
                          <ClmnBlkProps>
                            <FCPT>0</FCPT>
                            <FCN>4</FCN>
                            <LCPT>0</LCPT>
                            <LCN>4</LCN>
                          </ClmnBlkProps>
                          <ClmnBlkPts>
                            <ClmnBlkPt>
                              <ClmnBlkPtProps>
                                <CBPT>5</CBPT>
                                <ST>6</ST>
                                <VOFFF><![CDATA[=§A¿0,1,0,1,26,1,1,-1,0,0,FALSE,FALSE§Z¿]]></VOFFF>
                              </ClmnBlkPtProps>
                            </ClmnBlkPt>
                          </ClmnBlkPts>
                        </ClmnBlk>
                        <ClmnBlk>
                          <ClmnBlkProps>
                            <FCPT>0</FCPT>
                            <FCN>10</FCN>
                            <LCPT>0</LCPT>
                            <LCN>10</LCN>
                          </ClmnBlkProps>
                          <ClmnBlkPts>
                            <ClmnBlkPt>
                              <ClmnBlkPtProps>
                                <CBPT>5</CBPT>
                                <ST>18</ST>
                                <SON>14</SON>
                                <VOFFF><![CDATA[=§A¿0,1,0,1,29,6,6,-1,0,0,FALSE,FALSE§Z¿]]></VOFFF>
                              </ClmnBlkPtProps>
                            </ClmnBlkPt>
                          </ClmnBlkPts>
                        </ClmnBlk>
                        <ClmnBlk>
                          <ClmnBlkProps>
                            <FCPT>0</FCPT>
                            <FCN>12</FCN>
                            <LCPT>0</LCPT>
                            <LCN>12</LCN>
                          </ClmnBlkProps>
                          <ClmnBlkPts>
                            <ClmnBlkPt>
                              <ClmnBlkPtProps>
                                <CBPT>5</CBPT>
                                <ST>18</ST>
                                <SON>14</SON>
                                <VOFFF><![CDATA[=§A¿0,1,0,1,29,7,6,-1,0,0,FALSE,FALSE§Z¿]]></VOFFF>
                              </ClmnBlkPtProps>
                            </ClmnBlkPt>
                          </ClmnBlkPts>
                        </ClmnBlk>
                        <ClmnBlk>
                          <ClmnBlkProps>
                            <FCPT>0</FCPT>
                            <FCN>15</FCN>
                            <LCPT>0</LCPT>
                            <LCN>15</LCN>
                          </ClmnBlkProps>
                          <ClmnBlkPts>
                            <ClmnBlkPt>
                              <ClmnBlkPtProps>
                                <CBPT>5</CBPT>
                                <ST>18</ST>
                                <SON>14</SON>
                                <VOFFF><![CDATA[=IFERROR(IF(§A¿1,1,1,1,5,0,2,1,1§Z¿=2,§A¿0,3,0,1,10,2,1,-1,0,0,FALSE,FALSE§Z¿/§A¿0,1,0,1,36,2,1,2,0,0,TRUE,TRUE§Z¿,§A¿0,3,0,1,10,2,1,-1,0,0,FALSE,FALSE§Z¿*§A¿0,1,0,1,36,2,1,2,0,0,TRUE,TRUE§Z¿), 0)]]></VOFFF>
                              </ClmnBlkPtProps>
                            </ClmnBlkPt>
                          </ClmnBlkPts>
                        </ClmnBlk>
                        <ClmnBlk>
                          <ClmnBlkProps>
                            <FCPT>0</FCPT>
                            <FCN>17</FCN>
                            <LCPT>0</LCPT>
                            <LCN>17</LCN>
                          </ClmnBlkProps>
                          <ClmnBlkPts>
                            <ClmnBlkPt>
                              <ClmnBlkPtProps>
                                <CBPT>5</CBPT>
                                <ST>18</ST>
                                <SON>14</SON>
                                <VOFFF><![CDATA[=IFERROR(IF(§A¿1,1,1,1,5,0,2,1,1§Z¿=2,§A¿0,3,0,1,10,3,1,-1,0,0,FALSE,FALSE§Z¿/§A¿0,1,0,1,36,2,1,2,0,0,TRUE,TRUE§Z¿,§A¿0,3,0,1,10,3,1,-1,0,0,FALSE,FALSE§Z¿*§A¿0,1,0,1,36,2,1,2,0,0,TRUE,TRUE§Z¿), 0)]]></VOFFF>
                              </ClmnBlkPtProps>
                            </ClmnBlkPt>
                          </ClmnBlkPts>
                        </ClmnBlk>
                      </ClmnBlks>
                      <TtlCtg/>
                    </Elmt>
                    <Elmt>
                      <ElmtProps>
                        <CPT>2</CPT>
                      </ElmtProps>
                      <ClmnBlks>
                        <ClmnBlk>
                          <ClmnBlkProps>
                            <FCPT>0</FCPT>
                            <FCN>4</FCN>
                            <LCPT>0</LCPT>
                            <LCN>4</LCN>
                          </ClmnBlkProps>
                          <ClmnBlkPts>
                            <ClmnBlkPt>
                              <ClmnBlkPtProps>
                                <CBPT>5</CBPT>
                                <ST>6</ST>
                                <SON>16</SON>
                                <VOFFF><![CDATA[="Single "&§A¿0,3,0,1,4,1,1,-1,0,0,FALSE,FALSE§Z¿]]></VOFFF>
                              </ClmnBlkPtProps>
                            </ClmnBlkPt>
                          </ClmnBlkPts>
                        </ClmnBlk>
                        <ClmnBlk>
                          <ClmnBlkProps>
                            <FCPT>0</FCPT>
                            <FCN>10</FCN>
                            <LCPT>0</LCPT>
                            <LCN>10</LCN>
                          </ClmnBlkProps>
                          <ClmnBlkPts>
                            <ClmnBlkPt>
                              <ClmnBlkPtProps>
                                <CBPT>5</CBPT>
                                <ST>18</ST>
                                <SON>17</SON>
                                <VOFFF><![CDATA[=SUM(§A¿0,3,1,1,6,2,1,-1,0,0,FALSE,FALSE,1,10,2,1,-1,0,0,FALSE,FALSE§Z¿)]]></VOFFF>
                              </ClmnBlkPtProps>
                            </ClmnBlkPt>
                          </ClmnBlkPts>
                        </ClmnBlk>
                        <ClmnBlk>
                          <ClmnBlkProps>
                            <FCPT>0</FCPT>
                            <FCN>12</FCN>
                            <LCPT>0</LCPT>
                            <LCN>12</LCN>
                          </ClmnBlkProps>
                          <ClmnBlkPts>
                            <ClmnBlkPt>
                              <ClmnBlkPtProps>
                                <CBPT>5</CBPT>
                                <ST>18</ST>
                                <SON>17</SON>
                                <VOFFF><![CDATA[=SUM(§A¿0,3,1,1,6,3,1,-1,0,0,FALSE,FALSE,1,10,3,1,-1,0,0,FALSE,FALSE§Z¿)]]></VOFFF>
                              </ClmnBlkPtProps>
                            </ClmnBlkPt>
                          </ClmnBlkPts>
                        </ClmnBlk>
                        <ClmnBlk>
                          <ClmnBlkProps>
                            <FCPT>0</FCPT>
                            <FCN>15</FCN>
                            <LCPT>0</LCPT>
                            <LCN>15</LCN>
                          </ClmnBlkProps>
                          <ClmnBlkPts>
                            <ClmnBlkPt>
                              <ClmnBlkPtProps>
                                <CBPT>5</CBPT>
                                <ST>18</ST>
                                <SON>18</SON>
                                <VOFFF><![CDATA[=SUM(§A¿0,3,1,1,6,4,1,-1,0,0,FALSE,FALSE,1,10,4,1,-1,0,0,FALSE,FALSE§Z¿)]]></VOFFF>
                              </ClmnBlkPtProps>
                            </ClmnBlkPt>
                          </ClmnBlkPts>
                        </ClmnBlk>
                        <ClmnBlk>
                          <ClmnBlkProps>
                            <FCPT>0</FCPT>
                            <FCN>17</FCN>
                            <LCPT>0</LCPT>
                            <LCN>17</LCN>
                          </ClmnBlkProps>
                          <ClmnBlkPts>
                            <ClmnBlkPt>
                              <ClmnBlkPtProps>
                                <CBPT>5</CBPT>
                                <ST>18</ST>
                                <SON>18</SON>
                                <VOFFF><![CDATA[=SUM(§A¿0,3,1,1,6,5,1,-1,0,0,FALSE,FALSE,1,10,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CDATA[0]]></VOFFF>
                                <UDAV><![CDATA[0]]></UDAV>
                              </ClmnBlkPtProps>
                              <RgeNmes>
                                <RgeNme>
                                  <RgeNmeProps>
                                    <CBPLI>3,1,13,2,1</CBPLI>
                                    <MCN>3</MCN>
                                    <SN>1</SN>
                                    <EN>13</EN>
                                    <CN>0</CN>
                                    <CBN>2</CBN>
                                    <CBPN>1</CBPN>
                                    <PT>1</PT>
                                    <CBPRNT>6</CBPRNT>
                                    <NT>12</NT>
                                    <SP1><![CDATA[Number_Nat_Micro]]></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4,1,1,-1,0,0,FALSE,FALSE§Z¿&" Activities"]]></VOFFF>
                              </ClmnBlkPtProps>
                            </ClmnBlkPt>
                          </ClmnBlkPts>
                        </ClmnBlk>
                        <ClmnBlk>
                          <ClmnBlkProps>
                            <FCPT>0</FCPT>
                            <FCN>10</FCN>
                            <LCPT>0</LCPT>
                            <LCN>10</LCN>
                          </ClmnBlkProps>
                          <ClmnBlkPts>
                            <ClmnBlkPt>
                              <ClmnBlkPtProps>
                                <CBPT>5</CBPT>
                                <ST>18</ST>
                                <SON>6</SON>
                                <VOFFF><![CDATA[=§A¿0,3,0,1,11,2,1,-1,0,0,FALSE,FALSE§Z¿*§A¿1,1,3,1,13,0,2,1,1§Z¿]]></VOFFF>
                              </ClmnBlkPtProps>
                            </ClmnBlkPt>
                          </ClmnBlkPts>
                        </ClmnBlk>
                        <ClmnBlk>
                          <ClmnBlkProps>
                            <FCPT>0</FCPT>
                            <FCN>12</FCN>
                            <LCPT>0</LCPT>
                            <LCN>12</LCN>
                          </ClmnBlkProps>
                          <ClmnBlkPts>
                            <ClmnBlkPt>
                              <ClmnBlkPtProps>
                                <CBPT>5</CBPT>
                                <ST>18</ST>
                                <SON>6</SON>
                                <VOFFF><![CDATA[=§A¿0,3,0,1,11,3,1,-1,0,0,FALSE,FALSE§Z¿*§A¿1,1,3,1,13,0,2,1,1§Z¿]]></VOFFF>
                              </ClmnBlkPtProps>
                            </ClmnBlkPt>
                          </ClmnBlkPts>
                        </ClmnBlk>
                        <ClmnBlk>
                          <ClmnBlkProps>
                            <FCPT>0</FCPT>
                            <FCN>15</FCN>
                            <LCPT>0</LCPT>
                            <LCN>15</LCN>
                          </ClmnBlkProps>
                          <ClmnBlkPts>
                            <ClmnBlkPt>
                              <ClmnBlkPtProps>
                                <CBPT>5</CBPT>
                                <ST>18</ST>
                                <SON>6</SON>
                                <VOFFF><![CDATA[=§A¿0,3,0,1,11,4,1,-1,0,0,FALSE,FALSE§Z¿*§A¿1,1,3,1,13,0,2,1,1§Z¿]]></VOFFF>
                              </ClmnBlkPtProps>
                            </ClmnBlkPt>
                          </ClmnBlkPts>
                        </ClmnBlk>
                        <ClmnBlk>
                          <ClmnBlkProps>
                            <FCPT>0</FCPT>
                            <FCN>17</FCN>
                            <LCPT>0</LCPT>
                            <LCN>17</LCN>
                          </ClmnBlkProps>
                          <ClmnBlkPts>
                            <ClmnBlkPt>
                              <ClmnBlkPtProps>
                                <CBPT>5</CBPT>
                                <ST>18</ST>
                                <SON>6</SON>
                                <VOFFF><![CDATA[=§A¿0,3,0,1,11,5,1,-1,0,0,FALSE,FALSE§Z¿*§A¿1,1,3,1,13,0,2,1,1§Z¿]]></VOFFF>
                              </ClmnBlkPtProps>
                            </ClmnBlkPt>
                          </ClmnBlkPts>
                        </ClmnBlk>
                      </ClmnBlks>
                      <TtlCtg/>
                    </Elmt>
                    <Elmt>
                      <ElmtProps>
                        <CPT>2</CPT>
                      </ElmtProps>
                      <ClmnBlks>
                        <ClmnBlk>
                          <ClmnBlkProps>
                            <FCPT>0</FCPT>
                            <FCN>2</FCN>
                            <LCPT>0</LCPT>
                            <LCN>19</LCN>
                          </ClmnBlkProps>
                          <ClmnBlkPts>
                            <ClmnBlkPt>
                              <ClmnBlkPtProps>
                                <CBPT>5</CBPT>
                                <ST>26</ST>
                                <SON>19</SON>
                                <MC>True</MC>
                                <VOFFF><![CDATA[="Go to "&§A¿1,1,1,1,3,0,1,1,1§Z¿]]></VOFFF>
                              </ClmnBlkPtProps>
                              <Hlk>
                                <HlkProps>
                                  <CBPLI>3,1,15,1,1</CBPLI>
                                  <RT>0</RT>
                                  <RRRT>1</RRRT>
                                  <RCBPLI>1,1,3,1,1</RCBPLI>
                                  <RCN>0</RCN>
                                  <RRNPT>1</RRNPT>
                                  <RRNN>1</RRNN>
                                  <TTDT>0</TTDT>
                                  <AGT>False</AGT>
                                  <CT/>
                                </HlkProps>
                              </Hlk>
                            </ClmnBlkPt>
                          </ClmnBlkPts>
                        </ClmnBlk>
                      </ClmnBlks>
                      <TtlCtg/>
                    </Elmt>
                  </Elmts>
                </Sect>
              </Sects>
            </ModComp>
            <ModComp>
              <ModCompProps>
                <MN>5</MN>
                <MCN>4</MCN>
                <MCTK>LU</MCTK>
                <RT><![CDATA[<ModuleName> - Lookups]]></RT>
                <ERN>BPMMC41</ERN>
                <MCST>3</MCST>
                <IPMC>False</IPMC>
                <SN>36</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8</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6,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41,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4,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8,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51,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5,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MN>
            <MAG>303E605B-FA76-4A65-9C34-2538BF31F1F5</MAG>
            <BN><![CDATA[PLUG_ACTIVITY]]></BN>
            <N><![CDATA[MICRO-LOCAL]]></N>
            <TS><![CDATA[Annual]]></TS>
            <D><![CDATA[Assists with planning the cost of an activity. Should be used with Prices module.]]></D>
            <FS/>
            <R/>
            <GE/>
            <CA/>
            <VA/>
            <GST/>
            <DE/>
            <E/>
            <C/>
            <W/>
            <K/>
            <CO/>
            <V>1.0.0.0.</V>
            <AX/>
            <PMLO>False</PMLO>
            <IPMLO>False</IPMLO>
            <MACA>1</MACA>
            <RTSM>True</RTSM>
            <CC>True</CC>
            <X>False</X>
            <G>0A838920-2DE2-4D8F-AF19-971E9C7B61A7</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StlOvlyProps>
              <BdrOvlys>
                <BdrOvly>
                  <BdrOvlyProps>
                    <PT>1</PT>
                    <SON>14</SON>
                    <CBPLI/>
                    <FCN>0</FCN>
                    <I>True</I>
                    <BI>8</BI>
                    <LS>1</LS>
                    <W>2</W>
                  </BdrOvlyProps>
                </BdrOvly>
                <BdrOvly>
                  <BdrOvlyProps>
                    <PT>1</PT>
                    <SON>14</SON>
                    <CBPLI/>
                    <FCN>0</FCN>
                    <I>True</I>
                    <BI>9</BI>
                    <LS>-4119</LS>
                    <W>4</W>
                  </BdrOvlyProps>
                </BdrOvly>
              </BdrOvlys>
            </StlOvly>
            <StlOvly>
              <StlOvlyProps>
                <SON>15</SON>
                <INF>True</INF>
                <NT>0</NT>
                <DP>0</DP>
                <CNF/>
              </StlOvlyProps>
            </StlOvly>
            <StlOvly>
              <StlOvlyProps>
                <SON>16</SON>
                <IHA>True</IHA>
                <HA>-4108</HA>
              </StlOvlyProp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
              <StlOvlyProps>
                <SON>19</SON>
              </StlOvlyProps>
              <BdrOvlys>
                <BdrOvly>
                  <BdrOvlyProps>
                    <PT>1</PT>
                    <SON>19</SON>
                    <CBPLI/>
                    <FCN>0</FCN>
                    <I>True</I>
                    <BI>9</BI>
                    <LS>1</LS>
                    <W>2</W>
                  </BdrOvlyProps>
                </BdrOvly>
              </BdrOvlys>
            </StlOvly>
          </StlOvlys>
          <ElmtsGrps>
            <ElmtsGrp>
              <ElmtsGrpProps>
                <NU>1</NU>
                <NA><![CDATA[Activity Personnel]]></NA>
                <EGT>0</EGT>
                <DCC>5</DCC>
                <AST>True</AST>
                <ISTH>True</ISTH>
                <PTMCN>0</PTMCN>
                <PTBN>0</PTBN>
                <PTBI>0</PTBI>
                <GLN/>
                <CLOT>0</CLOT>
                <CLIT>0</CLIT>
                <PMLO>0</PMLO>
                <IPMLO>0</IPMLO>
              </ElmtsGrpProps>
            </ElmtsGrp>
            <ElmtsGrp>
              <ElmtsGrpProps>
                <NU>2</NU>
                <NA><![CDATA[Materials & Supplies]]></NA>
                <EGT>0</EGT>
                <DCC>8</DCC>
                <AST>True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6</MN>
                <MCN>1</MCN>
                <MCTK>BaseCase</MCTK>
                <RT><![CDATA[<ModuleName> - Assumptions]]></RT>
                <ERN>BPMMC43</ERN>
                <MCST>0</MCST>
                <IPMC>False</IPMC>
                <SN>13</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9</CTHN>
                                <ST>3</ST>
                                <VOFFF><![CDATA[=§A¿0,1,0,1,4,2,1,-1,0,0,FALSE,FALSE§Z¿]]></VOFFF>
                              </ClmnBlkPtProps>
                              <RgeNmes>
                                <RgeNme>
                                  <RgeNmeProps>
                                    <CBPLI>1,1,3,1,1</CBPLI>
                                    <MCN>1</MCN>
                                    <SN>1</SN>
                                    <EN>3</EN>
                                    <CN>0</CN>
                                    <CBN>1</CBN>
                                    <CBPN>1</CBPN>
                                    <PT>1</PT>
                                    <CBPRNT>6</CBPRNT>
                                    <NT>12</NT>
                                    <SP1><![CDATA[Dist_Micro_Ass]]></SP1>
                                    <SP2/>
                                    <FFF/>
                                    <CMT/>
                                  </RgeNmeProps>
                                </RgeNme>
                              </RgeNme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3,1,1,1,0,0,TRUE,TRUE§Z¿,§A¿0,1,0,1,33,1,1,2,0,0,TRUE,TRUE§Z¿)]]></VOFFF>
                              </ClmnBlkPtProps>
                            </ClmnBlkPt>
                          </ClmnBlkPts>
                        </ClmnBlk>
                        <ClmnBlk>
                          <ClmnBlkProps>
                            <FCPT>0</FCPT>
                            <FCN>15</FCN>
                            <LCPT>0</LCPT>
                            <LCN>15</LCN>
                          </ClmnBlkProps>
                          <ClmnBlkPts>
                            <ClmnBlkPt>
                              <ClmnBlkPtProps>
                                <CBPT>5</CBPT>
                                <ST>18</ST>
                                <VOFFF><![CDATA[=IF(§A¿1,1,1,1,5,0,2,1,1§Z¿=1,§A¿0,1,0,1,33,1,1,1,0,0,TRUE,TRUE§Z¿,§A¿0,1,0,1,33,1,1,2,0,0,TRUE,TRUE§Z¿)]]></VOFFF>
                              </ClmnBlkPtProps>
                            </ClmnBlkPt>
                          </ClmnBlkPts>
                        </ClmnBlk>
                        <ClmnBlk>
                          <ClmnBlkProps>
                            <FCPT>0</FCPT>
                            <FCN>17</FCN>
                            <LCPT>0</LCPT>
                            <LCN>17</LCN>
                          </ClmnBlkProps>
                          <ClmnBlkPts>
                            <ClmnBlkPt>
                              <ClmnBlkPtProps>
                                <CBPT>5</CBPT>
                                <ST>18</ST>
                                <VOFFF><![CDATA[=IF(§A¿1,1,1,1,5,0,2,1,1§Z¿=1,§A¿0,1,0,1,33,1,1,1,0,0,TRUE,TRUE§Z¿,§A¿0,1,0,1,33,1,1,2,0,0,TRUE,TRUE§Z¿)]]></VOFFF>
                              </ClmnBlkPtProps>
                            </ClmnBlkPt>
                          </ClmnBlkPts>
                        </ClmnBlk>
                        <ClmnBlk>
                          <ClmnBlkProps>
                            <FCPT>0</FCPT>
                            <FCN>19</FCN>
                            <LCPT>0</LCPT>
                            <LCN>19</LCN>
                          </ClmnBlkProps>
                          <ClmnBlkPts>
                            <ClmnBlkPt>
                              <ClmnBlkPtProps>
                                <CBPT>5</CBPT>
                                <ST>18</ST>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16</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16</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8,2,1,1,0,0,TRUE,TRUE,1,38,2,1,2,0,0,TRUE,TRUE§Z¿,MATCH(§A¿0,1,0,1,8,1,1,0,0,0,FALSE,FALSE§Z¿,§A¿1,1,4,1,13,0,1,1,1§Z¿,0)),INDEX(§A¿0,1,1,1,38,4,1,1,0,0,TRUE,TRUE,1,38,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8,3,1,1,0,0,TRUE,TRUE,1,38,3,1,2,0,0,TRUE,TRUE§Z¿,MATCH(§A¿0,1,0,1,8,1,1,0,0,0,FALSE,FALSE§Z¿,§A¿1,1,4,1,13,0,1,1,1§Z¿,0)),INDEX(§A¿0,1,1,1,38,5,1,1,0,0,TRUE,TRUE,1,38,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16</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1,2,1,1,0,0,TRUE,TRUE,1,41,2,1,2,0,0,TRUE,TRUE§Z¿,MATCH(§A¿0,1,0,1,12,1,1,0,0,0,FALSE,FALSE§Z¿,§A¿1,1,4,1,17,0,1,1,1§Z¿,0)),INDEX(§A¿0,1,1,1,41,4,1,1,0,0,TRUE,TRUE,1,41,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1,3,1,1,0,0,TRUE,TRUE,1,41,3,1,2,0,0,TRUE,TRUE§Z¿,MATCH(§A¿0,1,0,1,12,1,1,0,0,0,FALSE,FALSE§Z¿,§A¿1,1,4,1,17,0,1,1,1§Z¿,0)),INDEX(§A¿0,1,1,1,41,5,1,1,0,0,TRUE,TRUE,1,41,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16</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1,1,17,1,1</CBPLI>
                                  <ADVT>-1</ADVT>
                                  <VT>3</VT>
                                  <AS>1</AS>
                                  <O>1</O>
                                  <F1FFF><![CDATA[=§A¿1,1,4,1,22,0,1,1,1§Z¿]]></F1FFF>
                                  <F2FFF/>
                                  <IB>True</IB>
                                  <ICDD>True</ICDD>
                                  <SI>True</SI>
                                  <IT/>
                                  <IM/>
                                  <SE>True</SE>
                                  <ET/>
                                  <EM/>
                                  <IMO>0</IMO>
                                </VdtnProps>
                              </Vdtn>
                            </ClmnBlkPt>
                            <ClmnBlkPt>
                              <ClmnBlkPtProps>
                                <CBPT>1</CBPT>
                                <ST>6</ST>
                                <MC>True</MC>
                                <VOFFF><![CDATA[="Total "&§A¿0,1,0,1,17,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5,2,1,1,0,0,TRUE,TRUE,1,45,2,1,2,0,0,TRUE,TRUE§Z¿,MATCH(§A¿0,1,0,1,17,1,1,0,0,0,FALSE,FALSE§Z¿,§A¿1,1,4,1,22,0,1,1,1§Z¿,0)),INDEX(§A¿0,1,1,1,45,4,1,1,0,0,TRUE,TRUE,1,45,4,1,2,0,0,TRUE,TRUE§Z¿,MATCH(§A¿0,1,0,1,17,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5,3,1,1,0,0,TRUE,TRUE,1,45,3,1,2,0,0,TRUE,TRUE§Z¿,MATCH(§A¿0,1,0,1,17,1,1,0,0,0,FALSE,FALSE§Z¿,§A¿1,1,4,1,22,0,1,1,1§Z¿,0)),INDEX(§A¿0,1,1,1,45,5,1,1,0,0,TRUE,TRUE,1,45,5,1,2,0,0,TRUE,TRUE§Z¿,MATCH(§A¿0,1,0,1,17,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7,2,1,0,0,0,FALSE,FALSE§Z¿*§A¿0,1,0,1,17,3,1,0,0,0,FALSE,FALSE§Z¿*§A¿0,1,0,1,17,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7,2,1,0,0,0,FALSE,FALSE§Z¿*§A¿0,1,0,1,17,3,1,0,0,0,FALSE,FALSE§Z¿*§A¿0,1,0,1,17,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1,1,17,1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16</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1,1,21,1,1</CBPLI>
                                  <ADVT>-1</ADVT>
                                  <VT>3</VT>
                                  <AS>1</AS>
                                  <O>1</O>
                                  <F1FFF><![CDATA[=§A¿1,1,4,1,27,0,1,1,1§Z¿]]></F1FFF>
                                  <F2FFF/>
                                  <IB>True</IB>
                                  <ICDD>True</ICDD>
                                  <SI>True</SI>
                                  <IT/>
                                  <IM/>
                                  <SE>True</SE>
                                  <ET/>
                                  <EM/>
                                  <IMO>0</IMO>
                                </VdtnProps>
                              </Vdtn>
                            </ClmnBlkPt>
                            <ClmnBlkPt>
                              <ClmnBlkPtProps>
                                <CBPT>1</CBPT>
                                <ST>6</ST>
                                <MC>True</MC>
                                <VOFFF><![CDATA[="Total "&§A¿0,1,0,1,21,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8,2,1,1,0,0,TRUE,TRUE,1,48,2,1,2,0,0,TRUE,TRUE§Z¿,MATCH(§A¿0,1,0,1,21,1,1,0,0,0,FALSE,FALSE§Z¿,§A¿1,1,4,1,27,0,1,1,1§Z¿,0)),INDEX(§A¿0,1,1,1,48,4,1,1,0,0,TRUE,TRUE,1,48,4,1,2,0,0,TRUE,TRUE§Z¿,MATCH(§A¿0,1,0,1,21,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8,3,1,1,0,0,TRUE,TRUE,1,48,3,1,2,0,0,TRUE,TRUE§Z¿,MATCH(§A¿0,1,0,1,21,1,1,0,0,0,FALSE,FALSE§Z¿,§A¿1,1,4,1,27,0,1,1,1§Z¿,0)),INDEX(§A¿0,1,1,1,48,5,1,1,0,0,TRUE,TRUE,1,48,5,1,2,0,0,TRUE,TRUE§Z¿,MATCH(§A¿0,1,0,1,21,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1,2,1,0,0,0,FALSE,FALSE§Z¿*§A¿0,1,0,1,21,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1,2,1,0,0,0,FALSE,FALSE§Z¿*§A¿0,1,0,1,21,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16</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1,1,26,1,1</CBPLI>
                                  <ADVT>-1</ADVT>
                                  <VT>3</VT>
                                  <AS>1</AS>
                                  <O>1</O>
                                  <F1FFF><![CDATA[=§A¿1,1,4,1,31,0,1,1,1§Z¿]]></F1FFF>
                                  <F2FFF/>
                                  <IB>True</IB>
                                  <ICDD>True</ICDD>
                                  <SI>True</SI>
                                  <IT/>
                                  <IM/>
                                  <SE>True</SE>
                                  <ET/>
                                  <EM/>
                                  <IMO>0</IMO>
                                </VdtnProps>
                              </Vdtn>
                            </ClmnBlkPt>
                            <ClmnBlkPt>
                              <ClmnBlkPtProps>
                                <CBPT>1</CBPT>
                                <ST>6</ST>
                                <MC>True</MC>
                                <VOFFF><![CDATA[="Total "&§A¿0,1,0,1,26,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2,2,1,1,0,0,TRUE,TRUE,1,52,2,1,2,0,0,TRUE,TRUE§Z¿,MATCH(§A¿0,1,0,1,26,1,1,0,0,0,FALSE,FALSE§Z¿,§A¿1,1,4,1,31,0,1,1,1§Z¿,0)),INDEX(§A¿0,1,1,1,52,4,1,1,0,0,TRUE,TRUE,1,52,4,1,2,0,0,TRUE,TRUE§Z¿,MATCH(§A¿0,1,0,1,26,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2,3,1,1,0,0,TRUE,TRUE,1,52,3,1,2,0,0,TRUE,TRUE§Z¿,MATCH(§A¿0,1,0,1,26,1,1,0,0,0,FALSE,FALSE§Z¿,§A¿1,1,4,1,31,0,1,1,1§Z¿,0)),INDEX(§A¿0,1,1,1,52,5,1,1,0,0,TRUE,TRUE,1,52,5,1,2,0,0,TRUE,TRUE§Z¿,MATCH(§A¿0,1,0,1,26,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6,2,1,0,0,0,FALSE,FALSE§Z¿*§A¿0,1,0,1,26,3,1,0,0,0,FALSE,FALSE§Z¿*§A¿0,1,0,1,26,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6,2,1,0,0,0,FALSE,FALSE§Z¿*§A¿0,1,0,1,26,3,1,0,0,0,FALSE,FALSE§Z¿*§A¿0,1,0,1,26,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3,1,1,1,0,0,TRUE,TRUE§Z¿,§A¿0,1,0,1,33,1,1,2,0,0,TRUE,TRUE§Z¿)&")"]]></VOFFF>
                              </ClmnBlkPtProps>
                            </ClmnBlkPt>
                          </ClmnBlkPts>
                        </ClmnBlk>
                        <ClmnBlk>
                          <ClmnBlkProps>
                            <FCPT>0</FCPT>
                            <FCN>23</FCN>
                            <LCPT>0</LCPT>
                            <LCN>23</LCN>
                          </ClmnBlkProps>
                          <ClmnBlkPts>
                            <ClmnBlkPt>
                              <ClmnBlkPtProps>
                                <CBPT>5</CBPT>
                                <ST>6</ST>
                                <SON>2</SON>
                                <VOFFF><![CDATA[="ECONOMIC COST ("&IF(§A¿1,1,1,1,5,0,2,1,1§Z¿=2,§A¿0,1,0,1,33,1,1,1,0,0,TRUE,TRUE§Z¿,§A¿0,1,0,1,33,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7,6,6,-1,0,0,FALSE,FALSE§Z¿,§A¿0,1,0,1,21,5,6,-1,0,0,FALSE,FALSE§Z¿,§A¿0,1,0,1,26,6,6,-1,0,0,FALSE,FALSE§Z¿)]]></VOFFF>
                              </ClmnBlkPtProps>
                            </ClmnBlkPt>
                          </ClmnBlkPts>
                        </ClmnBlk>
                        <ClmnBlk>
                          <ClmnBlkProps>
                            <FCPT>0</FCPT>
                            <FCN>19</FCN>
                            <LCPT>0</LCPT>
                            <LCN>19</LCN>
                          </ClmnBlkProps>
                          <ClmnBlkPts>
                            <ClmnBlkPt>
                              <ClmnBlkPtProps>
                                <CBPT>5</CBPT>
                                <ST>18</ST>
                                <SON>11</SON>
                                <VOFFF><![CDATA[=SUM(§A¿0,1,0,1,8,7,6,-1,0,0,FALSE,FALSE§Z¿,§A¿0,1,0,1,12,7,6,-1,0,0,FALSE,FALSE§Z¿,§A¿0,1,0,1,17,7,6,-1,0,0,FALSE,FALSE§Z¿,§A¿0,1,0,1,21,6,6,-1,0,0,FALSE,FALSE§Z¿,§A¿0,1,0,1,26,7,6,-1,0,0,FALSE,FALSE§Z¿)]]></VOFFF>
                              </ClmnBlkPtProps>
                            </ClmnBlkPt>
                          </ClmnBlkPts>
                        </ClmnBlk>
                        <ClmnBlk>
                          <ClmnBlkProps>
                            <FCPT>0</FCPT>
                            <FCN>21</FCN>
                            <LCPT>0</LCPT>
                            <LCN>21</LCN>
                          </ClmnBlkProps>
                          <ClmnBlkPts>
                            <ClmnBlkPt>
                              <ClmnBlkPtProps>
                                <CBPT>5</CBPT>
                                <ST>18</ST>
                                <SON>6</SON>
                                <VOFFF><![CDATA[=IFERROR(IF(§A¿1,1,1,1,5,0,2,1,1§Z¿=2,§A¿0,1,0,1,29,2,1,-1,0,0,FALSE,TRUE§Z¿/§A¿0,1,0,1,33,2,1,2,0,0,TRUE,TRUE§Z¿,§A¿0,1,0,1,29,2,1,-1,0,0,FALSE,TRUE§Z¿*§A¿0,1,0,1,33,2,1,2,0,0,TRUE,TRUE§Z¿), 0)]]></VOFFF>
                              </ClmnBlkPtProps>
                            </ClmnBlkPt>
                          </ClmnBlkPts>
                        </ClmnBlk>
                        <ClmnBlk>
                          <ClmnBlkProps>
                            <FCPT>0</FCPT>
                            <FCN>23</FCN>
                            <LCPT>0</LCPT>
                            <LCN>23</LCN>
                          </ClmnBlkProps>
                          <ClmnBlkPts>
                            <ClmnBlkPt>
                              <ClmnBlkPtProps>
                                <CBPT>5</CBPT>
                                <ST>18</ST>
                                <SON>6</SON>
                                <VOFFF><![CDATA[=IFERROR(IF(§A¿1,1,1,1,5,0,2,1,1§Z¿=2,§A¿0,1,0,1,29,3,1,-1,0,0,FALSE,TRUE§Z¿/§A¿0,1,0,1,33,2,1,2,0,0,TRUE,TRUE§Z¿,§A¿0,1,0,1,29,3,1,-1,0,0,FALSE,TRUE§Z¿*§A¿0,1,0,1,33,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1,1,33,1,1</CBPLI>
                                    <ELN>1</ELN>
                                    <FFF><![CDATA[=§A¿10,FALSE,0,1,0,FALSE§Z¿]]></FFF>
                                  </LnkInFormProps>
                                </LnkInForm>
                              </LnkInForms>
                            </ClmnBlkPt>
                            <ClmnBlkPt>
                              <ClmnBlkPtProps>
                                <CBPT>1</CBPT>
                                <ST>6</ST>
                                <MC>True</MC>
                                <VOFFF><![CDATA[="Total "&§A¿0,1,0,1,33,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6</MN>
                                  <CLI>1,1,33,False,1</CLI>
                                  <ELN>1</ELN>
                                  <LOOT>0</LOOT>
                                  <LOMN>3</LOMN>
                                  <LOMCN>2</LOMCN>
                                  <LOSN>1</LOSN>
                                  <LOEN>4</LOEN>
                                  <LOCN>1</LOCN>
                                </LnkInProps>
                              </LnkIn>
                            </Ctg>
                            <Ctg>
                              <CtgProps>
                                <R>5</R>
                              </CtgProps>
                              <LnkIn>
                                <LnkInProps>
                                  <MN>6</MN>
                                  <CLI>1,1,33,False,2</CLI>
                                  <ELN>1</ELN>
                                  <LOOT>0</LOOT>
                                  <LOMN>3</LOMN>
                                  <LOMCN>2</LOMCN>
                                  <LOSN>1</LOSN>
                                  <LOEN>4</LOEN>
                                  <LOCN>2</LOCN>
                                </LnkInProps>
                              </LnkIn>
                            </Ctg>
                          </Ctgs>
                        </SubTtl>
                      </SubTtls>
                      <TtlCtg/>
                      <ElmtLnksIn>
                        <ElmtLnk>
                          <ElmtLnkProps>
                            <ELI>1,1,33</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 References (Developer Only. User May Change in Step 1.e)]]></VOFFF>
                              </ClmnBlkPtProps>
                            </ClmnBlkPt>
                          </ClmnBlkPts>
                        </ClmnBlk>
                      </ClmnBlk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1,1,38,1,1</CBPLI>
                                    <ELN>1</ELN>
                                    <FFF><![CDATA[=§A¿10,FALSE,0,1,0,FALSE§Z¿]]></FFF>
                                  </LnkInFormProps>
                                </LnkInForm>
                              </LnkInForms>
                            </ClmnBlkPt>
                            <ClmnBlkPt>
                              <ClmnBlkPtProps>
                                <CBPT>1</CBPT>
                                <ST>6</ST>
                                <VOFFF><![CDATA[="Total "&§A¿0,1,0,1,3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6</MN>
                                  <CLI>1,1,38,False,1</CLI>
                                  <ELN>1</ELN>
                                  <LOOT>0</LOOT>
                                  <LOMN>3</LOMN>
                                  <LOMCN>1</LOMCN>
                                  <LOSN>1</LOSN>
                                  <LOEN>10</LOEN>
                                  <LOCN>1</LOCN>
                                </LnkInProps>
                              </LnkIn>
                            </Ctg>
                            <Ctg>
                              <CtgProps>
                                <R>4</R>
                              </CtgProps>
                              <LnkIn>
                                <LnkInProps>
                                  <MN>6</MN>
                                  <CLI>1,1,38,False,2</CLI>
                                  <ELN>1</ELN>
                                  <LOOT>0</LOOT>
                                  <LOMN>3</LOMN>
                                  <LOMCN>1</LOMCN>
                                  <LOSN>1</LOSN>
                                  <LOEN>10</LOEN>
                                  <LOCN>2</LOCN>
                                </LnkInProps>
                              </LnkIn>
                            </Ctg>
                            <Ctg>
                              <CtgProps>
                                <R>4</R>
                              </CtgProps>
                              <LnkIn>
                                <LnkInProps>
                                  <MN>6</MN>
                                  <CLI>1,1,38,False,3</CLI>
                                  <ELN>1</ELN>
                                  <LOOT>0</LOOT>
                                  <LOMN>3</LOMN>
                                  <LOMCN>1</LOMCN>
                                  <LOSN>1</LOSN>
                                  <LOEN>10</LOEN>
                                  <LOCN>3</LOCN>
                                </LnkInProps>
                              </LnkIn>
                            </Ctg>
                            <Ctg>
                              <CtgProps>
                                <R>4</R>
                              </CtgProps>
                              <LnkIn>
                                <LnkInProps>
                                  <MN>6</MN>
                                  <CLI>1,1,38,False,4</CLI>
                                  <ELN>1</ELN>
                                  <LOOT>0</LOOT>
                                  <LOMN>3</LOMN>
                                  <LOMCN>1</LOMCN>
                                  <LOSN>1</LOSN>
                                  <LOEN>10</LOEN>
                                  <LOCN>4</LOCN>
                                </LnkInProps>
                              </LnkIn>
                            </Ctg>
                            <Ctg>
                              <CtgProps>
                                <R>4</R>
                              </CtgProps>
                              <LnkIn>
                                <LnkInProps>
                                  <MN>6</MN>
                                  <CLI>1,1,38,False,5</CLI>
                                  <ELN>1</ELN>
                                  <LOOT>0</LOOT>
                                  <LOMN>3</LOMN>
                                  <LOMCN>1</LOMCN>
                                  <LOSN>1</LOSN>
                                  <LOEN>10</LOEN>
                                  <LOCN>5</LOCN>
                                </LnkInProps>
                              </LnkIn>
                            </Ctg>
                            <Ctg>
                              <CtgProps>
                                <R>4</R>
                              </CtgProps>
                              <LnkIn>
                                <LnkInProps>
                                  <MN>6</MN>
                                  <CLI>1,1,38,False,6</CLI>
                                  <ELN>1</ELN>
                                  <LOOT>0</LOOT>
                                  <LOMN>3</LOMN>
                                  <LOMCN>1</LOMCN>
                                  <LOSN>1</LOSN>
                                  <LOEN>10</LOEN>
                                  <LOCN>6</LOCN>
                                </LnkInProps>
                              </LnkIn>
                            </Ctg>
                            <Ctg>
                              <CtgProps>
                                <R>4</R>
                              </CtgProps>
                              <LnkIn>
                                <LnkInProps>
                                  <MN>6</MN>
                                  <CLI>1,1,38,False,7</CLI>
                                  <ELN>1</ELN>
                                  <LOOT>0</LOOT>
                                  <LOMN>3</LOMN>
                                  <LOMCN>1</LOMCN>
                                  <LOSN>1</LOSN>
                                  <LOEN>10</LOEN>
                                  <LOCN>7</LOCN>
                                </LnkInProps>
                              </LnkIn>
                            </Ctg>
                            <Ctg>
                              <CtgProps>
                                <R>4</R>
                              </CtgProps>
                              <LnkIn>
                                <LnkInProps>
                                  <MN>6</MN>
                                  <CLI>1,1,38,False,8</CLI>
                                  <ELN>1</ELN>
                                  <LOOT>0</LOOT>
                                  <LOMN>3</LOMN>
                                  <LOMCN>1</LOMCN>
                                  <LOSN>1</LOSN>
                                  <LOEN>10</LOEN>
                                  <LOCN>8</LOCN>
                                </LnkInProps>
                              </LnkIn>
                            </Ctg>
                            <Ctg>
                              <CtgProps>
                                <R>4</R>
                              </CtgProps>
                              <LnkIn>
                                <LnkInProps>
                                  <MN>6</MN>
                                  <CLI>1,1,38,False,9</CLI>
                                  <ELN>1</ELN>
                                  <LOOT>0</LOOT>
                                  <LOMN>3</LOMN>
                                  <LOMCN>1</LOMCN>
                                  <LOSN>1</LOSN>
                                  <LOEN>10</LOEN>
                                  <LOCN>9</LOCN>
                                </LnkInProps>
                              </LnkIn>
                            </Ctg>
                            <Ctg>
                              <CtgProps>
                                <R>4</R>
                              </CtgProps>
                              <LnkIn>
                                <LnkInProps>
                                  <MN>6</MN>
                                  <CLI>1,1,38,False,10</CLI>
                                  <ELN>1</ELN>
                                  <LOOT>0</LOOT>
                                  <LOMN>3</LOMN>
                                  <LOMCN>1</LOMCN>
                                  <LOSN>1</LOSN>
                                  <LOEN>10</LOEN>
                                  <LOCN>10</LOCN>
                                </LnkInProps>
                              </LnkIn>
                            </Ctg>
                            <Ctg>
                              <CtgProps>
                                <R>4</R>
                              </CtgProps>
                              <LnkIn>
                                <LnkInProps>
                                  <MN>6</MN>
                                  <CLI>1,1,38,False,11</CLI>
                                  <ELN>1</ELN>
                                  <LOOT>0</LOOT>
                                  <LOMN>3</LOMN>
                                  <LOMCN>1</LOMCN>
                                  <LOSN>1</LOSN>
                                  <LOEN>10</LOEN>
                                  <LOCN>11</LOCN>
                                </LnkInProps>
                              </LnkIn>
                            </Ctg>
                            <Ctg>
                              <CtgProps>
                                <R>4</R>
                              </CtgProps>
                              <LnkIn>
                                <LnkInProps>
                                  <MN>6</MN>
                                  <CLI>1,1,38,False,12</CLI>
                                  <ELN>1</ELN>
                                  <LOOT>0</LOOT>
                                  <LOMN>3</LOMN>
                                  <LOMCN>1</LOMCN>
                                  <LOSN>1</LOSN>
                                  <LOEN>10</LOEN>
                                  <LOCN>12</LOCN>
                                </LnkInProps>
                              </LnkIn>
                            </Ctg>
                            <Ctg>
                              <CtgProps>
                                <R>4</R>
                              </CtgProps>
                              <LnkIn>
                                <LnkInProps>
                                  <MN>6</MN>
                                  <CLI>1,1,38,False,13</CLI>
                                  <ELN>1</ELN>
                                  <LOOT>0</LOOT>
                                  <LOMN>3</LOMN>
                                  <LOMCN>1</LOMCN>
                                  <LOSN>1</LOSN>
                                  <LOEN>10</LOEN>
                                  <LOCN>13</LOCN>
                                </LnkInProps>
                              </LnkIn>
                            </Ctg>
                            <Ctg>
                              <CtgProps>
                                <R>4</R>
                              </CtgProps>
                              <LnkIn>
                                <LnkInProps>
                                  <MN>6</MN>
                                  <CLI>1,1,38,False,14</CLI>
                                  <ELN>1</ELN>
                                  <LOOT>0</LOOT>
                                  <LOMN>3</LOMN>
                                  <LOMCN>1</LOMCN>
                                  <LOSN>1</LOSN>
                                  <LOEN>10</LOEN>
                                  <LOCN>14</LOCN>
                                </LnkInProps>
                              </LnkIn>
                            </Ctg>
                            <Ctg>
                              <CtgProps>
                                <R>5</R>
                              </CtgProps>
                              <LnkIn>
                                <LnkInProps>
                                  <MN>6</MN>
                                  <CLI>1,1,38,False,15</CLI>
                                  <ELN>1</ELN>
                                  <LOOT>0</LOOT>
                                  <LOMN>3</LOMN>
                                  <LOMCN>1</LOMCN>
                                  <LOSN>1</LOSN>
                                  <LOEN>10</LOEN>
                                  <LOCN>15</LOCN>
                                </LnkInProps>
                              </LnkIn>
                            </Ctg>
                            <Ctg>
                              <CtgProps>
                                <R>5</R>
                              </CtgProps>
                              <LnkIn>
                                <LnkInProps>
                                  <MN>6</MN>
                                  <CLI>1,1,38,False,16</CLI>
                                  <ELN>1</ELN>
                                  <LOOT>0</LOOT>
                                  <LOMN>3</LOMN>
                                  <LOMCN>1</LOMCN>
                                  <LOSN>1</LOSN>
                                  <LOEN>10</LOEN>
                                  <LOCN>16</LOCN>
                                </LnkInProps>
                              </LnkIn>
                            </Ctg>
                            <Ctg>
                              <CtgProps>
                                <R>5</R>
                              </CtgProps>
                              <LnkIn>
                                <LnkInProps>
                                  <MN>6</MN>
                                  <CLI>1,1,38,False,17</CLI>
                                  <ELN>1</ELN>
                                  <LOOT>0</LOOT>
                                  <LOMN>3</LOMN>
                                  <LOMCN>1</LOMCN>
                                  <LOSN>1</LOSN>
                                  <LOEN>10</LOEN>
                                  <LOCN>17</LOCN>
                                </LnkInProps>
                              </LnkIn>
                            </Ctg>
                            <Ctg>
                              <CtgProps>
                                <R>5</R>
                              </CtgProps>
                              <LnkIn>
                                <LnkInProps>
                                  <MN>6</MN>
                                  <CLI>1,1,38,False,18</CLI>
                                  <ELN>1</ELN>
                                  <LOOT>0</LOOT>
                                  <LOMN>3</LOMN>
                                  <LOMCN>1</LOMCN>
                                  <LOSN>1</LOSN>
                                  <LOEN>10</LOEN>
                                  <LOCN>18</LOCN>
                                </LnkInProps>
                              </LnkIn>
                            </Ctg>
                            <Ctg>
                              <CtgProps>
                                <R>5</R>
                              </CtgProps>
                              <LnkIn>
                                <LnkInProps>
                                  <MN>6</MN>
                                  <CLI>1,1,38,False,19</CLI>
                                  <ELN>1</ELN>
                                  <LOOT>0</LOOT>
                                  <LOMN>3</LOMN>
                                  <LOMCN>1</LOMCN>
                                  <LOSN>1</LOSN>
                                  <LOEN>10</LOEN>
                                  <LOCN>19</LOCN>
                                </LnkInProps>
                              </LnkIn>
                            </Ctg>
                            <Ctg>
                              <CtgProps>
                                <R>5</R>
                              </CtgProps>
                              <LnkIn>
                                <LnkInProps>
                                  <MN>6</MN>
                                  <CLI>1,1,38,False,20</CLI>
                                  <ELN>1</ELN>
                                  <LOOT>0</LOOT>
                                  <LOMN>3</LOMN>
                                  <LOMCN>1</LOMCN>
                                  <LOSN>1</LOSN>
                                  <LOEN>10</LOEN>
                                  <LOCN>20</LOCN>
                                </LnkInProps>
                              </LnkIn>
                            </Ctg>
                            <Ctg>
                              <CtgProps>
                                <R>5</R>
                              </CtgProps>
                              <LnkIn>
                                <LnkInProps>
                                  <MN>6</MN>
                                  <CLI>1,1,38,False,21</CLI>
                                  <ELN>1</ELN>
                                  <LOOT>0</LOOT>
                                  <LOMN>3</LOMN>
                                  <LOMCN>1</LOMCN>
                                  <LOSN>1</LOSN>
                                  <LOEN>10</LOEN>
                                  <LOCN>21</LOCN>
                                </LnkInProps>
                              </LnkIn>
                            </Ctg>
                            <Ctg>
                              <CtgProps>
                                <R>5</R>
                              </CtgProps>
                              <LnkIn>
                                <LnkInProps>
                                  <MN>6</MN>
                                  <CLI>1,1,38,False,22</CLI>
                                  <ELN>1</ELN>
                                  <LOOT>0</LOOT>
                                  <LOMN>3</LOMN>
                                  <LOMCN>1</LOMCN>
                                  <LOSN>1</LOSN>
                                  <LOEN>10</LOEN>
                                  <LOCN>22</LOCN>
                                </LnkInProps>
                              </LnkIn>
                            </Ctg>
                            <Ctg>
                              <CtgProps>
                                <R>5</R>
                              </CtgProps>
                              <LnkIn>
                                <LnkInProps>
                                  <MN>6</MN>
                                  <CLI>1,1,38,False,23</CLI>
                                  <ELN>1</ELN>
                                  <LOOT>0</LOOT>
                                  <LOMN>3</LOMN>
                                  <LOMCN>1</LOMCN>
                                  <LOSN>1</LOSN>
                                  <LOEN>10</LOEN>
                                  <LOCN>23</LOCN>
                                </LnkInProps>
                              </LnkIn>
                            </Ctg>
                            <Ctg>
                              <CtgProps>
                                <R>5</R>
                              </CtgProps>
                              <LnkIn>
                                <LnkInProps>
                                  <MN>6</MN>
                                  <CLI>1,1,38,False,24</CLI>
                                  <ELN>1</ELN>
                                  <LOOT>0</LOOT>
                                  <LOMN>3</LOMN>
                                  <LOMCN>1</LOMCN>
                                  <LOSN>1</LOSN>
                                  <LOEN>10</LOEN>
                                  <LOCN>24</LOCN>
                                </LnkInProps>
                              </LnkIn>
                            </Ctg>
                            <Ctg>
                              <CtgProps>
                                <R>5</R>
                              </CtgProps>
                              <LnkIn>
                                <LnkInProps>
                                  <MN>6</MN>
                                  <CLI>1,1,38,False,25</CLI>
                                  <ELN>1</ELN>
                                  <LOOT>0</LOOT>
                                  <LOMN>3</LOMN>
                                  <LOMCN>1</LOMCN>
                                  <LOSN>1</LOSN>
                                  <LOEN>10</LOEN>
                                  <LOCN>25</LOCN>
                                </LnkInProps>
                              </LnkIn>
                            </Ctg>
                            <Ctg>
                              <CtgProps>
                                <R>5</R>
                              </CtgProps>
                              <LnkIn>
                                <LnkInProps>
                                  <MN>6</MN>
                                  <CLI>1,1,38,False,26</CLI>
                                  <ELN>1</ELN>
                                  <LOOT>0</LOOT>
                                  <LOMN>3</LOMN>
                                  <LOMCN>1</LOMCN>
                                  <LOSN>1</LOSN>
                                  <LOEN>10</LOEN>
                                  <LOCN>26</LOCN>
                                </LnkInProps>
                              </LnkIn>
                            </Ctg>
                            <Ctg>
                              <CtgProps>
                                <R>5</R>
                              </CtgProps>
                              <LnkIn>
                                <LnkInProps>
                                  <MN>6</MN>
                                  <CLI>1,1,38,False,27</CLI>
                                  <ELN>1</ELN>
                                  <LOOT>0</LOOT>
                                  <LOMN>3</LOMN>
                                  <LOMCN>1</LOMCN>
                                  <LOSN>1</LOSN>
                                  <LOEN>10</LOEN>
                                  <LOCN>27</LOCN>
                                </LnkInProps>
                              </LnkIn>
                            </Ctg>
                            <Ctg>
                              <CtgProps>
                                <R>5</R>
                              </CtgProps>
                              <LnkIn>
                                <LnkInProps>
                                  <MN>6</MN>
                                  <CLI>1,1,38,False,28</CLI>
                                  <ELN>1</ELN>
                                  <LOOT>0</LOOT>
                                  <LOMN>3</LOMN>
                                  <LOMCN>1</LOMCN>
                                  <LOSN>1</LOSN>
                                  <LOEN>10</LOEN>
                                  <LOCN>28</LOCN>
                                </LnkInProps>
                              </LnkIn>
                            </Ctg>
                            <Ctg>
                              <CtgProps>
                                <R>5</R>
                              </CtgProps>
                              <LnkIn>
                                <LnkInProps>
                                  <MN>6</MN>
                                  <CLI>1,1,38,False,29</CLI>
                                  <ELN>1</ELN>
                                  <LOOT>0</LOOT>
                                  <LOMN>3</LOMN>
                                  <LOMCN>1</LOMCN>
                                  <LOSN>1</LOSN>
                                  <LOEN>10</LOEN>
                                  <LOCN>29</LOCN>
                                </LnkInProps>
                              </LnkIn>
                            </Ctg>
                            <Ctg>
                              <CtgProps>
                                <R>5</R>
                              </CtgProps>
                              <LnkIn>
                                <LnkInProps>
                                  <MN>6</MN>
                                  <CLI>1,1,38,False,30</CLI>
                                  <ELN>1</ELN>
                                  <LOOT>0</LOOT>
                                  <LOMN>3</LOMN>
                                  <LOMCN>1</LOMCN>
                                  <LOSN>1</LOSN>
                                  <LOEN>10</LOEN>
                                  <LOCN>30</LOCN>
                                </LnkInProps>
                              </LnkIn>
                            </Ctg>
                            <Ctg>
                              <CtgProps>
                                <R>5</R>
                              </CtgProps>
                              <LnkIn>
                                <LnkInProps>
                                  <MN>6</MN>
                                  <CLI>1,1,38,False,31</CLI>
                                  <ELN>1</ELN>
                                  <LOOT>0</LOOT>
                                  <LOMN>3</LOMN>
                                  <LOMCN>1</LOMCN>
                                  <LOSN>1</LOSN>
                                  <LOEN>10</LOEN>
                                  <LOCN>31</LOCN>
                                </LnkInProps>
                              </LnkIn>
                            </Ctg>
                            <Ctg>
                              <CtgProps>
                                <R>5</R>
                              </CtgProps>
                              <LnkIn>
                                <LnkInProps>
                                  <MN>6</MN>
                                  <CLI>1,1,38,False,32</CLI>
                                  <ELN>1</ELN>
                                  <LOOT>0</LOOT>
                                  <LOMN>3</LOMN>
                                  <LOMCN>1</LOMCN>
                                  <LOSN>1</LOSN>
                                  <LOEN>10</LOEN>
                                  <LOCN>32</LOCN>
                                </LnkInProps>
                              </LnkIn>
                            </Ctg>
                            <Ctg>
                              <CtgProps>
                                <R>5</R>
                              </CtgProps>
                              <LnkIn>
                                <LnkInProps>
                                  <MN>6</MN>
                                  <CLI>1,1,38,False,33</CLI>
                                  <ELN>1</ELN>
                                  <LOOT>0</LOOT>
                                  <LOMN>3</LOMN>
                                  <LOMCN>1</LOMCN>
                                  <LOSN>1</LOSN>
                                  <LOEN>10</LOEN>
                                  <LOCN>33</LOCN>
                                </LnkInProps>
                              </LnkIn>
                            </Ctg>
                            <Ctg>
                              <CtgProps>
                                <R>5</R>
                              </CtgProps>
                              <LnkIn>
                                <LnkInProps>
                                  <MN>6</MN>
                                  <CLI>1,1,38,False,34</CLI>
                                  <ELN>1</ELN>
                                  <LOOT>0</LOOT>
                                  <LOMN>3</LOMN>
                                  <LOMCN>1</LOMCN>
                                  <LOSN>1</LOSN>
                                  <LOEN>10</LOEN>
                                  <LOCN>34</LOCN>
                                </LnkInProps>
                              </LnkIn>
                            </Ctg>
                            <Ctg>
                              <CtgProps>
                                <R>5</R>
                              </CtgProps>
                              <LnkIn>
                                <LnkInProps>
                                  <MN>6</MN>
                                  <CLI>1,1,38,False,35</CLI>
                                  <ELN>1</ELN>
                                  <LOOT>0</LOOT>
                                  <LOMN>3</LOMN>
                                  <LOMCN>1</LOMCN>
                                  <LOSN>1</LOSN>
                                  <LOEN>10</LOEN>
                                  <LOCN>35</LOCN>
                                </LnkInProps>
                              </LnkIn>
                            </Ctg>
                          </Ctgs>
                        </SubTtl>
                      </SubTtls>
                      <TtlCtg/>
                      <ElmtLnksIn>
                        <ElmtLnk>
                          <ElmtLnkProps>
                            <ELI>1,1,38</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1,1,41,1,1</CBPLI>
                                    <ELN>1</ELN>
                                    <FFF><![CDATA[=§A¿10,FALSE,0,1,0,FALSE§Z¿]]></FFF>
                                  </LnkInFormProps>
                                </LnkInForm>
                              </LnkInForms>
                            </ClmnBlkPt>
                            <ClmnBlkPt>
                              <ClmnBlkPtProps>
                                <CBPT>1</CBPT>
                                <ST>6</ST>
                                <VOFFF><![CDATA[="Total "&§A¿0,1,0,1,4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6</MN>
                                  <CLI>1,1,41,False,1</CLI>
                                  <ELN>1</ELN>
                                  <LOOT>0</LOOT>
                                  <LOMN>3</LOMN>
                                  <LOMCN>1</LOMCN>
                                  <LOSN>1</LOSN>
                                  <LOEN>15</LOEN>
                                  <LOCN>1</LOCN>
                                </LnkInProps>
                              </LnkIn>
                            </Ctg>
                            <Ctg>
                              <CtgProps>
                                <R>4</R>
                              </CtgProps>
                              <LnkIn>
                                <LnkInProps>
                                  <MN>6</MN>
                                  <CLI>1,1,41,False,2</CLI>
                                  <ELN>1</ELN>
                                  <LOOT>0</LOOT>
                                  <LOMN>3</LOMN>
                                  <LOMCN>1</LOMCN>
                                  <LOSN>1</LOSN>
                                  <LOEN>15</LOEN>
                                  <LOCN>2</LOCN>
                                </LnkInProps>
                              </LnkIn>
                            </Ctg>
                            <Ctg>
                              <CtgProps>
                                <R>4</R>
                              </CtgProps>
                              <LnkIn>
                                <LnkInProps>
                                  <MN>6</MN>
                                  <CLI>1,1,41,False,3</CLI>
                                  <ELN>1</ELN>
                                  <LOOT>0</LOOT>
                                  <LOMN>3</LOMN>
                                  <LOMCN>1</LOMCN>
                                  <LOSN>1</LOSN>
                                  <LOEN>15</LOEN>
                                  <LOCN>3</LOCN>
                                </LnkInProps>
                              </LnkIn>
                            </Ctg>
                            <Ctg>
                              <CtgProps>
                                <R>4</R>
                              </CtgProps>
                              <LnkIn>
                                <LnkInProps>
                                  <MN>6</MN>
                                  <CLI>1,1,41,False,4</CLI>
                                  <ELN>1</ELN>
                                  <LOOT>0</LOOT>
                                  <LOMN>3</LOMN>
                                  <LOMCN>1</LOMCN>
                                  <LOSN>1</LOSN>
                                  <LOEN>15</LOEN>
                                  <LOCN>4</LOCN>
                                </LnkInProps>
                              </LnkIn>
                            </Ctg>
                            <Ctg>
                              <CtgProps>
                                <R>5</R>
                              </CtgProps>
                              <LnkIn>
                                <LnkInProps>
                                  <MN>6</MN>
                                  <CLI>1,1,41,False,5</CLI>
                                  <ELN>1</ELN>
                                  <LOOT>0</LOOT>
                                  <LOMN>3</LOMN>
                                  <LOMCN>1</LOMCN>
                                  <LOSN>1</LOSN>
                                  <LOEN>15</LOEN>
                                  <LOCN>5</LOCN>
                                </LnkInProps>
                              </LnkIn>
                            </Ctg>
                            <Ctg>
                              <CtgProps>
                                <R>5</R>
                              </CtgProps>
                              <LnkIn>
                                <LnkInProps>
                                  <MN>6</MN>
                                  <CLI>1,1,41,False,6</CLI>
                                  <ELN>1</ELN>
                                  <LOOT>0</LOOT>
                                  <LOMN>3</LOMN>
                                  <LOMCN>1</LOMCN>
                                  <LOSN>1</LOSN>
                                  <LOEN>15</LOEN>
                                  <LOCN>6</LOCN>
                                </LnkInProps>
                              </LnkIn>
                            </Ctg>
                            <Ctg>
                              <CtgProps>
                                <R>5</R>
                              </CtgProps>
                              <LnkIn>
                                <LnkInProps>
                                  <MN>6</MN>
                                  <CLI>1,1,41,False,7</CLI>
                                  <ELN>1</ELN>
                                  <LOOT>0</LOOT>
                                  <LOMN>3</LOMN>
                                  <LOMCN>1</LOMCN>
                                  <LOSN>1</LOSN>
                                  <LOEN>15</LOEN>
                                  <LOCN>7</LOCN>
                                </LnkInProps>
                              </LnkIn>
                            </Ctg>
                            <Ctg>
                              <CtgProps>
                                <R>5</R>
                              </CtgProps>
                              <LnkIn>
                                <LnkInProps>
                                  <MN>6</MN>
                                  <CLI>1,1,41,False,8</CLI>
                                  <ELN>1</ELN>
                                  <LOOT>0</LOOT>
                                  <LOMN>3</LOMN>
                                  <LOMCN>1</LOMCN>
                                  <LOSN>1</LOSN>
                                  <LOEN>15</LOEN>
                                  <LOCN>8</LOCN>
                                </LnkInProps>
                              </LnkIn>
                            </Ctg>
                            <Ctg>
                              <CtgProps>
                                <R>5</R>
                              </CtgProps>
                              <LnkIn>
                                <LnkInProps>
                                  <MN>6</MN>
                                  <CLI>1,1,41,False,9</CLI>
                                  <ELN>1</ELN>
                                  <LOOT>0</LOOT>
                                  <LOMN>3</LOMN>
                                  <LOMCN>1</LOMCN>
                                  <LOSN>1</LOSN>
                                  <LOEN>15</LOEN>
                                  <LOCN>9</LOCN>
                                </LnkInProps>
                              </LnkIn>
                            </Ctg>
                            <Ctg>
                              <CtgProps>
                                <R>5</R>
                              </CtgProps>
                              <LnkIn>
                                <LnkInProps>
                                  <MN>6</MN>
                                  <CLI>1,1,41,False,10</CLI>
                                  <ELN>1</ELN>
                                  <LOOT>0</LOOT>
                                  <LOMN>3</LOMN>
                                  <LOMCN>1</LOMCN>
                                  <LOSN>1</LOSN>
                                  <LOEN>15</LOEN>
                                  <LOCN>10</LOCN>
                                </LnkInProps>
                              </LnkIn>
                            </Ctg>
                            <Ctg>
                              <CtgProps>
                                <R>5</R>
                              </CtgProps>
                              <LnkIn>
                                <LnkInProps>
                                  <MN>6</MN>
                                  <CLI>1,1,41,False,11</CLI>
                                  <ELN>1</ELN>
                                  <LOOT>0</LOOT>
                                  <LOMN>3</LOMN>
                                  <LOMCN>1</LOMCN>
                                  <LOSN>1</LOSN>
                                  <LOEN>15</LOEN>
                                  <LOCN>11</LOCN>
                                </LnkInProps>
                              </LnkIn>
                            </Ctg>
                            <Ctg>
                              <CtgProps>
                                <R>5</R>
                              </CtgProps>
                              <LnkIn>
                                <LnkInProps>
                                  <MN>6</MN>
                                  <CLI>1,1,41,False,12</CLI>
                                  <ELN>1</ELN>
                                  <LOOT>0</LOOT>
                                  <LOMN>3</LOMN>
                                  <LOMCN>1</LOMCN>
                                  <LOSN>1</LOSN>
                                  <LOEN>15</LOEN>
                                  <LOCN>12</LOCN>
                                </LnkInProps>
                              </LnkIn>
                            </Ctg>
                            <Ctg>
                              <CtgProps>
                                <R>5</R>
                              </CtgProps>
                              <LnkIn>
                                <LnkInProps>
                                  <MN>6</MN>
                                  <CLI>1,1,41,False,13</CLI>
                                  <ELN>1</ELN>
                                  <LOOT>0</LOOT>
                                  <LOMN>3</LOMN>
                                  <LOMCN>1</LOMCN>
                                  <LOSN>1</LOSN>
                                  <LOEN>15</LOEN>
                                  <LOCN>13</LOCN>
                                </LnkInProps>
                              </LnkIn>
                            </Ctg>
                            <Ctg>
                              <CtgProps>
                                <R>5</R>
                              </CtgProps>
                              <LnkIn>
                                <LnkInProps>
                                  <MN>6</MN>
                                  <CLI>1,1,41,False,14</CLI>
                                  <ELN>1</ELN>
                                  <LOOT>0</LOOT>
                                  <LOMN>3</LOMN>
                                  <LOMCN>1</LOMCN>
                                  <LOSN>1</LOSN>
                                  <LOEN>15</LOEN>
                                  <LOCN>14</LOCN>
                                </LnkInProps>
                              </LnkIn>
                            </Ctg>
                            <Ctg>
                              <CtgProps>
                                <R>5</R>
                              </CtgProps>
                              <LnkIn>
                                <LnkInProps>
                                  <MN>6</MN>
                                  <CLI>1,1,41,False,15</CLI>
                                  <ELN>1</ELN>
                                  <LOOT>0</LOOT>
                                  <LOMN>3</LOMN>
                                  <LOMCN>1</LOMCN>
                                  <LOSN>1</LOSN>
                                  <LOEN>15</LOEN>
                                  <LOCN>15</LOCN>
                                </LnkInProps>
                              </LnkIn>
                            </Ctg>
                            <Ctg>
                              <CtgProps>
                                <R>5</R>
                              </CtgProps>
                              <LnkIn>
                                <LnkInProps>
                                  <MN>6</MN>
                                  <CLI>1,1,41,False,16</CLI>
                                  <ELN>1</ELN>
                                  <LOOT>0</LOOT>
                                  <LOMN>3</LOMN>
                                  <LOMCN>1</LOMCN>
                                  <LOSN>1</LOSN>
                                  <LOEN>15</LOEN>
                                  <LOCN>16</LOCN>
                                </LnkInProps>
                              </LnkIn>
                            </Ctg>
                            <Ctg>
                              <CtgProps>
                                <R>4</R>
                              </CtgProps>
                              <LnkIn>
                                <LnkInProps>
                                  <MN>6</MN>
                                  <CLI>1,1,41,False,17</CLI>
                                  <ELN>1</ELN>
                                  <LOOT>0</LOOT>
                                  <LOMN>3</LOMN>
                                  <LOMCN>1</LOMCN>
                                  <LOSN>1</LOSN>
                                  <LOEN>15</LOEN>
                                  <LOCN>17</LOCN>
                                </LnkInProps>
                              </LnkIn>
                            </Ctg>
                            <Ctg>
                              <CtgProps>
                                <R>4</R>
                              </CtgProps>
                              <LnkIn>
                                <LnkInProps>
                                  <MN>6</MN>
                                  <CLI>1,1,41,False,18</CLI>
                                  <ELN>1</ELN>
                                  <LOOT>0</LOOT>
                                  <LOMN>3</LOMN>
                                  <LOMCN>1</LOMCN>
                                  <LOSN>1</LOSN>
                                  <LOEN>15</LOEN>
                                  <LOCN>18</LOCN>
                                </LnkInProps>
                              </LnkIn>
                            </Ctg>
                            <Ctg>
                              <CtgProps>
                                <R>4</R>
                              </CtgProps>
                              <LnkIn>
                                <LnkInProps>
                                  <MN>6</MN>
                                  <CLI>1,1,41,False,19</CLI>
                                  <ELN>1</ELN>
                                  <LOOT>0</LOOT>
                                  <LOMN>3</LOMN>
                                  <LOMCN>1</LOMCN>
                                  <LOSN>1</LOSN>
                                  <LOEN>15</LOEN>
                                  <LOCN>19</LOCN>
                                </LnkInProps>
                              </LnkIn>
                            </Ctg>
                            <Ctg>
                              <CtgProps>
                                <R>4</R>
                              </CtgProps>
                              <LnkIn>
                                <LnkInProps>
                                  <MN>6</MN>
                                  <CLI>1,1,41,False,20</CLI>
                                  <ELN>1</ELN>
                                  <LOOT>0</LOOT>
                                  <LOMN>3</LOMN>
                                  <LOMCN>1</LOMCN>
                                  <LOSN>1</LOSN>
                                  <LOEN>15</LOEN>
                                  <LOCN>20</LOCN>
                                </LnkInProps>
                              </LnkIn>
                            </Ctg>
                            <Ctg>
                              <CtgProps>
                                <R>4</R>
                              </CtgProps>
                              <LnkIn>
                                <LnkInProps>
                                  <MN>6</MN>
                                  <CLI>1,1,41,False,21</CLI>
                                  <ELN>1</ELN>
                                  <LOOT>0</LOOT>
                                  <LOMN>3</LOMN>
                                  <LOMCN>1</LOMCN>
                                  <LOSN>1</LOSN>
                                  <LOEN>15</LOEN>
                                  <LOCN>21</LOCN>
                                </LnkInProps>
                              </LnkIn>
                            </Ctg>
                            <Ctg>
                              <CtgProps>
                                <R>4</R>
                              </CtgProps>
                              <LnkIn>
                                <LnkInProps>
                                  <MN>6</MN>
                                  <CLI>1,1,41,False,22</CLI>
                                  <ELN>1</ELN>
                                  <LOOT>0</LOOT>
                                  <LOMN>3</LOMN>
                                  <LOMCN>1</LOMCN>
                                  <LOSN>1</LOSN>
                                  <LOEN>15</LOEN>
                                  <LOCN>22</LOCN>
                                </LnkInProps>
                              </LnkIn>
                            </Ctg>
                            <Ctg>
                              <CtgProps>
                                <R>5</R>
                              </CtgProps>
                              <LnkIn>
                                <LnkInProps>
                                  <MN>6</MN>
                                  <CLI>1,1,41,False,23</CLI>
                                  <ELN>1</ELN>
                                  <LOOT>0</LOOT>
                                  <LOMN>3</LOMN>
                                  <LOMCN>1</LOMCN>
                                  <LOSN>1</LOSN>
                                  <LOEN>15</LOEN>
                                  <LOCN>23</LOCN>
                                </LnkInProps>
                              </LnkIn>
                            </Ctg>
                            <Ctg>
                              <CtgProps>
                                <R>5</R>
                              </CtgProps>
                              <LnkIn>
                                <LnkInProps>
                                  <MN>6</MN>
                                  <CLI>1,1,41,False,24</CLI>
                                  <ELN>1</ELN>
                                  <LOOT>0</LOOT>
                                  <LOMN>3</LOMN>
                                  <LOMCN>1</LOMCN>
                                  <LOSN>1</LOSN>
                                  <LOEN>15</LOEN>
                                  <LOCN>24</LOCN>
                                </LnkInProps>
                              </LnkIn>
                            </Ctg>
                            <Ctg>
                              <CtgProps>
                                <R>5</R>
                              </CtgProps>
                              <LnkIn>
                                <LnkInProps>
                                  <MN>6</MN>
                                  <CLI>1,1,41,False,25</CLI>
                                  <ELN>1</ELN>
                                  <LOOT>0</LOOT>
                                  <LOMN>3</LOMN>
                                  <LOMCN>1</LOMCN>
                                  <LOSN>1</LOSN>
                                  <LOEN>15</LOEN>
                                  <LOCN>25</LOCN>
                                </LnkInProps>
                              </LnkIn>
                            </Ctg>
                            <Ctg>
                              <CtgProps>
                                <R>5</R>
                              </CtgProps>
                              <LnkIn>
                                <LnkInProps>
                                  <MN>6</MN>
                                  <CLI>1,1,41,False,26</CLI>
                                  <ELN>1</ELN>
                                  <LOOT>0</LOOT>
                                  <LOMN>3</LOMN>
                                  <LOMCN>1</LOMCN>
                                  <LOSN>1</LOSN>
                                  <LOEN>15</LOEN>
                                  <LOCN>26</LOCN>
                                </LnkInProps>
                              </LnkIn>
                            </Ctg>
                            <Ctg>
                              <CtgProps>
                                <R>5</R>
                              </CtgProps>
                              <LnkIn>
                                <LnkInProps>
                                  <MN>6</MN>
                                  <CLI>1,1,41,False,27</CLI>
                                  <ELN>1</ELN>
                                  <LOOT>0</LOOT>
                                  <LOMN>3</LOMN>
                                  <LOMCN>1</LOMCN>
                                  <LOSN>1</LOSN>
                                  <LOEN>15</LOEN>
                                  <LOCN>27</LOCN>
                                </LnkInProps>
                              </LnkIn>
                            </Ctg>
                            <Ctg>
                              <CtgProps>
                                <R>5</R>
                              </CtgProps>
                              <LnkIn>
                                <LnkInProps>
                                  <MN>6</MN>
                                  <CLI>1,1,41,False,28</CLI>
                                  <ELN>1</ELN>
                                  <LOOT>0</LOOT>
                                  <LOMN>3</LOMN>
                                  <LOMCN>1</LOMCN>
                                  <LOSN>1</LOSN>
                                  <LOEN>15</LOEN>
                                  <LOCN>28</LOCN>
                                </LnkInProps>
                              </LnkIn>
                            </Ctg>
                            <Ctg>
                              <CtgProps>
                                <R>5</R>
                              </CtgProps>
                              <LnkIn>
                                <LnkInProps>
                                  <MN>6</MN>
                                  <CLI>1,1,41,False,29</CLI>
                                  <ELN>1</ELN>
                                  <LOOT>0</LOOT>
                                  <LOMN>3</LOMN>
                                  <LOMCN>1</LOMCN>
                                  <LOSN>1</LOSN>
                                  <LOEN>15</LOEN>
                                  <LOCN>29</LOCN>
                                </LnkInProps>
                              </LnkIn>
                            </Ctg>
                            <Ctg>
                              <CtgProps>
                                <R>5</R>
                              </CtgProps>
                              <LnkIn>
                                <LnkInProps>
                                  <MN>6</MN>
                                  <CLI>1,1,41,False,30</CLI>
                                  <ELN>1</ELN>
                                  <LOOT>0</LOOT>
                                  <LOMN>3</LOMN>
                                  <LOMCN>1</LOMCN>
                                  <LOSN>1</LOSN>
                                  <LOEN>15</LOEN>
                                  <LOCN>30</LOCN>
                                </LnkInProps>
                              </LnkIn>
                            </Ctg>
                            <Ctg>
                              <CtgProps>
                                <R>4</R>
                              </CtgProps>
                              <LnkIn>
                                <LnkInProps>
                                  <MN>6</MN>
                                  <CLI>1,1,41,False,31</CLI>
                                  <ELN>1</ELN>
                                  <LOOT>0</LOOT>
                                  <LOMN>3</LOMN>
                                  <LOMCN>1</LOMCN>
                                  <LOSN>1</LOSN>
                                  <LOEN>15</LOEN>
                                  <LOCN>31</LOCN>
                                </LnkInProps>
                              </LnkIn>
                            </Ctg>
                            <Ctg>
                              <CtgProps>
                                <R>4</R>
                              </CtgProps>
                              <LnkIn>
                                <LnkInProps>
                                  <MN>6</MN>
                                  <CLI>1,1,41,False,32</CLI>
                                  <ELN>1</ELN>
                                  <LOOT>0</LOOT>
                                  <LOMN>3</LOMN>
                                  <LOMCN>1</LOMCN>
                                  <LOSN>1</LOSN>
                                  <LOEN>15</LOEN>
                                  <LOCN>32</LOCN>
                                </LnkInProps>
                              </LnkIn>
                            </Ctg>
                            <Ctg>
                              <CtgProps>
                                <R>4</R>
                              </CtgProps>
                              <LnkIn>
                                <LnkInProps>
                                  <MN>6</MN>
                                  <CLI>1,1,41,False,33</CLI>
                                  <ELN>1</ELN>
                                  <LOOT>0</LOOT>
                                  <LOMN>3</LOMN>
                                  <LOMCN>1</LOMCN>
                                  <LOSN>1</LOSN>
                                  <LOEN>15</LOEN>
                                  <LOCN>33</LOCN>
                                </LnkInProps>
                              </LnkIn>
                            </Ctg>
                            <Ctg>
                              <CtgProps>
                                <R>4</R>
                              </CtgProps>
                              <LnkIn>
                                <LnkInProps>
                                  <MN>6</MN>
                                  <CLI>1,1,41,False,34</CLI>
                                  <ELN>1</ELN>
                                  <LOOT>0</LOOT>
                                  <LOMN>3</LOMN>
                                  <LOMCN>1</LOMCN>
                                  <LOSN>1</LOSN>
                                  <LOEN>15</LOEN>
                                  <LOCN>34</LOCN>
                                </LnkInProps>
                              </LnkIn>
                            </Ctg>
                            <Ctg>
                              <CtgProps>
                                <R>4</R>
                              </CtgProps>
                              <LnkIn>
                                <LnkInProps>
                                  <MN>6</MN>
                                  <CLI>1,1,41,False,35</CLI>
                                  <ELN>1</ELN>
                                  <LOOT>0</LOOT>
                                  <LOMN>3</LOMN>
                                  <LOMCN>1</LOMCN>
                                  <LOSN>1</LOSN>
                                  <LOEN>15</LOEN>
                                  <LOCN>35</LOCN>
                                </LnkInProps>
                              </LnkIn>
                            </Ctg>
                          </Ctgs>
                        </SubTtl>
                      </SubTtls>
                      <TtlCtg/>
                      <ElmtLnksIn>
                        <ElmtLnk>
                          <ElmtLnkProps>
                            <ELI>1,1,41</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1,1,45,1,1</CBPLI>
                                    <ELN>1</ELN>
                                    <FFF><![CDATA[=§A¿10,FALSE,0,1,0,FALSE§Z¿]]></FFF>
                                  </LnkInFormProps>
                                </LnkInForm>
                              </LnkInForms>
                            </ClmnBlkPt>
                            <ClmnBlkPt>
                              <ClmnBlkPtProps>
                                <CBPT>1</CBPT>
                                <ST>6</ST>
                                <VOFFF><![CDATA[="Total "&§A¿0,1,0,1,45,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1,1,45,3,1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1,1,45,4,1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1,1,45,5,1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6</MN>
                                  <CLI>1,1,45,False,1</CLI>
                                  <ELN>1</ELN>
                                  <LOOT>0</LOOT>
                                  <LOMN>3</LOMN>
                                  <LOMCN>1</LOMCN>
                                  <LOSN>1</LOSN>
                                  <LOEN>19</LOEN>
                                  <LOCN>1</LOCN>
                                </LnkInProps>
                              </LnkIn>
                            </Ctg>
                            <Ctg>
                              <CtgProps>
                                <R>4</R>
                              </CtgProps>
                              <LnkIn>
                                <LnkInProps>
                                  <MN>6</MN>
                                  <CLI>1,1,45,False,2</CLI>
                                  <ELN>1</ELN>
                                  <LOOT>0</LOOT>
                                  <LOMN>3</LOMN>
                                  <LOMCN>1</LOMCN>
                                  <LOSN>1</LOSN>
                                  <LOEN>19</LOEN>
                                  <LOCN>2</LOCN>
                                </LnkInProps>
                              </LnkIn>
                            </Ctg>
                            <Ctg>
                              <CtgProps>
                                <R>4</R>
                              </CtgProps>
                              <LnkIn>
                                <LnkInProps>
                                  <MN>6</MN>
                                  <CLI>1,1,45,False,3</CLI>
                                  <ELN>1</ELN>
                                  <LOOT>0</LOOT>
                                  <LOMN>3</LOMN>
                                  <LOMCN>1</LOMCN>
                                  <LOSN>1</LOSN>
                                  <LOEN>19</LOEN>
                                  <LOCN>3</LOCN>
                                </LnkInProps>
                              </LnkIn>
                            </Ctg>
                            <Ctg>
                              <CtgProps>
                                <R>4</R>
                              </CtgProps>
                              <LnkIn>
                                <LnkInProps>
                                  <MN>6</MN>
                                  <CLI>1,1,45,False,4</CLI>
                                  <ELN>1</ELN>
                                  <LOOT>0</LOOT>
                                  <LOMN>3</LOMN>
                                  <LOMCN>1</LOMCN>
                                  <LOSN>1</LOSN>
                                  <LOEN>19</LOEN>
                                  <LOCN>4</LOCN>
                                </LnkInProps>
                              </LnkIn>
                            </Ctg>
                            <Ctg>
                              <CtgProps>
                                <R>4</R>
                              </CtgProps>
                              <LnkIn>
                                <LnkInProps>
                                  <MN>6</MN>
                                  <CLI>1,1,45,False,5</CLI>
                                  <ELN>1</ELN>
                                  <LOOT>0</LOOT>
                                  <LOMN>3</LOMN>
                                  <LOMCN>1</LOMCN>
                                  <LOSN>1</LOSN>
                                  <LOEN>19</LOEN>
                                  <LOCN>5</LOCN>
                                </LnkInProps>
                              </LnkIn>
                            </Ctg>
                            <Ctg>
                              <CtgProps>
                                <R>4</R>
                              </CtgProps>
                              <LnkIn>
                                <LnkInProps>
                                  <MN>6</MN>
                                  <CLI>1,1,45,False,6</CLI>
                                  <ELN>1</ELN>
                                  <LOOT>0</LOOT>
                                  <LOMN>3</LOMN>
                                  <LOMCN>1</LOMCN>
                                  <LOSN>1</LOSN>
                                  <LOEN>19</LOEN>
                                  <LOCN>6</LOCN>
                                </LnkInProps>
                              </LnkIn>
                            </Ctg>
                            <Ctg>
                              <CtgProps>
                                <R>4</R>
                              </CtgProps>
                              <LnkIn>
                                <LnkInProps>
                                  <MN>6</MN>
                                  <CLI>1,1,45,False,7</CLI>
                                  <ELN>1</ELN>
                                  <LOOT>0</LOOT>
                                  <LOMN>3</LOMN>
                                  <LOMCN>1</LOMCN>
                                  <LOSN>1</LOSN>
                                  <LOEN>19</LOEN>
                                  <LOCN>7</LOCN>
                                </LnkInProps>
                              </LnkIn>
                            </Ctg>
                            <Ctg>
                              <CtgProps>
                                <R>4</R>
                              </CtgProps>
                              <LnkIn>
                                <LnkInProps>
                                  <MN>6</MN>
                                  <CLI>1,1,45,False,8</CLI>
                                  <ELN>1</ELN>
                                  <LOOT>0</LOOT>
                                  <LOMN>3</LOMN>
                                  <LOMCN>1</LOMCN>
                                  <LOSN>1</LOSN>
                                  <LOEN>19</LOEN>
                                  <LOCN>8</LOCN>
                                </LnkInProps>
                              </LnkIn>
                            </Ctg>
                            <Ctg>
                              <CtgProps>
                                <R>4</R>
                              </CtgProps>
                              <LnkIn>
                                <LnkInProps>
                                  <MN>6</MN>
                                  <CLI>1,1,45,False,9</CLI>
                                  <ELN>1</ELN>
                                  <LOOT>0</LOOT>
                                  <LOMN>3</LOMN>
                                  <LOMCN>1</LOMCN>
                                  <LOSN>1</LOSN>
                                  <LOEN>19</LOEN>
                                  <LOCN>9</LOCN>
                                </LnkInProps>
                              </LnkIn>
                            </Ctg>
                            <Ctg>
                              <CtgProps>
                                <R>4</R>
                              </CtgProps>
                              <LnkIn>
                                <LnkInProps>
                                  <MN>6</MN>
                                  <CLI>1,1,45,False,10</CLI>
                                  <ELN>1</ELN>
                                  <LOOT>0</LOOT>
                                  <LOMN>3</LOMN>
                                  <LOMCN>1</LOMCN>
                                  <LOSN>1</LOSN>
                                  <LOEN>19</LOEN>
                                  <LOCN>10</LOCN>
                                </LnkInProps>
                              </LnkIn>
                            </Ctg>
                            <Ctg>
                              <CtgProps>
                                <R>4</R>
                              </CtgProps>
                              <LnkIn>
                                <LnkInProps>
                                  <MN>6</MN>
                                  <CLI>1,1,45,False,11</CLI>
                                  <ELN>1</ELN>
                                  <LOOT>0</LOOT>
                                  <LOMN>3</LOMN>
                                  <LOMCN>1</LOMCN>
                                  <LOSN>1</LOSN>
                                  <LOEN>19</LOEN>
                                  <LOCN>11</LOCN>
                                </LnkInProps>
                              </LnkIn>
                            </Ctg>
                            <Ctg>
                              <CtgProps>
                                <R>4</R>
                              </CtgProps>
                              <LnkIn>
                                <LnkInProps>
                                  <MN>6</MN>
                                  <CLI>1,1,45,False,12</CLI>
                                  <ELN>1</ELN>
                                  <LOOT>0</LOOT>
                                  <LOMN>3</LOMN>
                                  <LOMCN>1</LOMCN>
                                  <LOSN>1</LOSN>
                                  <LOEN>19</LOEN>
                                  <LOCN>12</LOCN>
                                </LnkInProps>
                              </LnkIn>
                            </Ctg>
                            <Ctg>
                              <CtgProps>
                                <R>4</R>
                              </CtgProps>
                              <LnkIn>
                                <LnkInProps>
                                  <MN>6</MN>
                                  <CLI>1,1,45,False,13</CLI>
                                  <ELN>1</ELN>
                                  <LOOT>0</LOOT>
                                  <LOMN>3</LOMN>
                                  <LOMCN>1</LOMCN>
                                  <LOSN>1</LOSN>
                                  <LOEN>19</LOEN>
                                  <LOCN>13</LOCN>
                                </LnkInProps>
                              </LnkIn>
                            </Ctg>
                            <Ctg>
                              <CtgProps>
                                <R>4</R>
                              </CtgProps>
                              <LnkIn>
                                <LnkInProps>
                                  <MN>6</MN>
                                  <CLI>1,1,45,False,14</CLI>
                                  <ELN>1</ELN>
                                  <LOOT>0</LOOT>
                                  <LOMN>3</LOMN>
                                  <LOMCN>1</LOMCN>
                                  <LOSN>1</LOSN>
                                  <LOEN>19</LOEN>
                                  <LOCN>14</LOCN>
                                </LnkInProps>
                              </LnkIn>
                            </Ctg>
                            <Ctg>
                              <CtgProps>
                                <R>4</R>
                              </CtgProps>
                              <LnkIn>
                                <LnkInProps>
                                  <MN>6</MN>
                                  <CLI>1,1,45,False,15</CLI>
                                  <ELN>1</ELN>
                                  <LOOT>0</LOOT>
                                  <LOMN>3</LOMN>
                                  <LOMCN>1</LOMCN>
                                  <LOSN>1</LOSN>
                                  <LOEN>19</LOEN>
                                  <LOCN>15</LOCN>
                                </LnkInProps>
                              </LnkIn>
                            </Ctg>
                            <Ctg>
                              <CtgProps>
                                <R>5</R>
                              </CtgProps>
                              <LnkIn>
                                <LnkInProps>
                                  <MN>6</MN>
                                  <CLI>1,1,45,False,16</CLI>
                                  <ELN>1</ELN>
                                  <LOOT>0</LOOT>
                                  <LOMN>3</LOMN>
                                  <LOMCN>1</LOMCN>
                                  <LOSN>1</LOSN>
                                  <LOEN>19</LOEN>
                                  <LOCN>16</LOCN>
                                </LnkInProps>
                              </LnkIn>
                            </Ctg>
                            <Ctg>
                              <CtgProps>
                                <R>5</R>
                              </CtgProps>
                              <LnkIn>
                                <LnkInProps>
                                  <MN>6</MN>
                                  <CLI>1,1,45,False,17</CLI>
                                  <ELN>1</ELN>
                                  <LOOT>0</LOOT>
                                  <LOMN>3</LOMN>
                                  <LOMCN>1</LOMCN>
                                  <LOSN>1</LOSN>
                                  <LOEN>19</LOEN>
                                  <LOCN>17</LOCN>
                                </LnkInProps>
                              </LnkIn>
                            </Ctg>
                            <Ctg>
                              <CtgProps>
                                <R>5</R>
                              </CtgProps>
                              <LnkIn>
                                <LnkInProps>
                                  <MN>6</MN>
                                  <CLI>1,1,45,False,18</CLI>
                                  <ELN>1</ELN>
                                  <LOOT>0</LOOT>
                                  <LOMN>3</LOMN>
                                  <LOMCN>1</LOMCN>
                                  <LOSN>1</LOSN>
                                  <LOEN>19</LOEN>
                                  <LOCN>18</LOCN>
                                </LnkInProps>
                              </LnkIn>
                            </Ctg>
                            <Ctg>
                              <CtgProps>
                                <R>5</R>
                              </CtgProps>
                              <LnkIn>
                                <LnkInProps>
                                  <MN>6</MN>
                                  <CLI>1,1,45,False,19</CLI>
                                  <ELN>1</ELN>
                                  <LOOT>0</LOOT>
                                  <LOMN>3</LOMN>
                                  <LOMCN>1</LOMCN>
                                  <LOSN>1</LOSN>
                                  <LOEN>19</LOEN>
                                  <LOCN>19</LOCN>
                                </LnkInProps>
                              </LnkIn>
                            </Ctg>
                            <Ctg>
                              <CtgProps>
                                <R>5</R>
                              </CtgProps>
                              <LnkIn>
                                <LnkInProps>
                                  <MN>6</MN>
                                  <CLI>1,1,45,False,20</CLI>
                                  <ELN>1</ELN>
                                  <LOOT>0</LOOT>
                                  <LOMN>3</LOMN>
                                  <LOMCN>1</LOMCN>
                                  <LOSN>1</LOSN>
                                  <LOEN>19</LOEN>
                                  <LOCN>20</LOCN>
                                </LnkInProps>
                              </LnkIn>
                            </Ctg>
                            <Ctg>
                              <CtgProps>
                                <R>5</R>
                              </CtgProps>
                              <LnkIn>
                                <LnkInProps>
                                  <MN>6</MN>
                                  <CLI>1,1,45,False,21</CLI>
                                  <ELN>1</ELN>
                                  <LOOT>0</LOOT>
                                  <LOMN>3</LOMN>
                                  <LOMCN>1</LOMCN>
                                  <LOSN>1</LOSN>
                                  <LOEN>19</LOEN>
                                  <LOCN>21</LOCN>
                                </LnkInProps>
                              </LnkIn>
                            </Ctg>
                            <Ctg>
                              <CtgProps>
                                <R>5</R>
                              </CtgProps>
                              <LnkIn>
                                <LnkInProps>
                                  <MN>6</MN>
                                  <CLI>1,1,45,False,22</CLI>
                                  <ELN>1</ELN>
                                  <LOOT>0</LOOT>
                                  <LOMN>3</LOMN>
                                  <LOMCN>1</LOMCN>
                                  <LOSN>1</LOSN>
                                  <LOEN>19</LOEN>
                                  <LOCN>22</LOCN>
                                </LnkInProps>
                              </LnkIn>
                            </Ctg>
                            <Ctg>
                              <CtgProps>
                                <R>5</R>
                              </CtgProps>
                              <LnkIn>
                                <LnkInProps>
                                  <MN>6</MN>
                                  <CLI>1,1,45,False,23</CLI>
                                  <ELN>1</ELN>
                                  <LOOT>0</LOOT>
                                  <LOMN>3</LOMN>
                                  <LOMCN>1</LOMCN>
                                  <LOSN>1</LOSN>
                                  <LOEN>19</LOEN>
                                  <LOCN>23</LOCN>
                                </LnkInProps>
                              </LnkIn>
                            </Ctg>
                            <Ctg>
                              <CtgProps>
                                <R>5</R>
                              </CtgProps>
                              <LnkIn>
                                <LnkInProps>
                                  <MN>6</MN>
                                  <CLI>1,1,45,False,24</CLI>
                                  <ELN>1</ELN>
                                  <LOOT>0</LOOT>
                                  <LOMN>3</LOMN>
                                  <LOMCN>1</LOMCN>
                                  <LOSN>1</LOSN>
                                  <LOEN>19</LOEN>
                                  <LOCN>24</LOCN>
                                </LnkInProps>
                              </LnkIn>
                            </Ctg>
                            <Ctg>
                              <CtgProps>
                                <R>5</R>
                              </CtgProps>
                              <LnkIn>
                                <LnkInProps>
                                  <MN>6</MN>
                                  <CLI>1,1,45,False,25</CLI>
                                  <ELN>1</ELN>
                                  <LOOT>0</LOOT>
                                  <LOMN>3</LOMN>
                                  <LOMCN>1</LOMCN>
                                  <LOSN>1</LOSN>
                                  <LOEN>19</LOEN>
                                  <LOCN>25</LOCN>
                                </LnkInProps>
                              </LnkIn>
                            </Ctg>
                            <Ctg>
                              <CtgProps>
                                <R>5</R>
                              </CtgProps>
                              <LnkIn>
                                <LnkInProps>
                                  <MN>6</MN>
                                  <CLI>1,1,45,False,26</CLI>
                                  <ELN>1</ELN>
                                  <LOOT>0</LOOT>
                                  <LOMN>3</LOMN>
                                  <LOMCN>1</LOMCN>
                                  <LOSN>1</LOSN>
                                  <LOEN>19</LOEN>
                                  <LOCN>26</LOCN>
                                </LnkInProps>
                              </LnkIn>
                            </Ctg>
                            <Ctg>
                              <CtgProps>
                                <R>5</R>
                              </CtgProps>
                              <LnkIn>
                                <LnkInProps>
                                  <MN>6</MN>
                                  <CLI>1,1,45,False,27</CLI>
                                  <ELN>1</ELN>
                                  <LOOT>0</LOOT>
                                  <LOMN>3</LOMN>
                                  <LOMCN>1</LOMCN>
                                  <LOSN>1</LOSN>
                                  <LOEN>19</LOEN>
                                  <LOCN>27</LOCN>
                                </LnkInProps>
                              </LnkIn>
                            </Ctg>
                            <Ctg>
                              <CtgProps>
                                <R>5</R>
                              </CtgProps>
                              <LnkIn>
                                <LnkInProps>
                                  <MN>6</MN>
                                  <CLI>1,1,45,False,28</CLI>
                                  <ELN>1</ELN>
                                  <LOOT>0</LOOT>
                                  <LOMN>3</LOMN>
                                  <LOMCN>1</LOMCN>
                                  <LOSN>1</LOSN>
                                  <LOEN>19</LOEN>
                                  <LOCN>28</LOCN>
                                </LnkInProps>
                              </LnkIn>
                            </Ctg>
                            <Ctg>
                              <CtgProps>
                                <R>5</R>
                              </CtgProps>
                              <LnkIn>
                                <LnkInProps>
                                  <MN>6</MN>
                                  <CLI>1,1,45,False,29</CLI>
                                  <ELN>1</ELN>
                                  <LOOT>0</LOOT>
                                  <LOMN>3</LOMN>
                                  <LOMCN>1</LOMCN>
                                  <LOSN>1</LOSN>
                                  <LOEN>19</LOEN>
                                  <LOCN>29</LOCN>
                                </LnkInProps>
                              </LnkIn>
                            </Ctg>
                            <Ctg>
                              <CtgProps>
                                <R>5</R>
                              </CtgProps>
                              <LnkIn>
                                <LnkInProps>
                                  <MN>6</MN>
                                  <CLI>1,1,45,False,30</CLI>
                                  <ELN>1</ELN>
                                  <LOOT>0</LOOT>
                                  <LOMN>3</LOMN>
                                  <LOMCN>1</LOMCN>
                                  <LOSN>1</LOSN>
                                  <LOEN>19</LOEN>
                                  <LOCN>30</LOCN>
                                </LnkInProps>
                              </LnkIn>
                            </Ctg>
                            <Ctg>
                              <CtgProps>
                                <R>5</R>
                              </CtgProps>
                              <LnkIn>
                                <LnkInProps>
                                  <MN>6</MN>
                                  <CLI>1,1,45,False,31</CLI>
                                  <ELN>1</ELN>
                                  <LOOT>0</LOOT>
                                  <LOMN>3</LOMN>
                                  <LOMCN>1</LOMCN>
                                  <LOSN>1</LOSN>
                                  <LOEN>19</LOEN>
                                  <LOCN>31</LOCN>
                                </LnkInProps>
                              </LnkIn>
                            </Ctg>
                            <Ctg>
                              <CtgProps>
                                <R>5</R>
                              </CtgProps>
                              <LnkIn>
                                <LnkInProps>
                                  <MN>6</MN>
                                  <CLI>1,1,45,False,32</CLI>
                                  <ELN>1</ELN>
                                  <LOOT>0</LOOT>
                                  <LOMN>3</LOMN>
                                  <LOMCN>1</LOMCN>
                                  <LOSN>1</LOSN>
                                  <LOEN>19</LOEN>
                                  <LOCN>32</LOCN>
                                </LnkInProps>
                              </LnkIn>
                            </Ctg>
                            <Ctg>
                              <CtgProps>
                                <R>5</R>
                              </CtgProps>
                              <LnkIn>
                                <LnkInProps>
                                  <MN>6</MN>
                                  <CLI>1,1,45,False,33</CLI>
                                  <ELN>1</ELN>
                                  <LOOT>0</LOOT>
                                  <LOMN>3</LOMN>
                                  <LOMCN>1</LOMCN>
                                  <LOSN>1</LOSN>
                                  <LOEN>19</LOEN>
                                  <LOCN>33</LOCN>
                                </LnkInProps>
                              </LnkIn>
                            </Ctg>
                            <Ctg>
                              <CtgProps>
                                <R>5</R>
                              </CtgProps>
                              <LnkIn>
                                <LnkInProps>
                                  <MN>6</MN>
                                  <CLI>1,1,45,False,34</CLI>
                                  <ELN>1</ELN>
                                  <LOOT>0</LOOT>
                                  <LOMN>3</LOMN>
                                  <LOMCN>1</LOMCN>
                                  <LOSN>1</LOSN>
                                  <LOEN>19</LOEN>
                                  <LOCN>34</LOCN>
                                </LnkInProps>
                              </LnkIn>
                            </Ctg>
                            <Ctg>
                              <CtgProps>
                                <R>5</R>
                              </CtgProps>
                              <LnkIn>
                                <LnkInProps>
                                  <MN>6</MN>
                                  <CLI>1,1,45,False,35</CLI>
                                  <ELN>1</ELN>
                                  <LOOT>0</LOOT>
                                  <LOMN>3</LOMN>
                                  <LOMCN>1</LOMCN>
                                  <LOSN>1</LOSN>
                                  <LOEN>19</LOEN>
                                  <LOCN>35</LOCN>
                                </LnkInProps>
                              </LnkIn>
                            </Ctg>
                          </Ctgs>
                        </SubTtl>
                      </SubTtls>
                      <TtlCtg/>
                      <ElmtLnksIn>
                        <ElmtLnk>
                          <ElmtLnkProps>
                            <ELI>1,1,45</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1,1,48,1,1</CBPLI>
                                    <ELN>1</ELN>
                                    <FFF><![CDATA[=§A¿10,FALSE,0,1,0,FALSE§Z¿]]></FFF>
                                  </LnkInFormProps>
                                </LnkInForm>
                              </LnkInForms>
                            </ClmnBlkPt>
                            <ClmnBlkPt>
                              <ClmnBlkPtProps>
                                <CBPT>1</CBPT>
                                <ST>6</ST>
                                <VOFFF><![CDATA[="Total "&§A¿0,1,0,1,4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6</MN>
                                  <CLI>1,1,48,False,1</CLI>
                                  <ELN>1</ELN>
                                  <LOOT>0</LOOT>
                                  <LOMN>3</LOMN>
                                  <LOMCN>1</LOMCN>
                                  <LOSN>1</LOSN>
                                  <LOEN>24</LOEN>
                                  <LOCN>1</LOCN>
                                </LnkInProps>
                              </LnkIn>
                            </Ctg>
                            <Ctg>
                              <CtgProps>
                                <R>4</R>
                              </CtgProps>
                              <LnkIn>
                                <LnkInProps>
                                  <MN>6</MN>
                                  <CLI>1,1,48,False,2</CLI>
                                  <ELN>1</ELN>
                                  <LOOT>0</LOOT>
                                  <LOMN>3</LOMN>
                                  <LOMCN>1</LOMCN>
                                  <LOSN>1</LOSN>
                                  <LOEN>24</LOEN>
                                  <LOCN>2</LOCN>
                                </LnkInProps>
                              </LnkIn>
                            </Ctg>
                            <Ctg>
                              <CtgProps>
                                <R>4</R>
                              </CtgProps>
                              <LnkIn>
                                <LnkInProps>
                                  <MN>6</MN>
                                  <CLI>1,1,48,False,3</CLI>
                                  <ELN>1</ELN>
                                  <LOOT>0</LOOT>
                                  <LOMN>3</LOMN>
                                  <LOMCN>1</LOMCN>
                                  <LOSN>1</LOSN>
                                  <LOEN>24</LOEN>
                                  <LOCN>3</LOCN>
                                </LnkInProps>
                              </LnkIn>
                            </Ctg>
                            <Ctg>
                              <CtgProps>
                                <R>4</R>
                              </CtgProps>
                              <LnkIn>
                                <LnkInProps>
                                  <MN>6</MN>
                                  <CLI>1,1,48,False,4</CLI>
                                  <ELN>1</ELN>
                                  <LOOT>0</LOOT>
                                  <LOMN>3</LOMN>
                                  <LOMCN>1</LOMCN>
                                  <LOSN>1</LOSN>
                                  <LOEN>24</LOEN>
                                  <LOCN>4</LOCN>
                                </LnkInProps>
                              </LnkIn>
                            </Ctg>
                            <Ctg>
                              <CtgProps>
                                <R>4</R>
                              </CtgProps>
                              <LnkIn>
                                <LnkInProps>
                                  <MN>6</MN>
                                  <CLI>1,1,48,False,5</CLI>
                                  <ELN>1</ELN>
                                  <LOOT>0</LOOT>
                                  <LOMN>3</LOMN>
                                  <LOMCN>1</LOMCN>
                                  <LOSN>1</LOSN>
                                  <LOEN>24</LOEN>
                                  <LOCN>5</LOCN>
                                </LnkInProps>
                              </LnkIn>
                            </Ctg>
                            <Ctg>
                              <CtgProps>
                                <R>5</R>
                              </CtgProps>
                              <LnkIn>
                                <LnkInProps>
                                  <MN>6</MN>
                                  <CLI>1,1,48,False,6</CLI>
                                  <ELN>1</ELN>
                                  <LOOT>0</LOOT>
                                  <LOMN>3</LOMN>
                                  <LOMCN>1</LOMCN>
                                  <LOSN>1</LOSN>
                                  <LOEN>24</LOEN>
                                  <LOCN>6</LOCN>
                                </LnkInProps>
                              </LnkIn>
                            </Ctg>
                            <Ctg>
                              <CtgProps>
                                <R>5</R>
                              </CtgProps>
                              <LnkIn>
                                <LnkInProps>
                                  <MN>6</MN>
                                  <CLI>1,1,48,False,7</CLI>
                                  <ELN>1</ELN>
                                  <LOOT>0</LOOT>
                                  <LOMN>3</LOMN>
                                  <LOMCN>1</LOMCN>
                                  <LOSN>1</LOSN>
                                  <LOEN>24</LOEN>
                                  <LOCN>7</LOCN>
                                </LnkInProps>
                              </LnkIn>
                            </Ctg>
                            <Ctg>
                              <CtgProps>
                                <R>5</R>
                              </CtgProps>
                              <LnkIn>
                                <LnkInProps>
                                  <MN>6</MN>
                                  <CLI>1,1,48,False,8</CLI>
                                  <ELN>1</ELN>
                                  <LOOT>0</LOOT>
                                  <LOMN>3</LOMN>
                                  <LOMCN>1</LOMCN>
                                  <LOSN>1</LOSN>
                                  <LOEN>24</LOEN>
                                  <LOCN>8</LOCN>
                                </LnkInProps>
                              </LnkIn>
                            </Ctg>
                            <Ctg>
                              <CtgProps>
                                <R>5</R>
                              </CtgProps>
                              <LnkIn>
                                <LnkInProps>
                                  <MN>6</MN>
                                  <CLI>1,1,48,False,9</CLI>
                                  <ELN>1</ELN>
                                  <LOOT>0</LOOT>
                                  <LOMN>3</LOMN>
                                  <LOMCN>1</LOMCN>
                                  <LOSN>1</LOSN>
                                  <LOEN>24</LOEN>
                                  <LOCN>9</LOCN>
                                </LnkInProps>
                              </LnkIn>
                            </Ctg>
                            <Ctg>
                              <CtgProps>
                                <R>5</R>
                              </CtgProps>
                              <LnkIn>
                                <LnkInProps>
                                  <MN>6</MN>
                                  <CLI>1,1,48,False,10</CLI>
                                  <ELN>1</ELN>
                                  <LOOT>0</LOOT>
                                  <LOMN>3</LOMN>
                                  <LOMCN>1</LOMCN>
                                  <LOSN>1</LOSN>
                                  <LOEN>24</LOEN>
                                  <LOCN>10</LOCN>
                                </LnkInProps>
                              </LnkIn>
                            </Ctg>
                            <Ctg>
                              <CtgProps>
                                <R>5</R>
                              </CtgProps>
                              <LnkIn>
                                <LnkInProps>
                                  <MN>6</MN>
                                  <CLI>1,1,48,False,11</CLI>
                                  <ELN>1</ELN>
                                  <LOOT>0</LOOT>
                                  <LOMN>3</LOMN>
                                  <LOMCN>1</LOMCN>
                                  <LOSN>1</LOSN>
                                  <LOEN>24</LOEN>
                                  <LOCN>11</LOCN>
                                </LnkInProps>
                              </LnkIn>
                            </Ctg>
                            <Ctg>
                              <CtgProps>
                                <R>5</R>
                              </CtgProps>
                              <LnkIn>
                                <LnkInProps>
                                  <MN>6</MN>
                                  <CLI>1,1,48,False,12</CLI>
                                  <ELN>1</ELN>
                                  <LOOT>0</LOOT>
                                  <LOMN>3</LOMN>
                                  <LOMCN>1</LOMCN>
                                  <LOSN>1</LOSN>
                                  <LOEN>24</LOEN>
                                  <LOCN>12</LOCN>
                                </LnkInProps>
                              </LnkIn>
                            </Ctg>
                            <Ctg>
                              <CtgProps>
                                <R>5</R>
                              </CtgProps>
                              <LnkIn>
                                <LnkInProps>
                                  <MN>6</MN>
                                  <CLI>1,1,48,False,13</CLI>
                                  <ELN>1</ELN>
                                  <LOOT>0</LOOT>
                                  <LOMN>3</LOMN>
                                  <LOMCN>1</LOMCN>
                                  <LOSN>1</LOSN>
                                  <LOEN>24</LOEN>
                                  <LOCN>13</LOCN>
                                </LnkInProps>
                              </LnkIn>
                            </Ctg>
                            <Ctg>
                              <CtgProps>
                                <R>5</R>
                              </CtgProps>
                              <LnkIn>
                                <LnkInProps>
                                  <MN>6</MN>
                                  <CLI>1,1,48,False,14</CLI>
                                  <ELN>1</ELN>
                                  <LOOT>0</LOOT>
                                  <LOMN>3</LOMN>
                                  <LOMCN>1</LOMCN>
                                  <LOSN>1</LOSN>
                                  <LOEN>24</LOEN>
                                  <LOCN>14</LOCN>
                                </LnkInProps>
                              </LnkIn>
                            </Ctg>
                            <Ctg>
                              <CtgProps>
                                <R>5</R>
                              </CtgProps>
                              <LnkIn>
                                <LnkInProps>
                                  <MN>6</MN>
                                  <CLI>1,1,48,False,15</CLI>
                                  <ELN>1</ELN>
                                  <LOOT>0</LOOT>
                                  <LOMN>3</LOMN>
                                  <LOMCN>1</LOMCN>
                                  <LOSN>1</LOSN>
                                  <LOEN>24</LOEN>
                                  <LOCN>15</LOCN>
                                </LnkInProps>
                              </LnkIn>
                            </Ctg>
                            <Ctg>
                              <CtgProps>
                                <R>5</R>
                              </CtgProps>
                              <LnkIn>
                                <LnkInProps>
                                  <MN>6</MN>
                                  <CLI>1,1,48,False,16</CLI>
                                  <ELN>1</ELN>
                                  <LOOT>0</LOOT>
                                  <LOMN>3</LOMN>
                                  <LOMCN>1</LOMCN>
                                  <LOSN>1</LOSN>
                                  <LOEN>24</LOEN>
                                  <LOCN>16</LOCN>
                                </LnkInProps>
                              </LnkIn>
                            </Ctg>
                            <Ctg>
                              <CtgProps>
                                <R>5</R>
                              </CtgProps>
                              <LnkIn>
                                <LnkInProps>
                                  <MN>6</MN>
                                  <CLI>1,1,48,False,17</CLI>
                                  <ELN>1</ELN>
                                  <LOOT>0</LOOT>
                                  <LOMN>3</LOMN>
                                  <LOMCN>1</LOMCN>
                                  <LOSN>1</LOSN>
                                  <LOEN>24</LOEN>
                                  <LOCN>17</LOCN>
                                </LnkInProps>
                              </LnkIn>
                            </Ctg>
                            <Ctg>
                              <CtgProps>
                                <R>5</R>
                              </CtgProps>
                              <LnkIn>
                                <LnkInProps>
                                  <MN>6</MN>
                                  <CLI>1,1,48,False,18</CLI>
                                  <ELN>1</ELN>
                                  <LOOT>0</LOOT>
                                  <LOMN>3</LOMN>
                                  <LOMCN>1</LOMCN>
                                  <LOSN>1</LOSN>
                                  <LOEN>24</LOEN>
                                  <LOCN>18</LOCN>
                                </LnkInProps>
                              </LnkIn>
                            </Ctg>
                            <Ctg>
                              <CtgProps>
                                <R>5</R>
                              </CtgProps>
                              <LnkIn>
                                <LnkInProps>
                                  <MN>6</MN>
                                  <CLI>1,1,48,False,19</CLI>
                                  <ELN>1</ELN>
                                  <LOOT>0</LOOT>
                                  <LOMN>3</LOMN>
                                  <LOMCN>1</LOMCN>
                                  <LOSN>1</LOSN>
                                  <LOEN>24</LOEN>
                                  <LOCN>19</LOCN>
                                </LnkInProps>
                              </LnkIn>
                            </Ctg>
                            <Ctg>
                              <CtgProps>
                                <R>5</R>
                              </CtgProps>
                              <LnkIn>
                                <LnkInProps>
                                  <MN>6</MN>
                                  <CLI>1,1,48,False,20</CLI>
                                  <ELN>1</ELN>
                                  <LOOT>0</LOOT>
                                  <LOMN>3</LOMN>
                                  <LOMCN>1</LOMCN>
                                  <LOSN>1</LOSN>
                                  <LOEN>24</LOEN>
                                  <LOCN>20</LOCN>
                                </LnkInProps>
                              </LnkIn>
                            </Ctg>
                            <Ctg>
                              <CtgProps>
                                <R>5</R>
                              </CtgProps>
                              <LnkIn>
                                <LnkInProps>
                                  <MN>6</MN>
                                  <CLI>1,1,48,False,21</CLI>
                                  <ELN>1</ELN>
                                  <LOOT>0</LOOT>
                                  <LOMN>3</LOMN>
                                  <LOMCN>1</LOMCN>
                                  <LOSN>1</LOSN>
                                  <LOEN>24</LOEN>
                                  <LOCN>21</LOCN>
                                </LnkInProps>
                              </LnkIn>
                            </Ctg>
                            <Ctg>
                              <CtgProps>
                                <R>5</R>
                              </CtgProps>
                              <LnkIn>
                                <LnkInProps>
                                  <MN>6</MN>
                                  <CLI>1,1,48,False,22</CLI>
                                  <ELN>1</ELN>
                                  <LOOT>0</LOOT>
                                  <LOMN>3</LOMN>
                                  <LOMCN>1</LOMCN>
                                  <LOSN>1</LOSN>
                                  <LOEN>24</LOEN>
                                  <LOCN>22</LOCN>
                                </LnkInProps>
                              </LnkIn>
                            </Ctg>
                            <Ctg>
                              <CtgProps>
                                <R>5</R>
                              </CtgProps>
                              <LnkIn>
                                <LnkInProps>
                                  <MN>6</MN>
                                  <CLI>1,1,48,False,23</CLI>
                                  <ELN>1</ELN>
                                  <LOOT>0</LOOT>
                                  <LOMN>3</LOMN>
                                  <LOMCN>1</LOMCN>
                                  <LOSN>1</LOSN>
                                  <LOEN>24</LOEN>
                                  <LOCN>23</LOCN>
                                </LnkInProps>
                              </LnkIn>
                            </Ctg>
                            <Ctg>
                              <CtgProps>
                                <R>5</R>
                              </CtgProps>
                              <LnkIn>
                                <LnkInProps>
                                  <MN>6</MN>
                                  <CLI>1,1,48,False,24</CLI>
                                  <ELN>1</ELN>
                                  <LOOT>0</LOOT>
                                  <LOMN>3</LOMN>
                                  <LOMCN>1</LOMCN>
                                  <LOSN>1</LOSN>
                                  <LOEN>24</LOEN>
                                  <LOCN>24</LOCN>
                                </LnkInProps>
                              </LnkIn>
                            </Ctg>
                            <Ctg>
                              <CtgProps>
                                <R>5</R>
                              </CtgProps>
                              <LnkIn>
                                <LnkInProps>
                                  <MN>6</MN>
                                  <CLI>1,1,48,False,25</CLI>
                                  <ELN>1</ELN>
                                  <LOOT>0</LOOT>
                                  <LOMN>3</LOMN>
                                  <LOMCN>1</LOMCN>
                                  <LOSN>1</LOSN>
                                  <LOEN>24</LOEN>
                                  <LOCN>25</LOCN>
                                </LnkInProps>
                              </LnkIn>
                            </Ctg>
                            <Ctg>
                              <CtgProps>
                                <R>5</R>
                              </CtgProps>
                              <LnkIn>
                                <LnkInProps>
                                  <MN>6</MN>
                                  <CLI>1,1,48,False,26</CLI>
                                  <ELN>1</ELN>
                                  <LOOT>0</LOOT>
                                  <LOMN>3</LOMN>
                                  <LOMCN>1</LOMCN>
                                  <LOSN>1</LOSN>
                                  <LOEN>24</LOEN>
                                  <LOCN>26</LOCN>
                                </LnkInProps>
                              </LnkIn>
                            </Ctg>
                            <Ctg>
                              <CtgProps>
                                <R>5</R>
                              </CtgProps>
                              <LnkIn>
                                <LnkInProps>
                                  <MN>6</MN>
                                  <CLI>1,1,48,False,27</CLI>
                                  <ELN>1</ELN>
                                  <LOOT>0</LOOT>
                                  <LOMN>3</LOMN>
                                  <LOMCN>1</LOMCN>
                                  <LOSN>1</LOSN>
                                  <LOEN>24</LOEN>
                                  <LOCN>27</LOCN>
                                </LnkInProps>
                              </LnkIn>
                            </Ctg>
                            <Ctg>
                              <CtgProps>
                                <R>5</R>
                              </CtgProps>
                              <LnkIn>
                                <LnkInProps>
                                  <MN>6</MN>
                                  <CLI>1,1,48,False,28</CLI>
                                  <ELN>1</ELN>
                                  <LOOT>0</LOOT>
                                  <LOMN>3</LOMN>
                                  <LOMCN>1</LOMCN>
                                  <LOSN>1</LOSN>
                                  <LOEN>24</LOEN>
                                  <LOCN>28</LOCN>
                                </LnkInProps>
                              </LnkIn>
                            </Ctg>
                            <Ctg>
                              <CtgProps>
                                <R>5</R>
                              </CtgProps>
                              <LnkIn>
                                <LnkInProps>
                                  <MN>6</MN>
                                  <CLI>1,1,48,False,29</CLI>
                                  <ELN>1</ELN>
                                  <LOOT>0</LOOT>
                                  <LOMN>3</LOMN>
                                  <LOMCN>1</LOMCN>
                                  <LOSN>1</LOSN>
                                  <LOEN>24</LOEN>
                                  <LOCN>29</LOCN>
                                </LnkInProps>
                              </LnkIn>
                            </Ctg>
                            <Ctg>
                              <CtgProps>
                                <R>5</R>
                              </CtgProps>
                              <LnkIn>
                                <LnkInProps>
                                  <MN>6</MN>
                                  <CLI>1,1,48,False,30</CLI>
                                  <ELN>1</ELN>
                                  <LOOT>0</LOOT>
                                  <LOMN>3</LOMN>
                                  <LOMCN>1</LOMCN>
                                  <LOSN>1</LOSN>
                                  <LOEN>24</LOEN>
                                  <LOCN>30</LOCN>
                                </LnkInProps>
                              </LnkIn>
                            </Ctg>
                            <Ctg>
                              <CtgProps>
                                <R>5</R>
                              </CtgProps>
                              <LnkIn>
                                <LnkInProps>
                                  <MN>6</MN>
                                  <CLI>1,1,48,False,31</CLI>
                                  <ELN>1</ELN>
                                  <LOOT>0</LOOT>
                                  <LOMN>3</LOMN>
                                  <LOMCN>1</LOMCN>
                                  <LOSN>1</LOSN>
                                  <LOEN>24</LOEN>
                                  <LOCN>31</LOCN>
                                </LnkInProps>
                              </LnkIn>
                            </Ctg>
                            <Ctg>
                              <CtgProps>
                                <R>5</R>
                              </CtgProps>
                              <LnkIn>
                                <LnkInProps>
                                  <MN>6</MN>
                                  <CLI>1,1,48,False,32</CLI>
                                  <ELN>1</ELN>
                                  <LOOT>0</LOOT>
                                  <LOMN>3</LOMN>
                                  <LOMCN>1</LOMCN>
                                  <LOSN>1</LOSN>
                                  <LOEN>24</LOEN>
                                  <LOCN>32</LOCN>
                                </LnkInProps>
                              </LnkIn>
                            </Ctg>
                            <Ctg>
                              <CtgProps>
                                <R>5</R>
                              </CtgProps>
                              <LnkIn>
                                <LnkInProps>
                                  <MN>6</MN>
                                  <CLI>1,1,48,False,33</CLI>
                                  <ELN>1</ELN>
                                  <LOOT>0</LOOT>
                                  <LOMN>3</LOMN>
                                  <LOMCN>1</LOMCN>
                                  <LOSN>1</LOSN>
                                  <LOEN>24</LOEN>
                                  <LOCN>33</LOCN>
                                </LnkInProps>
                              </LnkIn>
                            </Ctg>
                            <Ctg>
                              <CtgProps>
                                <R>5</R>
                              </CtgProps>
                              <LnkIn>
                                <LnkInProps>
                                  <MN>6</MN>
                                  <CLI>1,1,48,False,34</CLI>
                                  <ELN>1</ELN>
                                  <LOOT>0</LOOT>
                                  <LOMN>3</LOMN>
                                  <LOMCN>1</LOMCN>
                                  <LOSN>1</LOSN>
                                  <LOEN>24</LOEN>
                                  <LOCN>34</LOCN>
                                </LnkInProps>
                              </LnkIn>
                            </Ctg>
                            <Ctg>
                              <CtgProps>
                                <R>5</R>
                              </CtgProps>
                              <LnkIn>
                                <LnkInProps>
                                  <MN>6</MN>
                                  <CLI>1,1,48,False,35</CLI>
                                  <ELN>1</ELN>
                                  <LOOT>0</LOOT>
                                  <LOMN>3</LOMN>
                                  <LOMCN>1</LOMCN>
                                  <LOSN>1</LOSN>
                                  <LOEN>24</LOEN>
                                  <LOCN>35</LOCN>
                                </LnkInProps>
                              </LnkIn>
                            </Ctg>
                          </Ctgs>
                        </SubTtl>
                      </SubTtls>
                      <TtlCtg/>
                      <ElmtLnksIn>
                        <ElmtLnk>
                          <ElmtLnkProps>
                            <ELI>1,1,48</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1,1,52,1,1</CBPLI>
                                    <ELN>1</ELN>
                                    <FFF><![CDATA[=§A¿10,FALSE,0,1,0,FALSE§Z¿]]></FFF>
                                  </LnkInFormProps>
                                </LnkInForm>
                              </LnkInForms>
                            </ClmnBlkPt>
                            <ClmnBlkPt>
                              <ClmnBlkPtProps>
                                <CBPT>1</CBPT>
                                <ST>6</ST>
                                <VOFFF><![CDATA[="Total "&§A¿0,1,0,1,5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6</MN>
                                  <CLI>1,1,52,False,1</CLI>
                                  <ELN>1</ELN>
                                  <LOOT>0</LOOT>
                                  <LOMN>3</LOMN>
                                  <LOMCN>1</LOMCN>
                                  <LOSN>1</LOSN>
                                  <LOEN>29</LOEN>
                                  <LOCN>1</LOCN>
                                </LnkInProps>
                              </LnkIn>
                            </Ctg>
                            <Ctg>
                              <CtgProps>
                                <R>4</R>
                              </CtgProps>
                              <LnkIn>
                                <LnkInProps>
                                  <MN>6</MN>
                                  <CLI>1,1,52,False,2</CLI>
                                  <ELN>1</ELN>
                                  <LOOT>0</LOOT>
                                  <LOMN>3</LOMN>
                                  <LOMCN>1</LOMCN>
                                  <LOSN>1</LOSN>
                                  <LOEN>29</LOEN>
                                  <LOCN>2</LOCN>
                                </LnkInProps>
                              </LnkIn>
                            </Ctg>
                            <Ctg>
                              <CtgProps>
                                <R>5</R>
                              </CtgProps>
                              <LnkIn>
                                <LnkInProps>
                                  <MN>6</MN>
                                  <CLI>1,1,52,False,3</CLI>
                                  <ELN>1</ELN>
                                  <LOOT>0</LOOT>
                                  <LOMN>3</LOMN>
                                  <LOMCN>1</LOMCN>
                                  <LOSN>1</LOSN>
                                  <LOEN>29</LOEN>
                                  <LOCN>3</LOCN>
                                </LnkInProps>
                              </LnkIn>
                            </Ctg>
                            <Ctg>
                              <CtgProps>
                                <R>5</R>
                              </CtgProps>
                              <LnkIn>
                                <LnkInProps>
                                  <MN>6</MN>
                                  <CLI>1,1,52,False,4</CLI>
                                  <ELN>1</ELN>
                                  <LOOT>0</LOOT>
                                  <LOMN>3</LOMN>
                                  <LOMCN>1</LOMCN>
                                  <LOSN>1</LOSN>
                                  <LOEN>29</LOEN>
                                  <LOCN>4</LOCN>
                                </LnkInProps>
                              </LnkIn>
                            </Ctg>
                            <Ctg>
                              <CtgProps>
                                <R>5</R>
                              </CtgProps>
                              <LnkIn>
                                <LnkInProps>
                                  <MN>6</MN>
                                  <CLI>1,1,52,False,5</CLI>
                                  <ELN>1</ELN>
                                  <LOOT>0</LOOT>
                                  <LOMN>3</LOMN>
                                  <LOMCN>1</LOMCN>
                                  <LOSN>1</LOSN>
                                  <LOEN>29</LOEN>
                                  <LOCN>5</LOCN>
                                </LnkInProps>
                              </LnkIn>
                            </Ctg>
                            <Ctg>
                              <CtgProps>
                                <R>5</R>
                              </CtgProps>
                              <LnkIn>
                                <LnkInProps>
                                  <MN>6</MN>
                                  <CLI>1,1,52,False,6</CLI>
                                  <ELN>1</ELN>
                                  <LOOT>0</LOOT>
                                  <LOMN>3</LOMN>
                                  <LOMCN>1</LOMCN>
                                  <LOSN>1</LOSN>
                                  <LOEN>29</LOEN>
                                  <LOCN>6</LOCN>
                                </LnkInProps>
                              </LnkIn>
                            </Ctg>
                            <Ctg>
                              <CtgProps>
                                <R>5</R>
                              </CtgProps>
                              <LnkIn>
                                <LnkInProps>
                                  <MN>6</MN>
                                  <CLI>1,1,52,False,7</CLI>
                                  <ELN>1</ELN>
                                  <LOOT>0</LOOT>
                                  <LOMN>3</LOMN>
                                  <LOMCN>1</LOMCN>
                                  <LOSN>1</LOSN>
                                  <LOEN>29</LOEN>
                                  <LOCN>7</LOCN>
                                </LnkInProps>
                              </LnkIn>
                            </Ctg>
                            <Ctg>
                              <CtgProps>
                                <R>5</R>
                              </CtgProps>
                              <LnkIn>
                                <LnkInProps>
                                  <MN>6</MN>
                                  <CLI>1,1,52,False,8</CLI>
                                  <ELN>1</ELN>
                                  <LOOT>0</LOOT>
                                  <LOMN>3</LOMN>
                                  <LOMCN>1</LOMCN>
                                  <LOSN>1</LOSN>
                                  <LOEN>29</LOEN>
                                  <LOCN>8</LOCN>
                                </LnkInProps>
                              </LnkIn>
                            </Ctg>
                            <Ctg>
                              <CtgProps>
                                <R>5</R>
                              </CtgProps>
                              <LnkIn>
                                <LnkInProps>
                                  <MN>6</MN>
                                  <CLI>1,1,52,False,9</CLI>
                                  <ELN>1</ELN>
                                  <LOOT>0</LOOT>
                                  <LOMN>3</LOMN>
                                  <LOMCN>1</LOMCN>
                                  <LOSN>1</LOSN>
                                  <LOEN>29</LOEN>
                                  <LOCN>9</LOCN>
                                </LnkInProps>
                              </LnkIn>
                            </Ctg>
                            <Ctg>
                              <CtgProps>
                                <R>5</R>
                              </CtgProps>
                              <LnkIn>
                                <LnkInProps>
                                  <MN>6</MN>
                                  <CLI>1,1,52,False,10</CLI>
                                  <ELN>1</ELN>
                                  <LOOT>0</LOOT>
                                  <LOMN>3</LOMN>
                                  <LOMCN>1</LOMCN>
                                  <LOSN>1</LOSN>
                                  <LOEN>29</LOEN>
                                  <LOCN>10</LOCN>
                                </LnkInProps>
                              </LnkIn>
                            </Ctg>
                            <Ctg>
                              <CtgProps>
                                <R>5</R>
                              </CtgProps>
                              <LnkIn>
                                <LnkInProps>
                                  <MN>6</MN>
                                  <CLI>1,1,52,False,11</CLI>
                                  <ELN>1</ELN>
                                  <LOOT>0</LOOT>
                                  <LOMN>3</LOMN>
                                  <LOMCN>1</LOMCN>
                                  <LOSN>1</LOSN>
                                  <LOEN>29</LOEN>
                                  <LOCN>11</LOCN>
                                </LnkInProps>
                              </LnkIn>
                            </Ctg>
                            <Ctg>
                              <CtgProps>
                                <R>5</R>
                              </CtgProps>
                              <LnkIn>
                                <LnkInProps>
                                  <MN>6</MN>
                                  <CLI>1,1,52,False,12</CLI>
                                  <ELN>1</ELN>
                                  <LOOT>0</LOOT>
                                  <LOMN>3</LOMN>
                                  <LOMCN>1</LOMCN>
                                  <LOSN>1</LOSN>
                                  <LOEN>29</LOEN>
                                  <LOCN>12</LOCN>
                                </LnkInProps>
                              </LnkIn>
                            </Ctg>
                            <Ctg>
                              <CtgProps>
                                <R>5</R>
                              </CtgProps>
                              <LnkIn>
                                <LnkInProps>
                                  <MN>6</MN>
                                  <CLI>1,1,52,False,13</CLI>
                                  <ELN>1</ELN>
                                  <LOOT>0</LOOT>
                                  <LOMN>3</LOMN>
                                  <LOMCN>1</LOMCN>
                                  <LOSN>1</LOSN>
                                  <LOEN>29</LOEN>
                                  <LOCN>13</LOCN>
                                </LnkInProps>
                              </LnkIn>
                            </Ctg>
                            <Ctg>
                              <CtgProps>
                                <R>5</R>
                              </CtgProps>
                              <LnkIn>
                                <LnkInProps>
                                  <MN>6</MN>
                                  <CLI>1,1,52,False,14</CLI>
                                  <ELN>1</ELN>
                                  <LOOT>0</LOOT>
                                  <LOMN>3</LOMN>
                                  <LOMCN>1</LOMCN>
                                  <LOSN>1</LOSN>
                                  <LOEN>29</LOEN>
                                  <LOCN>14</LOCN>
                                </LnkInProps>
                              </LnkIn>
                            </Ctg>
                            <Ctg>
                              <CtgProps>
                                <R>5</R>
                              </CtgProps>
                              <LnkIn>
                                <LnkInProps>
                                  <MN>6</MN>
                                  <CLI>1,1,52,False,15</CLI>
                                  <ELN>1</ELN>
                                  <LOOT>0</LOOT>
                                  <LOMN>3</LOMN>
                                  <LOMCN>1</LOMCN>
                                  <LOSN>1</LOSN>
                                  <LOEN>29</LOEN>
                                  <LOCN>15</LOCN>
                                </LnkInProps>
                              </LnkIn>
                            </Ctg>
                            <Ctg>
                              <CtgProps>
                                <R>5</R>
                              </CtgProps>
                              <LnkIn>
                                <LnkInProps>
                                  <MN>6</MN>
                                  <CLI>1,1,52,False,16</CLI>
                                  <ELN>1</ELN>
                                  <LOOT>0</LOOT>
                                  <LOMN>3</LOMN>
                                  <LOMCN>1</LOMCN>
                                  <LOSN>1</LOSN>
                                  <LOEN>29</LOEN>
                                  <LOCN>16</LOCN>
                                </LnkInProps>
                              </LnkIn>
                            </Ctg>
                            <Ctg>
                              <CtgProps>
                                <R>5</R>
                              </CtgProps>
                              <LnkIn>
                                <LnkInProps>
                                  <MN>6</MN>
                                  <CLI>1,1,52,False,17</CLI>
                                  <ELN>1</ELN>
                                  <LOOT>0</LOOT>
                                  <LOMN>3</LOMN>
                                  <LOMCN>1</LOMCN>
                                  <LOSN>1</LOSN>
                                  <LOEN>29</LOEN>
                                  <LOCN>17</LOCN>
                                </LnkInProps>
                              </LnkIn>
                            </Ctg>
                            <Ctg>
                              <CtgProps>
                                <R>5</R>
                              </CtgProps>
                              <LnkIn>
                                <LnkInProps>
                                  <MN>6</MN>
                                  <CLI>1,1,52,False,18</CLI>
                                  <ELN>1</ELN>
                                  <LOOT>0</LOOT>
                                  <LOMN>3</LOMN>
                                  <LOMCN>1</LOMCN>
                                  <LOSN>1</LOSN>
                                  <LOEN>29</LOEN>
                                  <LOCN>18</LOCN>
                                </LnkInProps>
                              </LnkIn>
                            </Ctg>
                            <Ctg>
                              <CtgProps>
                                <R>5</R>
                              </CtgProps>
                              <LnkIn>
                                <LnkInProps>
                                  <MN>6</MN>
                                  <CLI>1,1,52,False,19</CLI>
                                  <ELN>1</ELN>
                                  <LOOT>0</LOOT>
                                  <LOMN>3</LOMN>
                                  <LOMCN>1</LOMCN>
                                  <LOSN>1</LOSN>
                                  <LOEN>29</LOEN>
                                  <LOCN>19</LOCN>
                                </LnkInProps>
                              </LnkIn>
                            </Ctg>
                            <Ctg>
                              <CtgProps>
                                <R>5</R>
                              </CtgProps>
                              <LnkIn>
                                <LnkInProps>
                                  <MN>6</MN>
                                  <CLI>1,1,52,False,20</CLI>
                                  <ELN>1</ELN>
                                  <LOOT>0</LOOT>
                                  <LOMN>3</LOMN>
                                  <LOMCN>1</LOMCN>
                                  <LOSN>1</LOSN>
                                  <LOEN>29</LOEN>
                                  <LOCN>20</LOCN>
                                </LnkInProps>
                              </LnkIn>
                            </Ctg>
                            <Ctg>
                              <CtgProps>
                                <R>5</R>
                              </CtgProps>
                              <LnkIn>
                                <LnkInProps>
                                  <MN>6</MN>
                                  <CLI>1,1,52,False,21</CLI>
                                  <ELN>1</ELN>
                                  <LOOT>0</LOOT>
                                  <LOMN>3</LOMN>
                                  <LOMCN>1</LOMCN>
                                  <LOSN>1</LOSN>
                                  <LOEN>29</LOEN>
                                  <LOCN>21</LOCN>
                                </LnkInProps>
                              </LnkIn>
                            </Ctg>
                            <Ctg>
                              <CtgProps>
                                <R>5</R>
                              </CtgProps>
                              <LnkIn>
                                <LnkInProps>
                                  <MN>6</MN>
                                  <CLI>1,1,52,False,22</CLI>
                                  <ELN>1</ELN>
                                  <LOOT>0</LOOT>
                                  <LOMN>3</LOMN>
                                  <LOMCN>1</LOMCN>
                                  <LOSN>1</LOSN>
                                  <LOEN>29</LOEN>
                                  <LOCN>22</LOCN>
                                </LnkInProps>
                              </LnkIn>
                            </Ctg>
                            <Ctg>
                              <CtgProps>
                                <R>5</R>
                              </CtgProps>
                              <LnkIn>
                                <LnkInProps>
                                  <MN>6</MN>
                                  <CLI>1,1,52,False,23</CLI>
                                  <ELN>1</ELN>
                                  <LOOT>0</LOOT>
                                  <LOMN>3</LOMN>
                                  <LOMCN>1</LOMCN>
                                  <LOSN>1</LOSN>
                                  <LOEN>29</LOEN>
                                  <LOCN>23</LOCN>
                                </LnkInProps>
                              </LnkIn>
                            </Ctg>
                            <Ctg>
                              <CtgProps>
                                <R>5</R>
                              </CtgProps>
                              <LnkIn>
                                <LnkInProps>
                                  <MN>6</MN>
                                  <CLI>1,1,52,False,24</CLI>
                                  <ELN>1</ELN>
                                  <LOOT>0</LOOT>
                                  <LOMN>3</LOMN>
                                  <LOMCN>1</LOMCN>
                                  <LOSN>1</LOSN>
                                  <LOEN>29</LOEN>
                                  <LOCN>24</LOCN>
                                </LnkInProps>
                              </LnkIn>
                            </Ctg>
                            <Ctg>
                              <CtgProps>
                                <R>5</R>
                              </CtgProps>
                              <LnkIn>
                                <LnkInProps>
                                  <MN>6</MN>
                                  <CLI>1,1,52,False,25</CLI>
                                  <ELN>1</ELN>
                                  <LOOT>0</LOOT>
                                  <LOMN>3</LOMN>
                                  <LOMCN>1</LOMCN>
                                  <LOSN>1</LOSN>
                                  <LOEN>29</LOEN>
                                  <LOCN>25</LOCN>
                                </LnkInProps>
                              </LnkIn>
                            </Ctg>
                            <Ctg>
                              <CtgProps>
                                <R>5</R>
                              </CtgProps>
                              <LnkIn>
                                <LnkInProps>
                                  <MN>6</MN>
                                  <CLI>1,1,52,False,26</CLI>
                                  <ELN>1</ELN>
                                  <LOOT>0</LOOT>
                                  <LOMN>3</LOMN>
                                  <LOMCN>1</LOMCN>
                                  <LOSN>1</LOSN>
                                  <LOEN>29</LOEN>
                                  <LOCN>26</LOCN>
                                </LnkInProps>
                              </LnkIn>
                            </Ctg>
                            <Ctg>
                              <CtgProps>
                                <R>5</R>
                              </CtgProps>
                              <LnkIn>
                                <LnkInProps>
                                  <MN>6</MN>
                                  <CLI>1,1,52,False,27</CLI>
                                  <ELN>1</ELN>
                                  <LOOT>0</LOOT>
                                  <LOMN>3</LOMN>
                                  <LOMCN>1</LOMCN>
                                  <LOSN>1</LOSN>
                                  <LOEN>29</LOEN>
                                  <LOCN>27</LOCN>
                                </LnkInProps>
                              </LnkIn>
                            </Ctg>
                            <Ctg>
                              <CtgProps>
                                <R>5</R>
                              </CtgProps>
                              <LnkIn>
                                <LnkInProps>
                                  <MN>6</MN>
                                  <CLI>1,1,52,False,28</CLI>
                                  <ELN>1</ELN>
                                  <LOOT>0</LOOT>
                                  <LOMN>3</LOMN>
                                  <LOMCN>1</LOMCN>
                                  <LOSN>1</LOSN>
                                  <LOEN>29</LOEN>
                                  <LOCN>28</LOCN>
                                </LnkInProps>
                              </LnkIn>
                            </Ctg>
                            <Ctg>
                              <CtgProps>
                                <R>5</R>
                              </CtgProps>
                              <LnkIn>
                                <LnkInProps>
                                  <MN>6</MN>
                                  <CLI>1,1,52,False,29</CLI>
                                  <ELN>1</ELN>
                                  <LOOT>0</LOOT>
                                  <LOMN>3</LOMN>
                                  <LOMCN>1</LOMCN>
                                  <LOSN>1</LOSN>
                                  <LOEN>29</LOEN>
                                  <LOCN>29</LOCN>
                                </LnkInProps>
                              </LnkIn>
                            </Ctg>
                            <Ctg>
                              <CtgProps>
                                <R>5</R>
                              </CtgProps>
                              <LnkIn>
                                <LnkInProps>
                                  <MN>6</MN>
                                  <CLI>1,1,52,False,30</CLI>
                                  <ELN>1</ELN>
                                  <LOOT>0</LOOT>
                                  <LOMN>3</LOMN>
                                  <LOMCN>1</LOMCN>
                                  <LOSN>1</LOSN>
                                  <LOEN>29</LOEN>
                                  <LOCN>30</LOCN>
                                </LnkInProps>
                              </LnkIn>
                            </Ctg>
                            <Ctg>
                              <CtgProps>
                                <R>5</R>
                              </CtgProps>
                              <LnkIn>
                                <LnkInProps>
                                  <MN>6</MN>
                                  <CLI>1,1,52,False,31</CLI>
                                  <ELN>1</ELN>
                                  <LOOT>0</LOOT>
                                  <LOMN>3</LOMN>
                                  <LOMCN>1</LOMCN>
                                  <LOSN>1</LOSN>
                                  <LOEN>29</LOEN>
                                  <LOCN>31</LOCN>
                                </LnkInProps>
                              </LnkIn>
                            </Ctg>
                            <Ctg>
                              <CtgProps>
                                <R>5</R>
                              </CtgProps>
                              <LnkIn>
                                <LnkInProps>
                                  <MN>6</MN>
                                  <CLI>1,1,52,False,32</CLI>
                                  <ELN>1</ELN>
                                  <LOOT>0</LOOT>
                                  <LOMN>3</LOMN>
                                  <LOMCN>1</LOMCN>
                                  <LOSN>1</LOSN>
                                  <LOEN>29</LOEN>
                                  <LOCN>32</LOCN>
                                </LnkInProps>
                              </LnkIn>
                            </Ctg>
                            <Ctg>
                              <CtgProps>
                                <R>5</R>
                              </CtgProps>
                              <LnkIn>
                                <LnkInProps>
                                  <MN>6</MN>
                                  <CLI>1,1,52,False,33</CLI>
                                  <ELN>1</ELN>
                                  <LOOT>0</LOOT>
                                  <LOMN>3</LOMN>
                                  <LOMCN>1</LOMCN>
                                  <LOSN>1</LOSN>
                                  <LOEN>29</LOEN>
                                  <LOCN>33</LOCN>
                                </LnkInProps>
                              </LnkIn>
                            </Ctg>
                            <Ctg>
                              <CtgProps>
                                <R>5</R>
                              </CtgProps>
                              <LnkIn>
                                <LnkInProps>
                                  <MN>6</MN>
                                  <CLI>1,1,52,False,34</CLI>
                                  <ELN>1</ELN>
                                  <LOOT>0</LOOT>
                                  <LOMN>3</LOMN>
                                  <LOMCN>1</LOMCN>
                                  <LOSN>1</LOSN>
                                  <LOEN>29</LOEN>
                                  <LOCN>34</LOCN>
                                </LnkInProps>
                              </LnkIn>
                            </Ctg>
                            <Ctg>
                              <CtgProps>
                                <R>5</R>
                              </CtgProps>
                              <LnkIn>
                                <LnkInProps>
                                  <MN>6</MN>
                                  <CLI>1,1,52,False,35</CLI>
                                  <ELN>1</ELN>
                                  <LOOT>0</LOOT>
                                  <LOMN>3</LOMN>
                                  <LOMCN>1</LOMCN>
                                  <LOSN>1</LOSN>
                                  <LOEN>29</LOEN>
                                  <LOCN>35</LOCN>
                                </LnkInProps>
                              </LnkIn>
                            </Ctg>
                          </Ctgs>
                        </SubTtl>
                      </SubTtls>
                      <TtlCtg/>
                      <ElmtLnksIn>
                        <ElmtLnk>
                          <ElmtLnkProps>
                            <ELI>1,1,52</ELI>
                            <ELN>1</ELN>
                            <ELGN>6</ELGN>
                            <MLG>A4172745-D85C-404E-8029-461F8AE9358B</MLG>
                            <ICBI>1,2,3,4,5</ICBI>
                            <ILBN/>
                            <LIBN>0</LIBN>
                          </ElmtLnkProps>
                        </ElmtLnk>
                      </ElmtLnksIn>
                    </Elmt>
                  </Elmts>
                </Sect>
              </Sects>
              <Ctrls>
                <Ctrl>
                  <CtrlProps>
                    <MN>6</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6</MN>
                <MCN>2</MCN>
                <MCTK>BaseCase</MCTK>
                <RT><![CDATA[<ModuleName> - Assumptions]]></RT>
                <ERN>BPMMC44</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ClmnBlks>
                        <ClmnBlk>
                          <ClmnBlkProps>
                            <FCPT>3</FCPT>
                            <FCN>3</FCN>
                            <FCOT>0</FCOT>
                            <FCOC>0</FCOC>
                            <FCPTBMCN>3</FCPTBMCN>
                            <FCPTBN>2</FCPTBN>
                            <LCPT>3</LCPT>
                            <LCN>7</LCN>
                            <LCOT>0</LCOT>
                            <LCOC>4</LCOC>
                            <LCPTBMCN>3</LCPTBMCN>
                            <LCPTBN>2</LCPTBN>
                          </ClmnBlkProps>
                          <ClmnBlkPts>
                            <ClmnBlkPt>
                              <ClmnBlkPtProps>
                                <CBPT>5</CBPT>
                                <ST>6</ST>
                                <MC>True</MC>
                                <VOFFF><![CDATA[Number of Local Microplanning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CDATA[0]]></VOFFF>
                                <UDAV><![CDATA[0]]></UDAV>
                              </ClmnBlkPtProps>
                            </ClmnBlkPt>
                          </ClmnBlkPts>
                        </ClmnBlk>
                      </ClmnBlks>
                      <TtlCtg/>
                    </Elmt>
                    <Elmt>
                      <ElmtProps>
                        <CPT>2</CPT>
                      </ElmtProps>
                      <TtlCtg/>
                    </Elmt>
                  </Elmts>
                </Sect>
              </Sects>
            </ModComp>
            <ModComp>
              <ModCompProps>
                <MN>6</MN>
                <MCN>3</MCN>
                <MCTK>OP</MCTK>
                <RT><![CDATA[<ModuleName> - Outputs]]></RT>
                <ERN>BPMMC45</ERN>
                <MCST>0</MCST>
                <IPMC>False</IPMC>
                <SN>25</SN>
                <LODS>False</LODS>
                <LST>False</LST>
                <HS>False</HS>
                <IBOA>0</IBOA>
                <IB>True</IB>
                <CI/>
                <PTI/>
                <PTP>False</PTP>
                <PTD/>
                <PTMCN>0</PTMCN>
                <CROL>0</CROL>
                <CCOL>0</CCOL>
                <AMFN>0</AMFN>
              </ModCompProps>
              <Sects>
                <Sect>
                  <SectProps>
                    <LI>3,1</LI>
                    <EGN>0</EGN>
                  </SectProps>
                  <Elmts>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3,1,1,1,0,0,TRUE,TRUE§Z¿,§A¿0,1,0,1,33,1,1,2,0,0,TRUE,TRUE§Z¿)&")"]]></VOFFF>
                              </ClmnBlkPtProps>
                            </ClmnBlkPt>
                          </ClmnBlkPts>
                        </ClmnBlk>
                        <ClmnBlk>
                          <ClmnBlkProps>
                            <FCPT>0</FCPT>
                            <FCN>17</FCN>
                            <LCPT>0</LCPT>
                            <LCN>17</LCN>
                          </ClmnBlkProps>
                          <ClmnBlkPts>
                            <ClmnBlkPt>
                              <ClmnBlkPtProps>
                                <CBPT>5</CBPT>
                                <ST>6</ST>
                                <SON>2</SON>
                                <VOFFF><![CDATA[="FINANCIAL COST ("&IF(§A¿1,1,1,1,5,0,2,1,1§Z¿=2,§A¿0,1,0,1,33,1,1,1,0,0,TRUE,TRUE§Z¿,§A¿0,1,0,1,33,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15</SON>
                                <VOFFF><![CDATA[=§A¿0,1,0,1,8,6,6,-1,0,0,FALSE,FALSE§Z¿]]></VOFFF>
                              </ClmnBlkPtProps>
                            </ClmnBlkPt>
                          </ClmnBlkPts>
                        </ClmnBlk>
                        <ClmnBlk>
                          <ClmnBlkProps>
                            <FCPT>0</FCPT>
                            <FCN>12</FCN>
                            <LCPT>0</LCPT>
                            <LCN>12</LCN>
                          </ClmnBlkProps>
                          <ClmnBlkPts>
                            <ClmnBlkPt>
                              <ClmnBlkPtProps>
                                <CBPT>5</CBPT>
                                <ST>18</ST>
                                <SON>15</SON>
                                <VOFFF><![CDATA[=§A¿0,1,0,1,8,7,6,-1,0,0,FALSE,FALSE§Z¿]]></VOFFF>
                              </ClmnBlkPtProps>
                            </ClmnBlkPt>
                          </ClmnBlkPts>
                        </ClmnBlk>
                        <ClmnBlk>
                          <ClmnBlkProps>
                            <FCPT>0</FCPT>
                            <FCN>15</FCN>
                            <LCPT>0</LCPT>
                            <LCN>15</LCN>
                          </ClmnBlkProps>
                          <ClmnBlkPts>
                            <ClmnBlkPt>
                              <ClmnBlkPtProps>
                                <CBPT>5</CBPT>
                                <ST>18</ST>
                                <SON>15</SON>
                                <VOFFF><![CDATA[=IFERROR(IF(§A¿1,1,1,1,5,0,2,1,1§Z¿=2,§A¿0,3,0,1,4,2,1,-1,0,0,FALSE,FALSE§Z¿/§A¿0,1,0,1,33,2,1,2,0,0,TRUE,TRUE§Z¿,§A¿0,3,0,1,4,2,1,-1,0,0,FALSE,FALSE§Z¿*§A¿0,1,0,1,33,2,1,2,0,0,TRUE,TRUE§Z¿), 0)]]></VOFFF>
                              </ClmnBlkPtProps>
                            </ClmnBlkPt>
                          </ClmnBlkPts>
                        </ClmnBlk>
                        <ClmnBlk>
                          <ClmnBlkProps>
                            <FCPT>0</FCPT>
                            <FCN>17</FCN>
                            <LCPT>0</LCPT>
                            <LCN>17</LCN>
                          </ClmnBlkProps>
                          <ClmnBlkPts>
                            <ClmnBlkPt>
                              <ClmnBlkPtProps>
                                <CBPT>5</CBPT>
                                <ST>18</ST>
                                <SON>15</SON>
                                <VOFFF><![CDATA[=IFERROR(IF(§A¿1,1,1,1,5,0,2,1,1§Z¿=2,§A¿0,3,0,1,4,3,1,-1,0,0,FALSE,FALSE§Z¿/§A¿0,1,0,1,33,2,1,2,0,0,TRUE,TRUE§Z¿,§A¿0,3,0,1,4,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15</SON>
                                <VOFFF><![CDATA[=§A¿0,1,0,1,12,6,6,-1,0,0,FALSE,FALSE§Z¿]]></VOFFF>
                              </ClmnBlkPtProps>
                            </ClmnBlkPt>
                          </ClmnBlkPts>
                        </ClmnBlk>
                        <ClmnBlk>
                          <ClmnBlkProps>
                            <FCPT>0</FCPT>
                            <FCN>12</FCN>
                            <LCPT>0</LCPT>
                            <LCN>12</LCN>
                          </ClmnBlkProps>
                          <ClmnBlkPts>
                            <ClmnBlkPt>
                              <ClmnBlkPtProps>
                                <CBPT>5</CBPT>
                                <ST>18</ST>
                                <SON>15</SON>
                                <VOFFF><![CDATA[=§A¿0,1,0,1,12,7,6,-1,0,0,FALSE,FALSE§Z¿]]></VOFFF>
                              </ClmnBlkPtProps>
                            </ClmnBlkPt>
                          </ClmnBlkPts>
                        </ClmnBlk>
                        <ClmnBlk>
                          <ClmnBlkProps>
                            <FCPT>0</FCPT>
                            <FCN>15</FCN>
                            <LCPT>0</LCPT>
                            <LCN>15</LCN>
                          </ClmnBlkProps>
                          <ClmnBlkPts>
                            <ClmnBlkPt>
                              <ClmnBlkPtProps>
                                <CBPT>5</CBPT>
                                <ST>18</ST>
                                <SON>15</SON>
                                <VOFFF><![CDATA[=IFERROR(IF(§A¿1,1,1,1,5,0,2,1,1§Z¿=2,§A¿0,3,0,1,5,2,1,-1,0,0,FALSE,FALSE§Z¿/§A¿0,1,0,1,33,2,1,2,0,0,TRUE,TRUE§Z¿,§A¿0,3,0,1,5,2,1,-1,0,0,FALSE,FALSE§Z¿*§A¿0,1,0,1,33,2,1,2,0,0,TRUE,TRUE§Z¿),0)]]></VOFFF>
                              </ClmnBlkPtProps>
                            </ClmnBlkPt>
                          </ClmnBlkPts>
                        </ClmnBlk>
                        <ClmnBlk>
                          <ClmnBlkProps>
                            <FCPT>0</FCPT>
                            <FCN>17</FCN>
                            <LCPT>0</LCPT>
                            <LCN>17</LCN>
                          </ClmnBlkProps>
                          <ClmnBlkPts>
                            <ClmnBlkPt>
                              <ClmnBlkPtProps>
                                <CBPT>5</CBPT>
                                <ST>18</ST>
                                <SON>15</SON>
                                <VOFFF><![CDATA[=IFERROR(IF(§A¿1,1,1,1,5,0,2,1,1§Z¿=2,§A¿0,3,0,1,5,3,1,-1,0,0,FALSE,FALSE§Z¿/§A¿0,1,0,1,33,2,1,2,0,0,TRUE,TRUE§Z¿,§A¿0,3,0,1,5,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5,1,1,-1,0,0,FALSE,FALSE§Z¿]]></VOFFF>
                              </ClmnBlkPtProps>
                            </ClmnBlkPt>
                          </ClmnBlkPts>
                        </ClmnBlk>
                        <ClmnBlk>
                          <ClmnBlkProps>
                            <FCPT>0</FCPT>
                            <FCN>10</FCN>
                            <LCPT>0</LCPT>
                            <LCN>10</LCN>
                          </ClmnBlkProps>
                          <ClmnBlkPts>
                            <ClmnBlkPt>
                              <ClmnBlkPtProps>
                                <CBPT>5</CBPT>
                                <ST>18</ST>
                                <SON>15</SON>
                                <VOFFF><![CDATA[=§A¿0,1,0,1,17,6,6,-1,0,0,FALSE,FALSE§Z¿]]></VOFFF>
                              </ClmnBlkPtProps>
                            </ClmnBlkPt>
                          </ClmnBlkPts>
                        </ClmnBlk>
                        <ClmnBlk>
                          <ClmnBlkProps>
                            <FCPT>0</FCPT>
                            <FCN>12</FCN>
                            <LCPT>0</LCPT>
                            <LCN>12</LCN>
                          </ClmnBlkProps>
                          <ClmnBlkPts>
                            <ClmnBlkPt>
                              <ClmnBlkPtProps>
                                <CBPT>5</CBPT>
                                <ST>18</ST>
                                <SON>15</SON>
                                <VOFFF><![CDATA[=§A¿0,1,0,1,17,7,6,-1,0,0,FALSE,FALSE§Z¿]]></VOFFF>
                              </ClmnBlkPtProps>
                            </ClmnBlkPt>
                          </ClmnBlkPts>
                        </ClmnBlk>
                        <ClmnBlk>
                          <ClmnBlkProps>
                            <FCPT>0</FCPT>
                            <FCN>15</FCN>
                            <LCPT>0</LCPT>
                            <LCN>15</LCN>
                          </ClmnBlkProps>
                          <ClmnBlkPts>
                            <ClmnBlkPt>
                              <ClmnBlkPtProps>
                                <CBPT>5</CBPT>
                                <ST>18</ST>
                                <SON>15</SON>
                                <VOFFF><![CDATA[=IFERROR(IF(§A¿1,1,1,1,5,0,2,1,1§Z¿=2,§A¿0,3,0,1,6,2,1,-1,0,0,FALSE,FALSE§Z¿/§A¿0,1,0,1,33,2,1,2,0,0,TRUE,TRUE§Z¿,§A¿0,3,0,1,6,2,1,-1,0,0,FALSE,FALSE§Z¿*§A¿0,1,0,1,33,2,1,2,0,0,TRUE,TRUE§Z¿), 0)]]></VOFFF>
                              </ClmnBlkPtProps>
                            </ClmnBlkPt>
                          </ClmnBlkPts>
                        </ClmnBlk>
                        <ClmnBlk>
                          <ClmnBlkProps>
                            <FCPT>0</FCPT>
                            <FCN>17</FCN>
                            <LCPT>0</LCPT>
                            <LCN>17</LCN>
                          </ClmnBlkProps>
                          <ClmnBlkPts>
                            <ClmnBlkPt>
                              <ClmnBlkPtProps>
                                <CBPT>5</CBPT>
                                <ST>18</ST>
                                <SON>15</SON>
                                <VOFFF><![CDATA[=IFERROR(IF(§A¿1,1,1,1,5,0,2,1,1§Z¿=2,§A¿0,3,0,1,6,3,1,-1,0,0,FALSE,FALSE§Z¿/§A¿0,1,0,1,33,2,1,2,0,0,TRUE,TRUE§Z¿,§A¿0,3,0,1,6,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9,1,1,-1,0,0,FALSE,FALSE§Z¿]]></VOFFF>
                              </ClmnBlkPtProps>
                            </ClmnBlkPt>
                          </ClmnBlkPts>
                        </ClmnBlk>
                        <ClmnBlk>
                          <ClmnBlkProps>
                            <FCPT>0</FCPT>
                            <FCN>10</FCN>
                            <LCPT>0</LCPT>
                            <LCN>10</LCN>
                          </ClmnBlkProps>
                          <ClmnBlkPts>
                            <ClmnBlkPt>
                              <ClmnBlkPtProps>
                                <CBPT>5</CBPT>
                                <ST>18</ST>
                                <SON>15</SON>
                                <VOFFF><![CDATA[=§A¿0,1,0,1,21,5,6,-1,0,0,FALSE,FALSE§Z¿]]></VOFFF>
                              </ClmnBlkPtProps>
                            </ClmnBlkPt>
                          </ClmnBlkPts>
                        </ClmnBlk>
                        <ClmnBlk>
                          <ClmnBlkProps>
                            <FCPT>0</FCPT>
                            <FCN>12</FCN>
                            <LCPT>0</LCPT>
                            <LCN>12</LCN>
                          </ClmnBlkProps>
                          <ClmnBlkPts>
                            <ClmnBlkPt>
                              <ClmnBlkPtProps>
                                <CBPT>5</CBPT>
                                <ST>18</ST>
                                <SON>15</SON>
                                <VOFFF><![CDATA[=§A¿0,1,0,1,21,6,6,-1,0,0,FALSE,FALSE§Z¿]]></VOFFF>
                              </ClmnBlkPtProps>
                            </ClmnBlkPt>
                          </ClmnBlkPts>
                        </ClmnBlk>
                        <ClmnBlk>
                          <ClmnBlkProps>
                            <FCPT>0</FCPT>
                            <FCN>15</FCN>
                            <LCPT>0</LCPT>
                            <LCN>15</LCN>
                          </ClmnBlkProps>
                          <ClmnBlkPts>
                            <ClmnBlkPt>
                              <ClmnBlkPtProps>
                                <CBPT>5</CBPT>
                                <ST>18</ST>
                                <SON>15</SON>
                                <VOFFF><![CDATA[=IFERROR(IF(§A¿1,1,1,1,5,0,2,1,1§Z¿=2,§A¿0,3,0,1,7,2,1,-1,0,0,FALSE,FALSE§Z¿/§A¿0,1,0,1,33,2,1,2,0,0,TRUE,TRUE§Z¿,§A¿0,3,0,1,7,2,1,-1,0,0,FALSE,FALSE§Z¿*§A¿0,1,0,1,33,2,1,2,0,0,TRUE,TRUE§Z¿), 0)]]></VOFFF>
                              </ClmnBlkPtProps>
                            </ClmnBlkPt>
                          </ClmnBlkPts>
                        </ClmnBlk>
                        <ClmnBlk>
                          <ClmnBlkProps>
                            <FCPT>0</FCPT>
                            <FCN>17</FCN>
                            <LCPT>0</LCPT>
                            <LCN>17</LCN>
                          </ClmnBlkProps>
                          <ClmnBlkPts>
                            <ClmnBlkPt>
                              <ClmnBlkPtProps>
                                <CBPT>5</CBPT>
                                <ST>18</ST>
                                <SON>15</SON>
                                <VOFFF><![CDATA[=IFERROR(IF(§A¿1,1,1,1,5,0,2,1,1§Z¿=2,§A¿0,3,0,1,7,3,1,-1,0,0,FALSE,FALSE§Z¿/§A¿0,1,0,1,33,2,1,2,0,0,TRUE,TRUE§Z¿,§A¿0,3,0,1,7,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23,1,1,-1,0,0,FALSE,FALSE§Z¿]]></VOFFF>
                              </ClmnBlkPtProps>
                            </ClmnBlkPt>
                          </ClmnBlkPts>
                        </ClmnBlk>
                        <ClmnBlk>
                          <ClmnBlkProps>
                            <FCPT>0</FCPT>
                            <FCN>10</FCN>
                            <LCPT>0</LCPT>
                            <LCN>10</LCN>
                          </ClmnBlkProps>
                          <ClmnBlkPts>
                            <ClmnBlkPt>
                              <ClmnBlkPtProps>
                                <CBPT>5</CBPT>
                                <ST>18</ST>
                                <SON>15</SON>
                                <VOFFF><![CDATA[=§A¿0,1,0,1,26,6,6,-1,0,0,FALSE,FALSE§Z¿]]></VOFFF>
                              </ClmnBlkPtProps>
                            </ClmnBlkPt>
                          </ClmnBlkPts>
                        </ClmnBlk>
                        <ClmnBlk>
                          <ClmnBlkProps>
                            <FCPT>0</FCPT>
                            <FCN>12</FCN>
                            <LCPT>0</LCPT>
                            <LCN>12</LCN>
                          </ClmnBlkProps>
                          <ClmnBlkPts>
                            <ClmnBlkPt>
                              <ClmnBlkPtProps>
                                <CBPT>5</CBPT>
                                <ST>18</ST>
                                <SON>15</SON>
                                <VOFFF><![CDATA[=§A¿0,1,0,1,26,7,6,-1,0,0,FALSE,FALSE§Z¿]]></VOFFF>
                              </ClmnBlkPtProps>
                            </ClmnBlkPt>
                          </ClmnBlkPts>
                        </ClmnBlk>
                        <ClmnBlk>
                          <ClmnBlkProps>
                            <FCPT>0</FCPT>
                            <FCN>15</FCN>
                            <LCPT>0</LCPT>
                            <LCN>15</LCN>
                          </ClmnBlkProps>
                          <ClmnBlkPts>
                            <ClmnBlkPt>
                              <ClmnBlkPtProps>
                                <CBPT>5</CBPT>
                                <ST>18</ST>
                                <SON>15</SON>
                                <VOFFF><![CDATA[=IFERROR(IF(§A¿1,1,1,1,5,0,2,1,1§Z¿=2,§A¿0,3,0,1,8,2,1,-1,0,0,FALSE,FALSE§Z¿/§A¿0,1,0,1,33,2,1,2,0,0,TRUE,TRUE§Z¿,§A¿0,3,0,1,8,2,1,-1,0,0,FALSE,FALSE§Z¿*§A¿0,1,0,1,33,2,1,2,0,0,TRUE,TRUE§Z¿), 0)]]></VOFFF>
                              </ClmnBlkPtProps>
                            </ClmnBlkPt>
                          </ClmnBlkPts>
                        </ClmnBlk>
                        <ClmnBlk>
                          <ClmnBlkProps>
                            <FCPT>0</FCPT>
                            <FCN>17</FCN>
                            <LCPT>0</LCPT>
                            <LCN>17</LCN>
                          </ClmnBlkProps>
                          <ClmnBlkPts>
                            <ClmnBlkPt>
                              <ClmnBlkPtProps>
                                <CBPT>5</CBPT>
                                <ST>18</ST>
                                <SON>15</SON>
                                <VOFFF><![CDATA[=IFERROR(IF(§A¿1,1,1,1,5,0,2,1,1§Z¿=2,§A¿0,3,0,1,8,3,1,-1,0,0,FALSE,FALSE§Z¿/§A¿0,1,0,1,33,2,1,2,0,0,TRUE,TRUE§Z¿,§A¿0,3,0,1,8,3,1,-1,0,0,FALSE,FALSE§Z¿*§A¿0,1,0,1,33,2,1,2,0,0,TRUE,TRUE§Z¿), 0)]]></VOFFF>
                              </ClmnBlkPtProps>
                            </ClmnBlkPt>
                          </ClmnBlkPts>
                        </ClmnBlk>
                      </ClmnBlks>
                      <TtlCtg/>
                    </Elmt>
                    <Elmt>
                      <ElmtProps>
                        <CPT>2</CPT>
                      </ElmtProps>
                      <ClmnBlks>
                        <ClmnBlk>
                          <ClmnBlkProps>
                            <FCPT>0</FCPT>
                            <FCN>4</FCN>
                            <LCPT>0</LCPT>
                            <LCN>4</LCN>
                          </ClmnBlkProps>
                          <ClmnBlkPts>
                            <ClmnBlkPt>
                              <ClmnBlkPtProps>
                                <CBPT>5</CBPT>
                                <ST>6</ST>
                                <SON>14</SON>
                                <VOFFF><![CDATA[="Single "&§A¿0,3,0,1,2,1,1,-1,0,0,FALSE,FALSE§Z¿]]></VOFFF>
                              </ClmnBlkPtProps>
                            </ClmnBlkPt>
                          </ClmnBlkPts>
                        </ClmnBlk>
                        <ClmnBlk>
                          <ClmnBlkProps>
                            <FCPT>0</FCPT>
                            <FCN>10</FCN>
                            <LCPT>0</LCPT>
                            <LCN>10</LCN>
                          </ClmnBlkProps>
                          <ClmnBlkPts>
                            <ClmnBlkPt>
                              <ClmnBlkPtProps>
                                <CBPT>5</CBPT>
                                <ST>18</ST>
                                <SON>17</SON>
                                <VOFFF><![CDATA[=SUM(§A¿0,3,1,1,4,2,1,-1,0,0,FALSE,FALSE,1,8,2,1,-1,0,0,FALSE,FALSE§Z¿)]]></VOFFF>
                              </ClmnBlkPtProps>
                            </ClmnBlkPt>
                          </ClmnBlkPts>
                        </ClmnBlk>
                        <ClmnBlk>
                          <ClmnBlkProps>
                            <FCPT>0</FCPT>
                            <FCN>12</FCN>
                            <LCPT>0</LCPT>
                            <LCN>12</LCN>
                          </ClmnBlkProps>
                          <ClmnBlkPts>
                            <ClmnBlkPt>
                              <ClmnBlkPtProps>
                                <CBPT>5</CBPT>
                                <ST>18</ST>
                                <SON>17</SON>
                                <VOFFF><![CDATA[=SUM(§A¿0,3,1,1,4,3,1,-1,0,0,FALSE,FALSE,1,8,3,1,-1,0,0,FALSE,FALSE§Z¿)]]></VOFFF>
                              </ClmnBlkPtProps>
                            </ClmnBlkPt>
                          </ClmnBlkPts>
                        </ClmnBlk>
                        <ClmnBlk>
                          <ClmnBlkProps>
                            <FCPT>0</FCPT>
                            <FCN>15</FCN>
                            <LCPT>0</LCPT>
                            <LCN>15</LCN>
                          </ClmnBlkProps>
                          <ClmnBlkPts>
                            <ClmnBlkPt>
                              <ClmnBlkPtProps>
                                <CBPT>5</CBPT>
                                <ST>18</ST>
                                <SON>18</SON>
                                <VOFFF><![CDATA[=SUM(§A¿0,3,1,1,4,4,1,-1,0,0,FALSE,FALSE,1,8,4,1,-1,0,0,FALSE,FALSE§Z¿)]]></VOFFF>
                              </ClmnBlkPtProps>
                            </ClmnBlkPt>
                          </ClmnBlkPts>
                        </ClmnBlk>
                        <ClmnBlk>
                          <ClmnBlkProps>
                            <FCPT>0</FCPT>
                            <FCN>17</FCN>
                            <LCPT>0</LCPT>
                            <LCN>17</LCN>
                          </ClmnBlkProps>
                          <ClmnBlkPts>
                            <ClmnBlkPt>
                              <ClmnBlkPtProps>
                                <CBPT>5</CBPT>
                                <ST>18</ST>
                                <SON>18</SON>
                                <VOFFF><![CDATA[=SUM(§A¿0,3,1,1,4,5,1,-1,0,0,FALSE,FALSE,1,8,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3,1,11,2,1</CBPLI>
                                    <MCN>3</MCN>
                                    <SN>1</SN>
                                    <EN>11</EN>
                                    <CN>0</CN>
                                    <CBN>2</CBN>
                                    <CBPN>1</CBPN>
                                    <PT>1</PT>
                                    <CBPRNT>6</CBPRNT>
                                    <NT>12</NT>
                                    <SP1><![CDATA[Number_Dist_Micro]]></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2,1,1,-1,0,0,FALSE,FALSE§Z¿& " Activities"]]></VOFFF>
                              </ClmnBlkPtProps>
                            </ClmnBlkPt>
                          </ClmnBlkPts>
                        </ClmnBlk>
                        <ClmnBlk>
                          <ClmnBlkProps>
                            <FCPT>0</FCPT>
                            <FCN>10</FCN>
                            <LCPT>0</LCPT>
                            <LCN>10</LCN>
                          </ClmnBlkProps>
                          <ClmnBlkPts>
                            <ClmnBlkPt>
                              <ClmnBlkPtProps>
                                <CBPT>5</CBPT>
                                <ST>18</ST>
                                <SON>6</SON>
                                <VOFFF><![CDATA[=§A¿0,3,0,1,9,2,1,-1,0,0,FALSE,FALSE§Z¿*§A¿1,1,3,1,11,0,2,1,1§Z¿]]></VOFFF>
                              </ClmnBlkPtProps>
                            </ClmnBlkPt>
                          </ClmnBlkPts>
                        </ClmnBlk>
                        <ClmnBlk>
                          <ClmnBlkProps>
                            <FCPT>0</FCPT>
                            <FCN>12</FCN>
                            <LCPT>0</LCPT>
                            <LCN>12</LCN>
                          </ClmnBlkProps>
                          <ClmnBlkPts>
                            <ClmnBlkPt>
                              <ClmnBlkPtProps>
                                <CBPT>5</CBPT>
                                <ST>18</ST>
                                <SON>6</SON>
                                <VOFFF><![CDATA[=§A¿0,3,0,1,9,3,1,-1,0,0,FALSE,FALSE§Z¿*§A¿1,1,3,1,11,0,2,1,1§Z¿]]></VOFFF>
                              </ClmnBlkPtProps>
                            </ClmnBlkPt>
                          </ClmnBlkPts>
                        </ClmnBlk>
                        <ClmnBlk>
                          <ClmnBlkProps>
                            <FCPT>0</FCPT>
                            <FCN>15</FCN>
                            <LCPT>0</LCPT>
                            <LCN>15</LCN>
                          </ClmnBlkProps>
                          <ClmnBlkPts>
                            <ClmnBlkPt>
                              <ClmnBlkPtProps>
                                <CBPT>5</CBPT>
                                <ST>18</ST>
                                <SON>6</SON>
                                <VOFFF><![CDATA[=§A¿0,3,0,1,9,4,1,-1,0,0,FALSE,FALSE§Z¿*§A¿1,1,3,1,11,0,2,1,1§Z¿]]></VOFFF>
                              </ClmnBlkPtProps>
                            </ClmnBlkPt>
                          </ClmnBlkPts>
                        </ClmnBlk>
                        <ClmnBlk>
                          <ClmnBlkProps>
                            <FCPT>0</FCPT>
                            <FCN>17</FCN>
                            <LCPT>0</LCPT>
                            <LCN>17</LCN>
                          </ClmnBlkProps>
                          <ClmnBlkPts>
                            <ClmnBlkPt>
                              <ClmnBlkPtProps>
                                <CBPT>5</CBPT>
                                <ST>18</ST>
                                <SON>6</SON>
                                <VOFFF><![CDATA[=§A¿0,3,0,1,9,5,1,-1,0,0,FALSE,FALSE§Z¿*§A¿1,1,3,1,11,0,2,1,1§Z¿]]></VOFFF>
                              </ClmnBlkPtProps>
                            </ClmnBlkPt>
                          </ClmnBlkPts>
                        </ClmnBlk>
                      </ClmnBlks>
                      <TtlCtg/>
                    </Elmt>
                    <Elmt>
                      <ElmtProps>
                        <CPT>2</CPT>
                      </ElmtProps>
                      <ClmnBlks>
                        <ClmnBlk>
                          <ClmnBlkProps>
                            <FCPT>0</FCPT>
                            <FCN>2</FCN>
                            <LCPT>0</LCPT>
                            <LCN>19</LCN>
                          </ClmnBlkProps>
                          <ClmnBlkPts>
                            <ClmnBlkPt>
                              <ClmnBlkPtProps>
                                <CBPT>5</CBPT>
                                <ST>26</ST>
                                <SON>19</SON>
                                <MC>True</MC>
                                <VOFFF><![CDATA[Go to District Microplanning - Assumptions]]></VOFFF>
                              </ClmnBlkPtProps>
                              <Hlk>
                                <HlkProps>
                                  <CBPLI>3,1,13,1,1</CBPLI>
                                  <RT>0</RT>
                                  <RRRT>1</RRRT>
                                  <RCBPLI>1,1,3,1,1</RCBPLI>
                                  <RCN>0</RCN>
                                  <RRNPT>1</RRNPT>
                                  <RRNN>1</RRNN>
                                  <TTDT>0</TTDT>
                                  <AGT>False</AGT>
                                  <CT/>
                                </HlkProps>
                              </Hlk>
                            </ClmnBlkPt>
                          </ClmnBlkPts>
                        </ClmnBlk>
                      </ClmnBlks>
                      <TtlCtg/>
                    </Elmt>
                    <Elmt>
                      <ElmtProps>
                        <CPT>2</CPT>
                      </ElmtProps>
                      <TtlCtg/>
                    </Elmt>
                    <Elmt>
                      <ElmtProps>
                        <CPT>2</CPT>
                      </ElmtProps>
                      <TtlCtg/>
                    </Elmt>
                  </Elmts>
                </Sect>
              </Sects>
            </ModComp>
            <ModComp>
              <ModCompProps>
                <MN>6</MN>
                <MCN>4</MCN>
                <MCTK>LU</MCTK>
                <RT><![CDATA[<ModuleName> - Lookups]]></RT>
                <ERN>BPMMC46</ERN>
                <MCST>3</MCST>
                <IPMC>False</IPMC>
                <SN>37</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12</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3,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8,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1,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5,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8,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2,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3</MN>
            <MAG>03BA1A6D-A278-46A5-AF9C-E6AA52BCE76E</MAG>
            <BN><![CDATA[PLUG_ACTIVITY]]></BN>
            <N><![CDATA[SENS-NATL]]></N>
            <TS><![CDATA[Annual]]></TS>
            <D><![CDATA[Assists with planning the cost of an activity. Should be used with Prices module.]]></D>
            <FS/>
            <R/>
            <GE/>
            <CA/>
            <VA/>
            <GST/>
            <DE/>
            <E/>
            <C/>
            <W/>
            <K/>
            <CO/>
            <V>1.0.0.0.</V>
            <AX/>
            <PMLO>False</PMLO>
            <IPMLO>False</IPMLO>
            <MACA>1</MACA>
            <RTSM>True</RTSM>
            <CC>True</CC>
            <X>False</X>
            <G>E10869CF-68E4-4716-85AA-BDD768FFE60F</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7</MN>
                <MCN>1</MCN>
                <MCTK>BaseCase</MCTK>
                <RT><![CDATA[SENS-NATL - Assumptions]]></RT>
                <ERN>BPMMC47</ERN>
                <MCST>0</MCST>
                <IPMC>False</IPMC>
                <SN>18</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13</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3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 Links (Developer Use Only.  User can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7</MN>
                                  <CLI>1,1,34,False,1</CLI>
                                  <ELN>1</ELN>
                                  <LOOT>0</LOOT>
                                  <LOMN>3</LOMN>
                                  <LOMCN>2</LOMCN>
                                  <LOSN>1</LOSN>
                                  <LOEN>4</LOEN>
                                  <LOCN>1</LOCN>
                                </LnkInProps>
                              </LnkIn>
                            </Ctg>
                            <Ctg>
                              <CtgProps>
                                <R>5</R>
                              </CtgProps>
                              <LnkIn>
                                <LnkInProps>
                                  <MN>7</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7</MN>
                                  <CLI>1,1,39,False,1</CLI>
                                  <ELN>1</ELN>
                                  <LOOT>0</LOOT>
                                  <LOMN>3</LOMN>
                                  <LOMCN>1</LOMCN>
                                  <LOSN>1</LOSN>
                                  <LOEN>10</LOEN>
                                  <LOCN>1</LOCN>
                                </LnkInProps>
                              </LnkIn>
                            </Ctg>
                            <Ctg>
                              <CtgProps>
                                <R>4</R>
                              </CtgProps>
                              <LnkIn>
                                <LnkInProps>
                                  <MN>7</MN>
                                  <CLI>1,1,39,False,2</CLI>
                                  <ELN>1</ELN>
                                  <LOOT>0</LOOT>
                                  <LOMN>3</LOMN>
                                  <LOMCN>1</LOMCN>
                                  <LOSN>1</LOSN>
                                  <LOEN>10</LOEN>
                                  <LOCN>2</LOCN>
                                </LnkInProps>
                              </LnkIn>
                            </Ctg>
                            <Ctg>
                              <CtgProps>
                                <R>4</R>
                              </CtgProps>
                              <LnkIn>
                                <LnkInProps>
                                  <MN>7</MN>
                                  <CLI>1,1,39,False,3</CLI>
                                  <ELN>1</ELN>
                                  <LOOT>0</LOOT>
                                  <LOMN>3</LOMN>
                                  <LOMCN>1</LOMCN>
                                  <LOSN>1</LOSN>
                                  <LOEN>10</LOEN>
                                  <LOCN>3</LOCN>
                                </LnkInProps>
                              </LnkIn>
                            </Ctg>
                            <Ctg>
                              <CtgProps>
                                <R>4</R>
                              </CtgProps>
                              <LnkIn>
                                <LnkInProps>
                                  <MN>7</MN>
                                  <CLI>1,1,39,False,4</CLI>
                                  <ELN>1</ELN>
                                  <LOOT>0</LOOT>
                                  <LOMN>3</LOMN>
                                  <LOMCN>1</LOMCN>
                                  <LOSN>1</LOSN>
                                  <LOEN>10</LOEN>
                                  <LOCN>4</LOCN>
                                </LnkInProps>
                              </LnkIn>
                            </Ctg>
                            <Ctg>
                              <CtgProps>
                                <R>4</R>
                              </CtgProps>
                              <LnkIn>
                                <LnkInProps>
                                  <MN>7</MN>
                                  <CLI>1,1,39,False,5</CLI>
                                  <ELN>1</ELN>
                                  <LOOT>0</LOOT>
                                  <LOMN>3</LOMN>
                                  <LOMCN>1</LOMCN>
                                  <LOSN>1</LOSN>
                                  <LOEN>10</LOEN>
                                  <LOCN>5</LOCN>
                                </LnkInProps>
                              </LnkIn>
                            </Ctg>
                            <Ctg>
                              <CtgProps>
                                <R>4</R>
                              </CtgProps>
                              <LnkIn>
                                <LnkInProps>
                                  <MN>7</MN>
                                  <CLI>1,1,39,False,6</CLI>
                                  <ELN>1</ELN>
                                  <LOOT>0</LOOT>
                                  <LOMN>3</LOMN>
                                  <LOMCN>1</LOMCN>
                                  <LOSN>1</LOSN>
                                  <LOEN>10</LOEN>
                                  <LOCN>6</LOCN>
                                </LnkInProps>
                              </LnkIn>
                            </Ctg>
                            <Ctg>
                              <CtgProps>
                                <R>4</R>
                              </CtgProps>
                              <LnkIn>
                                <LnkInProps>
                                  <MN>7</MN>
                                  <CLI>1,1,39,False,7</CLI>
                                  <ELN>1</ELN>
                                  <LOOT>0</LOOT>
                                  <LOMN>3</LOMN>
                                  <LOMCN>1</LOMCN>
                                  <LOSN>1</LOSN>
                                  <LOEN>10</LOEN>
                                  <LOCN>7</LOCN>
                                </LnkInProps>
                              </LnkIn>
                            </Ctg>
                            <Ctg>
                              <CtgProps>
                                <R>4</R>
                              </CtgProps>
                              <LnkIn>
                                <LnkInProps>
                                  <MN>7</MN>
                                  <CLI>1,1,39,False,8</CLI>
                                  <ELN>1</ELN>
                                  <LOOT>0</LOOT>
                                  <LOMN>3</LOMN>
                                  <LOMCN>1</LOMCN>
                                  <LOSN>1</LOSN>
                                  <LOEN>10</LOEN>
                                  <LOCN>8</LOCN>
                                </LnkInProps>
                              </LnkIn>
                            </Ctg>
                            <Ctg>
                              <CtgProps>
                                <R>4</R>
                              </CtgProps>
                              <LnkIn>
                                <LnkInProps>
                                  <MN>7</MN>
                                  <CLI>1,1,39,False,9</CLI>
                                  <ELN>1</ELN>
                                  <LOOT>0</LOOT>
                                  <LOMN>3</LOMN>
                                  <LOMCN>1</LOMCN>
                                  <LOSN>1</LOSN>
                                  <LOEN>10</LOEN>
                                  <LOCN>9</LOCN>
                                </LnkInProps>
                              </LnkIn>
                            </Ctg>
                            <Ctg>
                              <CtgProps>
                                <R>4</R>
                              </CtgProps>
                              <LnkIn>
                                <LnkInProps>
                                  <MN>7</MN>
                                  <CLI>1,1,39,False,10</CLI>
                                  <ELN>1</ELN>
                                  <LOOT>0</LOOT>
                                  <LOMN>3</LOMN>
                                  <LOMCN>1</LOMCN>
                                  <LOSN>1</LOSN>
                                  <LOEN>10</LOEN>
                                  <LOCN>10</LOCN>
                                </LnkInProps>
                              </LnkIn>
                            </Ctg>
                            <Ctg>
                              <CtgProps>
                                <R>4</R>
                              </CtgProps>
                              <LnkIn>
                                <LnkInProps>
                                  <MN>7</MN>
                                  <CLI>1,1,39,False,11</CLI>
                                  <ELN>1</ELN>
                                  <LOOT>0</LOOT>
                                  <LOMN>3</LOMN>
                                  <LOMCN>1</LOMCN>
                                  <LOSN>1</LOSN>
                                  <LOEN>10</LOEN>
                                  <LOCN>11</LOCN>
                                </LnkInProps>
                              </LnkIn>
                            </Ctg>
                            <Ctg>
                              <CtgProps>
                                <R>4</R>
                              </CtgProps>
                              <LnkIn>
                                <LnkInProps>
                                  <MN>7</MN>
                                  <CLI>1,1,39,False,12</CLI>
                                  <ELN>1</ELN>
                                  <LOOT>0</LOOT>
                                  <LOMN>3</LOMN>
                                  <LOMCN>1</LOMCN>
                                  <LOSN>1</LOSN>
                                  <LOEN>10</LOEN>
                                  <LOCN>12</LOCN>
                                </LnkInProps>
                              </LnkIn>
                            </Ctg>
                            <Ctg>
                              <CtgProps>
                                <R>4</R>
                              </CtgProps>
                              <LnkIn>
                                <LnkInProps>
                                  <MN>7</MN>
                                  <CLI>1,1,39,False,13</CLI>
                                  <ELN>1</ELN>
                                  <LOOT>0</LOOT>
                                  <LOMN>3</LOMN>
                                  <LOMCN>1</LOMCN>
                                  <LOSN>1</LOSN>
                                  <LOEN>10</LOEN>
                                  <LOCN>13</LOCN>
                                </LnkInProps>
                              </LnkIn>
                            </Ctg>
                            <Ctg>
                              <CtgProps>
                                <R>4</R>
                              </CtgProps>
                              <LnkIn>
                                <LnkInProps>
                                  <MN>7</MN>
                                  <CLI>1,1,39,False,14</CLI>
                                  <ELN>1</ELN>
                                  <LOOT>0</LOOT>
                                  <LOMN>3</LOMN>
                                  <LOMCN>1</LOMCN>
                                  <LOSN>1</LOSN>
                                  <LOEN>10</LOEN>
                                  <LOCN>14</LOCN>
                                </LnkInProps>
                              </LnkIn>
                            </Ctg>
                            <Ctg>
                              <CtgProps>
                                <R>5</R>
                              </CtgProps>
                              <LnkIn>
                                <LnkInProps>
                                  <MN>7</MN>
                                  <CLI>1,1,39,False,15</CLI>
                                  <ELN>1</ELN>
                                  <LOOT>0</LOOT>
                                  <LOMN>3</LOMN>
                                  <LOMCN>1</LOMCN>
                                  <LOSN>1</LOSN>
                                  <LOEN>10</LOEN>
                                  <LOCN>15</LOCN>
                                </LnkInProps>
                              </LnkIn>
                            </Ctg>
                            <Ctg>
                              <CtgProps>
                                <R>5</R>
                              </CtgProps>
                              <LnkIn>
                                <LnkInProps>
                                  <MN>7</MN>
                                  <CLI>1,1,39,False,16</CLI>
                                  <ELN>1</ELN>
                                  <LOOT>0</LOOT>
                                  <LOMN>3</LOMN>
                                  <LOMCN>1</LOMCN>
                                  <LOSN>1</LOSN>
                                  <LOEN>10</LOEN>
                                  <LOCN>16</LOCN>
                                </LnkInProps>
                              </LnkIn>
                            </Ctg>
                            <Ctg>
                              <CtgProps>
                                <R>5</R>
                              </CtgProps>
                              <LnkIn>
                                <LnkInProps>
                                  <MN>7</MN>
                                  <CLI>1,1,39,False,17</CLI>
                                  <ELN>1</ELN>
                                  <LOOT>0</LOOT>
                                  <LOMN>3</LOMN>
                                  <LOMCN>1</LOMCN>
                                  <LOSN>1</LOSN>
                                  <LOEN>10</LOEN>
                                  <LOCN>17</LOCN>
                                </LnkInProps>
                              </LnkIn>
                            </Ctg>
                            <Ctg>
                              <CtgProps>
                                <R>5</R>
                              </CtgProps>
                              <LnkIn>
                                <LnkInProps>
                                  <MN>7</MN>
                                  <CLI>1,1,39,False,18</CLI>
                                  <ELN>1</ELN>
                                  <LOOT>0</LOOT>
                                  <LOMN>3</LOMN>
                                  <LOMCN>1</LOMCN>
                                  <LOSN>1</LOSN>
                                  <LOEN>10</LOEN>
                                  <LOCN>18</LOCN>
                                </LnkInProps>
                              </LnkIn>
                            </Ctg>
                            <Ctg>
                              <CtgProps>
                                <R>5</R>
                              </CtgProps>
                              <LnkIn>
                                <LnkInProps>
                                  <MN>7</MN>
                                  <CLI>1,1,39,False,19</CLI>
                                  <ELN>1</ELN>
                                  <LOOT>0</LOOT>
                                  <LOMN>3</LOMN>
                                  <LOMCN>1</LOMCN>
                                  <LOSN>1</LOSN>
                                  <LOEN>10</LOEN>
                                  <LOCN>19</LOCN>
                                </LnkInProps>
                              </LnkIn>
                            </Ctg>
                            <Ctg>
                              <CtgProps>
                                <R>5</R>
                              </CtgProps>
                              <LnkIn>
                                <LnkInProps>
                                  <MN>7</MN>
                                  <CLI>1,1,39,False,20</CLI>
                                  <ELN>1</ELN>
                                  <LOOT>0</LOOT>
                                  <LOMN>3</LOMN>
                                  <LOMCN>1</LOMCN>
                                  <LOSN>1</LOSN>
                                  <LOEN>10</LOEN>
                                  <LOCN>20</LOCN>
                                </LnkInProps>
                              </LnkIn>
                            </Ctg>
                            <Ctg>
                              <CtgProps>
                                <R>5</R>
                              </CtgProps>
                              <LnkIn>
                                <LnkInProps>
                                  <MN>7</MN>
                                  <CLI>1,1,39,False,21</CLI>
                                  <ELN>1</ELN>
                                  <LOOT>0</LOOT>
                                  <LOMN>3</LOMN>
                                  <LOMCN>1</LOMCN>
                                  <LOSN>1</LOSN>
                                  <LOEN>10</LOEN>
                                  <LOCN>21</LOCN>
                                </LnkInProps>
                              </LnkIn>
                            </Ctg>
                            <Ctg>
                              <CtgProps>
                                <R>5</R>
                              </CtgProps>
                              <LnkIn>
                                <LnkInProps>
                                  <MN>7</MN>
                                  <CLI>1,1,39,False,22</CLI>
                                  <ELN>1</ELN>
                                  <LOOT>0</LOOT>
                                  <LOMN>3</LOMN>
                                  <LOMCN>1</LOMCN>
                                  <LOSN>1</LOSN>
                                  <LOEN>10</LOEN>
                                  <LOCN>22</LOCN>
                                </LnkInProps>
                              </LnkIn>
                            </Ctg>
                            <Ctg>
                              <CtgProps>
                                <R>5</R>
                              </CtgProps>
                              <LnkIn>
                                <LnkInProps>
                                  <MN>7</MN>
                                  <CLI>1,1,39,False,23</CLI>
                                  <ELN>1</ELN>
                                  <LOOT>0</LOOT>
                                  <LOMN>3</LOMN>
                                  <LOMCN>1</LOMCN>
                                  <LOSN>1</LOSN>
                                  <LOEN>10</LOEN>
                                  <LOCN>23</LOCN>
                                </LnkInProps>
                              </LnkIn>
                            </Ctg>
                            <Ctg>
                              <CtgProps>
                                <R>5</R>
                              </CtgProps>
                              <LnkIn>
                                <LnkInProps>
                                  <MN>7</MN>
                                  <CLI>1,1,39,False,24</CLI>
                                  <ELN>1</ELN>
                                  <LOOT>0</LOOT>
                                  <LOMN>3</LOMN>
                                  <LOMCN>1</LOMCN>
                                  <LOSN>1</LOSN>
                                  <LOEN>10</LOEN>
                                  <LOCN>24</LOCN>
                                </LnkInProps>
                              </LnkIn>
                            </Ctg>
                            <Ctg>
                              <CtgProps>
                                <R>5</R>
                              </CtgProps>
                              <LnkIn>
                                <LnkInProps>
                                  <MN>7</MN>
                                  <CLI>1,1,39,False,25</CLI>
                                  <ELN>1</ELN>
                                  <LOOT>0</LOOT>
                                  <LOMN>3</LOMN>
                                  <LOMCN>1</LOMCN>
                                  <LOSN>1</LOSN>
                                  <LOEN>10</LOEN>
                                  <LOCN>25</LOCN>
                                </LnkInProps>
                              </LnkIn>
                            </Ctg>
                            <Ctg>
                              <CtgProps>
                                <R>5</R>
                              </CtgProps>
                              <LnkIn>
                                <LnkInProps>
                                  <MN>7</MN>
                                  <CLI>1,1,39,False,26</CLI>
                                  <ELN>1</ELN>
                                  <LOOT>0</LOOT>
                                  <LOMN>3</LOMN>
                                  <LOMCN>1</LOMCN>
                                  <LOSN>1</LOSN>
                                  <LOEN>10</LOEN>
                                  <LOCN>26</LOCN>
                                </LnkInProps>
                              </LnkIn>
                            </Ctg>
                            <Ctg>
                              <CtgProps>
                                <R>5</R>
                              </CtgProps>
                              <LnkIn>
                                <LnkInProps>
                                  <MN>7</MN>
                                  <CLI>1,1,39,False,27</CLI>
                                  <ELN>1</ELN>
                                  <LOOT>0</LOOT>
                                  <LOMN>3</LOMN>
                                  <LOMCN>1</LOMCN>
                                  <LOSN>1</LOSN>
                                  <LOEN>10</LOEN>
                                  <LOCN>27</LOCN>
                                </LnkInProps>
                              </LnkIn>
                            </Ctg>
                            <Ctg>
                              <CtgProps>
                                <R>5</R>
                              </CtgProps>
                              <LnkIn>
                                <LnkInProps>
                                  <MN>7</MN>
                                  <CLI>1,1,39,False,28</CLI>
                                  <ELN>1</ELN>
                                  <LOOT>0</LOOT>
                                  <LOMN>3</LOMN>
                                  <LOMCN>1</LOMCN>
                                  <LOSN>1</LOSN>
                                  <LOEN>10</LOEN>
                                  <LOCN>28</LOCN>
                                </LnkInProps>
                              </LnkIn>
                            </Ctg>
                            <Ctg>
                              <CtgProps>
                                <R>5</R>
                              </CtgProps>
                              <LnkIn>
                                <LnkInProps>
                                  <MN>7</MN>
                                  <CLI>1,1,39,False,29</CLI>
                                  <ELN>1</ELN>
                                  <LOOT>0</LOOT>
                                  <LOMN>3</LOMN>
                                  <LOMCN>1</LOMCN>
                                  <LOSN>1</LOSN>
                                  <LOEN>10</LOEN>
                                  <LOCN>29</LOCN>
                                </LnkInProps>
                              </LnkIn>
                            </Ctg>
                            <Ctg>
                              <CtgProps>
                                <R>5</R>
                              </CtgProps>
                              <LnkIn>
                                <LnkInProps>
                                  <MN>7</MN>
                                  <CLI>1,1,39,False,30</CLI>
                                  <ELN>1</ELN>
                                  <LOOT>0</LOOT>
                                  <LOMN>3</LOMN>
                                  <LOMCN>1</LOMCN>
                                  <LOSN>1</LOSN>
                                  <LOEN>10</LOEN>
                                  <LOCN>30</LOCN>
                                </LnkInProps>
                              </LnkIn>
                            </Ctg>
                            <Ctg>
                              <CtgProps>
                                <R>5</R>
                              </CtgProps>
                              <LnkIn>
                                <LnkInProps>
                                  <MN>7</MN>
                                  <CLI>1,1,39,False,31</CLI>
                                  <ELN>1</ELN>
                                  <LOOT>0</LOOT>
                                  <LOMN>3</LOMN>
                                  <LOMCN>1</LOMCN>
                                  <LOSN>1</LOSN>
                                  <LOEN>10</LOEN>
                                  <LOCN>31</LOCN>
                                </LnkInProps>
                              </LnkIn>
                            </Ctg>
                            <Ctg>
                              <CtgProps>
                                <R>5</R>
                              </CtgProps>
                              <LnkIn>
                                <LnkInProps>
                                  <MN>7</MN>
                                  <CLI>1,1,39,False,32</CLI>
                                  <ELN>1</ELN>
                                  <LOOT>0</LOOT>
                                  <LOMN>3</LOMN>
                                  <LOMCN>1</LOMCN>
                                  <LOSN>1</LOSN>
                                  <LOEN>10</LOEN>
                                  <LOCN>32</LOCN>
                                </LnkInProps>
                              </LnkIn>
                            </Ctg>
                            <Ctg>
                              <CtgProps>
                                <R>5</R>
                              </CtgProps>
                              <LnkIn>
                                <LnkInProps>
                                  <MN>7</MN>
                                  <CLI>1,1,39,False,33</CLI>
                                  <ELN>1</ELN>
                                  <LOOT>0</LOOT>
                                  <LOMN>3</LOMN>
                                  <LOMCN>1</LOMCN>
                                  <LOSN>1</LOSN>
                                  <LOEN>10</LOEN>
                                  <LOCN>33</LOCN>
                                </LnkInProps>
                              </LnkIn>
                            </Ctg>
                            <Ctg>
                              <CtgProps>
                                <R>5</R>
                              </CtgProps>
                              <LnkIn>
                                <LnkInProps>
                                  <MN>7</MN>
                                  <CLI>1,1,39,False,34</CLI>
                                  <ELN>1</ELN>
                                  <LOOT>0</LOOT>
                                  <LOMN>3</LOMN>
                                  <LOMCN>1</LOMCN>
                                  <LOSN>1</LOSN>
                                  <LOEN>10</LOEN>
                                  <LOCN>34</LOCN>
                                </LnkInProps>
                              </LnkIn>
                            </Ctg>
                            <Ctg>
                              <CtgProps>
                                <R>5</R>
                              </CtgProps>
                              <LnkIn>
                                <LnkInProps>
                                  <MN>7</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7</MN>
                                  <CLI>1,1,42,False,1</CLI>
                                  <ELN>1</ELN>
                                  <LOOT>0</LOOT>
                                  <LOMN>3</LOMN>
                                  <LOMCN>1</LOMCN>
                                  <LOSN>1</LOSN>
                                  <LOEN>15</LOEN>
                                  <LOCN>1</LOCN>
                                </LnkInProps>
                              </LnkIn>
                            </Ctg>
                            <Ctg>
                              <CtgProps>
                                <R>4</R>
                              </CtgProps>
                              <LnkIn>
                                <LnkInProps>
                                  <MN>7</MN>
                                  <CLI>1,1,42,False,2</CLI>
                                  <ELN>1</ELN>
                                  <LOOT>0</LOOT>
                                  <LOMN>3</LOMN>
                                  <LOMCN>1</LOMCN>
                                  <LOSN>1</LOSN>
                                  <LOEN>15</LOEN>
                                  <LOCN>2</LOCN>
                                </LnkInProps>
                              </LnkIn>
                            </Ctg>
                            <Ctg>
                              <CtgProps>
                                <R>4</R>
                              </CtgProps>
                              <LnkIn>
                                <LnkInProps>
                                  <MN>7</MN>
                                  <CLI>1,1,42,False,3</CLI>
                                  <ELN>1</ELN>
                                  <LOOT>0</LOOT>
                                  <LOMN>3</LOMN>
                                  <LOMCN>1</LOMCN>
                                  <LOSN>1</LOSN>
                                  <LOEN>15</LOEN>
                                  <LOCN>3</LOCN>
                                </LnkInProps>
                              </LnkIn>
                            </Ctg>
                            <Ctg>
                              <CtgProps>
                                <R>4</R>
                              </CtgProps>
                              <LnkIn>
                                <LnkInProps>
                                  <MN>7</MN>
                                  <CLI>1,1,42,False,4</CLI>
                                  <ELN>1</ELN>
                                  <LOOT>0</LOOT>
                                  <LOMN>3</LOMN>
                                  <LOMCN>1</LOMCN>
                                  <LOSN>1</LOSN>
                                  <LOEN>15</LOEN>
                                  <LOCN>4</LOCN>
                                </LnkInProps>
                              </LnkIn>
                            </Ctg>
                            <Ctg>
                              <CtgProps>
                                <R>5</R>
                              </CtgProps>
                              <LnkIn>
                                <LnkInProps>
                                  <MN>7</MN>
                                  <CLI>1,1,42,False,5</CLI>
                                  <ELN>1</ELN>
                                  <LOOT>0</LOOT>
                                  <LOMN>3</LOMN>
                                  <LOMCN>1</LOMCN>
                                  <LOSN>1</LOSN>
                                  <LOEN>15</LOEN>
                                  <LOCN>5</LOCN>
                                </LnkInProps>
                              </LnkIn>
                            </Ctg>
                            <Ctg>
                              <CtgProps>
                                <R>5</R>
                              </CtgProps>
                              <LnkIn>
                                <LnkInProps>
                                  <MN>7</MN>
                                  <CLI>1,1,42,False,6</CLI>
                                  <ELN>1</ELN>
                                  <LOOT>0</LOOT>
                                  <LOMN>3</LOMN>
                                  <LOMCN>1</LOMCN>
                                  <LOSN>1</LOSN>
                                  <LOEN>15</LOEN>
                                  <LOCN>6</LOCN>
                                </LnkInProps>
                              </LnkIn>
                            </Ctg>
                            <Ctg>
                              <CtgProps>
                                <R>5</R>
                              </CtgProps>
                              <LnkIn>
                                <LnkInProps>
                                  <MN>7</MN>
                                  <CLI>1,1,42,False,7</CLI>
                                  <ELN>1</ELN>
                                  <LOOT>0</LOOT>
                                  <LOMN>3</LOMN>
                                  <LOMCN>1</LOMCN>
                                  <LOSN>1</LOSN>
                                  <LOEN>15</LOEN>
                                  <LOCN>7</LOCN>
                                </LnkInProps>
                              </LnkIn>
                            </Ctg>
                            <Ctg>
                              <CtgProps>
                                <R>5</R>
                              </CtgProps>
                              <LnkIn>
                                <LnkInProps>
                                  <MN>7</MN>
                                  <CLI>1,1,42,False,8</CLI>
                                  <ELN>1</ELN>
                                  <LOOT>0</LOOT>
                                  <LOMN>3</LOMN>
                                  <LOMCN>1</LOMCN>
                                  <LOSN>1</LOSN>
                                  <LOEN>15</LOEN>
                                  <LOCN>8</LOCN>
                                </LnkInProps>
                              </LnkIn>
                            </Ctg>
                            <Ctg>
                              <CtgProps>
                                <R>5</R>
                              </CtgProps>
                              <LnkIn>
                                <LnkInProps>
                                  <MN>7</MN>
                                  <CLI>1,1,42,False,9</CLI>
                                  <ELN>1</ELN>
                                  <LOOT>0</LOOT>
                                  <LOMN>3</LOMN>
                                  <LOMCN>1</LOMCN>
                                  <LOSN>1</LOSN>
                                  <LOEN>15</LOEN>
                                  <LOCN>9</LOCN>
                                </LnkInProps>
                              </LnkIn>
                            </Ctg>
                            <Ctg>
                              <CtgProps>
                                <R>5</R>
                              </CtgProps>
                              <LnkIn>
                                <LnkInProps>
                                  <MN>7</MN>
                                  <CLI>1,1,42,False,10</CLI>
                                  <ELN>1</ELN>
                                  <LOOT>0</LOOT>
                                  <LOMN>3</LOMN>
                                  <LOMCN>1</LOMCN>
                                  <LOSN>1</LOSN>
                                  <LOEN>15</LOEN>
                                  <LOCN>10</LOCN>
                                </LnkInProps>
                              </LnkIn>
                            </Ctg>
                            <Ctg>
                              <CtgProps>
                                <R>5</R>
                              </CtgProps>
                              <LnkIn>
                                <LnkInProps>
                                  <MN>7</MN>
                                  <CLI>1,1,42,False,11</CLI>
                                  <ELN>1</ELN>
                                  <LOOT>0</LOOT>
                                  <LOMN>3</LOMN>
                                  <LOMCN>1</LOMCN>
                                  <LOSN>1</LOSN>
                                  <LOEN>15</LOEN>
                                  <LOCN>11</LOCN>
                                </LnkInProps>
                              </LnkIn>
                            </Ctg>
                            <Ctg>
                              <CtgProps>
                                <R>5</R>
                              </CtgProps>
                              <LnkIn>
                                <LnkInProps>
                                  <MN>7</MN>
                                  <CLI>1,1,42,False,12</CLI>
                                  <ELN>1</ELN>
                                  <LOOT>0</LOOT>
                                  <LOMN>3</LOMN>
                                  <LOMCN>1</LOMCN>
                                  <LOSN>1</LOSN>
                                  <LOEN>15</LOEN>
                                  <LOCN>12</LOCN>
                                </LnkInProps>
                              </LnkIn>
                            </Ctg>
                            <Ctg>
                              <CtgProps>
                                <R>5</R>
                              </CtgProps>
                              <LnkIn>
                                <LnkInProps>
                                  <MN>7</MN>
                                  <CLI>1,1,42,False,13</CLI>
                                  <ELN>1</ELN>
                                  <LOOT>0</LOOT>
                                  <LOMN>3</LOMN>
                                  <LOMCN>1</LOMCN>
                                  <LOSN>1</LOSN>
                                  <LOEN>15</LOEN>
                                  <LOCN>13</LOCN>
                                </LnkInProps>
                              </LnkIn>
                            </Ctg>
                            <Ctg>
                              <CtgProps>
                                <R>5</R>
                              </CtgProps>
                              <LnkIn>
                                <LnkInProps>
                                  <MN>7</MN>
                                  <CLI>1,1,42,False,14</CLI>
                                  <ELN>1</ELN>
                                  <LOOT>0</LOOT>
                                  <LOMN>3</LOMN>
                                  <LOMCN>1</LOMCN>
                                  <LOSN>1</LOSN>
                                  <LOEN>15</LOEN>
                                  <LOCN>14</LOCN>
                                </LnkInProps>
                              </LnkIn>
                            </Ctg>
                            <Ctg>
                              <CtgProps>
                                <R>5</R>
                              </CtgProps>
                              <LnkIn>
                                <LnkInProps>
                                  <MN>7</MN>
                                  <CLI>1,1,42,False,15</CLI>
                                  <ELN>1</ELN>
                                  <LOOT>0</LOOT>
                                  <LOMN>3</LOMN>
                                  <LOMCN>1</LOMCN>
                                  <LOSN>1</LOSN>
                                  <LOEN>15</LOEN>
                                  <LOCN>15</LOCN>
                                </LnkInProps>
                              </LnkIn>
                            </Ctg>
                            <Ctg>
                              <CtgProps>
                                <R>5</R>
                              </CtgProps>
                              <LnkIn>
                                <LnkInProps>
                                  <MN>7</MN>
                                  <CLI>1,1,42,False,16</CLI>
                                  <ELN>1</ELN>
                                  <LOOT>0</LOOT>
                                  <LOMN>3</LOMN>
                                  <LOMCN>1</LOMCN>
                                  <LOSN>1</LOSN>
                                  <LOEN>15</LOEN>
                                  <LOCN>16</LOCN>
                                </LnkInProps>
                              </LnkIn>
                            </Ctg>
                            <Ctg>
                              <CtgProps>
                                <R>4</R>
                              </CtgProps>
                              <LnkIn>
                                <LnkInProps>
                                  <MN>7</MN>
                                  <CLI>1,1,42,False,17</CLI>
                                  <ELN>1</ELN>
                                  <LOOT>0</LOOT>
                                  <LOMN>3</LOMN>
                                  <LOMCN>1</LOMCN>
                                  <LOSN>1</LOSN>
                                  <LOEN>15</LOEN>
                                  <LOCN>17</LOCN>
                                </LnkInProps>
                              </LnkIn>
                            </Ctg>
                            <Ctg>
                              <CtgProps>
                                <R>4</R>
                              </CtgProps>
                              <LnkIn>
                                <LnkInProps>
                                  <MN>7</MN>
                                  <CLI>1,1,42,False,18</CLI>
                                  <ELN>1</ELN>
                                  <LOOT>0</LOOT>
                                  <LOMN>3</LOMN>
                                  <LOMCN>1</LOMCN>
                                  <LOSN>1</LOSN>
                                  <LOEN>15</LOEN>
                                  <LOCN>18</LOCN>
                                </LnkInProps>
                              </LnkIn>
                            </Ctg>
                            <Ctg>
                              <CtgProps>
                                <R>4</R>
                              </CtgProps>
                              <LnkIn>
                                <LnkInProps>
                                  <MN>7</MN>
                                  <CLI>1,1,42,False,19</CLI>
                                  <ELN>1</ELN>
                                  <LOOT>0</LOOT>
                                  <LOMN>3</LOMN>
                                  <LOMCN>1</LOMCN>
                                  <LOSN>1</LOSN>
                                  <LOEN>15</LOEN>
                                  <LOCN>19</LOCN>
                                </LnkInProps>
                              </LnkIn>
                            </Ctg>
                            <Ctg>
                              <CtgProps>
                                <R>4</R>
                              </CtgProps>
                              <LnkIn>
                                <LnkInProps>
                                  <MN>7</MN>
                                  <CLI>1,1,42,False,20</CLI>
                                  <ELN>1</ELN>
                                  <LOOT>0</LOOT>
                                  <LOMN>3</LOMN>
                                  <LOMCN>1</LOMCN>
                                  <LOSN>1</LOSN>
                                  <LOEN>15</LOEN>
                                  <LOCN>20</LOCN>
                                </LnkInProps>
                              </LnkIn>
                            </Ctg>
                            <Ctg>
                              <CtgProps>
                                <R>4</R>
                              </CtgProps>
                              <LnkIn>
                                <LnkInProps>
                                  <MN>7</MN>
                                  <CLI>1,1,42,False,21</CLI>
                                  <ELN>1</ELN>
                                  <LOOT>0</LOOT>
                                  <LOMN>3</LOMN>
                                  <LOMCN>1</LOMCN>
                                  <LOSN>1</LOSN>
                                  <LOEN>15</LOEN>
                                  <LOCN>21</LOCN>
                                </LnkInProps>
                              </LnkIn>
                            </Ctg>
                            <Ctg>
                              <CtgProps>
                                <R>4</R>
                              </CtgProps>
                              <LnkIn>
                                <LnkInProps>
                                  <MN>7</MN>
                                  <CLI>1,1,42,False,22</CLI>
                                  <ELN>1</ELN>
                                  <LOOT>0</LOOT>
                                  <LOMN>3</LOMN>
                                  <LOMCN>1</LOMCN>
                                  <LOSN>1</LOSN>
                                  <LOEN>15</LOEN>
                                  <LOCN>22</LOCN>
                                </LnkInProps>
                              </LnkIn>
                            </Ctg>
                            <Ctg>
                              <CtgProps>
                                <R>5</R>
                              </CtgProps>
                              <LnkIn>
                                <LnkInProps>
                                  <MN>7</MN>
                                  <CLI>1,1,42,False,23</CLI>
                                  <ELN>1</ELN>
                                  <LOOT>0</LOOT>
                                  <LOMN>3</LOMN>
                                  <LOMCN>1</LOMCN>
                                  <LOSN>1</LOSN>
                                  <LOEN>15</LOEN>
                                  <LOCN>23</LOCN>
                                </LnkInProps>
                              </LnkIn>
                            </Ctg>
                            <Ctg>
                              <CtgProps>
                                <R>5</R>
                              </CtgProps>
                              <LnkIn>
                                <LnkInProps>
                                  <MN>7</MN>
                                  <CLI>1,1,42,False,24</CLI>
                                  <ELN>1</ELN>
                                  <LOOT>0</LOOT>
                                  <LOMN>3</LOMN>
                                  <LOMCN>1</LOMCN>
                                  <LOSN>1</LOSN>
                                  <LOEN>15</LOEN>
                                  <LOCN>24</LOCN>
                                </LnkInProps>
                              </LnkIn>
                            </Ctg>
                            <Ctg>
                              <CtgProps>
                                <R>5</R>
                              </CtgProps>
                              <LnkIn>
                                <LnkInProps>
                                  <MN>7</MN>
                                  <CLI>1,1,42,False,25</CLI>
                                  <ELN>1</ELN>
                                  <LOOT>0</LOOT>
                                  <LOMN>3</LOMN>
                                  <LOMCN>1</LOMCN>
                                  <LOSN>1</LOSN>
                                  <LOEN>15</LOEN>
                                  <LOCN>25</LOCN>
                                </LnkInProps>
                              </LnkIn>
                            </Ctg>
                            <Ctg>
                              <CtgProps>
                                <R>5</R>
                              </CtgProps>
                              <LnkIn>
                                <LnkInProps>
                                  <MN>7</MN>
                                  <CLI>1,1,42,False,26</CLI>
                                  <ELN>1</ELN>
                                  <LOOT>0</LOOT>
                                  <LOMN>3</LOMN>
                                  <LOMCN>1</LOMCN>
                                  <LOSN>1</LOSN>
                                  <LOEN>15</LOEN>
                                  <LOCN>26</LOCN>
                                </LnkInProps>
                              </LnkIn>
                            </Ctg>
                            <Ctg>
                              <CtgProps>
                                <R>5</R>
                              </CtgProps>
                              <LnkIn>
                                <LnkInProps>
                                  <MN>7</MN>
                                  <CLI>1,1,42,False,27</CLI>
                                  <ELN>1</ELN>
                                  <LOOT>0</LOOT>
                                  <LOMN>3</LOMN>
                                  <LOMCN>1</LOMCN>
                                  <LOSN>1</LOSN>
                                  <LOEN>15</LOEN>
                                  <LOCN>27</LOCN>
                                </LnkInProps>
                              </LnkIn>
                            </Ctg>
                            <Ctg>
                              <CtgProps>
                                <R>5</R>
                              </CtgProps>
                              <LnkIn>
                                <LnkInProps>
                                  <MN>7</MN>
                                  <CLI>1,1,42,False,28</CLI>
                                  <ELN>1</ELN>
                                  <LOOT>0</LOOT>
                                  <LOMN>3</LOMN>
                                  <LOMCN>1</LOMCN>
                                  <LOSN>1</LOSN>
                                  <LOEN>15</LOEN>
                                  <LOCN>28</LOCN>
                                </LnkInProps>
                              </LnkIn>
                            </Ctg>
                            <Ctg>
                              <CtgProps>
                                <R>5</R>
                              </CtgProps>
                              <LnkIn>
                                <LnkInProps>
                                  <MN>7</MN>
                                  <CLI>1,1,42,False,29</CLI>
                                  <ELN>1</ELN>
                                  <LOOT>0</LOOT>
                                  <LOMN>3</LOMN>
                                  <LOMCN>1</LOMCN>
                                  <LOSN>1</LOSN>
                                  <LOEN>15</LOEN>
                                  <LOCN>29</LOCN>
                                </LnkInProps>
                              </LnkIn>
                            </Ctg>
                            <Ctg>
                              <CtgProps>
                                <R>5</R>
                              </CtgProps>
                              <LnkIn>
                                <LnkInProps>
                                  <MN>7</MN>
                                  <CLI>1,1,42,False,30</CLI>
                                  <ELN>1</ELN>
                                  <LOOT>0</LOOT>
                                  <LOMN>3</LOMN>
                                  <LOMCN>1</LOMCN>
                                  <LOSN>1</LOSN>
                                  <LOEN>15</LOEN>
                                  <LOCN>30</LOCN>
                                </LnkInProps>
                              </LnkIn>
                            </Ctg>
                            <Ctg>
                              <CtgProps>
                                <R>4</R>
                              </CtgProps>
                              <LnkIn>
                                <LnkInProps>
                                  <MN>7</MN>
                                  <CLI>1,1,42,False,31</CLI>
                                  <ELN>1</ELN>
                                  <LOOT>0</LOOT>
                                  <LOMN>3</LOMN>
                                  <LOMCN>1</LOMCN>
                                  <LOSN>1</LOSN>
                                  <LOEN>15</LOEN>
                                  <LOCN>31</LOCN>
                                </LnkInProps>
                              </LnkIn>
                            </Ctg>
                            <Ctg>
                              <CtgProps>
                                <R>4</R>
                              </CtgProps>
                              <LnkIn>
                                <LnkInProps>
                                  <MN>7</MN>
                                  <CLI>1,1,42,False,32</CLI>
                                  <ELN>1</ELN>
                                  <LOOT>0</LOOT>
                                  <LOMN>3</LOMN>
                                  <LOMCN>1</LOMCN>
                                  <LOSN>1</LOSN>
                                  <LOEN>15</LOEN>
                                  <LOCN>32</LOCN>
                                </LnkInProps>
                              </LnkIn>
                            </Ctg>
                            <Ctg>
                              <CtgProps>
                                <R>4</R>
                              </CtgProps>
                              <LnkIn>
                                <LnkInProps>
                                  <MN>7</MN>
                                  <CLI>1,1,42,False,33</CLI>
                                  <ELN>1</ELN>
                                  <LOOT>0</LOOT>
                                  <LOMN>3</LOMN>
                                  <LOMCN>1</LOMCN>
                                  <LOSN>1</LOSN>
                                  <LOEN>15</LOEN>
                                  <LOCN>33</LOCN>
                                </LnkInProps>
                              </LnkIn>
                            </Ctg>
                            <Ctg>
                              <CtgProps>
                                <R>4</R>
                              </CtgProps>
                              <LnkIn>
                                <LnkInProps>
                                  <MN>7</MN>
                                  <CLI>1,1,42,False,34</CLI>
                                  <ELN>1</ELN>
                                  <LOOT>0</LOOT>
                                  <LOMN>3</LOMN>
                                  <LOMCN>1</LOMCN>
                                  <LOSN>1</LOSN>
                                  <LOEN>15</LOEN>
                                  <LOCN>34</LOCN>
                                </LnkInProps>
                              </LnkIn>
                            </Ctg>
                            <Ctg>
                              <CtgProps>
                                <R>4</R>
                              </CtgProps>
                              <LnkIn>
                                <LnkInProps>
                                  <MN>7</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7</MN>
                                  <CLI>1,1,46,False,1</CLI>
                                  <ELN>1</ELN>
                                  <LOOT>0</LOOT>
                                  <LOMN>3</LOMN>
                                  <LOMCN>1</LOMCN>
                                  <LOSN>1</LOSN>
                                  <LOEN>19</LOEN>
                                  <LOCN>1</LOCN>
                                </LnkInProps>
                              </LnkIn>
                            </Ctg>
                            <Ctg>
                              <CtgProps>
                                <R>4</R>
                              </CtgProps>
                              <LnkIn>
                                <LnkInProps>
                                  <MN>7</MN>
                                  <CLI>1,1,46,False,2</CLI>
                                  <ELN>1</ELN>
                                  <LOOT>0</LOOT>
                                  <LOMN>3</LOMN>
                                  <LOMCN>1</LOMCN>
                                  <LOSN>1</LOSN>
                                  <LOEN>19</LOEN>
                                  <LOCN>2</LOCN>
                                </LnkInProps>
                              </LnkIn>
                            </Ctg>
                            <Ctg>
                              <CtgProps>
                                <R>4</R>
                              </CtgProps>
                              <LnkIn>
                                <LnkInProps>
                                  <MN>7</MN>
                                  <CLI>1,1,46,False,3</CLI>
                                  <ELN>1</ELN>
                                  <LOOT>0</LOOT>
                                  <LOMN>3</LOMN>
                                  <LOMCN>1</LOMCN>
                                  <LOSN>1</LOSN>
                                  <LOEN>19</LOEN>
                                  <LOCN>3</LOCN>
                                </LnkInProps>
                              </LnkIn>
                            </Ctg>
                            <Ctg>
                              <CtgProps>
                                <R>4</R>
                              </CtgProps>
                              <LnkIn>
                                <LnkInProps>
                                  <MN>7</MN>
                                  <CLI>1,1,46,False,4</CLI>
                                  <ELN>1</ELN>
                                  <LOOT>0</LOOT>
                                  <LOMN>3</LOMN>
                                  <LOMCN>1</LOMCN>
                                  <LOSN>1</LOSN>
                                  <LOEN>19</LOEN>
                                  <LOCN>4</LOCN>
                                </LnkInProps>
                              </LnkIn>
                            </Ctg>
                            <Ctg>
                              <CtgProps>
                                <R>4</R>
                              </CtgProps>
                              <LnkIn>
                                <LnkInProps>
                                  <MN>7</MN>
                                  <CLI>1,1,46,False,5</CLI>
                                  <ELN>1</ELN>
                                  <LOOT>0</LOOT>
                                  <LOMN>3</LOMN>
                                  <LOMCN>1</LOMCN>
                                  <LOSN>1</LOSN>
                                  <LOEN>19</LOEN>
                                  <LOCN>5</LOCN>
                                </LnkInProps>
                              </LnkIn>
                            </Ctg>
                            <Ctg>
                              <CtgProps>
                                <R>4</R>
                              </CtgProps>
                              <LnkIn>
                                <LnkInProps>
                                  <MN>7</MN>
                                  <CLI>1,1,46,False,6</CLI>
                                  <ELN>1</ELN>
                                  <LOOT>0</LOOT>
                                  <LOMN>3</LOMN>
                                  <LOMCN>1</LOMCN>
                                  <LOSN>1</LOSN>
                                  <LOEN>19</LOEN>
                                  <LOCN>6</LOCN>
                                </LnkInProps>
                              </LnkIn>
                            </Ctg>
                            <Ctg>
                              <CtgProps>
                                <R>4</R>
                              </CtgProps>
                              <LnkIn>
                                <LnkInProps>
                                  <MN>7</MN>
                                  <CLI>1,1,46,False,7</CLI>
                                  <ELN>1</ELN>
                                  <LOOT>0</LOOT>
                                  <LOMN>3</LOMN>
                                  <LOMCN>1</LOMCN>
                                  <LOSN>1</LOSN>
                                  <LOEN>19</LOEN>
                                  <LOCN>7</LOCN>
                                </LnkInProps>
                              </LnkIn>
                            </Ctg>
                            <Ctg>
                              <CtgProps>
                                <R>4</R>
                              </CtgProps>
                              <LnkIn>
                                <LnkInProps>
                                  <MN>7</MN>
                                  <CLI>1,1,46,False,8</CLI>
                                  <ELN>1</ELN>
                                  <LOOT>0</LOOT>
                                  <LOMN>3</LOMN>
                                  <LOMCN>1</LOMCN>
                                  <LOSN>1</LOSN>
                                  <LOEN>19</LOEN>
                                  <LOCN>8</LOCN>
                                </LnkInProps>
                              </LnkIn>
                            </Ctg>
                            <Ctg>
                              <CtgProps>
                                <R>4</R>
                              </CtgProps>
                              <LnkIn>
                                <LnkInProps>
                                  <MN>7</MN>
                                  <CLI>1,1,46,False,9</CLI>
                                  <ELN>1</ELN>
                                  <LOOT>0</LOOT>
                                  <LOMN>3</LOMN>
                                  <LOMCN>1</LOMCN>
                                  <LOSN>1</LOSN>
                                  <LOEN>19</LOEN>
                                  <LOCN>9</LOCN>
                                </LnkInProps>
                              </LnkIn>
                            </Ctg>
                            <Ctg>
                              <CtgProps>
                                <R>4</R>
                              </CtgProps>
                              <LnkIn>
                                <LnkInProps>
                                  <MN>7</MN>
                                  <CLI>1,1,46,False,10</CLI>
                                  <ELN>1</ELN>
                                  <LOOT>0</LOOT>
                                  <LOMN>3</LOMN>
                                  <LOMCN>1</LOMCN>
                                  <LOSN>1</LOSN>
                                  <LOEN>19</LOEN>
                                  <LOCN>10</LOCN>
                                </LnkInProps>
                              </LnkIn>
                            </Ctg>
                            <Ctg>
                              <CtgProps>
                                <R>4</R>
                              </CtgProps>
                              <LnkIn>
                                <LnkInProps>
                                  <MN>7</MN>
                                  <CLI>1,1,46,False,11</CLI>
                                  <ELN>1</ELN>
                                  <LOOT>0</LOOT>
                                  <LOMN>3</LOMN>
                                  <LOMCN>1</LOMCN>
                                  <LOSN>1</LOSN>
                                  <LOEN>19</LOEN>
                                  <LOCN>11</LOCN>
                                </LnkInProps>
                              </LnkIn>
                            </Ctg>
                            <Ctg>
                              <CtgProps>
                                <R>4</R>
                              </CtgProps>
                              <LnkIn>
                                <LnkInProps>
                                  <MN>7</MN>
                                  <CLI>1,1,46,False,12</CLI>
                                  <ELN>1</ELN>
                                  <LOOT>0</LOOT>
                                  <LOMN>3</LOMN>
                                  <LOMCN>1</LOMCN>
                                  <LOSN>1</LOSN>
                                  <LOEN>19</LOEN>
                                  <LOCN>12</LOCN>
                                </LnkInProps>
                              </LnkIn>
                            </Ctg>
                            <Ctg>
                              <CtgProps>
                                <R>4</R>
                              </CtgProps>
                              <LnkIn>
                                <LnkInProps>
                                  <MN>7</MN>
                                  <CLI>1,1,46,False,13</CLI>
                                  <ELN>1</ELN>
                                  <LOOT>0</LOOT>
                                  <LOMN>3</LOMN>
                                  <LOMCN>1</LOMCN>
                                  <LOSN>1</LOSN>
                                  <LOEN>19</LOEN>
                                  <LOCN>13</LOCN>
                                </LnkInProps>
                              </LnkIn>
                            </Ctg>
                            <Ctg>
                              <CtgProps>
                                <R>4</R>
                              </CtgProps>
                              <LnkIn>
                                <LnkInProps>
                                  <MN>7</MN>
                                  <CLI>1,1,46,False,14</CLI>
                                  <ELN>1</ELN>
                                  <LOOT>0</LOOT>
                                  <LOMN>3</LOMN>
                                  <LOMCN>1</LOMCN>
                                  <LOSN>1</LOSN>
                                  <LOEN>19</LOEN>
                                  <LOCN>14</LOCN>
                                </LnkInProps>
                              </LnkIn>
                            </Ctg>
                            <Ctg>
                              <CtgProps>
                                <R>4</R>
                              </CtgProps>
                              <LnkIn>
                                <LnkInProps>
                                  <MN>7</MN>
                                  <CLI>1,1,46,False,15</CLI>
                                  <ELN>1</ELN>
                                  <LOOT>0</LOOT>
                                  <LOMN>3</LOMN>
                                  <LOMCN>1</LOMCN>
                                  <LOSN>1</LOSN>
                                  <LOEN>19</LOEN>
                                  <LOCN>15</LOCN>
                                </LnkInProps>
                              </LnkIn>
                            </Ctg>
                            <Ctg>
                              <CtgProps>
                                <R>5</R>
                              </CtgProps>
                              <LnkIn>
                                <LnkInProps>
                                  <MN>7</MN>
                                  <CLI>1,1,46,False,16</CLI>
                                  <ELN>1</ELN>
                                  <LOOT>0</LOOT>
                                  <LOMN>3</LOMN>
                                  <LOMCN>1</LOMCN>
                                  <LOSN>1</LOSN>
                                  <LOEN>19</LOEN>
                                  <LOCN>16</LOCN>
                                </LnkInProps>
                              </LnkIn>
                            </Ctg>
                            <Ctg>
                              <CtgProps>
                                <R>5</R>
                              </CtgProps>
                              <LnkIn>
                                <LnkInProps>
                                  <MN>7</MN>
                                  <CLI>1,1,46,False,17</CLI>
                                  <ELN>1</ELN>
                                  <LOOT>0</LOOT>
                                  <LOMN>3</LOMN>
                                  <LOMCN>1</LOMCN>
                                  <LOSN>1</LOSN>
                                  <LOEN>19</LOEN>
                                  <LOCN>17</LOCN>
                                </LnkInProps>
                              </LnkIn>
                            </Ctg>
                            <Ctg>
                              <CtgProps>
                                <R>5</R>
                              </CtgProps>
                              <LnkIn>
                                <LnkInProps>
                                  <MN>7</MN>
                                  <CLI>1,1,46,False,18</CLI>
                                  <ELN>1</ELN>
                                  <LOOT>0</LOOT>
                                  <LOMN>3</LOMN>
                                  <LOMCN>1</LOMCN>
                                  <LOSN>1</LOSN>
                                  <LOEN>19</LOEN>
                                  <LOCN>18</LOCN>
                                </LnkInProps>
                              </LnkIn>
                            </Ctg>
                            <Ctg>
                              <CtgProps>
                                <R>5</R>
                              </CtgProps>
                              <LnkIn>
                                <LnkInProps>
                                  <MN>7</MN>
                                  <CLI>1,1,46,False,19</CLI>
                                  <ELN>1</ELN>
                                  <LOOT>0</LOOT>
                                  <LOMN>3</LOMN>
                                  <LOMCN>1</LOMCN>
                                  <LOSN>1</LOSN>
                                  <LOEN>19</LOEN>
                                  <LOCN>19</LOCN>
                                </LnkInProps>
                              </LnkIn>
                            </Ctg>
                            <Ctg>
                              <CtgProps>
                                <R>5</R>
                              </CtgProps>
                              <LnkIn>
                                <LnkInProps>
                                  <MN>7</MN>
                                  <CLI>1,1,46,False,20</CLI>
                                  <ELN>1</ELN>
                                  <LOOT>0</LOOT>
                                  <LOMN>3</LOMN>
                                  <LOMCN>1</LOMCN>
                                  <LOSN>1</LOSN>
                                  <LOEN>19</LOEN>
                                  <LOCN>20</LOCN>
                                </LnkInProps>
                              </LnkIn>
                            </Ctg>
                            <Ctg>
                              <CtgProps>
                                <R>5</R>
                              </CtgProps>
                              <LnkIn>
                                <LnkInProps>
                                  <MN>7</MN>
                                  <CLI>1,1,46,False,21</CLI>
                                  <ELN>1</ELN>
                                  <LOOT>0</LOOT>
                                  <LOMN>3</LOMN>
                                  <LOMCN>1</LOMCN>
                                  <LOSN>1</LOSN>
                                  <LOEN>19</LOEN>
                                  <LOCN>21</LOCN>
                                </LnkInProps>
                              </LnkIn>
                            </Ctg>
                            <Ctg>
                              <CtgProps>
                                <R>5</R>
                              </CtgProps>
                              <LnkIn>
                                <LnkInProps>
                                  <MN>7</MN>
                                  <CLI>1,1,46,False,22</CLI>
                                  <ELN>1</ELN>
                                  <LOOT>0</LOOT>
                                  <LOMN>3</LOMN>
                                  <LOMCN>1</LOMCN>
                                  <LOSN>1</LOSN>
                                  <LOEN>19</LOEN>
                                  <LOCN>22</LOCN>
                                </LnkInProps>
                              </LnkIn>
                            </Ctg>
                            <Ctg>
                              <CtgProps>
                                <R>5</R>
                              </CtgProps>
                              <LnkIn>
                                <LnkInProps>
                                  <MN>7</MN>
                                  <CLI>1,1,46,False,23</CLI>
                                  <ELN>1</ELN>
                                  <LOOT>0</LOOT>
                                  <LOMN>3</LOMN>
                                  <LOMCN>1</LOMCN>
                                  <LOSN>1</LOSN>
                                  <LOEN>19</LOEN>
                                  <LOCN>23</LOCN>
                                </LnkInProps>
                              </LnkIn>
                            </Ctg>
                            <Ctg>
                              <CtgProps>
                                <R>5</R>
                              </CtgProps>
                              <LnkIn>
                                <LnkInProps>
                                  <MN>7</MN>
                                  <CLI>1,1,46,False,24</CLI>
                                  <ELN>1</ELN>
                                  <LOOT>0</LOOT>
                                  <LOMN>3</LOMN>
                                  <LOMCN>1</LOMCN>
                                  <LOSN>1</LOSN>
                                  <LOEN>19</LOEN>
                                  <LOCN>24</LOCN>
                                </LnkInProps>
                              </LnkIn>
                            </Ctg>
                            <Ctg>
                              <CtgProps>
                                <R>5</R>
                              </CtgProps>
                              <LnkIn>
                                <LnkInProps>
                                  <MN>7</MN>
                                  <CLI>1,1,46,False,25</CLI>
                                  <ELN>1</ELN>
                                  <LOOT>0</LOOT>
                                  <LOMN>3</LOMN>
                                  <LOMCN>1</LOMCN>
                                  <LOSN>1</LOSN>
                                  <LOEN>19</LOEN>
                                  <LOCN>25</LOCN>
                                </LnkInProps>
                              </LnkIn>
                            </Ctg>
                            <Ctg>
                              <CtgProps>
                                <R>5</R>
                              </CtgProps>
                              <LnkIn>
                                <LnkInProps>
                                  <MN>7</MN>
                                  <CLI>1,1,46,False,26</CLI>
                                  <ELN>1</ELN>
                                  <LOOT>0</LOOT>
                                  <LOMN>3</LOMN>
                                  <LOMCN>1</LOMCN>
                                  <LOSN>1</LOSN>
                                  <LOEN>19</LOEN>
                                  <LOCN>26</LOCN>
                                </LnkInProps>
                              </LnkIn>
                            </Ctg>
                            <Ctg>
                              <CtgProps>
                                <R>5</R>
                              </CtgProps>
                              <LnkIn>
                                <LnkInProps>
                                  <MN>7</MN>
                                  <CLI>1,1,46,False,27</CLI>
                                  <ELN>1</ELN>
                                  <LOOT>0</LOOT>
                                  <LOMN>3</LOMN>
                                  <LOMCN>1</LOMCN>
                                  <LOSN>1</LOSN>
                                  <LOEN>19</LOEN>
                                  <LOCN>27</LOCN>
                                </LnkInProps>
                              </LnkIn>
                            </Ctg>
                            <Ctg>
                              <CtgProps>
                                <R>5</R>
                              </CtgProps>
                              <LnkIn>
                                <LnkInProps>
                                  <MN>7</MN>
                                  <CLI>1,1,46,False,28</CLI>
                                  <ELN>1</ELN>
                                  <LOOT>0</LOOT>
                                  <LOMN>3</LOMN>
                                  <LOMCN>1</LOMCN>
                                  <LOSN>1</LOSN>
                                  <LOEN>19</LOEN>
                                  <LOCN>28</LOCN>
                                </LnkInProps>
                              </LnkIn>
                            </Ctg>
                            <Ctg>
                              <CtgProps>
                                <R>5</R>
                              </CtgProps>
                              <LnkIn>
                                <LnkInProps>
                                  <MN>7</MN>
                                  <CLI>1,1,46,False,29</CLI>
                                  <ELN>1</ELN>
                                  <LOOT>0</LOOT>
                                  <LOMN>3</LOMN>
                                  <LOMCN>1</LOMCN>
                                  <LOSN>1</LOSN>
                                  <LOEN>19</LOEN>
                                  <LOCN>29</LOCN>
                                </LnkInProps>
                              </LnkIn>
                            </Ctg>
                            <Ctg>
                              <CtgProps>
                                <R>5</R>
                              </CtgProps>
                              <LnkIn>
                                <LnkInProps>
                                  <MN>7</MN>
                                  <CLI>1,1,46,False,30</CLI>
                                  <ELN>1</ELN>
                                  <LOOT>0</LOOT>
                                  <LOMN>3</LOMN>
                                  <LOMCN>1</LOMCN>
                                  <LOSN>1</LOSN>
                                  <LOEN>19</LOEN>
                                  <LOCN>30</LOCN>
                                </LnkInProps>
                              </LnkIn>
                            </Ctg>
                            <Ctg>
                              <CtgProps>
                                <R>5</R>
                              </CtgProps>
                              <LnkIn>
                                <LnkInProps>
                                  <MN>7</MN>
                                  <CLI>1,1,46,False,31</CLI>
                                  <ELN>1</ELN>
                                  <LOOT>0</LOOT>
                                  <LOMN>3</LOMN>
                                  <LOMCN>1</LOMCN>
                                  <LOSN>1</LOSN>
                                  <LOEN>19</LOEN>
                                  <LOCN>31</LOCN>
                                </LnkInProps>
                              </LnkIn>
                            </Ctg>
                            <Ctg>
                              <CtgProps>
                                <R>5</R>
                              </CtgProps>
                              <LnkIn>
                                <LnkInProps>
                                  <MN>7</MN>
                                  <CLI>1,1,46,False,32</CLI>
                                  <ELN>1</ELN>
                                  <LOOT>0</LOOT>
                                  <LOMN>3</LOMN>
                                  <LOMCN>1</LOMCN>
                                  <LOSN>1</LOSN>
                                  <LOEN>19</LOEN>
                                  <LOCN>32</LOCN>
                                </LnkInProps>
                              </LnkIn>
                            </Ctg>
                            <Ctg>
                              <CtgProps>
                                <R>5</R>
                              </CtgProps>
                              <LnkIn>
                                <LnkInProps>
                                  <MN>7</MN>
                                  <CLI>1,1,46,False,33</CLI>
                                  <ELN>1</ELN>
                                  <LOOT>0</LOOT>
                                  <LOMN>3</LOMN>
                                  <LOMCN>1</LOMCN>
                                  <LOSN>1</LOSN>
                                  <LOEN>19</LOEN>
                                  <LOCN>33</LOCN>
                                </LnkInProps>
                              </LnkIn>
                            </Ctg>
                            <Ctg>
                              <CtgProps>
                                <R>5</R>
                              </CtgProps>
                              <LnkIn>
                                <LnkInProps>
                                  <MN>7</MN>
                                  <CLI>1,1,46,False,34</CLI>
                                  <ELN>1</ELN>
                                  <LOOT>0</LOOT>
                                  <LOMN>3</LOMN>
                                  <LOMCN>1</LOMCN>
                                  <LOSN>1</LOSN>
                                  <LOEN>19</LOEN>
                                  <LOCN>34</LOCN>
                                </LnkInProps>
                              </LnkIn>
                            </Ctg>
                            <Ctg>
                              <CtgProps>
                                <R>5</R>
                              </CtgProps>
                              <LnkIn>
                                <LnkInProps>
                                  <MN>7</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7</MN>
                                  <CLI>1,1,49,False,1</CLI>
                                  <ELN>1</ELN>
                                  <LOOT>0</LOOT>
                                  <LOMN>3</LOMN>
                                  <LOMCN>1</LOMCN>
                                  <LOSN>1</LOSN>
                                  <LOEN>24</LOEN>
                                  <LOCN>1</LOCN>
                                </LnkInProps>
                              </LnkIn>
                            </Ctg>
                            <Ctg>
                              <CtgProps>
                                <R>4</R>
                              </CtgProps>
                              <LnkIn>
                                <LnkInProps>
                                  <MN>7</MN>
                                  <CLI>1,1,49,False,2</CLI>
                                  <ELN>1</ELN>
                                  <LOOT>0</LOOT>
                                  <LOMN>3</LOMN>
                                  <LOMCN>1</LOMCN>
                                  <LOSN>1</LOSN>
                                  <LOEN>24</LOEN>
                                  <LOCN>2</LOCN>
                                </LnkInProps>
                              </LnkIn>
                            </Ctg>
                            <Ctg>
                              <CtgProps>
                                <R>4</R>
                              </CtgProps>
                              <LnkIn>
                                <LnkInProps>
                                  <MN>7</MN>
                                  <CLI>1,1,49,False,3</CLI>
                                  <ELN>1</ELN>
                                  <LOOT>0</LOOT>
                                  <LOMN>3</LOMN>
                                  <LOMCN>1</LOMCN>
                                  <LOSN>1</LOSN>
                                  <LOEN>24</LOEN>
                                  <LOCN>3</LOCN>
                                </LnkInProps>
                              </LnkIn>
                            </Ctg>
                            <Ctg>
                              <CtgProps>
                                <R>4</R>
                              </CtgProps>
                              <LnkIn>
                                <LnkInProps>
                                  <MN>7</MN>
                                  <CLI>1,1,49,False,4</CLI>
                                  <ELN>1</ELN>
                                  <LOOT>0</LOOT>
                                  <LOMN>3</LOMN>
                                  <LOMCN>1</LOMCN>
                                  <LOSN>1</LOSN>
                                  <LOEN>24</LOEN>
                                  <LOCN>4</LOCN>
                                </LnkInProps>
                              </LnkIn>
                            </Ctg>
                            <Ctg>
                              <CtgProps>
                                <R>4</R>
                              </CtgProps>
                              <LnkIn>
                                <LnkInProps>
                                  <MN>7</MN>
                                  <CLI>1,1,49,False,5</CLI>
                                  <ELN>1</ELN>
                                  <LOOT>0</LOOT>
                                  <LOMN>3</LOMN>
                                  <LOMCN>1</LOMCN>
                                  <LOSN>1</LOSN>
                                  <LOEN>24</LOEN>
                                  <LOCN>5</LOCN>
                                </LnkInProps>
                              </LnkIn>
                            </Ctg>
                            <Ctg>
                              <CtgProps>
                                <R>5</R>
                              </CtgProps>
                              <LnkIn>
                                <LnkInProps>
                                  <MN>7</MN>
                                  <CLI>1,1,49,False,6</CLI>
                                  <ELN>1</ELN>
                                  <LOOT>0</LOOT>
                                  <LOMN>3</LOMN>
                                  <LOMCN>1</LOMCN>
                                  <LOSN>1</LOSN>
                                  <LOEN>24</LOEN>
                                  <LOCN>6</LOCN>
                                </LnkInProps>
                              </LnkIn>
                            </Ctg>
                            <Ctg>
                              <CtgProps>
                                <R>5</R>
                              </CtgProps>
                              <LnkIn>
                                <LnkInProps>
                                  <MN>7</MN>
                                  <CLI>1,1,49,False,7</CLI>
                                  <ELN>1</ELN>
                                  <LOOT>0</LOOT>
                                  <LOMN>3</LOMN>
                                  <LOMCN>1</LOMCN>
                                  <LOSN>1</LOSN>
                                  <LOEN>24</LOEN>
                                  <LOCN>7</LOCN>
                                </LnkInProps>
                              </LnkIn>
                            </Ctg>
                            <Ctg>
                              <CtgProps>
                                <R>5</R>
                              </CtgProps>
                              <LnkIn>
                                <LnkInProps>
                                  <MN>7</MN>
                                  <CLI>1,1,49,False,8</CLI>
                                  <ELN>1</ELN>
                                  <LOOT>0</LOOT>
                                  <LOMN>3</LOMN>
                                  <LOMCN>1</LOMCN>
                                  <LOSN>1</LOSN>
                                  <LOEN>24</LOEN>
                                  <LOCN>8</LOCN>
                                </LnkInProps>
                              </LnkIn>
                            </Ctg>
                            <Ctg>
                              <CtgProps>
                                <R>5</R>
                              </CtgProps>
                              <LnkIn>
                                <LnkInProps>
                                  <MN>7</MN>
                                  <CLI>1,1,49,False,9</CLI>
                                  <ELN>1</ELN>
                                  <LOOT>0</LOOT>
                                  <LOMN>3</LOMN>
                                  <LOMCN>1</LOMCN>
                                  <LOSN>1</LOSN>
                                  <LOEN>24</LOEN>
                                  <LOCN>9</LOCN>
                                </LnkInProps>
                              </LnkIn>
                            </Ctg>
                            <Ctg>
                              <CtgProps>
                                <R>5</R>
                              </CtgProps>
                              <LnkIn>
                                <LnkInProps>
                                  <MN>7</MN>
                                  <CLI>1,1,49,False,10</CLI>
                                  <ELN>1</ELN>
                                  <LOOT>0</LOOT>
                                  <LOMN>3</LOMN>
                                  <LOMCN>1</LOMCN>
                                  <LOSN>1</LOSN>
                                  <LOEN>24</LOEN>
                                  <LOCN>10</LOCN>
                                </LnkInProps>
                              </LnkIn>
                            </Ctg>
                            <Ctg>
                              <CtgProps>
                                <R>5</R>
                              </CtgProps>
                              <LnkIn>
                                <LnkInProps>
                                  <MN>7</MN>
                                  <CLI>1,1,49,False,11</CLI>
                                  <ELN>1</ELN>
                                  <LOOT>0</LOOT>
                                  <LOMN>3</LOMN>
                                  <LOMCN>1</LOMCN>
                                  <LOSN>1</LOSN>
                                  <LOEN>24</LOEN>
                                  <LOCN>11</LOCN>
                                </LnkInProps>
                              </LnkIn>
                            </Ctg>
                            <Ctg>
                              <CtgProps>
                                <R>5</R>
                              </CtgProps>
                              <LnkIn>
                                <LnkInProps>
                                  <MN>7</MN>
                                  <CLI>1,1,49,False,12</CLI>
                                  <ELN>1</ELN>
                                  <LOOT>0</LOOT>
                                  <LOMN>3</LOMN>
                                  <LOMCN>1</LOMCN>
                                  <LOSN>1</LOSN>
                                  <LOEN>24</LOEN>
                                  <LOCN>12</LOCN>
                                </LnkInProps>
                              </LnkIn>
                            </Ctg>
                            <Ctg>
                              <CtgProps>
                                <R>5</R>
                              </CtgProps>
                              <LnkIn>
                                <LnkInProps>
                                  <MN>7</MN>
                                  <CLI>1,1,49,False,13</CLI>
                                  <ELN>1</ELN>
                                  <LOOT>0</LOOT>
                                  <LOMN>3</LOMN>
                                  <LOMCN>1</LOMCN>
                                  <LOSN>1</LOSN>
                                  <LOEN>24</LOEN>
                                  <LOCN>13</LOCN>
                                </LnkInProps>
                              </LnkIn>
                            </Ctg>
                            <Ctg>
                              <CtgProps>
                                <R>5</R>
                              </CtgProps>
                              <LnkIn>
                                <LnkInProps>
                                  <MN>7</MN>
                                  <CLI>1,1,49,False,14</CLI>
                                  <ELN>1</ELN>
                                  <LOOT>0</LOOT>
                                  <LOMN>3</LOMN>
                                  <LOMCN>1</LOMCN>
                                  <LOSN>1</LOSN>
                                  <LOEN>24</LOEN>
                                  <LOCN>14</LOCN>
                                </LnkInProps>
                              </LnkIn>
                            </Ctg>
                            <Ctg>
                              <CtgProps>
                                <R>5</R>
                              </CtgProps>
                              <LnkIn>
                                <LnkInProps>
                                  <MN>7</MN>
                                  <CLI>1,1,49,False,15</CLI>
                                  <ELN>1</ELN>
                                  <LOOT>0</LOOT>
                                  <LOMN>3</LOMN>
                                  <LOMCN>1</LOMCN>
                                  <LOSN>1</LOSN>
                                  <LOEN>24</LOEN>
                                  <LOCN>15</LOCN>
                                </LnkInProps>
                              </LnkIn>
                            </Ctg>
                            <Ctg>
                              <CtgProps>
                                <R>5</R>
                              </CtgProps>
                              <LnkIn>
                                <LnkInProps>
                                  <MN>7</MN>
                                  <CLI>1,1,49,False,16</CLI>
                                  <ELN>1</ELN>
                                  <LOOT>0</LOOT>
                                  <LOMN>3</LOMN>
                                  <LOMCN>1</LOMCN>
                                  <LOSN>1</LOSN>
                                  <LOEN>24</LOEN>
                                  <LOCN>16</LOCN>
                                </LnkInProps>
                              </LnkIn>
                            </Ctg>
                            <Ctg>
                              <CtgProps>
                                <R>5</R>
                              </CtgProps>
                              <LnkIn>
                                <LnkInProps>
                                  <MN>7</MN>
                                  <CLI>1,1,49,False,17</CLI>
                                  <ELN>1</ELN>
                                  <LOOT>0</LOOT>
                                  <LOMN>3</LOMN>
                                  <LOMCN>1</LOMCN>
                                  <LOSN>1</LOSN>
                                  <LOEN>24</LOEN>
                                  <LOCN>17</LOCN>
                                </LnkInProps>
                              </LnkIn>
                            </Ctg>
                            <Ctg>
                              <CtgProps>
                                <R>5</R>
                              </CtgProps>
                              <LnkIn>
                                <LnkInProps>
                                  <MN>7</MN>
                                  <CLI>1,1,49,False,18</CLI>
                                  <ELN>1</ELN>
                                  <LOOT>0</LOOT>
                                  <LOMN>3</LOMN>
                                  <LOMCN>1</LOMCN>
                                  <LOSN>1</LOSN>
                                  <LOEN>24</LOEN>
                                  <LOCN>18</LOCN>
                                </LnkInProps>
                              </LnkIn>
                            </Ctg>
                            <Ctg>
                              <CtgProps>
                                <R>5</R>
                              </CtgProps>
                              <LnkIn>
                                <LnkInProps>
                                  <MN>7</MN>
                                  <CLI>1,1,49,False,19</CLI>
                                  <ELN>1</ELN>
                                  <LOOT>0</LOOT>
                                  <LOMN>3</LOMN>
                                  <LOMCN>1</LOMCN>
                                  <LOSN>1</LOSN>
                                  <LOEN>24</LOEN>
                                  <LOCN>19</LOCN>
                                </LnkInProps>
                              </LnkIn>
                            </Ctg>
                            <Ctg>
                              <CtgProps>
                                <R>5</R>
                              </CtgProps>
                              <LnkIn>
                                <LnkInProps>
                                  <MN>7</MN>
                                  <CLI>1,1,49,False,20</CLI>
                                  <ELN>1</ELN>
                                  <LOOT>0</LOOT>
                                  <LOMN>3</LOMN>
                                  <LOMCN>1</LOMCN>
                                  <LOSN>1</LOSN>
                                  <LOEN>24</LOEN>
                                  <LOCN>20</LOCN>
                                </LnkInProps>
                              </LnkIn>
                            </Ctg>
                            <Ctg>
                              <CtgProps>
                                <R>5</R>
                              </CtgProps>
                              <LnkIn>
                                <LnkInProps>
                                  <MN>7</MN>
                                  <CLI>1,1,49,False,21</CLI>
                                  <ELN>1</ELN>
                                  <LOOT>0</LOOT>
                                  <LOMN>3</LOMN>
                                  <LOMCN>1</LOMCN>
                                  <LOSN>1</LOSN>
                                  <LOEN>24</LOEN>
                                  <LOCN>21</LOCN>
                                </LnkInProps>
                              </LnkIn>
                            </Ctg>
                            <Ctg>
                              <CtgProps>
                                <R>5</R>
                              </CtgProps>
                              <LnkIn>
                                <LnkInProps>
                                  <MN>7</MN>
                                  <CLI>1,1,49,False,22</CLI>
                                  <ELN>1</ELN>
                                  <LOOT>0</LOOT>
                                  <LOMN>3</LOMN>
                                  <LOMCN>1</LOMCN>
                                  <LOSN>1</LOSN>
                                  <LOEN>24</LOEN>
                                  <LOCN>22</LOCN>
                                </LnkInProps>
                              </LnkIn>
                            </Ctg>
                            <Ctg>
                              <CtgProps>
                                <R>5</R>
                              </CtgProps>
                              <LnkIn>
                                <LnkInProps>
                                  <MN>7</MN>
                                  <CLI>1,1,49,False,23</CLI>
                                  <ELN>1</ELN>
                                  <LOOT>0</LOOT>
                                  <LOMN>3</LOMN>
                                  <LOMCN>1</LOMCN>
                                  <LOSN>1</LOSN>
                                  <LOEN>24</LOEN>
                                  <LOCN>23</LOCN>
                                </LnkInProps>
                              </LnkIn>
                            </Ctg>
                            <Ctg>
                              <CtgProps>
                                <R>5</R>
                              </CtgProps>
                              <LnkIn>
                                <LnkInProps>
                                  <MN>7</MN>
                                  <CLI>1,1,49,False,24</CLI>
                                  <ELN>1</ELN>
                                  <LOOT>0</LOOT>
                                  <LOMN>3</LOMN>
                                  <LOMCN>1</LOMCN>
                                  <LOSN>1</LOSN>
                                  <LOEN>24</LOEN>
                                  <LOCN>24</LOCN>
                                </LnkInProps>
                              </LnkIn>
                            </Ctg>
                            <Ctg>
                              <CtgProps>
                                <R>5</R>
                              </CtgProps>
                              <LnkIn>
                                <LnkInProps>
                                  <MN>7</MN>
                                  <CLI>1,1,49,False,25</CLI>
                                  <ELN>1</ELN>
                                  <LOOT>0</LOOT>
                                  <LOMN>3</LOMN>
                                  <LOMCN>1</LOMCN>
                                  <LOSN>1</LOSN>
                                  <LOEN>24</LOEN>
                                  <LOCN>25</LOCN>
                                </LnkInProps>
                              </LnkIn>
                            </Ctg>
                            <Ctg>
                              <CtgProps>
                                <R>5</R>
                              </CtgProps>
                              <LnkIn>
                                <LnkInProps>
                                  <MN>7</MN>
                                  <CLI>1,1,49,False,26</CLI>
                                  <ELN>1</ELN>
                                  <LOOT>0</LOOT>
                                  <LOMN>3</LOMN>
                                  <LOMCN>1</LOMCN>
                                  <LOSN>1</LOSN>
                                  <LOEN>24</LOEN>
                                  <LOCN>26</LOCN>
                                </LnkInProps>
                              </LnkIn>
                            </Ctg>
                            <Ctg>
                              <CtgProps>
                                <R>5</R>
                              </CtgProps>
                              <LnkIn>
                                <LnkInProps>
                                  <MN>7</MN>
                                  <CLI>1,1,49,False,27</CLI>
                                  <ELN>1</ELN>
                                  <LOOT>0</LOOT>
                                  <LOMN>3</LOMN>
                                  <LOMCN>1</LOMCN>
                                  <LOSN>1</LOSN>
                                  <LOEN>24</LOEN>
                                  <LOCN>27</LOCN>
                                </LnkInProps>
                              </LnkIn>
                            </Ctg>
                            <Ctg>
                              <CtgProps>
                                <R>5</R>
                              </CtgProps>
                              <LnkIn>
                                <LnkInProps>
                                  <MN>7</MN>
                                  <CLI>1,1,49,False,28</CLI>
                                  <ELN>1</ELN>
                                  <LOOT>0</LOOT>
                                  <LOMN>3</LOMN>
                                  <LOMCN>1</LOMCN>
                                  <LOSN>1</LOSN>
                                  <LOEN>24</LOEN>
                                  <LOCN>28</LOCN>
                                </LnkInProps>
                              </LnkIn>
                            </Ctg>
                            <Ctg>
                              <CtgProps>
                                <R>5</R>
                              </CtgProps>
                              <LnkIn>
                                <LnkInProps>
                                  <MN>7</MN>
                                  <CLI>1,1,49,False,29</CLI>
                                  <ELN>1</ELN>
                                  <LOOT>0</LOOT>
                                  <LOMN>3</LOMN>
                                  <LOMCN>1</LOMCN>
                                  <LOSN>1</LOSN>
                                  <LOEN>24</LOEN>
                                  <LOCN>29</LOCN>
                                </LnkInProps>
                              </LnkIn>
                            </Ctg>
                            <Ctg>
                              <CtgProps>
                                <R>5</R>
                              </CtgProps>
                              <LnkIn>
                                <LnkInProps>
                                  <MN>7</MN>
                                  <CLI>1,1,49,False,30</CLI>
                                  <ELN>1</ELN>
                                  <LOOT>0</LOOT>
                                  <LOMN>3</LOMN>
                                  <LOMCN>1</LOMCN>
                                  <LOSN>1</LOSN>
                                  <LOEN>24</LOEN>
                                  <LOCN>30</LOCN>
                                </LnkInProps>
                              </LnkIn>
                            </Ctg>
                            <Ctg>
                              <CtgProps>
                                <R>5</R>
                              </CtgProps>
                              <LnkIn>
                                <LnkInProps>
                                  <MN>7</MN>
                                  <CLI>1,1,49,False,31</CLI>
                                  <ELN>1</ELN>
                                  <LOOT>0</LOOT>
                                  <LOMN>3</LOMN>
                                  <LOMCN>1</LOMCN>
                                  <LOSN>1</LOSN>
                                  <LOEN>24</LOEN>
                                  <LOCN>31</LOCN>
                                </LnkInProps>
                              </LnkIn>
                            </Ctg>
                            <Ctg>
                              <CtgProps>
                                <R>5</R>
                              </CtgProps>
                              <LnkIn>
                                <LnkInProps>
                                  <MN>7</MN>
                                  <CLI>1,1,49,False,32</CLI>
                                  <ELN>1</ELN>
                                  <LOOT>0</LOOT>
                                  <LOMN>3</LOMN>
                                  <LOMCN>1</LOMCN>
                                  <LOSN>1</LOSN>
                                  <LOEN>24</LOEN>
                                  <LOCN>32</LOCN>
                                </LnkInProps>
                              </LnkIn>
                            </Ctg>
                            <Ctg>
                              <CtgProps>
                                <R>5</R>
                              </CtgProps>
                              <LnkIn>
                                <LnkInProps>
                                  <MN>7</MN>
                                  <CLI>1,1,49,False,33</CLI>
                                  <ELN>1</ELN>
                                  <LOOT>0</LOOT>
                                  <LOMN>3</LOMN>
                                  <LOMCN>1</LOMCN>
                                  <LOSN>1</LOSN>
                                  <LOEN>24</LOEN>
                                  <LOCN>33</LOCN>
                                </LnkInProps>
                              </LnkIn>
                            </Ctg>
                            <Ctg>
                              <CtgProps>
                                <R>5</R>
                              </CtgProps>
                              <LnkIn>
                                <LnkInProps>
                                  <MN>7</MN>
                                  <CLI>1,1,49,False,34</CLI>
                                  <ELN>1</ELN>
                                  <LOOT>0</LOOT>
                                  <LOMN>3</LOMN>
                                  <LOMCN>1</LOMCN>
                                  <LOSN>1</LOSN>
                                  <LOEN>24</LOEN>
                                  <LOCN>34</LOCN>
                                </LnkInProps>
                              </LnkIn>
                            </Ctg>
                            <Ctg>
                              <CtgProps>
                                <R>5</R>
                              </CtgProps>
                              <LnkIn>
                                <LnkInProps>
                                  <MN>7</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7</MN>
                                  <CLI>1,1,53,False,1</CLI>
                                  <ELN>1</ELN>
                                  <LOOT>0</LOOT>
                                  <LOMN>3</LOMN>
                                  <LOMCN>1</LOMCN>
                                  <LOSN>1</LOSN>
                                  <LOEN>29</LOEN>
                                  <LOCN>1</LOCN>
                                </LnkInProps>
                              </LnkIn>
                            </Ctg>
                            <Ctg>
                              <CtgProps>
                                <R>4</R>
                              </CtgProps>
                              <LnkIn>
                                <LnkInProps>
                                  <MN>7</MN>
                                  <CLI>1,1,53,False,2</CLI>
                                  <ELN>1</ELN>
                                  <LOOT>0</LOOT>
                                  <LOMN>3</LOMN>
                                  <LOMCN>1</LOMCN>
                                  <LOSN>1</LOSN>
                                  <LOEN>29</LOEN>
                                  <LOCN>2</LOCN>
                                </LnkInProps>
                              </LnkIn>
                            </Ctg>
                            <Ctg>
                              <CtgProps>
                                <R>5</R>
                              </CtgProps>
                              <LnkIn>
                                <LnkInProps>
                                  <MN>7</MN>
                                  <CLI>1,1,53,False,3</CLI>
                                  <ELN>1</ELN>
                                  <LOOT>0</LOOT>
                                  <LOMN>3</LOMN>
                                  <LOMCN>1</LOMCN>
                                  <LOSN>1</LOSN>
                                  <LOEN>29</LOEN>
                                  <LOCN>3</LOCN>
                                </LnkInProps>
                              </LnkIn>
                            </Ctg>
                            <Ctg>
                              <CtgProps>
                                <R>5</R>
                              </CtgProps>
                              <LnkIn>
                                <LnkInProps>
                                  <MN>7</MN>
                                  <CLI>1,1,53,False,4</CLI>
                                  <ELN>1</ELN>
                                  <LOOT>0</LOOT>
                                  <LOMN>3</LOMN>
                                  <LOMCN>1</LOMCN>
                                  <LOSN>1</LOSN>
                                  <LOEN>29</LOEN>
                                  <LOCN>4</LOCN>
                                </LnkInProps>
                              </LnkIn>
                            </Ctg>
                            <Ctg>
                              <CtgProps>
                                <R>5</R>
                              </CtgProps>
                              <LnkIn>
                                <LnkInProps>
                                  <MN>7</MN>
                                  <CLI>1,1,53,False,5</CLI>
                                  <ELN>1</ELN>
                                  <LOOT>0</LOOT>
                                  <LOMN>3</LOMN>
                                  <LOMCN>1</LOMCN>
                                  <LOSN>1</LOSN>
                                  <LOEN>29</LOEN>
                                  <LOCN>5</LOCN>
                                </LnkInProps>
                              </LnkIn>
                            </Ctg>
                            <Ctg>
                              <CtgProps>
                                <R>5</R>
                              </CtgProps>
                              <LnkIn>
                                <LnkInProps>
                                  <MN>7</MN>
                                  <CLI>1,1,53,False,6</CLI>
                                  <ELN>1</ELN>
                                  <LOOT>0</LOOT>
                                  <LOMN>3</LOMN>
                                  <LOMCN>1</LOMCN>
                                  <LOSN>1</LOSN>
                                  <LOEN>29</LOEN>
                                  <LOCN>6</LOCN>
                                </LnkInProps>
                              </LnkIn>
                            </Ctg>
                            <Ctg>
                              <CtgProps>
                                <R>5</R>
                              </CtgProps>
                              <LnkIn>
                                <LnkInProps>
                                  <MN>7</MN>
                                  <CLI>1,1,53,False,7</CLI>
                                  <ELN>1</ELN>
                                  <LOOT>0</LOOT>
                                  <LOMN>3</LOMN>
                                  <LOMCN>1</LOMCN>
                                  <LOSN>1</LOSN>
                                  <LOEN>29</LOEN>
                                  <LOCN>7</LOCN>
                                </LnkInProps>
                              </LnkIn>
                            </Ctg>
                            <Ctg>
                              <CtgProps>
                                <R>5</R>
                              </CtgProps>
                              <LnkIn>
                                <LnkInProps>
                                  <MN>7</MN>
                                  <CLI>1,1,53,False,8</CLI>
                                  <ELN>1</ELN>
                                  <LOOT>0</LOOT>
                                  <LOMN>3</LOMN>
                                  <LOMCN>1</LOMCN>
                                  <LOSN>1</LOSN>
                                  <LOEN>29</LOEN>
                                  <LOCN>8</LOCN>
                                </LnkInProps>
                              </LnkIn>
                            </Ctg>
                            <Ctg>
                              <CtgProps>
                                <R>5</R>
                              </CtgProps>
                              <LnkIn>
                                <LnkInProps>
                                  <MN>7</MN>
                                  <CLI>1,1,53,False,9</CLI>
                                  <ELN>1</ELN>
                                  <LOOT>0</LOOT>
                                  <LOMN>3</LOMN>
                                  <LOMCN>1</LOMCN>
                                  <LOSN>1</LOSN>
                                  <LOEN>29</LOEN>
                                  <LOCN>9</LOCN>
                                </LnkInProps>
                              </LnkIn>
                            </Ctg>
                            <Ctg>
                              <CtgProps>
                                <R>5</R>
                              </CtgProps>
                              <LnkIn>
                                <LnkInProps>
                                  <MN>7</MN>
                                  <CLI>1,1,53,False,10</CLI>
                                  <ELN>1</ELN>
                                  <LOOT>0</LOOT>
                                  <LOMN>3</LOMN>
                                  <LOMCN>1</LOMCN>
                                  <LOSN>1</LOSN>
                                  <LOEN>29</LOEN>
                                  <LOCN>10</LOCN>
                                </LnkInProps>
                              </LnkIn>
                            </Ctg>
                            <Ctg>
                              <CtgProps>
                                <R>5</R>
                              </CtgProps>
                              <LnkIn>
                                <LnkInProps>
                                  <MN>7</MN>
                                  <CLI>1,1,53,False,11</CLI>
                                  <ELN>1</ELN>
                                  <LOOT>0</LOOT>
                                  <LOMN>3</LOMN>
                                  <LOMCN>1</LOMCN>
                                  <LOSN>1</LOSN>
                                  <LOEN>29</LOEN>
                                  <LOCN>11</LOCN>
                                </LnkInProps>
                              </LnkIn>
                            </Ctg>
                            <Ctg>
                              <CtgProps>
                                <R>5</R>
                              </CtgProps>
                              <LnkIn>
                                <LnkInProps>
                                  <MN>7</MN>
                                  <CLI>1,1,53,False,12</CLI>
                                  <ELN>1</ELN>
                                  <LOOT>0</LOOT>
                                  <LOMN>3</LOMN>
                                  <LOMCN>1</LOMCN>
                                  <LOSN>1</LOSN>
                                  <LOEN>29</LOEN>
                                  <LOCN>12</LOCN>
                                </LnkInProps>
                              </LnkIn>
                            </Ctg>
                            <Ctg>
                              <CtgProps>
                                <R>5</R>
                              </CtgProps>
                              <LnkIn>
                                <LnkInProps>
                                  <MN>7</MN>
                                  <CLI>1,1,53,False,13</CLI>
                                  <ELN>1</ELN>
                                  <LOOT>0</LOOT>
                                  <LOMN>3</LOMN>
                                  <LOMCN>1</LOMCN>
                                  <LOSN>1</LOSN>
                                  <LOEN>29</LOEN>
                                  <LOCN>13</LOCN>
                                </LnkInProps>
                              </LnkIn>
                            </Ctg>
                            <Ctg>
                              <CtgProps>
                                <R>5</R>
                              </CtgProps>
                              <LnkIn>
                                <LnkInProps>
                                  <MN>7</MN>
                                  <CLI>1,1,53,False,14</CLI>
                                  <ELN>1</ELN>
                                  <LOOT>0</LOOT>
                                  <LOMN>3</LOMN>
                                  <LOMCN>1</LOMCN>
                                  <LOSN>1</LOSN>
                                  <LOEN>29</LOEN>
                                  <LOCN>14</LOCN>
                                </LnkInProps>
                              </LnkIn>
                            </Ctg>
                            <Ctg>
                              <CtgProps>
                                <R>5</R>
                              </CtgProps>
                              <LnkIn>
                                <LnkInProps>
                                  <MN>7</MN>
                                  <CLI>1,1,53,False,15</CLI>
                                  <ELN>1</ELN>
                                  <LOOT>0</LOOT>
                                  <LOMN>3</LOMN>
                                  <LOMCN>1</LOMCN>
                                  <LOSN>1</LOSN>
                                  <LOEN>29</LOEN>
                                  <LOCN>15</LOCN>
                                </LnkInProps>
                              </LnkIn>
                            </Ctg>
                            <Ctg>
                              <CtgProps>
                                <R>5</R>
                              </CtgProps>
                              <LnkIn>
                                <LnkInProps>
                                  <MN>7</MN>
                                  <CLI>1,1,53,False,16</CLI>
                                  <ELN>1</ELN>
                                  <LOOT>0</LOOT>
                                  <LOMN>3</LOMN>
                                  <LOMCN>1</LOMCN>
                                  <LOSN>1</LOSN>
                                  <LOEN>29</LOEN>
                                  <LOCN>16</LOCN>
                                </LnkInProps>
                              </LnkIn>
                            </Ctg>
                            <Ctg>
                              <CtgProps>
                                <R>5</R>
                              </CtgProps>
                              <LnkIn>
                                <LnkInProps>
                                  <MN>7</MN>
                                  <CLI>1,1,53,False,17</CLI>
                                  <ELN>1</ELN>
                                  <LOOT>0</LOOT>
                                  <LOMN>3</LOMN>
                                  <LOMCN>1</LOMCN>
                                  <LOSN>1</LOSN>
                                  <LOEN>29</LOEN>
                                  <LOCN>17</LOCN>
                                </LnkInProps>
                              </LnkIn>
                            </Ctg>
                            <Ctg>
                              <CtgProps>
                                <R>5</R>
                              </CtgProps>
                              <LnkIn>
                                <LnkInProps>
                                  <MN>7</MN>
                                  <CLI>1,1,53,False,18</CLI>
                                  <ELN>1</ELN>
                                  <LOOT>0</LOOT>
                                  <LOMN>3</LOMN>
                                  <LOMCN>1</LOMCN>
                                  <LOSN>1</LOSN>
                                  <LOEN>29</LOEN>
                                  <LOCN>18</LOCN>
                                </LnkInProps>
                              </LnkIn>
                            </Ctg>
                            <Ctg>
                              <CtgProps>
                                <R>5</R>
                              </CtgProps>
                              <LnkIn>
                                <LnkInProps>
                                  <MN>7</MN>
                                  <CLI>1,1,53,False,19</CLI>
                                  <ELN>1</ELN>
                                  <LOOT>0</LOOT>
                                  <LOMN>3</LOMN>
                                  <LOMCN>1</LOMCN>
                                  <LOSN>1</LOSN>
                                  <LOEN>29</LOEN>
                                  <LOCN>19</LOCN>
                                </LnkInProps>
                              </LnkIn>
                            </Ctg>
                            <Ctg>
                              <CtgProps>
                                <R>5</R>
                              </CtgProps>
                              <LnkIn>
                                <LnkInProps>
                                  <MN>7</MN>
                                  <CLI>1,1,53,False,20</CLI>
                                  <ELN>1</ELN>
                                  <LOOT>0</LOOT>
                                  <LOMN>3</LOMN>
                                  <LOMCN>1</LOMCN>
                                  <LOSN>1</LOSN>
                                  <LOEN>29</LOEN>
                                  <LOCN>20</LOCN>
                                </LnkInProps>
                              </LnkIn>
                            </Ctg>
                            <Ctg>
                              <CtgProps>
                                <R>5</R>
                              </CtgProps>
                              <LnkIn>
                                <LnkInProps>
                                  <MN>7</MN>
                                  <CLI>1,1,53,False,21</CLI>
                                  <ELN>1</ELN>
                                  <LOOT>0</LOOT>
                                  <LOMN>3</LOMN>
                                  <LOMCN>1</LOMCN>
                                  <LOSN>1</LOSN>
                                  <LOEN>29</LOEN>
                                  <LOCN>21</LOCN>
                                </LnkInProps>
                              </LnkIn>
                            </Ctg>
                            <Ctg>
                              <CtgProps>
                                <R>5</R>
                              </CtgProps>
                              <LnkIn>
                                <LnkInProps>
                                  <MN>7</MN>
                                  <CLI>1,1,53,False,22</CLI>
                                  <ELN>1</ELN>
                                  <LOOT>0</LOOT>
                                  <LOMN>3</LOMN>
                                  <LOMCN>1</LOMCN>
                                  <LOSN>1</LOSN>
                                  <LOEN>29</LOEN>
                                  <LOCN>22</LOCN>
                                </LnkInProps>
                              </LnkIn>
                            </Ctg>
                            <Ctg>
                              <CtgProps>
                                <R>5</R>
                              </CtgProps>
                              <LnkIn>
                                <LnkInProps>
                                  <MN>7</MN>
                                  <CLI>1,1,53,False,23</CLI>
                                  <ELN>1</ELN>
                                  <LOOT>0</LOOT>
                                  <LOMN>3</LOMN>
                                  <LOMCN>1</LOMCN>
                                  <LOSN>1</LOSN>
                                  <LOEN>29</LOEN>
                                  <LOCN>23</LOCN>
                                </LnkInProps>
                              </LnkIn>
                            </Ctg>
                            <Ctg>
                              <CtgProps>
                                <R>5</R>
                              </CtgProps>
                              <LnkIn>
                                <LnkInProps>
                                  <MN>7</MN>
                                  <CLI>1,1,53,False,24</CLI>
                                  <ELN>1</ELN>
                                  <LOOT>0</LOOT>
                                  <LOMN>3</LOMN>
                                  <LOMCN>1</LOMCN>
                                  <LOSN>1</LOSN>
                                  <LOEN>29</LOEN>
                                  <LOCN>24</LOCN>
                                </LnkInProps>
                              </LnkIn>
                            </Ctg>
                            <Ctg>
                              <CtgProps>
                                <R>5</R>
                              </CtgProps>
                              <LnkIn>
                                <LnkInProps>
                                  <MN>7</MN>
                                  <CLI>1,1,53,False,25</CLI>
                                  <ELN>1</ELN>
                                  <LOOT>0</LOOT>
                                  <LOMN>3</LOMN>
                                  <LOMCN>1</LOMCN>
                                  <LOSN>1</LOSN>
                                  <LOEN>29</LOEN>
                                  <LOCN>25</LOCN>
                                </LnkInProps>
                              </LnkIn>
                            </Ctg>
                            <Ctg>
                              <CtgProps>
                                <R>5</R>
                              </CtgProps>
                              <LnkIn>
                                <LnkInProps>
                                  <MN>7</MN>
                                  <CLI>1,1,53,False,26</CLI>
                                  <ELN>1</ELN>
                                  <LOOT>0</LOOT>
                                  <LOMN>3</LOMN>
                                  <LOMCN>1</LOMCN>
                                  <LOSN>1</LOSN>
                                  <LOEN>29</LOEN>
                                  <LOCN>26</LOCN>
                                </LnkInProps>
                              </LnkIn>
                            </Ctg>
                            <Ctg>
                              <CtgProps>
                                <R>5</R>
                              </CtgProps>
                              <LnkIn>
                                <LnkInProps>
                                  <MN>7</MN>
                                  <CLI>1,1,53,False,27</CLI>
                                  <ELN>1</ELN>
                                  <LOOT>0</LOOT>
                                  <LOMN>3</LOMN>
                                  <LOMCN>1</LOMCN>
                                  <LOSN>1</LOSN>
                                  <LOEN>29</LOEN>
                                  <LOCN>27</LOCN>
                                </LnkInProps>
                              </LnkIn>
                            </Ctg>
                            <Ctg>
                              <CtgProps>
                                <R>5</R>
                              </CtgProps>
                              <LnkIn>
                                <LnkInProps>
                                  <MN>7</MN>
                                  <CLI>1,1,53,False,28</CLI>
                                  <ELN>1</ELN>
                                  <LOOT>0</LOOT>
                                  <LOMN>3</LOMN>
                                  <LOMCN>1</LOMCN>
                                  <LOSN>1</LOSN>
                                  <LOEN>29</LOEN>
                                  <LOCN>28</LOCN>
                                </LnkInProps>
                              </LnkIn>
                            </Ctg>
                            <Ctg>
                              <CtgProps>
                                <R>5</R>
                              </CtgProps>
                              <LnkIn>
                                <LnkInProps>
                                  <MN>7</MN>
                                  <CLI>1,1,53,False,29</CLI>
                                  <ELN>1</ELN>
                                  <LOOT>0</LOOT>
                                  <LOMN>3</LOMN>
                                  <LOMCN>1</LOMCN>
                                  <LOSN>1</LOSN>
                                  <LOEN>29</LOEN>
                                  <LOCN>29</LOCN>
                                </LnkInProps>
                              </LnkIn>
                            </Ctg>
                            <Ctg>
                              <CtgProps>
                                <R>5</R>
                              </CtgProps>
                              <LnkIn>
                                <LnkInProps>
                                  <MN>7</MN>
                                  <CLI>1,1,53,False,30</CLI>
                                  <ELN>1</ELN>
                                  <LOOT>0</LOOT>
                                  <LOMN>3</LOMN>
                                  <LOMCN>1</LOMCN>
                                  <LOSN>1</LOSN>
                                  <LOEN>29</LOEN>
                                  <LOCN>30</LOCN>
                                </LnkInProps>
                              </LnkIn>
                            </Ctg>
                            <Ctg>
                              <CtgProps>
                                <R>5</R>
                              </CtgProps>
                              <LnkIn>
                                <LnkInProps>
                                  <MN>7</MN>
                                  <CLI>1,1,53,False,31</CLI>
                                  <ELN>1</ELN>
                                  <LOOT>0</LOOT>
                                  <LOMN>3</LOMN>
                                  <LOMCN>1</LOMCN>
                                  <LOSN>1</LOSN>
                                  <LOEN>29</LOEN>
                                  <LOCN>31</LOCN>
                                </LnkInProps>
                              </LnkIn>
                            </Ctg>
                            <Ctg>
                              <CtgProps>
                                <R>5</R>
                              </CtgProps>
                              <LnkIn>
                                <LnkInProps>
                                  <MN>7</MN>
                                  <CLI>1,1,53,False,32</CLI>
                                  <ELN>1</ELN>
                                  <LOOT>0</LOOT>
                                  <LOMN>3</LOMN>
                                  <LOMCN>1</LOMCN>
                                  <LOSN>1</LOSN>
                                  <LOEN>29</LOEN>
                                  <LOCN>32</LOCN>
                                </LnkInProps>
                              </LnkIn>
                            </Ctg>
                            <Ctg>
                              <CtgProps>
                                <R>5</R>
                              </CtgProps>
                              <LnkIn>
                                <LnkInProps>
                                  <MN>7</MN>
                                  <CLI>1,1,53,False,33</CLI>
                                  <ELN>1</ELN>
                                  <LOOT>0</LOOT>
                                  <LOMN>3</LOMN>
                                  <LOMCN>1</LOMCN>
                                  <LOSN>1</LOSN>
                                  <LOEN>29</LOEN>
                                  <LOCN>33</LOCN>
                                </LnkInProps>
                              </LnkIn>
                            </Ctg>
                            <Ctg>
                              <CtgProps>
                                <R>5</R>
                              </CtgProps>
                              <LnkIn>
                                <LnkInProps>
                                  <MN>7</MN>
                                  <CLI>1,1,53,False,34</CLI>
                                  <ELN>1</ELN>
                                  <LOOT>0</LOOT>
                                  <LOMN>3</LOMN>
                                  <LOMCN>1</LOMCN>
                                  <LOSN>1</LOSN>
                                  <LOEN>29</LOEN>
                                  <LOCN>34</LOCN>
                                </LnkInProps>
                              </LnkIn>
                            </Ctg>
                            <Ctg>
                              <CtgProps>
                                <R>5</R>
                              </CtgProps>
                              <LnkIn>
                                <LnkInProps>
                                  <MN>7</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7</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7</MN>
                <MCN>2</MCN>
                <MCTK>BaseCase</MCTK>
                <RT><![CDATA[<ModuleName> - Assumptions]]></RT>
                <ERN>BPMMC48</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5</ST>
                                <VOFFF><![CDATA[Sensitisation]]></VOFFF>
                              </ClmnBlkPtProps>
                            </ClmnBlkPt>
                          </ClmnBlkPts>
                        </ClmnBlk>
                      </ClmnBlks>
                      <TtlCtg/>
                    </Elmt>
                    <Elmt>
                      <ElmtProps>
                        <CPT>2</CPT>
                      </ElmtProps>
                      <ClmnBlks>
                        <ClmnBlk>
                          <ClmnBlkProps>
                            <FCPT>3</FCPT>
                            <FCN>3</FCN>
                            <FCOT>0</FCOT>
                            <FCOC>0</FCOC>
                            <FCPTBMCN>3</FCPTBMCN>
                            <FCPTBN>2</FCPTBN>
                            <LCPT>3</LCPT>
                            <LCN>3</LCN>
                            <LCOT>0</LCOT>
                            <LCOC>0</LCOC>
                            <LCPTBMCN>3</LCPTBMCN>
                            <LCPTBN>2</LCPTBN>
                          </ClmnBlkProps>
                          <ClmnBlkPts>
                            <ClmnBlkPt>
                              <ClmnBlkPtProps>
                                <CBPT>5</CBPT>
                                <ST>6</ST>
                                <VOFFF><![CDATA[Number of National Sensitization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CDATA[0]]></VOFFF>
                                <UDAV><![CDATA[0]]></UDAV>
                              </ClmnBlkPtProps>
                            </ClmnBlkPt>
                          </ClmnBlkPts>
                        </ClmnBlk>
                      </ClmnBlks>
                      <TtlCtg/>
                    </Elmt>
                  </Elmts>
                </Sect>
              </Sects>
            </ModComp>
            <ModComp>
              <ModCompProps>
                <MN>7</MN>
                <MCN>3</MCN>
                <MCTK>OP</MCTK>
                <RT><![CDATA[<ModuleName> - Outputs]]></RT>
                <ERN>BPMMC49</ERN>
                <MCST>0</MCST>
                <IPMC>False</IPMC>
                <SN>26</SN>
                <LODS>False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15</CTHN>
                                <ST>3</ST>
                                <VOFFF><![CDATA[Sensitisation]]></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8,2,1,-1,0,0,FALSE,FALSE§Z¿/§A¿0,1,0,1,34,2,1,2,0,0,TRUE,TRUE§Z¿,§A¿0,3,0,1,8,2,1,-1,0,0,FALSE,FALSE§Z¿*§A¿0,1,0,1,34,2,1,2,0,0,TRUE,TRUE§Z¿), 0)]]></VOFFF>
                              </ClmnBlkPtProps>
                            </ClmnBlkPt>
                          </ClmnBlkPts>
                        </ClmnBlk>
                        <ClmnBlk>
                          <ClmnBlkProps>
                            <FCPT>0</FCPT>
                            <FCN>17</FCN>
                            <LCPT>0</LCPT>
                            <LCN>17</LCN>
                          </ClmnBlkProps>
                          <ClmnBlkPts>
                            <ClmnBlkPt>
                              <ClmnBlkPtProps>
                                <CBPT>5</CBPT>
                                <ST>18</ST>
                                <SON>14</SON>
                                <VOFFF><![CDATA[=IFERROR(IF(§A¿1,1,1,1,5,0,2,1,1§Z¿=2,§A¿0,3,0,1,8,3,1,-1,0,0,FALSE,FALSE§Z¿/§A¿0,1,0,1,34,2,1,2,0,0,TRUE,TRUE§Z¿,§A¿0,3,0,1,8,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9,2,1,-1,0,0,FALSE,FALSE§Z¿/§A¿0,1,0,1,34,2,1,2,0,0,TRUE,TRUE§Z¿,§A¿0,3,0,1,9,2,1,-1,0,0,FALSE,FALSE§Z¿*§A¿0,1,0,1,34,2,1,2,0,0,TRUE,TRUE§Z¿), 0)]]></VOFFF>
                              </ClmnBlkPtProps>
                            </ClmnBlkPt>
                          </ClmnBlkPts>
                        </ClmnBlk>
                        <ClmnBlk>
                          <ClmnBlkProps>
                            <FCPT>0</FCPT>
                            <FCN>17</FCN>
                            <LCPT>0</LCPT>
                            <LCN>17</LCN>
                          </ClmnBlkProps>
                          <ClmnBlkPts>
                            <ClmnBlkPt>
                              <ClmnBlkPtProps>
                                <CBPT>5</CBPT>
                                <ST>18</ST>
                                <SON>14</SON>
                                <VOFFF><![CDATA[=IFERROR(IF(§A¿1,1,1,1,5,0,2,1,1§Z¿=2,§A¿0,3,0,1,9,3,1,-1,0,0,FALSE,FALSE§Z¿/§A¿0,1,0,1,34,2,1,2,0,0,TRUE,TRUE§Z¿,§A¿0,3,0,1,9,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10,2,1,-1,0,0,FALSE,FALSE§Z¿/§A¿0,1,0,1,34,2,1,2,0,0,TRUE,TRUE§Z¿,§A¿0,3,0,1,10,2,1,-1,0,0,FALSE,FALSE§Z¿*§A¿0,1,0,1,34,2,1,2,0,0,TRUE,TRUE§Z¿), 0)]]></VOFFF>
                              </ClmnBlkPtProps>
                            </ClmnBlkPt>
                          </ClmnBlkPts>
                        </ClmnBlk>
                        <ClmnBlk>
                          <ClmnBlkProps>
                            <FCPT>0</FCPT>
                            <FCN>17</FCN>
                            <LCPT>0</LCPT>
                            <LCN>17</LCN>
                          </ClmnBlkProps>
                          <ClmnBlkPts>
                            <ClmnBlkPt>
                              <ClmnBlkPtProps>
                                <CBPT>5</CBPT>
                                <ST>18</ST>
                                <SON>14</SON>
                                <VOFFF><![CDATA[=IFERROR(IF(§A¿1,1,1,1,5,0,2,1,1§Z¿=2,§A¿0,3,0,1,10,3,1,-1,0,0,FALSE,FALSE§Z¿/§A¿0,1,0,1,34,2,1,2,0,0,TRUE,TRUE§Z¿,§A¿0,3,0,1,10,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11,2,1,-1,0,0,FALSE,FALSE§Z¿/§A¿0,1,0,1,34,2,1,2,0,0,TRUE,TRUE§Z¿,§A¿0,3,0,1,11,2,1,-1,0,0,FALSE,FALSE§Z¿*§A¿0,1,0,1,34,2,1,2,0,0,TRUE,TRUE§Z¿), 0)]]></VOFFF>
                              </ClmnBlkPtProps>
                            </ClmnBlkPt>
                          </ClmnBlkPts>
                        </ClmnBlk>
                        <ClmnBlk>
                          <ClmnBlkProps>
                            <FCPT>0</FCPT>
                            <FCN>17</FCN>
                            <LCPT>0</LCPT>
                            <LCN>17</LCN>
                          </ClmnBlkProps>
                          <ClmnBlkPts>
                            <ClmnBlkPt>
                              <ClmnBlkPtProps>
                                <CBPT>5</CBPT>
                                <ST>18</ST>
                                <SON>14</SON>
                                <VOFFF><![CDATA[=IFERROR(IF(§A¿1,1,1,1,5,0,2,1,1§Z¿=2,§A¿0,3,0,1,11,3,1,-1,0,0,FALSE,FALSE§Z¿/§A¿0,1,0,1,34,2,1,2,0,0,TRUE,TRUE§Z¿,§A¿0,3,0,1,11,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Single "&§A¿0,3,0,1,5,1,1,-1,0,0,FALSE,FALSE§Z¿]]></VOFFF>
                              </ClmnBlkPtProps>
                            </ClmnBlkPt>
                          </ClmnBlkPts>
                        </ClmnBlk>
                        <ClmnBlk>
                          <ClmnBlkProps>
                            <FCPT>0</FCPT>
                            <FCN>10</FCN>
                            <LCPT>0</LCPT>
                            <LCN>10</LCN>
                          </ClmnBlkProps>
                          <ClmnBlkPts>
                            <ClmnBlkPt>
                              <ClmnBlkPtProps>
                                <CBPT>5</CBPT>
                                <ST>18</ST>
                                <SON>17</SON>
                                <VOFFF><![CDATA[=SUM(§A¿0,3,1,1,7,2,1,-1,0,0,FALSE,FALSE,1,11,2,1,-1,0,0,FALSE,FALSE§Z¿)]]></VOFFF>
                              </ClmnBlkPtProps>
                            </ClmnBlkPt>
                          </ClmnBlkPts>
                        </ClmnBlk>
                        <ClmnBlk>
                          <ClmnBlkProps>
                            <FCPT>0</FCPT>
                            <FCN>12</FCN>
                            <LCPT>0</LCPT>
                            <LCN>12</LCN>
                          </ClmnBlkProps>
                          <ClmnBlkPts>
                            <ClmnBlkPt>
                              <ClmnBlkPtProps>
                                <CBPT>5</CBPT>
                                <ST>18</ST>
                                <SON>17</SON>
                                <VOFFF><![CDATA[=SUM(§A¿0,3,1,1,7,3,1,-1,0,0,FALSE,FALSE,1,11,3,1,-1,0,0,FALSE,FALSE§Z¿)]]></VOFFF>
                              </ClmnBlkPtProps>
                            </ClmnBlkPt>
                          </ClmnBlkPts>
                        </ClmnBlk>
                        <ClmnBlk>
                          <ClmnBlkProps>
                            <FCPT>0</FCPT>
                            <FCN>15</FCN>
                            <LCPT>0</LCPT>
                            <LCN>15</LCN>
                          </ClmnBlkProps>
                          <ClmnBlkPts>
                            <ClmnBlkPt>
                              <ClmnBlkPtProps>
                                <CBPT>5</CBPT>
                                <ST>18</ST>
                                <SON>18</SON>
                                <VOFFF><![CDATA[=SUM(§A¿0,3,1,1,7,4,1,-1,0,0,FALSE,FALSE,1,11,4,1,-1,0,0,FALSE,FALSE§Z¿)]]></VOFFF>
                              </ClmnBlkPtProps>
                            </ClmnBlkPt>
                          </ClmnBlkPts>
                        </ClmnBlk>
                        <ClmnBlk>
                          <ClmnBlkProps>
                            <FCPT>0</FCPT>
                            <FCN>17</FCN>
                            <LCPT>0</LCPT>
                            <LCN>17</LCN>
                          </ClmnBlkProps>
                          <ClmnBlkPts>
                            <ClmnBlkPt>
                              <ClmnBlkPtProps>
                                <CBPT>5</CBPT>
                                <ST>18</ST>
                                <SON>18</SON>
                                <VOFFF><![CDATA[=SUM(§A¿0,3,1,1,7,5,1,-1,0,0,FALSE,FALSE,1,11,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3,1,14,2,1</CBPLI>
                                    <MCN>3</MCN>
                                    <SN>1</SN>
                                    <EN>14</EN>
                                    <CN>0</CN>
                                    <CBN>2</CBN>
                                    <CBPN>1</CBPN>
                                    <PT>1</PT>
                                    <CBPRNT>6</CBPRNT>
                                    <NT>12</NT>
                                    <SP1><![CDATA[Number_Nat_Sens]]></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5,1,1,-1,0,0,FALSE,FALSE§Z¿&" Activities"]]></VOFFF>
                              </ClmnBlkPtProps>
                            </ClmnBlkPt>
                          </ClmnBlkPts>
                        </ClmnBlk>
                        <ClmnBlk>
                          <ClmnBlkProps>
                            <FCPT>0</FCPT>
                            <FCN>10</FCN>
                            <LCPT>0</LCPT>
                            <LCN>10</LCN>
                          </ClmnBlkProps>
                          <ClmnBlkPts>
                            <ClmnBlkPt>
                              <ClmnBlkPtProps>
                                <CBPT>5</CBPT>
                                <ST>18</ST>
                                <SON>6</SON>
                                <VOFFF><![CDATA[=§A¿0,3,0,1,12,2,1,-1,0,0,FALSE,FALSE§Z¿*§A¿1,1,3,1,14,0,2,1,1§Z¿]]></VOFFF>
                              </ClmnBlkPtProps>
                            </ClmnBlkPt>
                          </ClmnBlkPts>
                        </ClmnBlk>
                        <ClmnBlk>
                          <ClmnBlkProps>
                            <FCPT>0</FCPT>
                            <FCN>12</FCN>
                            <LCPT>0</LCPT>
                            <LCN>12</LCN>
                          </ClmnBlkProps>
                          <ClmnBlkPts>
                            <ClmnBlkPt>
                              <ClmnBlkPtProps>
                                <CBPT>5</CBPT>
                                <ST>18</ST>
                                <SON>6</SON>
                                <VOFFF><![CDATA[=§A¿0,3,0,1,12,3,1,-1,0,0,FALSE,FALSE§Z¿*§A¿1,1,3,1,14,0,2,1,1§Z¿]]></VOFFF>
                              </ClmnBlkPtProps>
                            </ClmnBlkPt>
                          </ClmnBlkPts>
                        </ClmnBlk>
                        <ClmnBlk>
                          <ClmnBlkProps>
                            <FCPT>0</FCPT>
                            <FCN>15</FCN>
                            <LCPT>0</LCPT>
                            <LCN>15</LCN>
                          </ClmnBlkProps>
                          <ClmnBlkPts>
                            <ClmnBlkPt>
                              <ClmnBlkPtProps>
                                <CBPT>5</CBPT>
                                <ST>18</ST>
                                <SON>6</SON>
                                <VOFFF><![CDATA[=§A¿0,3,0,1,12,4,1,-1,0,0,FALSE,FALSE§Z¿*§A¿1,1,3,1,14,0,2,1,1§Z¿]]></VOFFF>
                              </ClmnBlkPtProps>
                            </ClmnBlkPt>
                          </ClmnBlkPts>
                        </ClmnBlk>
                        <ClmnBlk>
                          <ClmnBlkProps>
                            <FCPT>0</FCPT>
                            <FCN>17</FCN>
                            <LCPT>0</LCPT>
                            <LCN>17</LCN>
                          </ClmnBlkProps>
                          <ClmnBlkPts>
                            <ClmnBlkPt>
                              <ClmnBlkPtProps>
                                <CBPT>5</CBPT>
                                <ST>18</ST>
                                <SON>6</SON>
                                <VOFFF><![CDATA[=§A¿0,3,0,1,12,5,1,-1,0,0,FALSE,FALSE§Z¿*§A¿1,1,3,1,14,0,2,1,1§Z¿]]></VOFFF>
                              </ClmnBlkPtProps>
                            </ClmnBlkPt>
                          </ClmnBlkPts>
                        </ClmnBlk>
                      </ClmnBlks>
                      <TtlCtg/>
                    </Elmt>
                    <Elmt>
                      <ElmtProps>
                        <CPT>2</CPT>
                      </ElmtProps>
                      <ClmnBlks>
                        <ClmnBlk>
                          <ClmnBlkProps>
                            <FCPT>0</FCPT>
                            <FCN>2</FCN>
                            <LCPT>0</LCPT>
                            <LCN>18</LCN>
                          </ClmnBlkProps>
                          <ClmnBlkPts>
                            <ClmnBlkPt>
                              <ClmnBlkPtProps>
                                <CBPT>5</CBPT>
                                <ST>-1</ST>
                                <SON>16</SON>
                                <VOFFF/>
                              </ClmnBlkPtProps>
                            </ClmnBlkPt>
                          </ClmnBlkPts>
                        </ClmnBlk>
                      </ClmnBlks>
                      <TtlCtg/>
                    </Elmt>
                  </Elmts>
                </Sect>
              </Sects>
            </ModComp>
            <ModComp>
              <ModCompProps>
                <MN>7</MN>
                <MCN>4</MCN>
                <MCTK>LU</MCTK>
                <RT><![CDATA[<ModuleName> - Lookups]]></RT>
                <ERN>BPMMC50</ERN>
                <MCST>3</MCST>
                <IPMC>False</IPMC>
                <SN>38</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16</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3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3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3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3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3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3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4</MN>
            <MAG>03BA1A6D-A278-46A5-AF9C-E6AA52BCE76E</MAG>
            <BN><![CDATA[PLUG_ACTIVITY]]></BN>
            <N><![CDATA[SENS-DISTR]]></N>
            <TS><![CDATA[Annual]]></TS>
            <D><![CDATA[Assists with planning the cost of an activity. Should be used with Prices module.]]></D>
            <FS/>
            <R/>
            <GE/>
            <CA/>
            <VA/>
            <GST/>
            <DE/>
            <E/>
            <C/>
            <W/>
            <K/>
            <CO/>
            <V>1.0.0.0.</V>
            <AX/>
            <PMLO>False</PMLO>
            <IPMLO>False</IPMLO>
            <MACA>1</MACA>
            <RTSM>True</RTSM>
            <CC>True</CC>
            <X>False</X>
            <G>A8D2223A-1B60-432A-8821-767C6E5360E9</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8</MN>
                <MCN>1</MCN>
                <MCTK>BaseCase</MCTK>
                <RT><![CDATA[SENS-DIST - Assumptions]]></RT>
                <ERN>BPMMC51</ERN>
                <MCST>0</MCST>
                <IPMC>False</IPMC>
                <SN>18</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23</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4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 Links (Developer Use Only.  User can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8</MN>
                                  <CLI>1,1,34,False,1</CLI>
                                  <ELN>1</ELN>
                                  <LOOT>0</LOOT>
                                  <LOMN>3</LOMN>
                                  <LOMCN>2</LOMCN>
                                  <LOSN>1</LOSN>
                                  <LOEN>4</LOEN>
                                  <LOCN>1</LOCN>
                                </LnkInProps>
                              </LnkIn>
                            </Ctg>
                            <Ctg>
                              <CtgProps>
                                <R>5</R>
                              </CtgProps>
                              <LnkIn>
                                <LnkInProps>
                                  <MN>8</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8</MN>
                                  <CLI>1,1,39,False,1</CLI>
                                  <ELN>1</ELN>
                                  <LOOT>0</LOOT>
                                  <LOMN>3</LOMN>
                                  <LOMCN>1</LOMCN>
                                  <LOSN>1</LOSN>
                                  <LOEN>10</LOEN>
                                  <LOCN>1</LOCN>
                                </LnkInProps>
                              </LnkIn>
                            </Ctg>
                            <Ctg>
                              <CtgProps>
                                <R>4</R>
                              </CtgProps>
                              <LnkIn>
                                <LnkInProps>
                                  <MN>8</MN>
                                  <CLI>1,1,39,False,2</CLI>
                                  <ELN>1</ELN>
                                  <LOOT>0</LOOT>
                                  <LOMN>3</LOMN>
                                  <LOMCN>1</LOMCN>
                                  <LOSN>1</LOSN>
                                  <LOEN>10</LOEN>
                                  <LOCN>2</LOCN>
                                </LnkInProps>
                              </LnkIn>
                            </Ctg>
                            <Ctg>
                              <CtgProps>
                                <R>4</R>
                              </CtgProps>
                              <LnkIn>
                                <LnkInProps>
                                  <MN>8</MN>
                                  <CLI>1,1,39,False,3</CLI>
                                  <ELN>1</ELN>
                                  <LOOT>0</LOOT>
                                  <LOMN>3</LOMN>
                                  <LOMCN>1</LOMCN>
                                  <LOSN>1</LOSN>
                                  <LOEN>10</LOEN>
                                  <LOCN>3</LOCN>
                                </LnkInProps>
                              </LnkIn>
                            </Ctg>
                            <Ctg>
                              <CtgProps>
                                <R>4</R>
                              </CtgProps>
                              <LnkIn>
                                <LnkInProps>
                                  <MN>8</MN>
                                  <CLI>1,1,39,False,4</CLI>
                                  <ELN>1</ELN>
                                  <LOOT>0</LOOT>
                                  <LOMN>3</LOMN>
                                  <LOMCN>1</LOMCN>
                                  <LOSN>1</LOSN>
                                  <LOEN>10</LOEN>
                                  <LOCN>4</LOCN>
                                </LnkInProps>
                              </LnkIn>
                            </Ctg>
                            <Ctg>
                              <CtgProps>
                                <R>4</R>
                              </CtgProps>
                              <LnkIn>
                                <LnkInProps>
                                  <MN>8</MN>
                                  <CLI>1,1,39,False,5</CLI>
                                  <ELN>1</ELN>
                                  <LOOT>0</LOOT>
                                  <LOMN>3</LOMN>
                                  <LOMCN>1</LOMCN>
                                  <LOSN>1</LOSN>
                                  <LOEN>10</LOEN>
                                  <LOCN>5</LOCN>
                                </LnkInProps>
                              </LnkIn>
                            </Ctg>
                            <Ctg>
                              <CtgProps>
                                <R>4</R>
                              </CtgProps>
                              <LnkIn>
                                <LnkInProps>
                                  <MN>8</MN>
                                  <CLI>1,1,39,False,6</CLI>
                                  <ELN>1</ELN>
                                  <LOOT>0</LOOT>
                                  <LOMN>3</LOMN>
                                  <LOMCN>1</LOMCN>
                                  <LOSN>1</LOSN>
                                  <LOEN>10</LOEN>
                                  <LOCN>6</LOCN>
                                </LnkInProps>
                              </LnkIn>
                            </Ctg>
                            <Ctg>
                              <CtgProps>
                                <R>4</R>
                              </CtgProps>
                              <LnkIn>
                                <LnkInProps>
                                  <MN>8</MN>
                                  <CLI>1,1,39,False,7</CLI>
                                  <ELN>1</ELN>
                                  <LOOT>0</LOOT>
                                  <LOMN>3</LOMN>
                                  <LOMCN>1</LOMCN>
                                  <LOSN>1</LOSN>
                                  <LOEN>10</LOEN>
                                  <LOCN>7</LOCN>
                                </LnkInProps>
                              </LnkIn>
                            </Ctg>
                            <Ctg>
                              <CtgProps>
                                <R>4</R>
                              </CtgProps>
                              <LnkIn>
                                <LnkInProps>
                                  <MN>8</MN>
                                  <CLI>1,1,39,False,8</CLI>
                                  <ELN>1</ELN>
                                  <LOOT>0</LOOT>
                                  <LOMN>3</LOMN>
                                  <LOMCN>1</LOMCN>
                                  <LOSN>1</LOSN>
                                  <LOEN>10</LOEN>
                                  <LOCN>8</LOCN>
                                </LnkInProps>
                              </LnkIn>
                            </Ctg>
                            <Ctg>
                              <CtgProps>
                                <R>4</R>
                              </CtgProps>
                              <LnkIn>
                                <LnkInProps>
                                  <MN>8</MN>
                                  <CLI>1,1,39,False,9</CLI>
                                  <ELN>1</ELN>
                                  <LOOT>0</LOOT>
                                  <LOMN>3</LOMN>
                                  <LOMCN>1</LOMCN>
                                  <LOSN>1</LOSN>
                                  <LOEN>10</LOEN>
                                  <LOCN>9</LOCN>
                                </LnkInProps>
                              </LnkIn>
                            </Ctg>
                            <Ctg>
                              <CtgProps>
                                <R>4</R>
                              </CtgProps>
                              <LnkIn>
                                <LnkInProps>
                                  <MN>8</MN>
                                  <CLI>1,1,39,False,10</CLI>
                                  <ELN>1</ELN>
                                  <LOOT>0</LOOT>
                                  <LOMN>3</LOMN>
                                  <LOMCN>1</LOMCN>
                                  <LOSN>1</LOSN>
                                  <LOEN>10</LOEN>
                                  <LOCN>10</LOCN>
                                </LnkInProps>
                              </LnkIn>
                            </Ctg>
                            <Ctg>
                              <CtgProps>
                                <R>4</R>
                              </CtgProps>
                              <LnkIn>
                                <LnkInProps>
                                  <MN>8</MN>
                                  <CLI>1,1,39,False,11</CLI>
                                  <ELN>1</ELN>
                                  <LOOT>0</LOOT>
                                  <LOMN>3</LOMN>
                                  <LOMCN>1</LOMCN>
                                  <LOSN>1</LOSN>
                                  <LOEN>10</LOEN>
                                  <LOCN>11</LOCN>
                                </LnkInProps>
                              </LnkIn>
                            </Ctg>
                            <Ctg>
                              <CtgProps>
                                <R>4</R>
                              </CtgProps>
                              <LnkIn>
                                <LnkInProps>
                                  <MN>8</MN>
                                  <CLI>1,1,39,False,12</CLI>
                                  <ELN>1</ELN>
                                  <LOOT>0</LOOT>
                                  <LOMN>3</LOMN>
                                  <LOMCN>1</LOMCN>
                                  <LOSN>1</LOSN>
                                  <LOEN>10</LOEN>
                                  <LOCN>12</LOCN>
                                </LnkInProps>
                              </LnkIn>
                            </Ctg>
                            <Ctg>
                              <CtgProps>
                                <R>4</R>
                              </CtgProps>
                              <LnkIn>
                                <LnkInProps>
                                  <MN>8</MN>
                                  <CLI>1,1,39,False,13</CLI>
                                  <ELN>1</ELN>
                                  <LOOT>0</LOOT>
                                  <LOMN>3</LOMN>
                                  <LOMCN>1</LOMCN>
                                  <LOSN>1</LOSN>
                                  <LOEN>10</LOEN>
                                  <LOCN>13</LOCN>
                                </LnkInProps>
                              </LnkIn>
                            </Ctg>
                            <Ctg>
                              <CtgProps>
                                <R>4</R>
                              </CtgProps>
                              <LnkIn>
                                <LnkInProps>
                                  <MN>8</MN>
                                  <CLI>1,1,39,False,14</CLI>
                                  <ELN>1</ELN>
                                  <LOOT>0</LOOT>
                                  <LOMN>3</LOMN>
                                  <LOMCN>1</LOMCN>
                                  <LOSN>1</LOSN>
                                  <LOEN>10</LOEN>
                                  <LOCN>14</LOCN>
                                </LnkInProps>
                              </LnkIn>
                            </Ctg>
                            <Ctg>
                              <CtgProps>
                                <R>5</R>
                              </CtgProps>
                              <LnkIn>
                                <LnkInProps>
                                  <MN>8</MN>
                                  <CLI>1,1,39,False,15</CLI>
                                  <ELN>1</ELN>
                                  <LOOT>0</LOOT>
                                  <LOMN>3</LOMN>
                                  <LOMCN>1</LOMCN>
                                  <LOSN>1</LOSN>
                                  <LOEN>10</LOEN>
                                  <LOCN>15</LOCN>
                                </LnkInProps>
                              </LnkIn>
                            </Ctg>
                            <Ctg>
                              <CtgProps>
                                <R>5</R>
                              </CtgProps>
                              <LnkIn>
                                <LnkInProps>
                                  <MN>8</MN>
                                  <CLI>1,1,39,False,16</CLI>
                                  <ELN>1</ELN>
                                  <LOOT>0</LOOT>
                                  <LOMN>3</LOMN>
                                  <LOMCN>1</LOMCN>
                                  <LOSN>1</LOSN>
                                  <LOEN>10</LOEN>
                                  <LOCN>16</LOCN>
                                </LnkInProps>
                              </LnkIn>
                            </Ctg>
                            <Ctg>
                              <CtgProps>
                                <R>5</R>
                              </CtgProps>
                              <LnkIn>
                                <LnkInProps>
                                  <MN>8</MN>
                                  <CLI>1,1,39,False,17</CLI>
                                  <ELN>1</ELN>
                                  <LOOT>0</LOOT>
                                  <LOMN>3</LOMN>
                                  <LOMCN>1</LOMCN>
                                  <LOSN>1</LOSN>
                                  <LOEN>10</LOEN>
                                  <LOCN>17</LOCN>
                                </LnkInProps>
                              </LnkIn>
                            </Ctg>
                            <Ctg>
                              <CtgProps>
                                <R>5</R>
                              </CtgProps>
                              <LnkIn>
                                <LnkInProps>
                                  <MN>8</MN>
                                  <CLI>1,1,39,False,18</CLI>
                                  <ELN>1</ELN>
                                  <LOOT>0</LOOT>
                                  <LOMN>3</LOMN>
                                  <LOMCN>1</LOMCN>
                                  <LOSN>1</LOSN>
                                  <LOEN>10</LOEN>
                                  <LOCN>18</LOCN>
                                </LnkInProps>
                              </LnkIn>
                            </Ctg>
                            <Ctg>
                              <CtgProps>
                                <R>5</R>
                              </CtgProps>
                              <LnkIn>
                                <LnkInProps>
                                  <MN>8</MN>
                                  <CLI>1,1,39,False,19</CLI>
                                  <ELN>1</ELN>
                                  <LOOT>0</LOOT>
                                  <LOMN>3</LOMN>
                                  <LOMCN>1</LOMCN>
                                  <LOSN>1</LOSN>
                                  <LOEN>10</LOEN>
                                  <LOCN>19</LOCN>
                                </LnkInProps>
                              </LnkIn>
                            </Ctg>
                            <Ctg>
                              <CtgProps>
                                <R>5</R>
                              </CtgProps>
                              <LnkIn>
                                <LnkInProps>
                                  <MN>8</MN>
                                  <CLI>1,1,39,False,20</CLI>
                                  <ELN>1</ELN>
                                  <LOOT>0</LOOT>
                                  <LOMN>3</LOMN>
                                  <LOMCN>1</LOMCN>
                                  <LOSN>1</LOSN>
                                  <LOEN>10</LOEN>
                                  <LOCN>20</LOCN>
                                </LnkInProps>
                              </LnkIn>
                            </Ctg>
                            <Ctg>
                              <CtgProps>
                                <R>5</R>
                              </CtgProps>
                              <LnkIn>
                                <LnkInProps>
                                  <MN>8</MN>
                                  <CLI>1,1,39,False,21</CLI>
                                  <ELN>1</ELN>
                                  <LOOT>0</LOOT>
                                  <LOMN>3</LOMN>
                                  <LOMCN>1</LOMCN>
                                  <LOSN>1</LOSN>
                                  <LOEN>10</LOEN>
                                  <LOCN>21</LOCN>
                                </LnkInProps>
                              </LnkIn>
                            </Ctg>
                            <Ctg>
                              <CtgProps>
                                <R>5</R>
                              </CtgProps>
                              <LnkIn>
                                <LnkInProps>
                                  <MN>8</MN>
                                  <CLI>1,1,39,False,22</CLI>
                                  <ELN>1</ELN>
                                  <LOOT>0</LOOT>
                                  <LOMN>3</LOMN>
                                  <LOMCN>1</LOMCN>
                                  <LOSN>1</LOSN>
                                  <LOEN>10</LOEN>
                                  <LOCN>22</LOCN>
                                </LnkInProps>
                              </LnkIn>
                            </Ctg>
                            <Ctg>
                              <CtgProps>
                                <R>5</R>
                              </CtgProps>
                              <LnkIn>
                                <LnkInProps>
                                  <MN>8</MN>
                                  <CLI>1,1,39,False,23</CLI>
                                  <ELN>1</ELN>
                                  <LOOT>0</LOOT>
                                  <LOMN>3</LOMN>
                                  <LOMCN>1</LOMCN>
                                  <LOSN>1</LOSN>
                                  <LOEN>10</LOEN>
                                  <LOCN>23</LOCN>
                                </LnkInProps>
                              </LnkIn>
                            </Ctg>
                            <Ctg>
                              <CtgProps>
                                <R>5</R>
                              </CtgProps>
                              <LnkIn>
                                <LnkInProps>
                                  <MN>8</MN>
                                  <CLI>1,1,39,False,24</CLI>
                                  <ELN>1</ELN>
                                  <LOOT>0</LOOT>
                                  <LOMN>3</LOMN>
                                  <LOMCN>1</LOMCN>
                                  <LOSN>1</LOSN>
                                  <LOEN>10</LOEN>
                                  <LOCN>24</LOCN>
                                </LnkInProps>
                              </LnkIn>
                            </Ctg>
                            <Ctg>
                              <CtgProps>
                                <R>5</R>
                              </CtgProps>
                              <LnkIn>
                                <LnkInProps>
                                  <MN>8</MN>
                                  <CLI>1,1,39,False,25</CLI>
                                  <ELN>1</ELN>
                                  <LOOT>0</LOOT>
                                  <LOMN>3</LOMN>
                                  <LOMCN>1</LOMCN>
                                  <LOSN>1</LOSN>
                                  <LOEN>10</LOEN>
                                  <LOCN>25</LOCN>
                                </LnkInProps>
                              </LnkIn>
                            </Ctg>
                            <Ctg>
                              <CtgProps>
                                <R>5</R>
                              </CtgProps>
                              <LnkIn>
                                <LnkInProps>
                                  <MN>8</MN>
                                  <CLI>1,1,39,False,26</CLI>
                                  <ELN>1</ELN>
                                  <LOOT>0</LOOT>
                                  <LOMN>3</LOMN>
                                  <LOMCN>1</LOMCN>
                                  <LOSN>1</LOSN>
                                  <LOEN>10</LOEN>
                                  <LOCN>26</LOCN>
                                </LnkInProps>
                              </LnkIn>
                            </Ctg>
                            <Ctg>
                              <CtgProps>
                                <R>5</R>
                              </CtgProps>
                              <LnkIn>
                                <LnkInProps>
                                  <MN>8</MN>
                                  <CLI>1,1,39,False,27</CLI>
                                  <ELN>1</ELN>
                                  <LOOT>0</LOOT>
                                  <LOMN>3</LOMN>
                                  <LOMCN>1</LOMCN>
                                  <LOSN>1</LOSN>
                                  <LOEN>10</LOEN>
                                  <LOCN>27</LOCN>
                                </LnkInProps>
                              </LnkIn>
                            </Ctg>
                            <Ctg>
                              <CtgProps>
                                <R>5</R>
                              </CtgProps>
                              <LnkIn>
                                <LnkInProps>
                                  <MN>8</MN>
                                  <CLI>1,1,39,False,28</CLI>
                                  <ELN>1</ELN>
                                  <LOOT>0</LOOT>
                                  <LOMN>3</LOMN>
                                  <LOMCN>1</LOMCN>
                                  <LOSN>1</LOSN>
                                  <LOEN>10</LOEN>
                                  <LOCN>28</LOCN>
                                </LnkInProps>
                              </LnkIn>
                            </Ctg>
                            <Ctg>
                              <CtgProps>
                                <R>5</R>
                              </CtgProps>
                              <LnkIn>
                                <LnkInProps>
                                  <MN>8</MN>
                                  <CLI>1,1,39,False,29</CLI>
                                  <ELN>1</ELN>
                                  <LOOT>0</LOOT>
                                  <LOMN>3</LOMN>
                                  <LOMCN>1</LOMCN>
                                  <LOSN>1</LOSN>
                                  <LOEN>10</LOEN>
                                  <LOCN>29</LOCN>
                                </LnkInProps>
                              </LnkIn>
                            </Ctg>
                            <Ctg>
                              <CtgProps>
                                <R>5</R>
                              </CtgProps>
                              <LnkIn>
                                <LnkInProps>
                                  <MN>8</MN>
                                  <CLI>1,1,39,False,30</CLI>
                                  <ELN>1</ELN>
                                  <LOOT>0</LOOT>
                                  <LOMN>3</LOMN>
                                  <LOMCN>1</LOMCN>
                                  <LOSN>1</LOSN>
                                  <LOEN>10</LOEN>
                                  <LOCN>30</LOCN>
                                </LnkInProps>
                              </LnkIn>
                            </Ctg>
                            <Ctg>
                              <CtgProps>
                                <R>5</R>
                              </CtgProps>
                              <LnkIn>
                                <LnkInProps>
                                  <MN>8</MN>
                                  <CLI>1,1,39,False,31</CLI>
                                  <ELN>1</ELN>
                                  <LOOT>0</LOOT>
                                  <LOMN>3</LOMN>
                                  <LOMCN>1</LOMCN>
                                  <LOSN>1</LOSN>
                                  <LOEN>10</LOEN>
                                  <LOCN>31</LOCN>
                                </LnkInProps>
                              </LnkIn>
                            </Ctg>
                            <Ctg>
                              <CtgProps>
                                <R>5</R>
                              </CtgProps>
                              <LnkIn>
                                <LnkInProps>
                                  <MN>8</MN>
                                  <CLI>1,1,39,False,32</CLI>
                                  <ELN>1</ELN>
                                  <LOOT>0</LOOT>
                                  <LOMN>3</LOMN>
                                  <LOMCN>1</LOMCN>
                                  <LOSN>1</LOSN>
                                  <LOEN>10</LOEN>
                                  <LOCN>32</LOCN>
                                </LnkInProps>
                              </LnkIn>
                            </Ctg>
                            <Ctg>
                              <CtgProps>
                                <R>5</R>
                              </CtgProps>
                              <LnkIn>
                                <LnkInProps>
                                  <MN>8</MN>
                                  <CLI>1,1,39,False,33</CLI>
                                  <ELN>1</ELN>
                                  <LOOT>0</LOOT>
                                  <LOMN>3</LOMN>
                                  <LOMCN>1</LOMCN>
                                  <LOSN>1</LOSN>
                                  <LOEN>10</LOEN>
                                  <LOCN>33</LOCN>
                                </LnkInProps>
                              </LnkIn>
                            </Ctg>
                            <Ctg>
                              <CtgProps>
                                <R>5</R>
                              </CtgProps>
                              <LnkIn>
                                <LnkInProps>
                                  <MN>8</MN>
                                  <CLI>1,1,39,False,34</CLI>
                                  <ELN>1</ELN>
                                  <LOOT>0</LOOT>
                                  <LOMN>3</LOMN>
                                  <LOMCN>1</LOMCN>
                                  <LOSN>1</LOSN>
                                  <LOEN>10</LOEN>
                                  <LOCN>34</LOCN>
                                </LnkInProps>
                              </LnkIn>
                            </Ctg>
                            <Ctg>
                              <CtgProps>
                                <R>5</R>
                              </CtgProps>
                              <LnkIn>
                                <LnkInProps>
                                  <MN>8</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8</MN>
                                  <CLI>1,1,42,False,1</CLI>
                                  <ELN>1</ELN>
                                  <LOOT>0</LOOT>
                                  <LOMN>3</LOMN>
                                  <LOMCN>1</LOMCN>
                                  <LOSN>1</LOSN>
                                  <LOEN>15</LOEN>
                                  <LOCN>1</LOCN>
                                </LnkInProps>
                              </LnkIn>
                            </Ctg>
                            <Ctg>
                              <CtgProps>
                                <R>4</R>
                              </CtgProps>
                              <LnkIn>
                                <LnkInProps>
                                  <MN>8</MN>
                                  <CLI>1,1,42,False,2</CLI>
                                  <ELN>1</ELN>
                                  <LOOT>0</LOOT>
                                  <LOMN>3</LOMN>
                                  <LOMCN>1</LOMCN>
                                  <LOSN>1</LOSN>
                                  <LOEN>15</LOEN>
                                  <LOCN>2</LOCN>
                                </LnkInProps>
                              </LnkIn>
                            </Ctg>
                            <Ctg>
                              <CtgProps>
                                <R>4</R>
                              </CtgProps>
                              <LnkIn>
                                <LnkInProps>
                                  <MN>8</MN>
                                  <CLI>1,1,42,False,3</CLI>
                                  <ELN>1</ELN>
                                  <LOOT>0</LOOT>
                                  <LOMN>3</LOMN>
                                  <LOMCN>1</LOMCN>
                                  <LOSN>1</LOSN>
                                  <LOEN>15</LOEN>
                                  <LOCN>3</LOCN>
                                </LnkInProps>
                              </LnkIn>
                            </Ctg>
                            <Ctg>
                              <CtgProps>
                                <R>4</R>
                              </CtgProps>
                              <LnkIn>
                                <LnkInProps>
                                  <MN>8</MN>
                                  <CLI>1,1,42,False,4</CLI>
                                  <ELN>1</ELN>
                                  <LOOT>0</LOOT>
                                  <LOMN>3</LOMN>
                                  <LOMCN>1</LOMCN>
                                  <LOSN>1</LOSN>
                                  <LOEN>15</LOEN>
                                  <LOCN>4</LOCN>
                                </LnkInProps>
                              </LnkIn>
                            </Ctg>
                            <Ctg>
                              <CtgProps>
                                <R>5</R>
                              </CtgProps>
                              <LnkIn>
                                <LnkInProps>
                                  <MN>8</MN>
                                  <CLI>1,1,42,False,5</CLI>
                                  <ELN>1</ELN>
                                  <LOOT>0</LOOT>
                                  <LOMN>3</LOMN>
                                  <LOMCN>1</LOMCN>
                                  <LOSN>1</LOSN>
                                  <LOEN>15</LOEN>
                                  <LOCN>5</LOCN>
                                </LnkInProps>
                              </LnkIn>
                            </Ctg>
                            <Ctg>
                              <CtgProps>
                                <R>5</R>
                              </CtgProps>
                              <LnkIn>
                                <LnkInProps>
                                  <MN>8</MN>
                                  <CLI>1,1,42,False,6</CLI>
                                  <ELN>1</ELN>
                                  <LOOT>0</LOOT>
                                  <LOMN>3</LOMN>
                                  <LOMCN>1</LOMCN>
                                  <LOSN>1</LOSN>
                                  <LOEN>15</LOEN>
                                  <LOCN>6</LOCN>
                                </LnkInProps>
                              </LnkIn>
                            </Ctg>
                            <Ctg>
                              <CtgProps>
                                <R>5</R>
                              </CtgProps>
                              <LnkIn>
                                <LnkInProps>
                                  <MN>8</MN>
                                  <CLI>1,1,42,False,7</CLI>
                                  <ELN>1</ELN>
                                  <LOOT>0</LOOT>
                                  <LOMN>3</LOMN>
                                  <LOMCN>1</LOMCN>
                                  <LOSN>1</LOSN>
                                  <LOEN>15</LOEN>
                                  <LOCN>7</LOCN>
                                </LnkInProps>
                              </LnkIn>
                            </Ctg>
                            <Ctg>
                              <CtgProps>
                                <R>5</R>
                              </CtgProps>
                              <LnkIn>
                                <LnkInProps>
                                  <MN>8</MN>
                                  <CLI>1,1,42,False,8</CLI>
                                  <ELN>1</ELN>
                                  <LOOT>0</LOOT>
                                  <LOMN>3</LOMN>
                                  <LOMCN>1</LOMCN>
                                  <LOSN>1</LOSN>
                                  <LOEN>15</LOEN>
                                  <LOCN>8</LOCN>
                                </LnkInProps>
                              </LnkIn>
                            </Ctg>
                            <Ctg>
                              <CtgProps>
                                <R>5</R>
                              </CtgProps>
                              <LnkIn>
                                <LnkInProps>
                                  <MN>8</MN>
                                  <CLI>1,1,42,False,9</CLI>
                                  <ELN>1</ELN>
                                  <LOOT>0</LOOT>
                                  <LOMN>3</LOMN>
                                  <LOMCN>1</LOMCN>
                                  <LOSN>1</LOSN>
                                  <LOEN>15</LOEN>
                                  <LOCN>9</LOCN>
                                </LnkInProps>
                              </LnkIn>
                            </Ctg>
                            <Ctg>
                              <CtgProps>
                                <R>5</R>
                              </CtgProps>
                              <LnkIn>
                                <LnkInProps>
                                  <MN>8</MN>
                                  <CLI>1,1,42,False,10</CLI>
                                  <ELN>1</ELN>
                                  <LOOT>0</LOOT>
                                  <LOMN>3</LOMN>
                                  <LOMCN>1</LOMCN>
                                  <LOSN>1</LOSN>
                                  <LOEN>15</LOEN>
                                  <LOCN>10</LOCN>
                                </LnkInProps>
                              </LnkIn>
                            </Ctg>
                            <Ctg>
                              <CtgProps>
                                <R>5</R>
                              </CtgProps>
                              <LnkIn>
                                <LnkInProps>
                                  <MN>8</MN>
                                  <CLI>1,1,42,False,11</CLI>
                                  <ELN>1</ELN>
                                  <LOOT>0</LOOT>
                                  <LOMN>3</LOMN>
                                  <LOMCN>1</LOMCN>
                                  <LOSN>1</LOSN>
                                  <LOEN>15</LOEN>
                                  <LOCN>11</LOCN>
                                </LnkInProps>
                              </LnkIn>
                            </Ctg>
                            <Ctg>
                              <CtgProps>
                                <R>5</R>
                              </CtgProps>
                              <LnkIn>
                                <LnkInProps>
                                  <MN>8</MN>
                                  <CLI>1,1,42,False,12</CLI>
                                  <ELN>1</ELN>
                                  <LOOT>0</LOOT>
                                  <LOMN>3</LOMN>
                                  <LOMCN>1</LOMCN>
                                  <LOSN>1</LOSN>
                                  <LOEN>15</LOEN>
                                  <LOCN>12</LOCN>
                                </LnkInProps>
                              </LnkIn>
                            </Ctg>
                            <Ctg>
                              <CtgProps>
                                <R>5</R>
                              </CtgProps>
                              <LnkIn>
                                <LnkInProps>
                                  <MN>8</MN>
                                  <CLI>1,1,42,False,13</CLI>
                                  <ELN>1</ELN>
                                  <LOOT>0</LOOT>
                                  <LOMN>3</LOMN>
                                  <LOMCN>1</LOMCN>
                                  <LOSN>1</LOSN>
                                  <LOEN>15</LOEN>
                                  <LOCN>13</LOCN>
                                </LnkInProps>
                              </LnkIn>
                            </Ctg>
                            <Ctg>
                              <CtgProps>
                                <R>5</R>
                              </CtgProps>
                              <LnkIn>
                                <LnkInProps>
                                  <MN>8</MN>
                                  <CLI>1,1,42,False,14</CLI>
                                  <ELN>1</ELN>
                                  <LOOT>0</LOOT>
                                  <LOMN>3</LOMN>
                                  <LOMCN>1</LOMCN>
                                  <LOSN>1</LOSN>
                                  <LOEN>15</LOEN>
                                  <LOCN>14</LOCN>
                                </LnkInProps>
                              </LnkIn>
                            </Ctg>
                            <Ctg>
                              <CtgProps>
                                <R>5</R>
                              </CtgProps>
                              <LnkIn>
                                <LnkInProps>
                                  <MN>8</MN>
                                  <CLI>1,1,42,False,15</CLI>
                                  <ELN>1</ELN>
                                  <LOOT>0</LOOT>
                                  <LOMN>3</LOMN>
                                  <LOMCN>1</LOMCN>
                                  <LOSN>1</LOSN>
                                  <LOEN>15</LOEN>
                                  <LOCN>15</LOCN>
                                </LnkInProps>
                              </LnkIn>
                            </Ctg>
                            <Ctg>
                              <CtgProps>
                                <R>5</R>
                              </CtgProps>
                              <LnkIn>
                                <LnkInProps>
                                  <MN>8</MN>
                                  <CLI>1,1,42,False,16</CLI>
                                  <ELN>1</ELN>
                                  <LOOT>0</LOOT>
                                  <LOMN>3</LOMN>
                                  <LOMCN>1</LOMCN>
                                  <LOSN>1</LOSN>
                                  <LOEN>15</LOEN>
                                  <LOCN>16</LOCN>
                                </LnkInProps>
                              </LnkIn>
                            </Ctg>
                            <Ctg>
                              <CtgProps>
                                <R>4</R>
                              </CtgProps>
                              <LnkIn>
                                <LnkInProps>
                                  <MN>8</MN>
                                  <CLI>1,1,42,False,17</CLI>
                                  <ELN>1</ELN>
                                  <LOOT>0</LOOT>
                                  <LOMN>3</LOMN>
                                  <LOMCN>1</LOMCN>
                                  <LOSN>1</LOSN>
                                  <LOEN>15</LOEN>
                                  <LOCN>17</LOCN>
                                </LnkInProps>
                              </LnkIn>
                            </Ctg>
                            <Ctg>
                              <CtgProps>
                                <R>4</R>
                              </CtgProps>
                              <LnkIn>
                                <LnkInProps>
                                  <MN>8</MN>
                                  <CLI>1,1,42,False,18</CLI>
                                  <ELN>1</ELN>
                                  <LOOT>0</LOOT>
                                  <LOMN>3</LOMN>
                                  <LOMCN>1</LOMCN>
                                  <LOSN>1</LOSN>
                                  <LOEN>15</LOEN>
                                  <LOCN>18</LOCN>
                                </LnkInProps>
                              </LnkIn>
                            </Ctg>
                            <Ctg>
                              <CtgProps>
                                <R>4</R>
                              </CtgProps>
                              <LnkIn>
                                <LnkInProps>
                                  <MN>8</MN>
                                  <CLI>1,1,42,False,19</CLI>
                                  <ELN>1</ELN>
                                  <LOOT>0</LOOT>
                                  <LOMN>3</LOMN>
                                  <LOMCN>1</LOMCN>
                                  <LOSN>1</LOSN>
                                  <LOEN>15</LOEN>
                                  <LOCN>19</LOCN>
                                </LnkInProps>
                              </LnkIn>
                            </Ctg>
                            <Ctg>
                              <CtgProps>
                                <R>4</R>
                              </CtgProps>
                              <LnkIn>
                                <LnkInProps>
                                  <MN>8</MN>
                                  <CLI>1,1,42,False,20</CLI>
                                  <ELN>1</ELN>
                                  <LOOT>0</LOOT>
                                  <LOMN>3</LOMN>
                                  <LOMCN>1</LOMCN>
                                  <LOSN>1</LOSN>
                                  <LOEN>15</LOEN>
                                  <LOCN>20</LOCN>
                                </LnkInProps>
                              </LnkIn>
                            </Ctg>
                            <Ctg>
                              <CtgProps>
                                <R>4</R>
                              </CtgProps>
                              <LnkIn>
                                <LnkInProps>
                                  <MN>8</MN>
                                  <CLI>1,1,42,False,21</CLI>
                                  <ELN>1</ELN>
                                  <LOOT>0</LOOT>
                                  <LOMN>3</LOMN>
                                  <LOMCN>1</LOMCN>
                                  <LOSN>1</LOSN>
                                  <LOEN>15</LOEN>
                                  <LOCN>21</LOCN>
                                </LnkInProps>
                              </LnkIn>
                            </Ctg>
                            <Ctg>
                              <CtgProps>
                                <R>4</R>
                              </CtgProps>
                              <LnkIn>
                                <LnkInProps>
                                  <MN>8</MN>
                                  <CLI>1,1,42,False,22</CLI>
                                  <ELN>1</ELN>
                                  <LOOT>0</LOOT>
                                  <LOMN>3</LOMN>
                                  <LOMCN>1</LOMCN>
                                  <LOSN>1</LOSN>
                                  <LOEN>15</LOEN>
                                  <LOCN>22</LOCN>
                                </LnkInProps>
                              </LnkIn>
                            </Ctg>
                            <Ctg>
                              <CtgProps>
                                <R>5</R>
                              </CtgProps>
                              <LnkIn>
                                <LnkInProps>
                                  <MN>8</MN>
                                  <CLI>1,1,42,False,23</CLI>
                                  <ELN>1</ELN>
                                  <LOOT>0</LOOT>
                                  <LOMN>3</LOMN>
                                  <LOMCN>1</LOMCN>
                                  <LOSN>1</LOSN>
                                  <LOEN>15</LOEN>
                                  <LOCN>23</LOCN>
                                </LnkInProps>
                              </LnkIn>
                            </Ctg>
                            <Ctg>
                              <CtgProps>
                                <R>5</R>
                              </CtgProps>
                              <LnkIn>
                                <LnkInProps>
                                  <MN>8</MN>
                                  <CLI>1,1,42,False,24</CLI>
                                  <ELN>1</ELN>
                                  <LOOT>0</LOOT>
                                  <LOMN>3</LOMN>
                                  <LOMCN>1</LOMCN>
                                  <LOSN>1</LOSN>
                                  <LOEN>15</LOEN>
                                  <LOCN>24</LOCN>
                                </LnkInProps>
                              </LnkIn>
                            </Ctg>
                            <Ctg>
                              <CtgProps>
                                <R>5</R>
                              </CtgProps>
                              <LnkIn>
                                <LnkInProps>
                                  <MN>8</MN>
                                  <CLI>1,1,42,False,25</CLI>
                                  <ELN>1</ELN>
                                  <LOOT>0</LOOT>
                                  <LOMN>3</LOMN>
                                  <LOMCN>1</LOMCN>
                                  <LOSN>1</LOSN>
                                  <LOEN>15</LOEN>
                                  <LOCN>25</LOCN>
                                </LnkInProps>
                              </LnkIn>
                            </Ctg>
                            <Ctg>
                              <CtgProps>
                                <R>5</R>
                              </CtgProps>
                              <LnkIn>
                                <LnkInProps>
                                  <MN>8</MN>
                                  <CLI>1,1,42,False,26</CLI>
                                  <ELN>1</ELN>
                                  <LOOT>0</LOOT>
                                  <LOMN>3</LOMN>
                                  <LOMCN>1</LOMCN>
                                  <LOSN>1</LOSN>
                                  <LOEN>15</LOEN>
                                  <LOCN>26</LOCN>
                                </LnkInProps>
                              </LnkIn>
                            </Ctg>
                            <Ctg>
                              <CtgProps>
                                <R>5</R>
                              </CtgProps>
                              <LnkIn>
                                <LnkInProps>
                                  <MN>8</MN>
                                  <CLI>1,1,42,False,27</CLI>
                                  <ELN>1</ELN>
                                  <LOOT>0</LOOT>
                                  <LOMN>3</LOMN>
                                  <LOMCN>1</LOMCN>
                                  <LOSN>1</LOSN>
                                  <LOEN>15</LOEN>
                                  <LOCN>27</LOCN>
                                </LnkInProps>
                              </LnkIn>
                            </Ctg>
                            <Ctg>
                              <CtgProps>
                                <R>5</R>
                              </CtgProps>
                              <LnkIn>
                                <LnkInProps>
                                  <MN>8</MN>
                                  <CLI>1,1,42,False,28</CLI>
                                  <ELN>1</ELN>
                                  <LOOT>0</LOOT>
                                  <LOMN>3</LOMN>
                                  <LOMCN>1</LOMCN>
                                  <LOSN>1</LOSN>
                                  <LOEN>15</LOEN>
                                  <LOCN>28</LOCN>
                                </LnkInProps>
                              </LnkIn>
                            </Ctg>
                            <Ctg>
                              <CtgProps>
                                <R>5</R>
                              </CtgProps>
                              <LnkIn>
                                <LnkInProps>
                                  <MN>8</MN>
                                  <CLI>1,1,42,False,29</CLI>
                                  <ELN>1</ELN>
                                  <LOOT>0</LOOT>
                                  <LOMN>3</LOMN>
                                  <LOMCN>1</LOMCN>
                                  <LOSN>1</LOSN>
                                  <LOEN>15</LOEN>
                                  <LOCN>29</LOCN>
                                </LnkInProps>
                              </LnkIn>
                            </Ctg>
                            <Ctg>
                              <CtgProps>
                                <R>5</R>
                              </CtgProps>
                              <LnkIn>
                                <LnkInProps>
                                  <MN>8</MN>
                                  <CLI>1,1,42,False,30</CLI>
                                  <ELN>1</ELN>
                                  <LOOT>0</LOOT>
                                  <LOMN>3</LOMN>
                                  <LOMCN>1</LOMCN>
                                  <LOSN>1</LOSN>
                                  <LOEN>15</LOEN>
                                  <LOCN>30</LOCN>
                                </LnkInProps>
                              </LnkIn>
                            </Ctg>
                            <Ctg>
                              <CtgProps>
                                <R>4</R>
                              </CtgProps>
                              <LnkIn>
                                <LnkInProps>
                                  <MN>8</MN>
                                  <CLI>1,1,42,False,31</CLI>
                                  <ELN>1</ELN>
                                  <LOOT>0</LOOT>
                                  <LOMN>3</LOMN>
                                  <LOMCN>1</LOMCN>
                                  <LOSN>1</LOSN>
                                  <LOEN>15</LOEN>
                                  <LOCN>31</LOCN>
                                </LnkInProps>
                              </LnkIn>
                            </Ctg>
                            <Ctg>
                              <CtgProps>
                                <R>4</R>
                              </CtgProps>
                              <LnkIn>
                                <LnkInProps>
                                  <MN>8</MN>
                                  <CLI>1,1,42,False,32</CLI>
                                  <ELN>1</ELN>
                                  <LOOT>0</LOOT>
                                  <LOMN>3</LOMN>
                                  <LOMCN>1</LOMCN>
                                  <LOSN>1</LOSN>
                                  <LOEN>15</LOEN>
                                  <LOCN>32</LOCN>
                                </LnkInProps>
                              </LnkIn>
                            </Ctg>
                            <Ctg>
                              <CtgProps>
                                <R>4</R>
                              </CtgProps>
                              <LnkIn>
                                <LnkInProps>
                                  <MN>8</MN>
                                  <CLI>1,1,42,False,33</CLI>
                                  <ELN>1</ELN>
                                  <LOOT>0</LOOT>
                                  <LOMN>3</LOMN>
                                  <LOMCN>1</LOMCN>
                                  <LOSN>1</LOSN>
                                  <LOEN>15</LOEN>
                                  <LOCN>33</LOCN>
                                </LnkInProps>
                              </LnkIn>
                            </Ctg>
                            <Ctg>
                              <CtgProps>
                                <R>4</R>
                              </CtgProps>
                              <LnkIn>
                                <LnkInProps>
                                  <MN>8</MN>
                                  <CLI>1,1,42,False,34</CLI>
                                  <ELN>1</ELN>
                                  <LOOT>0</LOOT>
                                  <LOMN>3</LOMN>
                                  <LOMCN>1</LOMCN>
                                  <LOSN>1</LOSN>
                                  <LOEN>15</LOEN>
                                  <LOCN>34</LOCN>
                                </LnkInProps>
                              </LnkIn>
                            </Ctg>
                            <Ctg>
                              <CtgProps>
                                <R>4</R>
                              </CtgProps>
                              <LnkIn>
                                <LnkInProps>
                                  <MN>8</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8</MN>
                                  <CLI>1,1,46,False,1</CLI>
                                  <ELN>1</ELN>
                                  <LOOT>0</LOOT>
                                  <LOMN>3</LOMN>
                                  <LOMCN>1</LOMCN>
                                  <LOSN>1</LOSN>
                                  <LOEN>19</LOEN>
                                  <LOCN>1</LOCN>
                                </LnkInProps>
                              </LnkIn>
                            </Ctg>
                            <Ctg>
                              <CtgProps>
                                <R>4</R>
                              </CtgProps>
                              <LnkIn>
                                <LnkInProps>
                                  <MN>8</MN>
                                  <CLI>1,1,46,False,2</CLI>
                                  <ELN>1</ELN>
                                  <LOOT>0</LOOT>
                                  <LOMN>3</LOMN>
                                  <LOMCN>1</LOMCN>
                                  <LOSN>1</LOSN>
                                  <LOEN>19</LOEN>
                                  <LOCN>2</LOCN>
                                </LnkInProps>
                              </LnkIn>
                            </Ctg>
                            <Ctg>
                              <CtgProps>
                                <R>4</R>
                              </CtgProps>
                              <LnkIn>
                                <LnkInProps>
                                  <MN>8</MN>
                                  <CLI>1,1,46,False,3</CLI>
                                  <ELN>1</ELN>
                                  <LOOT>0</LOOT>
                                  <LOMN>3</LOMN>
                                  <LOMCN>1</LOMCN>
                                  <LOSN>1</LOSN>
                                  <LOEN>19</LOEN>
                                  <LOCN>3</LOCN>
                                </LnkInProps>
                              </LnkIn>
                            </Ctg>
                            <Ctg>
                              <CtgProps>
                                <R>4</R>
                              </CtgProps>
                              <LnkIn>
                                <LnkInProps>
                                  <MN>8</MN>
                                  <CLI>1,1,46,False,4</CLI>
                                  <ELN>1</ELN>
                                  <LOOT>0</LOOT>
                                  <LOMN>3</LOMN>
                                  <LOMCN>1</LOMCN>
                                  <LOSN>1</LOSN>
                                  <LOEN>19</LOEN>
                                  <LOCN>4</LOCN>
                                </LnkInProps>
                              </LnkIn>
                            </Ctg>
                            <Ctg>
                              <CtgProps>
                                <R>4</R>
                              </CtgProps>
                              <LnkIn>
                                <LnkInProps>
                                  <MN>8</MN>
                                  <CLI>1,1,46,False,5</CLI>
                                  <ELN>1</ELN>
                                  <LOOT>0</LOOT>
                                  <LOMN>3</LOMN>
                                  <LOMCN>1</LOMCN>
                                  <LOSN>1</LOSN>
                                  <LOEN>19</LOEN>
                                  <LOCN>5</LOCN>
                                </LnkInProps>
                              </LnkIn>
                            </Ctg>
                            <Ctg>
                              <CtgProps>
                                <R>4</R>
                              </CtgProps>
                              <LnkIn>
                                <LnkInProps>
                                  <MN>8</MN>
                                  <CLI>1,1,46,False,6</CLI>
                                  <ELN>1</ELN>
                                  <LOOT>0</LOOT>
                                  <LOMN>3</LOMN>
                                  <LOMCN>1</LOMCN>
                                  <LOSN>1</LOSN>
                                  <LOEN>19</LOEN>
                                  <LOCN>6</LOCN>
                                </LnkInProps>
                              </LnkIn>
                            </Ctg>
                            <Ctg>
                              <CtgProps>
                                <R>4</R>
                              </CtgProps>
                              <LnkIn>
                                <LnkInProps>
                                  <MN>8</MN>
                                  <CLI>1,1,46,False,7</CLI>
                                  <ELN>1</ELN>
                                  <LOOT>0</LOOT>
                                  <LOMN>3</LOMN>
                                  <LOMCN>1</LOMCN>
                                  <LOSN>1</LOSN>
                                  <LOEN>19</LOEN>
                                  <LOCN>7</LOCN>
                                </LnkInProps>
                              </LnkIn>
                            </Ctg>
                            <Ctg>
                              <CtgProps>
                                <R>4</R>
                              </CtgProps>
                              <LnkIn>
                                <LnkInProps>
                                  <MN>8</MN>
                                  <CLI>1,1,46,False,8</CLI>
                                  <ELN>1</ELN>
                                  <LOOT>0</LOOT>
                                  <LOMN>3</LOMN>
                                  <LOMCN>1</LOMCN>
                                  <LOSN>1</LOSN>
                                  <LOEN>19</LOEN>
                                  <LOCN>8</LOCN>
                                </LnkInProps>
                              </LnkIn>
                            </Ctg>
                            <Ctg>
                              <CtgProps>
                                <R>4</R>
                              </CtgProps>
                              <LnkIn>
                                <LnkInProps>
                                  <MN>8</MN>
                                  <CLI>1,1,46,False,9</CLI>
                                  <ELN>1</ELN>
                                  <LOOT>0</LOOT>
                                  <LOMN>3</LOMN>
                                  <LOMCN>1</LOMCN>
                                  <LOSN>1</LOSN>
                                  <LOEN>19</LOEN>
                                  <LOCN>9</LOCN>
                                </LnkInProps>
                              </LnkIn>
                            </Ctg>
                            <Ctg>
                              <CtgProps>
                                <R>4</R>
                              </CtgProps>
                              <LnkIn>
                                <LnkInProps>
                                  <MN>8</MN>
                                  <CLI>1,1,46,False,10</CLI>
                                  <ELN>1</ELN>
                                  <LOOT>0</LOOT>
                                  <LOMN>3</LOMN>
                                  <LOMCN>1</LOMCN>
                                  <LOSN>1</LOSN>
                                  <LOEN>19</LOEN>
                                  <LOCN>10</LOCN>
                                </LnkInProps>
                              </LnkIn>
                            </Ctg>
                            <Ctg>
                              <CtgProps>
                                <R>4</R>
                              </CtgProps>
                              <LnkIn>
                                <LnkInProps>
                                  <MN>8</MN>
                                  <CLI>1,1,46,False,11</CLI>
                                  <ELN>1</ELN>
                                  <LOOT>0</LOOT>
                                  <LOMN>3</LOMN>
                                  <LOMCN>1</LOMCN>
                                  <LOSN>1</LOSN>
                                  <LOEN>19</LOEN>
                                  <LOCN>11</LOCN>
                                </LnkInProps>
                              </LnkIn>
                            </Ctg>
                            <Ctg>
                              <CtgProps>
                                <R>4</R>
                              </CtgProps>
                              <LnkIn>
                                <LnkInProps>
                                  <MN>8</MN>
                                  <CLI>1,1,46,False,12</CLI>
                                  <ELN>1</ELN>
                                  <LOOT>0</LOOT>
                                  <LOMN>3</LOMN>
                                  <LOMCN>1</LOMCN>
                                  <LOSN>1</LOSN>
                                  <LOEN>19</LOEN>
                                  <LOCN>12</LOCN>
                                </LnkInProps>
                              </LnkIn>
                            </Ctg>
                            <Ctg>
                              <CtgProps>
                                <R>4</R>
                              </CtgProps>
                              <LnkIn>
                                <LnkInProps>
                                  <MN>8</MN>
                                  <CLI>1,1,46,False,13</CLI>
                                  <ELN>1</ELN>
                                  <LOOT>0</LOOT>
                                  <LOMN>3</LOMN>
                                  <LOMCN>1</LOMCN>
                                  <LOSN>1</LOSN>
                                  <LOEN>19</LOEN>
                                  <LOCN>13</LOCN>
                                </LnkInProps>
                              </LnkIn>
                            </Ctg>
                            <Ctg>
                              <CtgProps>
                                <R>4</R>
                              </CtgProps>
                              <LnkIn>
                                <LnkInProps>
                                  <MN>8</MN>
                                  <CLI>1,1,46,False,14</CLI>
                                  <ELN>1</ELN>
                                  <LOOT>0</LOOT>
                                  <LOMN>3</LOMN>
                                  <LOMCN>1</LOMCN>
                                  <LOSN>1</LOSN>
                                  <LOEN>19</LOEN>
                                  <LOCN>14</LOCN>
                                </LnkInProps>
                              </LnkIn>
                            </Ctg>
                            <Ctg>
                              <CtgProps>
                                <R>4</R>
                              </CtgProps>
                              <LnkIn>
                                <LnkInProps>
                                  <MN>8</MN>
                                  <CLI>1,1,46,False,15</CLI>
                                  <ELN>1</ELN>
                                  <LOOT>0</LOOT>
                                  <LOMN>3</LOMN>
                                  <LOMCN>1</LOMCN>
                                  <LOSN>1</LOSN>
                                  <LOEN>19</LOEN>
                                  <LOCN>15</LOCN>
                                </LnkInProps>
                              </LnkIn>
                            </Ctg>
                            <Ctg>
                              <CtgProps>
                                <R>5</R>
                              </CtgProps>
                              <LnkIn>
                                <LnkInProps>
                                  <MN>8</MN>
                                  <CLI>1,1,46,False,16</CLI>
                                  <ELN>1</ELN>
                                  <LOOT>0</LOOT>
                                  <LOMN>3</LOMN>
                                  <LOMCN>1</LOMCN>
                                  <LOSN>1</LOSN>
                                  <LOEN>19</LOEN>
                                  <LOCN>16</LOCN>
                                </LnkInProps>
                              </LnkIn>
                            </Ctg>
                            <Ctg>
                              <CtgProps>
                                <R>5</R>
                              </CtgProps>
                              <LnkIn>
                                <LnkInProps>
                                  <MN>8</MN>
                                  <CLI>1,1,46,False,17</CLI>
                                  <ELN>1</ELN>
                                  <LOOT>0</LOOT>
                                  <LOMN>3</LOMN>
                                  <LOMCN>1</LOMCN>
                                  <LOSN>1</LOSN>
                                  <LOEN>19</LOEN>
                                  <LOCN>17</LOCN>
                                </LnkInProps>
                              </LnkIn>
                            </Ctg>
                            <Ctg>
                              <CtgProps>
                                <R>5</R>
                              </CtgProps>
                              <LnkIn>
                                <LnkInProps>
                                  <MN>8</MN>
                                  <CLI>1,1,46,False,18</CLI>
                                  <ELN>1</ELN>
                                  <LOOT>0</LOOT>
                                  <LOMN>3</LOMN>
                                  <LOMCN>1</LOMCN>
                                  <LOSN>1</LOSN>
                                  <LOEN>19</LOEN>
                                  <LOCN>18</LOCN>
                                </LnkInProps>
                              </LnkIn>
                            </Ctg>
                            <Ctg>
                              <CtgProps>
                                <R>5</R>
                              </CtgProps>
                              <LnkIn>
                                <LnkInProps>
                                  <MN>8</MN>
                                  <CLI>1,1,46,False,19</CLI>
                                  <ELN>1</ELN>
                                  <LOOT>0</LOOT>
                                  <LOMN>3</LOMN>
                                  <LOMCN>1</LOMCN>
                                  <LOSN>1</LOSN>
                                  <LOEN>19</LOEN>
                                  <LOCN>19</LOCN>
                                </LnkInProps>
                              </LnkIn>
                            </Ctg>
                            <Ctg>
                              <CtgProps>
                                <R>5</R>
                              </CtgProps>
                              <LnkIn>
                                <LnkInProps>
                                  <MN>8</MN>
                                  <CLI>1,1,46,False,20</CLI>
                                  <ELN>1</ELN>
                                  <LOOT>0</LOOT>
                                  <LOMN>3</LOMN>
                                  <LOMCN>1</LOMCN>
                                  <LOSN>1</LOSN>
                                  <LOEN>19</LOEN>
                                  <LOCN>20</LOCN>
                                </LnkInProps>
                              </LnkIn>
                            </Ctg>
                            <Ctg>
                              <CtgProps>
                                <R>5</R>
                              </CtgProps>
                              <LnkIn>
                                <LnkInProps>
                                  <MN>8</MN>
                                  <CLI>1,1,46,False,21</CLI>
                                  <ELN>1</ELN>
                                  <LOOT>0</LOOT>
                                  <LOMN>3</LOMN>
                                  <LOMCN>1</LOMCN>
                                  <LOSN>1</LOSN>
                                  <LOEN>19</LOEN>
                                  <LOCN>21</LOCN>
                                </LnkInProps>
                              </LnkIn>
                            </Ctg>
                            <Ctg>
                              <CtgProps>
                                <R>5</R>
                              </CtgProps>
                              <LnkIn>
                                <LnkInProps>
                                  <MN>8</MN>
                                  <CLI>1,1,46,False,22</CLI>
                                  <ELN>1</ELN>
                                  <LOOT>0</LOOT>
                                  <LOMN>3</LOMN>
                                  <LOMCN>1</LOMCN>
                                  <LOSN>1</LOSN>
                                  <LOEN>19</LOEN>
                                  <LOCN>22</LOCN>
                                </LnkInProps>
                              </LnkIn>
                            </Ctg>
                            <Ctg>
                              <CtgProps>
                                <R>5</R>
                              </CtgProps>
                              <LnkIn>
                                <LnkInProps>
                                  <MN>8</MN>
                                  <CLI>1,1,46,False,23</CLI>
                                  <ELN>1</ELN>
                                  <LOOT>0</LOOT>
                                  <LOMN>3</LOMN>
                                  <LOMCN>1</LOMCN>
                                  <LOSN>1</LOSN>
                                  <LOEN>19</LOEN>
                                  <LOCN>23</LOCN>
                                </LnkInProps>
                              </LnkIn>
                            </Ctg>
                            <Ctg>
                              <CtgProps>
                                <R>5</R>
                              </CtgProps>
                              <LnkIn>
                                <LnkInProps>
                                  <MN>8</MN>
                                  <CLI>1,1,46,False,24</CLI>
                                  <ELN>1</ELN>
                                  <LOOT>0</LOOT>
                                  <LOMN>3</LOMN>
                                  <LOMCN>1</LOMCN>
                                  <LOSN>1</LOSN>
                                  <LOEN>19</LOEN>
                                  <LOCN>24</LOCN>
                                </LnkInProps>
                              </LnkIn>
                            </Ctg>
                            <Ctg>
                              <CtgProps>
                                <R>5</R>
                              </CtgProps>
                              <LnkIn>
                                <LnkInProps>
                                  <MN>8</MN>
                                  <CLI>1,1,46,False,25</CLI>
                                  <ELN>1</ELN>
                                  <LOOT>0</LOOT>
                                  <LOMN>3</LOMN>
                                  <LOMCN>1</LOMCN>
                                  <LOSN>1</LOSN>
                                  <LOEN>19</LOEN>
                                  <LOCN>25</LOCN>
                                </LnkInProps>
                              </LnkIn>
                            </Ctg>
                            <Ctg>
                              <CtgProps>
                                <R>5</R>
                              </CtgProps>
                              <LnkIn>
                                <LnkInProps>
                                  <MN>8</MN>
                                  <CLI>1,1,46,False,26</CLI>
                                  <ELN>1</ELN>
                                  <LOOT>0</LOOT>
                                  <LOMN>3</LOMN>
                                  <LOMCN>1</LOMCN>
                                  <LOSN>1</LOSN>
                                  <LOEN>19</LOEN>
                                  <LOCN>26</LOCN>
                                </LnkInProps>
                              </LnkIn>
                            </Ctg>
                            <Ctg>
                              <CtgProps>
                                <R>5</R>
                              </CtgProps>
                              <LnkIn>
                                <LnkInProps>
                                  <MN>8</MN>
                                  <CLI>1,1,46,False,27</CLI>
                                  <ELN>1</ELN>
                                  <LOOT>0</LOOT>
                                  <LOMN>3</LOMN>
                                  <LOMCN>1</LOMCN>
                                  <LOSN>1</LOSN>
                                  <LOEN>19</LOEN>
                                  <LOCN>27</LOCN>
                                </LnkInProps>
                              </LnkIn>
                            </Ctg>
                            <Ctg>
                              <CtgProps>
                                <R>5</R>
                              </CtgProps>
                              <LnkIn>
                                <LnkInProps>
                                  <MN>8</MN>
                                  <CLI>1,1,46,False,28</CLI>
                                  <ELN>1</ELN>
                                  <LOOT>0</LOOT>
                                  <LOMN>3</LOMN>
                                  <LOMCN>1</LOMCN>
                                  <LOSN>1</LOSN>
                                  <LOEN>19</LOEN>
                                  <LOCN>28</LOCN>
                                </LnkInProps>
                              </LnkIn>
                            </Ctg>
                            <Ctg>
                              <CtgProps>
                                <R>5</R>
                              </CtgProps>
                              <LnkIn>
                                <LnkInProps>
                                  <MN>8</MN>
                                  <CLI>1,1,46,False,29</CLI>
                                  <ELN>1</ELN>
                                  <LOOT>0</LOOT>
                                  <LOMN>3</LOMN>
                                  <LOMCN>1</LOMCN>
                                  <LOSN>1</LOSN>
                                  <LOEN>19</LOEN>
                                  <LOCN>29</LOCN>
                                </LnkInProps>
                              </LnkIn>
                            </Ctg>
                            <Ctg>
                              <CtgProps>
                                <R>5</R>
                              </CtgProps>
                              <LnkIn>
                                <LnkInProps>
                                  <MN>8</MN>
                                  <CLI>1,1,46,False,30</CLI>
                                  <ELN>1</ELN>
                                  <LOOT>0</LOOT>
                                  <LOMN>3</LOMN>
                                  <LOMCN>1</LOMCN>
                                  <LOSN>1</LOSN>
                                  <LOEN>19</LOEN>
                                  <LOCN>30</LOCN>
                                </LnkInProps>
                              </LnkIn>
                            </Ctg>
                            <Ctg>
                              <CtgProps>
                                <R>5</R>
                              </CtgProps>
                              <LnkIn>
                                <LnkInProps>
                                  <MN>8</MN>
                                  <CLI>1,1,46,False,31</CLI>
                                  <ELN>1</ELN>
                                  <LOOT>0</LOOT>
                                  <LOMN>3</LOMN>
                                  <LOMCN>1</LOMCN>
                                  <LOSN>1</LOSN>
                                  <LOEN>19</LOEN>
                                  <LOCN>31</LOCN>
                                </LnkInProps>
                              </LnkIn>
                            </Ctg>
                            <Ctg>
                              <CtgProps>
                                <R>5</R>
                              </CtgProps>
                              <LnkIn>
                                <LnkInProps>
                                  <MN>8</MN>
                                  <CLI>1,1,46,False,32</CLI>
                                  <ELN>1</ELN>
                                  <LOOT>0</LOOT>
                                  <LOMN>3</LOMN>
                                  <LOMCN>1</LOMCN>
                                  <LOSN>1</LOSN>
                                  <LOEN>19</LOEN>
                                  <LOCN>32</LOCN>
                                </LnkInProps>
                              </LnkIn>
                            </Ctg>
                            <Ctg>
                              <CtgProps>
                                <R>5</R>
                              </CtgProps>
                              <LnkIn>
                                <LnkInProps>
                                  <MN>8</MN>
                                  <CLI>1,1,46,False,33</CLI>
                                  <ELN>1</ELN>
                                  <LOOT>0</LOOT>
                                  <LOMN>3</LOMN>
                                  <LOMCN>1</LOMCN>
                                  <LOSN>1</LOSN>
                                  <LOEN>19</LOEN>
                                  <LOCN>33</LOCN>
                                </LnkInProps>
                              </LnkIn>
                            </Ctg>
                            <Ctg>
                              <CtgProps>
                                <R>5</R>
                              </CtgProps>
                              <LnkIn>
                                <LnkInProps>
                                  <MN>8</MN>
                                  <CLI>1,1,46,False,34</CLI>
                                  <ELN>1</ELN>
                                  <LOOT>0</LOOT>
                                  <LOMN>3</LOMN>
                                  <LOMCN>1</LOMCN>
                                  <LOSN>1</LOSN>
                                  <LOEN>19</LOEN>
                                  <LOCN>34</LOCN>
                                </LnkInProps>
                              </LnkIn>
                            </Ctg>
                            <Ctg>
                              <CtgProps>
                                <R>5</R>
                              </CtgProps>
                              <LnkIn>
                                <LnkInProps>
                                  <MN>8</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8</MN>
                                  <CLI>1,1,49,False,1</CLI>
                                  <ELN>1</ELN>
                                  <LOOT>0</LOOT>
                                  <LOMN>3</LOMN>
                                  <LOMCN>1</LOMCN>
                                  <LOSN>1</LOSN>
                                  <LOEN>24</LOEN>
                                  <LOCN>1</LOCN>
                                </LnkInProps>
                              </LnkIn>
                            </Ctg>
                            <Ctg>
                              <CtgProps>
                                <R>4</R>
                              </CtgProps>
                              <LnkIn>
                                <LnkInProps>
                                  <MN>8</MN>
                                  <CLI>1,1,49,False,2</CLI>
                                  <ELN>1</ELN>
                                  <LOOT>0</LOOT>
                                  <LOMN>3</LOMN>
                                  <LOMCN>1</LOMCN>
                                  <LOSN>1</LOSN>
                                  <LOEN>24</LOEN>
                                  <LOCN>2</LOCN>
                                </LnkInProps>
                              </LnkIn>
                            </Ctg>
                            <Ctg>
                              <CtgProps>
                                <R>4</R>
                              </CtgProps>
                              <LnkIn>
                                <LnkInProps>
                                  <MN>8</MN>
                                  <CLI>1,1,49,False,3</CLI>
                                  <ELN>1</ELN>
                                  <LOOT>0</LOOT>
                                  <LOMN>3</LOMN>
                                  <LOMCN>1</LOMCN>
                                  <LOSN>1</LOSN>
                                  <LOEN>24</LOEN>
                                  <LOCN>3</LOCN>
                                </LnkInProps>
                              </LnkIn>
                            </Ctg>
                            <Ctg>
                              <CtgProps>
                                <R>4</R>
                              </CtgProps>
                              <LnkIn>
                                <LnkInProps>
                                  <MN>8</MN>
                                  <CLI>1,1,49,False,4</CLI>
                                  <ELN>1</ELN>
                                  <LOOT>0</LOOT>
                                  <LOMN>3</LOMN>
                                  <LOMCN>1</LOMCN>
                                  <LOSN>1</LOSN>
                                  <LOEN>24</LOEN>
                                  <LOCN>4</LOCN>
                                </LnkInProps>
                              </LnkIn>
                            </Ctg>
                            <Ctg>
                              <CtgProps>
                                <R>4</R>
                              </CtgProps>
                              <LnkIn>
                                <LnkInProps>
                                  <MN>8</MN>
                                  <CLI>1,1,49,False,5</CLI>
                                  <ELN>1</ELN>
                                  <LOOT>0</LOOT>
                                  <LOMN>3</LOMN>
                                  <LOMCN>1</LOMCN>
                                  <LOSN>1</LOSN>
                                  <LOEN>24</LOEN>
                                  <LOCN>5</LOCN>
                                </LnkInProps>
                              </LnkIn>
                            </Ctg>
                            <Ctg>
                              <CtgProps>
                                <R>5</R>
                              </CtgProps>
                              <LnkIn>
                                <LnkInProps>
                                  <MN>8</MN>
                                  <CLI>1,1,49,False,6</CLI>
                                  <ELN>1</ELN>
                                  <LOOT>0</LOOT>
                                  <LOMN>3</LOMN>
                                  <LOMCN>1</LOMCN>
                                  <LOSN>1</LOSN>
                                  <LOEN>24</LOEN>
                                  <LOCN>6</LOCN>
                                </LnkInProps>
                              </LnkIn>
                            </Ctg>
                            <Ctg>
                              <CtgProps>
                                <R>5</R>
                              </CtgProps>
                              <LnkIn>
                                <LnkInProps>
                                  <MN>8</MN>
                                  <CLI>1,1,49,False,7</CLI>
                                  <ELN>1</ELN>
                                  <LOOT>0</LOOT>
                                  <LOMN>3</LOMN>
                                  <LOMCN>1</LOMCN>
                                  <LOSN>1</LOSN>
                                  <LOEN>24</LOEN>
                                  <LOCN>7</LOCN>
                                </LnkInProps>
                              </LnkIn>
                            </Ctg>
                            <Ctg>
                              <CtgProps>
                                <R>5</R>
                              </CtgProps>
                              <LnkIn>
                                <LnkInProps>
                                  <MN>8</MN>
                                  <CLI>1,1,49,False,8</CLI>
                                  <ELN>1</ELN>
                                  <LOOT>0</LOOT>
                                  <LOMN>3</LOMN>
                                  <LOMCN>1</LOMCN>
                                  <LOSN>1</LOSN>
                                  <LOEN>24</LOEN>
                                  <LOCN>8</LOCN>
                                </LnkInProps>
                              </LnkIn>
                            </Ctg>
                            <Ctg>
                              <CtgProps>
                                <R>5</R>
                              </CtgProps>
                              <LnkIn>
                                <LnkInProps>
                                  <MN>8</MN>
                                  <CLI>1,1,49,False,9</CLI>
                                  <ELN>1</ELN>
                                  <LOOT>0</LOOT>
                                  <LOMN>3</LOMN>
                                  <LOMCN>1</LOMCN>
                                  <LOSN>1</LOSN>
                                  <LOEN>24</LOEN>
                                  <LOCN>9</LOCN>
                                </LnkInProps>
                              </LnkIn>
                            </Ctg>
                            <Ctg>
                              <CtgProps>
                                <R>5</R>
                              </CtgProps>
                              <LnkIn>
                                <LnkInProps>
                                  <MN>8</MN>
                                  <CLI>1,1,49,False,10</CLI>
                                  <ELN>1</ELN>
                                  <LOOT>0</LOOT>
                                  <LOMN>3</LOMN>
                                  <LOMCN>1</LOMCN>
                                  <LOSN>1</LOSN>
                                  <LOEN>24</LOEN>
                                  <LOCN>10</LOCN>
                                </LnkInProps>
                              </LnkIn>
                            </Ctg>
                            <Ctg>
                              <CtgProps>
                                <R>5</R>
                              </CtgProps>
                              <LnkIn>
                                <LnkInProps>
                                  <MN>8</MN>
                                  <CLI>1,1,49,False,11</CLI>
                                  <ELN>1</ELN>
                                  <LOOT>0</LOOT>
                                  <LOMN>3</LOMN>
                                  <LOMCN>1</LOMCN>
                                  <LOSN>1</LOSN>
                                  <LOEN>24</LOEN>
                                  <LOCN>11</LOCN>
                                </LnkInProps>
                              </LnkIn>
                            </Ctg>
                            <Ctg>
                              <CtgProps>
                                <R>5</R>
                              </CtgProps>
                              <LnkIn>
                                <LnkInProps>
                                  <MN>8</MN>
                                  <CLI>1,1,49,False,12</CLI>
                                  <ELN>1</ELN>
                                  <LOOT>0</LOOT>
                                  <LOMN>3</LOMN>
                                  <LOMCN>1</LOMCN>
                                  <LOSN>1</LOSN>
                                  <LOEN>24</LOEN>
                                  <LOCN>12</LOCN>
                                </LnkInProps>
                              </LnkIn>
                            </Ctg>
                            <Ctg>
                              <CtgProps>
                                <R>5</R>
                              </CtgProps>
                              <LnkIn>
                                <LnkInProps>
                                  <MN>8</MN>
                                  <CLI>1,1,49,False,13</CLI>
                                  <ELN>1</ELN>
                                  <LOOT>0</LOOT>
                                  <LOMN>3</LOMN>
                                  <LOMCN>1</LOMCN>
                                  <LOSN>1</LOSN>
                                  <LOEN>24</LOEN>
                                  <LOCN>13</LOCN>
                                </LnkInProps>
                              </LnkIn>
                            </Ctg>
                            <Ctg>
                              <CtgProps>
                                <R>5</R>
                              </CtgProps>
                              <LnkIn>
                                <LnkInProps>
                                  <MN>8</MN>
                                  <CLI>1,1,49,False,14</CLI>
                                  <ELN>1</ELN>
                                  <LOOT>0</LOOT>
                                  <LOMN>3</LOMN>
                                  <LOMCN>1</LOMCN>
                                  <LOSN>1</LOSN>
                                  <LOEN>24</LOEN>
                                  <LOCN>14</LOCN>
                                </LnkInProps>
                              </LnkIn>
                            </Ctg>
                            <Ctg>
                              <CtgProps>
                                <R>5</R>
                              </CtgProps>
                              <LnkIn>
                                <LnkInProps>
                                  <MN>8</MN>
                                  <CLI>1,1,49,False,15</CLI>
                                  <ELN>1</ELN>
                                  <LOOT>0</LOOT>
                                  <LOMN>3</LOMN>
                                  <LOMCN>1</LOMCN>
                                  <LOSN>1</LOSN>
                                  <LOEN>24</LOEN>
                                  <LOCN>15</LOCN>
                                </LnkInProps>
                              </LnkIn>
                            </Ctg>
                            <Ctg>
                              <CtgProps>
                                <R>5</R>
                              </CtgProps>
                              <LnkIn>
                                <LnkInProps>
                                  <MN>8</MN>
                                  <CLI>1,1,49,False,16</CLI>
                                  <ELN>1</ELN>
                                  <LOOT>0</LOOT>
                                  <LOMN>3</LOMN>
                                  <LOMCN>1</LOMCN>
                                  <LOSN>1</LOSN>
                                  <LOEN>24</LOEN>
                                  <LOCN>16</LOCN>
                                </LnkInProps>
                              </LnkIn>
                            </Ctg>
                            <Ctg>
                              <CtgProps>
                                <R>5</R>
                              </CtgProps>
                              <LnkIn>
                                <LnkInProps>
                                  <MN>8</MN>
                                  <CLI>1,1,49,False,17</CLI>
                                  <ELN>1</ELN>
                                  <LOOT>0</LOOT>
                                  <LOMN>3</LOMN>
                                  <LOMCN>1</LOMCN>
                                  <LOSN>1</LOSN>
                                  <LOEN>24</LOEN>
                                  <LOCN>17</LOCN>
                                </LnkInProps>
                              </LnkIn>
                            </Ctg>
                            <Ctg>
                              <CtgProps>
                                <R>5</R>
                              </CtgProps>
                              <LnkIn>
                                <LnkInProps>
                                  <MN>8</MN>
                                  <CLI>1,1,49,False,18</CLI>
                                  <ELN>1</ELN>
                                  <LOOT>0</LOOT>
                                  <LOMN>3</LOMN>
                                  <LOMCN>1</LOMCN>
                                  <LOSN>1</LOSN>
                                  <LOEN>24</LOEN>
                                  <LOCN>18</LOCN>
                                </LnkInProps>
                              </LnkIn>
                            </Ctg>
                            <Ctg>
                              <CtgProps>
                                <R>5</R>
                              </CtgProps>
                              <LnkIn>
                                <LnkInProps>
                                  <MN>8</MN>
                                  <CLI>1,1,49,False,19</CLI>
                                  <ELN>1</ELN>
                                  <LOOT>0</LOOT>
                                  <LOMN>3</LOMN>
                                  <LOMCN>1</LOMCN>
                                  <LOSN>1</LOSN>
                                  <LOEN>24</LOEN>
                                  <LOCN>19</LOCN>
                                </LnkInProps>
                              </LnkIn>
                            </Ctg>
                            <Ctg>
                              <CtgProps>
                                <R>5</R>
                              </CtgProps>
                              <LnkIn>
                                <LnkInProps>
                                  <MN>8</MN>
                                  <CLI>1,1,49,False,20</CLI>
                                  <ELN>1</ELN>
                                  <LOOT>0</LOOT>
                                  <LOMN>3</LOMN>
                                  <LOMCN>1</LOMCN>
                                  <LOSN>1</LOSN>
                                  <LOEN>24</LOEN>
                                  <LOCN>20</LOCN>
                                </LnkInProps>
                              </LnkIn>
                            </Ctg>
                            <Ctg>
                              <CtgProps>
                                <R>5</R>
                              </CtgProps>
                              <LnkIn>
                                <LnkInProps>
                                  <MN>8</MN>
                                  <CLI>1,1,49,False,21</CLI>
                                  <ELN>1</ELN>
                                  <LOOT>0</LOOT>
                                  <LOMN>3</LOMN>
                                  <LOMCN>1</LOMCN>
                                  <LOSN>1</LOSN>
                                  <LOEN>24</LOEN>
                                  <LOCN>21</LOCN>
                                </LnkInProps>
                              </LnkIn>
                            </Ctg>
                            <Ctg>
                              <CtgProps>
                                <R>5</R>
                              </CtgProps>
                              <LnkIn>
                                <LnkInProps>
                                  <MN>8</MN>
                                  <CLI>1,1,49,False,22</CLI>
                                  <ELN>1</ELN>
                                  <LOOT>0</LOOT>
                                  <LOMN>3</LOMN>
                                  <LOMCN>1</LOMCN>
                                  <LOSN>1</LOSN>
                                  <LOEN>24</LOEN>
                                  <LOCN>22</LOCN>
                                </LnkInProps>
                              </LnkIn>
                            </Ctg>
                            <Ctg>
                              <CtgProps>
                                <R>5</R>
                              </CtgProps>
                              <LnkIn>
                                <LnkInProps>
                                  <MN>8</MN>
                                  <CLI>1,1,49,False,23</CLI>
                                  <ELN>1</ELN>
                                  <LOOT>0</LOOT>
                                  <LOMN>3</LOMN>
                                  <LOMCN>1</LOMCN>
                                  <LOSN>1</LOSN>
                                  <LOEN>24</LOEN>
                                  <LOCN>23</LOCN>
                                </LnkInProps>
                              </LnkIn>
                            </Ctg>
                            <Ctg>
                              <CtgProps>
                                <R>5</R>
                              </CtgProps>
                              <LnkIn>
                                <LnkInProps>
                                  <MN>8</MN>
                                  <CLI>1,1,49,False,24</CLI>
                                  <ELN>1</ELN>
                                  <LOOT>0</LOOT>
                                  <LOMN>3</LOMN>
                                  <LOMCN>1</LOMCN>
                                  <LOSN>1</LOSN>
                                  <LOEN>24</LOEN>
                                  <LOCN>24</LOCN>
                                </LnkInProps>
                              </LnkIn>
                            </Ctg>
                            <Ctg>
                              <CtgProps>
                                <R>5</R>
                              </CtgProps>
                              <LnkIn>
                                <LnkInProps>
                                  <MN>8</MN>
                                  <CLI>1,1,49,False,25</CLI>
                                  <ELN>1</ELN>
                                  <LOOT>0</LOOT>
                                  <LOMN>3</LOMN>
                                  <LOMCN>1</LOMCN>
                                  <LOSN>1</LOSN>
                                  <LOEN>24</LOEN>
                                  <LOCN>25</LOCN>
                                </LnkInProps>
                              </LnkIn>
                            </Ctg>
                            <Ctg>
                              <CtgProps>
                                <R>5</R>
                              </CtgProps>
                              <LnkIn>
                                <LnkInProps>
                                  <MN>8</MN>
                                  <CLI>1,1,49,False,26</CLI>
                                  <ELN>1</ELN>
                                  <LOOT>0</LOOT>
                                  <LOMN>3</LOMN>
                                  <LOMCN>1</LOMCN>
                                  <LOSN>1</LOSN>
                                  <LOEN>24</LOEN>
                                  <LOCN>26</LOCN>
                                </LnkInProps>
                              </LnkIn>
                            </Ctg>
                            <Ctg>
                              <CtgProps>
                                <R>5</R>
                              </CtgProps>
                              <LnkIn>
                                <LnkInProps>
                                  <MN>8</MN>
                                  <CLI>1,1,49,False,27</CLI>
                                  <ELN>1</ELN>
                                  <LOOT>0</LOOT>
                                  <LOMN>3</LOMN>
                                  <LOMCN>1</LOMCN>
                                  <LOSN>1</LOSN>
                                  <LOEN>24</LOEN>
                                  <LOCN>27</LOCN>
                                </LnkInProps>
                              </LnkIn>
                            </Ctg>
                            <Ctg>
                              <CtgProps>
                                <R>5</R>
                              </CtgProps>
                              <LnkIn>
                                <LnkInProps>
                                  <MN>8</MN>
                                  <CLI>1,1,49,False,28</CLI>
                                  <ELN>1</ELN>
                                  <LOOT>0</LOOT>
                                  <LOMN>3</LOMN>
                                  <LOMCN>1</LOMCN>
                                  <LOSN>1</LOSN>
                                  <LOEN>24</LOEN>
                                  <LOCN>28</LOCN>
                                </LnkInProps>
                              </LnkIn>
                            </Ctg>
                            <Ctg>
                              <CtgProps>
                                <R>5</R>
                              </CtgProps>
                              <LnkIn>
                                <LnkInProps>
                                  <MN>8</MN>
                                  <CLI>1,1,49,False,29</CLI>
                                  <ELN>1</ELN>
                                  <LOOT>0</LOOT>
                                  <LOMN>3</LOMN>
                                  <LOMCN>1</LOMCN>
                                  <LOSN>1</LOSN>
                                  <LOEN>24</LOEN>
                                  <LOCN>29</LOCN>
                                </LnkInProps>
                              </LnkIn>
                            </Ctg>
                            <Ctg>
                              <CtgProps>
                                <R>5</R>
                              </CtgProps>
                              <LnkIn>
                                <LnkInProps>
                                  <MN>8</MN>
                                  <CLI>1,1,49,False,30</CLI>
                                  <ELN>1</ELN>
                                  <LOOT>0</LOOT>
                                  <LOMN>3</LOMN>
                                  <LOMCN>1</LOMCN>
                                  <LOSN>1</LOSN>
                                  <LOEN>24</LOEN>
                                  <LOCN>30</LOCN>
                                </LnkInProps>
                              </LnkIn>
                            </Ctg>
                            <Ctg>
                              <CtgProps>
                                <R>5</R>
                              </CtgProps>
                              <LnkIn>
                                <LnkInProps>
                                  <MN>8</MN>
                                  <CLI>1,1,49,False,31</CLI>
                                  <ELN>1</ELN>
                                  <LOOT>0</LOOT>
                                  <LOMN>3</LOMN>
                                  <LOMCN>1</LOMCN>
                                  <LOSN>1</LOSN>
                                  <LOEN>24</LOEN>
                                  <LOCN>31</LOCN>
                                </LnkInProps>
                              </LnkIn>
                            </Ctg>
                            <Ctg>
                              <CtgProps>
                                <R>5</R>
                              </CtgProps>
                              <LnkIn>
                                <LnkInProps>
                                  <MN>8</MN>
                                  <CLI>1,1,49,False,32</CLI>
                                  <ELN>1</ELN>
                                  <LOOT>0</LOOT>
                                  <LOMN>3</LOMN>
                                  <LOMCN>1</LOMCN>
                                  <LOSN>1</LOSN>
                                  <LOEN>24</LOEN>
                                  <LOCN>32</LOCN>
                                </LnkInProps>
                              </LnkIn>
                            </Ctg>
                            <Ctg>
                              <CtgProps>
                                <R>5</R>
                              </CtgProps>
                              <LnkIn>
                                <LnkInProps>
                                  <MN>8</MN>
                                  <CLI>1,1,49,False,33</CLI>
                                  <ELN>1</ELN>
                                  <LOOT>0</LOOT>
                                  <LOMN>3</LOMN>
                                  <LOMCN>1</LOMCN>
                                  <LOSN>1</LOSN>
                                  <LOEN>24</LOEN>
                                  <LOCN>33</LOCN>
                                </LnkInProps>
                              </LnkIn>
                            </Ctg>
                            <Ctg>
                              <CtgProps>
                                <R>5</R>
                              </CtgProps>
                              <LnkIn>
                                <LnkInProps>
                                  <MN>8</MN>
                                  <CLI>1,1,49,False,34</CLI>
                                  <ELN>1</ELN>
                                  <LOOT>0</LOOT>
                                  <LOMN>3</LOMN>
                                  <LOMCN>1</LOMCN>
                                  <LOSN>1</LOSN>
                                  <LOEN>24</LOEN>
                                  <LOCN>34</LOCN>
                                </LnkInProps>
                              </LnkIn>
                            </Ctg>
                            <Ctg>
                              <CtgProps>
                                <R>5</R>
                              </CtgProps>
                              <LnkIn>
                                <LnkInProps>
                                  <MN>8</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8</MN>
                                  <CLI>1,1,53,False,1</CLI>
                                  <ELN>1</ELN>
                                  <LOOT>0</LOOT>
                                  <LOMN>3</LOMN>
                                  <LOMCN>1</LOMCN>
                                  <LOSN>1</LOSN>
                                  <LOEN>29</LOEN>
                                  <LOCN>1</LOCN>
                                </LnkInProps>
                              </LnkIn>
                            </Ctg>
                            <Ctg>
                              <CtgProps>
                                <R>4</R>
                              </CtgProps>
                              <LnkIn>
                                <LnkInProps>
                                  <MN>8</MN>
                                  <CLI>1,1,53,False,2</CLI>
                                  <ELN>1</ELN>
                                  <LOOT>0</LOOT>
                                  <LOMN>3</LOMN>
                                  <LOMCN>1</LOMCN>
                                  <LOSN>1</LOSN>
                                  <LOEN>29</LOEN>
                                  <LOCN>2</LOCN>
                                </LnkInProps>
                              </LnkIn>
                            </Ctg>
                            <Ctg>
                              <CtgProps>
                                <R>5</R>
                              </CtgProps>
                              <LnkIn>
                                <LnkInProps>
                                  <MN>8</MN>
                                  <CLI>1,1,53,False,3</CLI>
                                  <ELN>1</ELN>
                                  <LOOT>0</LOOT>
                                  <LOMN>3</LOMN>
                                  <LOMCN>1</LOMCN>
                                  <LOSN>1</LOSN>
                                  <LOEN>29</LOEN>
                                  <LOCN>3</LOCN>
                                </LnkInProps>
                              </LnkIn>
                            </Ctg>
                            <Ctg>
                              <CtgProps>
                                <R>5</R>
                              </CtgProps>
                              <LnkIn>
                                <LnkInProps>
                                  <MN>8</MN>
                                  <CLI>1,1,53,False,4</CLI>
                                  <ELN>1</ELN>
                                  <LOOT>0</LOOT>
                                  <LOMN>3</LOMN>
                                  <LOMCN>1</LOMCN>
                                  <LOSN>1</LOSN>
                                  <LOEN>29</LOEN>
                                  <LOCN>4</LOCN>
                                </LnkInProps>
                              </LnkIn>
                            </Ctg>
                            <Ctg>
                              <CtgProps>
                                <R>5</R>
                              </CtgProps>
                              <LnkIn>
                                <LnkInProps>
                                  <MN>8</MN>
                                  <CLI>1,1,53,False,5</CLI>
                                  <ELN>1</ELN>
                                  <LOOT>0</LOOT>
                                  <LOMN>3</LOMN>
                                  <LOMCN>1</LOMCN>
                                  <LOSN>1</LOSN>
                                  <LOEN>29</LOEN>
                                  <LOCN>5</LOCN>
                                </LnkInProps>
                              </LnkIn>
                            </Ctg>
                            <Ctg>
                              <CtgProps>
                                <R>5</R>
                              </CtgProps>
                              <LnkIn>
                                <LnkInProps>
                                  <MN>8</MN>
                                  <CLI>1,1,53,False,6</CLI>
                                  <ELN>1</ELN>
                                  <LOOT>0</LOOT>
                                  <LOMN>3</LOMN>
                                  <LOMCN>1</LOMCN>
                                  <LOSN>1</LOSN>
                                  <LOEN>29</LOEN>
                                  <LOCN>6</LOCN>
                                </LnkInProps>
                              </LnkIn>
                            </Ctg>
                            <Ctg>
                              <CtgProps>
                                <R>5</R>
                              </CtgProps>
                              <LnkIn>
                                <LnkInProps>
                                  <MN>8</MN>
                                  <CLI>1,1,53,False,7</CLI>
                                  <ELN>1</ELN>
                                  <LOOT>0</LOOT>
                                  <LOMN>3</LOMN>
                                  <LOMCN>1</LOMCN>
                                  <LOSN>1</LOSN>
                                  <LOEN>29</LOEN>
                                  <LOCN>7</LOCN>
                                </LnkInProps>
                              </LnkIn>
                            </Ctg>
                            <Ctg>
                              <CtgProps>
                                <R>5</R>
                              </CtgProps>
                              <LnkIn>
                                <LnkInProps>
                                  <MN>8</MN>
                                  <CLI>1,1,53,False,8</CLI>
                                  <ELN>1</ELN>
                                  <LOOT>0</LOOT>
                                  <LOMN>3</LOMN>
                                  <LOMCN>1</LOMCN>
                                  <LOSN>1</LOSN>
                                  <LOEN>29</LOEN>
                                  <LOCN>8</LOCN>
                                </LnkInProps>
                              </LnkIn>
                            </Ctg>
                            <Ctg>
                              <CtgProps>
                                <R>5</R>
                              </CtgProps>
                              <LnkIn>
                                <LnkInProps>
                                  <MN>8</MN>
                                  <CLI>1,1,53,False,9</CLI>
                                  <ELN>1</ELN>
                                  <LOOT>0</LOOT>
                                  <LOMN>3</LOMN>
                                  <LOMCN>1</LOMCN>
                                  <LOSN>1</LOSN>
                                  <LOEN>29</LOEN>
                                  <LOCN>9</LOCN>
                                </LnkInProps>
                              </LnkIn>
                            </Ctg>
                            <Ctg>
                              <CtgProps>
                                <R>5</R>
                              </CtgProps>
                              <LnkIn>
                                <LnkInProps>
                                  <MN>8</MN>
                                  <CLI>1,1,53,False,10</CLI>
                                  <ELN>1</ELN>
                                  <LOOT>0</LOOT>
                                  <LOMN>3</LOMN>
                                  <LOMCN>1</LOMCN>
                                  <LOSN>1</LOSN>
                                  <LOEN>29</LOEN>
                                  <LOCN>10</LOCN>
                                </LnkInProps>
                              </LnkIn>
                            </Ctg>
                            <Ctg>
                              <CtgProps>
                                <R>5</R>
                              </CtgProps>
                              <LnkIn>
                                <LnkInProps>
                                  <MN>8</MN>
                                  <CLI>1,1,53,False,11</CLI>
                                  <ELN>1</ELN>
                                  <LOOT>0</LOOT>
                                  <LOMN>3</LOMN>
                                  <LOMCN>1</LOMCN>
                                  <LOSN>1</LOSN>
                                  <LOEN>29</LOEN>
                                  <LOCN>11</LOCN>
                                </LnkInProps>
                              </LnkIn>
                            </Ctg>
                            <Ctg>
                              <CtgProps>
                                <R>5</R>
                              </CtgProps>
                              <LnkIn>
                                <LnkInProps>
                                  <MN>8</MN>
                                  <CLI>1,1,53,False,12</CLI>
                                  <ELN>1</ELN>
                                  <LOOT>0</LOOT>
                                  <LOMN>3</LOMN>
                                  <LOMCN>1</LOMCN>
                                  <LOSN>1</LOSN>
                                  <LOEN>29</LOEN>
                                  <LOCN>12</LOCN>
                                </LnkInProps>
                              </LnkIn>
                            </Ctg>
                            <Ctg>
                              <CtgProps>
                                <R>5</R>
                              </CtgProps>
                              <LnkIn>
                                <LnkInProps>
                                  <MN>8</MN>
                                  <CLI>1,1,53,False,13</CLI>
                                  <ELN>1</ELN>
                                  <LOOT>0</LOOT>
                                  <LOMN>3</LOMN>
                                  <LOMCN>1</LOMCN>
                                  <LOSN>1</LOSN>
                                  <LOEN>29</LOEN>
                                  <LOCN>13</LOCN>
                                </LnkInProps>
                              </LnkIn>
                            </Ctg>
                            <Ctg>
                              <CtgProps>
                                <R>5</R>
                              </CtgProps>
                              <LnkIn>
                                <LnkInProps>
                                  <MN>8</MN>
                                  <CLI>1,1,53,False,14</CLI>
                                  <ELN>1</ELN>
                                  <LOOT>0</LOOT>
                                  <LOMN>3</LOMN>
                                  <LOMCN>1</LOMCN>
                                  <LOSN>1</LOSN>
                                  <LOEN>29</LOEN>
                                  <LOCN>14</LOCN>
                                </LnkInProps>
                              </LnkIn>
                            </Ctg>
                            <Ctg>
                              <CtgProps>
                                <R>5</R>
                              </CtgProps>
                              <LnkIn>
                                <LnkInProps>
                                  <MN>8</MN>
                                  <CLI>1,1,53,False,15</CLI>
                                  <ELN>1</ELN>
                                  <LOOT>0</LOOT>
                                  <LOMN>3</LOMN>
                                  <LOMCN>1</LOMCN>
                                  <LOSN>1</LOSN>
                                  <LOEN>29</LOEN>
                                  <LOCN>15</LOCN>
                                </LnkInProps>
                              </LnkIn>
                            </Ctg>
                            <Ctg>
                              <CtgProps>
                                <R>5</R>
                              </CtgProps>
                              <LnkIn>
                                <LnkInProps>
                                  <MN>8</MN>
                                  <CLI>1,1,53,False,16</CLI>
                                  <ELN>1</ELN>
                                  <LOOT>0</LOOT>
                                  <LOMN>3</LOMN>
                                  <LOMCN>1</LOMCN>
                                  <LOSN>1</LOSN>
                                  <LOEN>29</LOEN>
                                  <LOCN>16</LOCN>
                                </LnkInProps>
                              </LnkIn>
                            </Ctg>
                            <Ctg>
                              <CtgProps>
                                <R>5</R>
                              </CtgProps>
                              <LnkIn>
                                <LnkInProps>
                                  <MN>8</MN>
                                  <CLI>1,1,53,False,17</CLI>
                                  <ELN>1</ELN>
                                  <LOOT>0</LOOT>
                                  <LOMN>3</LOMN>
                                  <LOMCN>1</LOMCN>
                                  <LOSN>1</LOSN>
                                  <LOEN>29</LOEN>
                                  <LOCN>17</LOCN>
                                </LnkInProps>
                              </LnkIn>
                            </Ctg>
                            <Ctg>
                              <CtgProps>
                                <R>5</R>
                              </CtgProps>
                              <LnkIn>
                                <LnkInProps>
                                  <MN>8</MN>
                                  <CLI>1,1,53,False,18</CLI>
                                  <ELN>1</ELN>
                                  <LOOT>0</LOOT>
                                  <LOMN>3</LOMN>
                                  <LOMCN>1</LOMCN>
                                  <LOSN>1</LOSN>
                                  <LOEN>29</LOEN>
                                  <LOCN>18</LOCN>
                                </LnkInProps>
                              </LnkIn>
                            </Ctg>
                            <Ctg>
                              <CtgProps>
                                <R>5</R>
                              </CtgProps>
                              <LnkIn>
                                <LnkInProps>
                                  <MN>8</MN>
                                  <CLI>1,1,53,False,19</CLI>
                                  <ELN>1</ELN>
                                  <LOOT>0</LOOT>
                                  <LOMN>3</LOMN>
                                  <LOMCN>1</LOMCN>
                                  <LOSN>1</LOSN>
                                  <LOEN>29</LOEN>
                                  <LOCN>19</LOCN>
                                </LnkInProps>
                              </LnkIn>
                            </Ctg>
                            <Ctg>
                              <CtgProps>
                                <R>5</R>
                              </CtgProps>
                              <LnkIn>
                                <LnkInProps>
                                  <MN>8</MN>
                                  <CLI>1,1,53,False,20</CLI>
                                  <ELN>1</ELN>
                                  <LOOT>0</LOOT>
                                  <LOMN>3</LOMN>
                                  <LOMCN>1</LOMCN>
                                  <LOSN>1</LOSN>
                                  <LOEN>29</LOEN>
                                  <LOCN>20</LOCN>
                                </LnkInProps>
                              </LnkIn>
                            </Ctg>
                            <Ctg>
                              <CtgProps>
                                <R>5</R>
                              </CtgProps>
                              <LnkIn>
                                <LnkInProps>
                                  <MN>8</MN>
                                  <CLI>1,1,53,False,21</CLI>
                                  <ELN>1</ELN>
                                  <LOOT>0</LOOT>
                                  <LOMN>3</LOMN>
                                  <LOMCN>1</LOMCN>
                                  <LOSN>1</LOSN>
                                  <LOEN>29</LOEN>
                                  <LOCN>21</LOCN>
                                </LnkInProps>
                              </LnkIn>
                            </Ctg>
                            <Ctg>
                              <CtgProps>
                                <R>5</R>
                              </CtgProps>
                              <LnkIn>
                                <LnkInProps>
                                  <MN>8</MN>
                                  <CLI>1,1,53,False,22</CLI>
                                  <ELN>1</ELN>
                                  <LOOT>0</LOOT>
                                  <LOMN>3</LOMN>
                                  <LOMCN>1</LOMCN>
                                  <LOSN>1</LOSN>
                                  <LOEN>29</LOEN>
                                  <LOCN>22</LOCN>
                                </LnkInProps>
                              </LnkIn>
                            </Ctg>
                            <Ctg>
                              <CtgProps>
                                <R>5</R>
                              </CtgProps>
                              <LnkIn>
                                <LnkInProps>
                                  <MN>8</MN>
                                  <CLI>1,1,53,False,23</CLI>
                                  <ELN>1</ELN>
                                  <LOOT>0</LOOT>
                                  <LOMN>3</LOMN>
                                  <LOMCN>1</LOMCN>
                                  <LOSN>1</LOSN>
                                  <LOEN>29</LOEN>
                                  <LOCN>23</LOCN>
                                </LnkInProps>
                              </LnkIn>
                            </Ctg>
                            <Ctg>
                              <CtgProps>
                                <R>5</R>
                              </CtgProps>
                              <LnkIn>
                                <LnkInProps>
                                  <MN>8</MN>
                                  <CLI>1,1,53,False,24</CLI>
                                  <ELN>1</ELN>
                                  <LOOT>0</LOOT>
                                  <LOMN>3</LOMN>
                                  <LOMCN>1</LOMCN>
                                  <LOSN>1</LOSN>
                                  <LOEN>29</LOEN>
                                  <LOCN>24</LOCN>
                                </LnkInProps>
                              </LnkIn>
                            </Ctg>
                            <Ctg>
                              <CtgProps>
                                <R>5</R>
                              </CtgProps>
                              <LnkIn>
                                <LnkInProps>
                                  <MN>8</MN>
                                  <CLI>1,1,53,False,25</CLI>
                                  <ELN>1</ELN>
                                  <LOOT>0</LOOT>
                                  <LOMN>3</LOMN>
                                  <LOMCN>1</LOMCN>
                                  <LOSN>1</LOSN>
                                  <LOEN>29</LOEN>
                                  <LOCN>25</LOCN>
                                </LnkInProps>
                              </LnkIn>
                            </Ctg>
                            <Ctg>
                              <CtgProps>
                                <R>5</R>
                              </CtgProps>
                              <LnkIn>
                                <LnkInProps>
                                  <MN>8</MN>
                                  <CLI>1,1,53,False,26</CLI>
                                  <ELN>1</ELN>
                                  <LOOT>0</LOOT>
                                  <LOMN>3</LOMN>
                                  <LOMCN>1</LOMCN>
                                  <LOSN>1</LOSN>
                                  <LOEN>29</LOEN>
                                  <LOCN>26</LOCN>
                                </LnkInProps>
                              </LnkIn>
                            </Ctg>
                            <Ctg>
                              <CtgProps>
                                <R>5</R>
                              </CtgProps>
                              <LnkIn>
                                <LnkInProps>
                                  <MN>8</MN>
                                  <CLI>1,1,53,False,27</CLI>
                                  <ELN>1</ELN>
                                  <LOOT>0</LOOT>
                                  <LOMN>3</LOMN>
                                  <LOMCN>1</LOMCN>
                                  <LOSN>1</LOSN>
                                  <LOEN>29</LOEN>
                                  <LOCN>27</LOCN>
                                </LnkInProps>
                              </LnkIn>
                            </Ctg>
                            <Ctg>
                              <CtgProps>
                                <R>5</R>
                              </CtgProps>
                              <LnkIn>
                                <LnkInProps>
                                  <MN>8</MN>
                                  <CLI>1,1,53,False,28</CLI>
                                  <ELN>1</ELN>
                                  <LOOT>0</LOOT>
                                  <LOMN>3</LOMN>
                                  <LOMCN>1</LOMCN>
                                  <LOSN>1</LOSN>
                                  <LOEN>29</LOEN>
                                  <LOCN>28</LOCN>
                                </LnkInProps>
                              </LnkIn>
                            </Ctg>
                            <Ctg>
                              <CtgProps>
                                <R>5</R>
                              </CtgProps>
                              <LnkIn>
                                <LnkInProps>
                                  <MN>8</MN>
                                  <CLI>1,1,53,False,29</CLI>
                                  <ELN>1</ELN>
                                  <LOOT>0</LOOT>
                                  <LOMN>3</LOMN>
                                  <LOMCN>1</LOMCN>
                                  <LOSN>1</LOSN>
                                  <LOEN>29</LOEN>
                                  <LOCN>29</LOCN>
                                </LnkInProps>
                              </LnkIn>
                            </Ctg>
                            <Ctg>
                              <CtgProps>
                                <R>5</R>
                              </CtgProps>
                              <LnkIn>
                                <LnkInProps>
                                  <MN>8</MN>
                                  <CLI>1,1,53,False,30</CLI>
                                  <ELN>1</ELN>
                                  <LOOT>0</LOOT>
                                  <LOMN>3</LOMN>
                                  <LOMCN>1</LOMCN>
                                  <LOSN>1</LOSN>
                                  <LOEN>29</LOEN>
                                  <LOCN>30</LOCN>
                                </LnkInProps>
                              </LnkIn>
                            </Ctg>
                            <Ctg>
                              <CtgProps>
                                <R>5</R>
                              </CtgProps>
                              <LnkIn>
                                <LnkInProps>
                                  <MN>8</MN>
                                  <CLI>1,1,53,False,31</CLI>
                                  <ELN>1</ELN>
                                  <LOOT>0</LOOT>
                                  <LOMN>3</LOMN>
                                  <LOMCN>1</LOMCN>
                                  <LOSN>1</LOSN>
                                  <LOEN>29</LOEN>
                                  <LOCN>31</LOCN>
                                </LnkInProps>
                              </LnkIn>
                            </Ctg>
                            <Ctg>
                              <CtgProps>
                                <R>5</R>
                              </CtgProps>
                              <LnkIn>
                                <LnkInProps>
                                  <MN>8</MN>
                                  <CLI>1,1,53,False,32</CLI>
                                  <ELN>1</ELN>
                                  <LOOT>0</LOOT>
                                  <LOMN>3</LOMN>
                                  <LOMCN>1</LOMCN>
                                  <LOSN>1</LOSN>
                                  <LOEN>29</LOEN>
                                  <LOCN>32</LOCN>
                                </LnkInProps>
                              </LnkIn>
                            </Ctg>
                            <Ctg>
                              <CtgProps>
                                <R>5</R>
                              </CtgProps>
                              <LnkIn>
                                <LnkInProps>
                                  <MN>8</MN>
                                  <CLI>1,1,53,False,33</CLI>
                                  <ELN>1</ELN>
                                  <LOOT>0</LOOT>
                                  <LOMN>3</LOMN>
                                  <LOMCN>1</LOMCN>
                                  <LOSN>1</LOSN>
                                  <LOEN>29</LOEN>
                                  <LOCN>33</LOCN>
                                </LnkInProps>
                              </LnkIn>
                            </Ctg>
                            <Ctg>
                              <CtgProps>
                                <R>5</R>
                              </CtgProps>
                              <LnkIn>
                                <LnkInProps>
                                  <MN>8</MN>
                                  <CLI>1,1,53,False,34</CLI>
                                  <ELN>1</ELN>
                                  <LOOT>0</LOOT>
                                  <LOMN>3</LOMN>
                                  <LOMCN>1</LOMCN>
                                  <LOSN>1</LOSN>
                                  <LOEN>29</LOEN>
                                  <LOCN>34</LOCN>
                                </LnkInProps>
                              </LnkIn>
                            </Ctg>
                            <Ctg>
                              <CtgProps>
                                <R>5</R>
                              </CtgProps>
                              <LnkIn>
                                <LnkInProps>
                                  <MN>8</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8</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8</MN>
                <MCN>2</MCN>
                <MCTK>BaseCase</MCTK>
                <RT><![CDATA[<ModuleName> - Assumptions]]></RT>
                <ERN>BPMMC52</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ClmnBlks>
                        <ClmnBlk>
                          <ClmnBlkProps>
                            <FCPT>3</FCPT>
                            <FCN>3</FCN>
                            <FCOT>0</FCOT>
                            <FCOC>0</FCOC>
                            <FCPTBMCN>3</FCPTBMCN>
                            <FCPTBN>2</FCPTBN>
                            <LCPT>3</LCPT>
                            <LCN>3</LCN>
                            <LCOT>0</LCOT>
                            <LCOC>0</LCOC>
                            <LCPTBMCN>3</LCPTBMCN>
                            <LCPTBN>2</LCPTBN>
                          </ClmnBlkProps>
                          <ClmnBlkPts>
                            <ClmnBlkPt>
                              <ClmnBlkPtProps>
                                <CBPT>5</CBPT>
                                <ST>6</ST>
                                <VOFFF><![CDATA[Number of District Sensitization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CDATA[0]]></VOFFF>
                                <UDAV><![CDATA[0]]></UDAV>
                              </ClmnBlkPtProps>
                            </ClmnBlkPt>
                          </ClmnBlkPts>
                        </ClmnBlk>
                      </ClmnBlks>
                      <TtlCtg/>
                    </Elmt>
                  </Elmts>
                </Sect>
              </Sects>
            </ModComp>
            <ModComp>
              <ModCompProps>
                <MN>8</MN>
                <MCN>3</MCN>
                <MCTK>OP</MCTK>
                <RT><![CDATA[<ModuleName> - Outputs]]></RT>
                <ERN>BPMMC53</ERN>
                <MCST>0</MCST>
                <IPMC>False</IPMC>
                <SN>26</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Single "&§A¿0,3,0,1,1,1,1,-1,0,0,FALSE,FALSE§Z¿]]></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SENS]]></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8,2,1,-1,0,0,FALSE,FALSE§Z¿*§A¿0,3,0,1,10,2,1,-1,0,0,TRUE,TRUE§Z¿]]></VOFFF>
                              </ClmnBlkPtProps>
                            </ClmnBlkPt>
                          </ClmnBlkPts>
                        </ClmnBlk>
                        <ClmnBlk>
                          <ClmnBlkProps>
                            <FCPT>0</FCPT>
                            <FCN>12</FCN>
                            <LCPT>0</LCPT>
                            <LCN>12</LCN>
                          </ClmnBlkProps>
                          <ClmnBlkPts>
                            <ClmnBlkPt>
                              <ClmnBlkPtProps>
                                <CBPT>5</CBPT>
                                <ST>18</ST>
                                <SON>6</SON>
                                <VOFFF><![CDATA[=§A¿0,3,0,1,8,3,1,-1,0,0,FALSE,FALSE§Z¿*§A¿0,3,0,1,10,2,1,-1,0,0,TRUE,TRUE§Z¿]]></VOFFF>
                              </ClmnBlkPtProps>
                            </ClmnBlkPt>
                          </ClmnBlkPts>
                        </ClmnBlk>
                        <ClmnBlk>
                          <ClmnBlkProps>
                            <FCPT>0</FCPT>
                            <FCN>15</FCN>
                            <LCPT>0</LCPT>
                            <LCN>15</LCN>
                          </ClmnBlkProps>
                          <ClmnBlkPts>
                            <ClmnBlkPt>
                              <ClmnBlkPtProps>
                                <CBPT>5</CBPT>
                                <ST>18</ST>
                                <SON>6</SON>
                                <VOFFF><![CDATA[=§A¿0,3,0,1,8,4,1,-1,0,0,FALSE,FALSE§Z¿*§A¿0,3,0,1,10,2,1,-1,0,0,TRUE,TRUE§Z¿]]></VOFFF>
                              </ClmnBlkPtProps>
                            </ClmnBlkPt>
                          </ClmnBlkPts>
                        </ClmnBlk>
                        <ClmnBlk>
                          <ClmnBlkProps>
                            <FCPT>0</FCPT>
                            <FCN>17</FCN>
                            <LCPT>0</LCPT>
                            <LCN>17</LCN>
                          </ClmnBlkProps>
                          <ClmnBlkPts>
                            <ClmnBlkPt>
                              <ClmnBlkPtProps>
                                <CBPT>5</CBPT>
                                <ST>18</ST>
                                <SON>6</SON>
                                <VOFFF><![CDATA[=§A¿0,3,0,1,8,5,1,-1,0,0,FALSE,FALSE§Z¿*§A¿0,3,0,1,10,2,1,-1,0,0,TRUE,TRU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8</MN>
                <MCN>4</MCN>
                <MCTK>LU</MCTK>
                <RT><![CDATA[<ModuleName> - Lookups]]></RT>
                <ERN>BPMMC54</ERN>
                <MCST>3</MCST>
                <IPMC>False</IPMC>
                <SN>39</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26</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4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4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4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4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4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4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5</MN>
            <MAG>03BA1A6D-A278-46A5-AF9C-E6AA52BCE76E</MAG>
            <BN><![CDATA[PLUG_ACTIVITY]]></BN>
            <N><![CDATA[SENS-LOCAL]]></N>
            <TS><![CDATA[Annual]]></TS>
            <D><![CDATA[Assists with planning the cost of an activity. Should be used with Prices module.]]></D>
            <FS/>
            <R/>
            <GE/>
            <CA/>
            <VA/>
            <GST/>
            <DE/>
            <E/>
            <C/>
            <W/>
            <K/>
            <CO/>
            <V>1.0.0.0.</V>
            <AX/>
            <PMLO>False</PMLO>
            <IPMLO>False</IPMLO>
            <MACA>1</MACA>
            <RTSM>True</RTSM>
            <CC>True</CC>
            <X>False</X>
            <G>8C4FA419-FB4A-4636-B4F8-BBF99DF7D4DB</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9</MN>
                <MCN>1</MCN>
                <MCTK>BaseCase</MCTK>
                <RT><![CDATA[SENS-LOCAL- Assumptions]]></RT>
                <ERN>BPMMC55</ERN>
                <MCST>0</MCST>
                <IPMC>False</IPMC>
                <SN>18</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27</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5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 Links (Developer Use Only.  User can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9</MN>
                                  <CLI>1,1,34,False,1</CLI>
                                  <ELN>1</ELN>
                                  <LOOT>0</LOOT>
                                  <LOMN>3</LOMN>
                                  <LOMCN>2</LOMCN>
                                  <LOSN>1</LOSN>
                                  <LOEN>4</LOEN>
                                  <LOCN>1</LOCN>
                                </LnkInProps>
                              </LnkIn>
                            </Ctg>
                            <Ctg>
                              <CtgProps>
                                <R>5</R>
                              </CtgProps>
                              <LnkIn>
                                <LnkInProps>
                                  <MN>9</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9</MN>
                                  <CLI>1,1,39,False,1</CLI>
                                  <ELN>1</ELN>
                                  <LOOT>0</LOOT>
                                  <LOMN>3</LOMN>
                                  <LOMCN>1</LOMCN>
                                  <LOSN>1</LOSN>
                                  <LOEN>10</LOEN>
                                  <LOCN>1</LOCN>
                                </LnkInProps>
                              </LnkIn>
                            </Ctg>
                            <Ctg>
                              <CtgProps>
                                <R>4</R>
                              </CtgProps>
                              <LnkIn>
                                <LnkInProps>
                                  <MN>9</MN>
                                  <CLI>1,1,39,False,2</CLI>
                                  <ELN>1</ELN>
                                  <LOOT>0</LOOT>
                                  <LOMN>3</LOMN>
                                  <LOMCN>1</LOMCN>
                                  <LOSN>1</LOSN>
                                  <LOEN>10</LOEN>
                                  <LOCN>2</LOCN>
                                </LnkInProps>
                              </LnkIn>
                            </Ctg>
                            <Ctg>
                              <CtgProps>
                                <R>4</R>
                              </CtgProps>
                              <LnkIn>
                                <LnkInProps>
                                  <MN>9</MN>
                                  <CLI>1,1,39,False,3</CLI>
                                  <ELN>1</ELN>
                                  <LOOT>0</LOOT>
                                  <LOMN>3</LOMN>
                                  <LOMCN>1</LOMCN>
                                  <LOSN>1</LOSN>
                                  <LOEN>10</LOEN>
                                  <LOCN>3</LOCN>
                                </LnkInProps>
                              </LnkIn>
                            </Ctg>
                            <Ctg>
                              <CtgProps>
                                <R>4</R>
                              </CtgProps>
                              <LnkIn>
                                <LnkInProps>
                                  <MN>9</MN>
                                  <CLI>1,1,39,False,4</CLI>
                                  <ELN>1</ELN>
                                  <LOOT>0</LOOT>
                                  <LOMN>3</LOMN>
                                  <LOMCN>1</LOMCN>
                                  <LOSN>1</LOSN>
                                  <LOEN>10</LOEN>
                                  <LOCN>4</LOCN>
                                </LnkInProps>
                              </LnkIn>
                            </Ctg>
                            <Ctg>
                              <CtgProps>
                                <R>4</R>
                              </CtgProps>
                              <LnkIn>
                                <LnkInProps>
                                  <MN>9</MN>
                                  <CLI>1,1,39,False,5</CLI>
                                  <ELN>1</ELN>
                                  <LOOT>0</LOOT>
                                  <LOMN>3</LOMN>
                                  <LOMCN>1</LOMCN>
                                  <LOSN>1</LOSN>
                                  <LOEN>10</LOEN>
                                  <LOCN>5</LOCN>
                                </LnkInProps>
                              </LnkIn>
                            </Ctg>
                            <Ctg>
                              <CtgProps>
                                <R>4</R>
                              </CtgProps>
                              <LnkIn>
                                <LnkInProps>
                                  <MN>9</MN>
                                  <CLI>1,1,39,False,6</CLI>
                                  <ELN>1</ELN>
                                  <LOOT>0</LOOT>
                                  <LOMN>3</LOMN>
                                  <LOMCN>1</LOMCN>
                                  <LOSN>1</LOSN>
                                  <LOEN>10</LOEN>
                                  <LOCN>6</LOCN>
                                </LnkInProps>
                              </LnkIn>
                            </Ctg>
                            <Ctg>
                              <CtgProps>
                                <R>4</R>
                              </CtgProps>
                              <LnkIn>
                                <LnkInProps>
                                  <MN>9</MN>
                                  <CLI>1,1,39,False,7</CLI>
                                  <ELN>1</ELN>
                                  <LOOT>0</LOOT>
                                  <LOMN>3</LOMN>
                                  <LOMCN>1</LOMCN>
                                  <LOSN>1</LOSN>
                                  <LOEN>10</LOEN>
                                  <LOCN>7</LOCN>
                                </LnkInProps>
                              </LnkIn>
                            </Ctg>
                            <Ctg>
                              <CtgProps>
                                <R>4</R>
                              </CtgProps>
                              <LnkIn>
                                <LnkInProps>
                                  <MN>9</MN>
                                  <CLI>1,1,39,False,8</CLI>
                                  <ELN>1</ELN>
                                  <LOOT>0</LOOT>
                                  <LOMN>3</LOMN>
                                  <LOMCN>1</LOMCN>
                                  <LOSN>1</LOSN>
                                  <LOEN>10</LOEN>
                                  <LOCN>8</LOCN>
                                </LnkInProps>
                              </LnkIn>
                            </Ctg>
                            <Ctg>
                              <CtgProps>
                                <R>4</R>
                              </CtgProps>
                              <LnkIn>
                                <LnkInProps>
                                  <MN>9</MN>
                                  <CLI>1,1,39,False,9</CLI>
                                  <ELN>1</ELN>
                                  <LOOT>0</LOOT>
                                  <LOMN>3</LOMN>
                                  <LOMCN>1</LOMCN>
                                  <LOSN>1</LOSN>
                                  <LOEN>10</LOEN>
                                  <LOCN>9</LOCN>
                                </LnkInProps>
                              </LnkIn>
                            </Ctg>
                            <Ctg>
                              <CtgProps>
                                <R>4</R>
                              </CtgProps>
                              <LnkIn>
                                <LnkInProps>
                                  <MN>9</MN>
                                  <CLI>1,1,39,False,10</CLI>
                                  <ELN>1</ELN>
                                  <LOOT>0</LOOT>
                                  <LOMN>3</LOMN>
                                  <LOMCN>1</LOMCN>
                                  <LOSN>1</LOSN>
                                  <LOEN>10</LOEN>
                                  <LOCN>10</LOCN>
                                </LnkInProps>
                              </LnkIn>
                            </Ctg>
                            <Ctg>
                              <CtgProps>
                                <R>4</R>
                              </CtgProps>
                              <LnkIn>
                                <LnkInProps>
                                  <MN>9</MN>
                                  <CLI>1,1,39,False,11</CLI>
                                  <ELN>1</ELN>
                                  <LOOT>0</LOOT>
                                  <LOMN>3</LOMN>
                                  <LOMCN>1</LOMCN>
                                  <LOSN>1</LOSN>
                                  <LOEN>10</LOEN>
                                  <LOCN>11</LOCN>
                                </LnkInProps>
                              </LnkIn>
                            </Ctg>
                            <Ctg>
                              <CtgProps>
                                <R>4</R>
                              </CtgProps>
                              <LnkIn>
                                <LnkInProps>
                                  <MN>9</MN>
                                  <CLI>1,1,39,False,12</CLI>
                                  <ELN>1</ELN>
                                  <LOOT>0</LOOT>
                                  <LOMN>3</LOMN>
                                  <LOMCN>1</LOMCN>
                                  <LOSN>1</LOSN>
                                  <LOEN>10</LOEN>
                                  <LOCN>12</LOCN>
                                </LnkInProps>
                              </LnkIn>
                            </Ctg>
                            <Ctg>
                              <CtgProps>
                                <R>4</R>
                              </CtgProps>
                              <LnkIn>
                                <LnkInProps>
                                  <MN>9</MN>
                                  <CLI>1,1,39,False,13</CLI>
                                  <ELN>1</ELN>
                                  <LOOT>0</LOOT>
                                  <LOMN>3</LOMN>
                                  <LOMCN>1</LOMCN>
                                  <LOSN>1</LOSN>
                                  <LOEN>10</LOEN>
                                  <LOCN>13</LOCN>
                                </LnkInProps>
                              </LnkIn>
                            </Ctg>
                            <Ctg>
                              <CtgProps>
                                <R>4</R>
                              </CtgProps>
                              <LnkIn>
                                <LnkInProps>
                                  <MN>9</MN>
                                  <CLI>1,1,39,False,14</CLI>
                                  <ELN>1</ELN>
                                  <LOOT>0</LOOT>
                                  <LOMN>3</LOMN>
                                  <LOMCN>1</LOMCN>
                                  <LOSN>1</LOSN>
                                  <LOEN>10</LOEN>
                                  <LOCN>14</LOCN>
                                </LnkInProps>
                              </LnkIn>
                            </Ctg>
                            <Ctg>
                              <CtgProps>
                                <R>5</R>
                              </CtgProps>
                              <LnkIn>
                                <LnkInProps>
                                  <MN>9</MN>
                                  <CLI>1,1,39,False,15</CLI>
                                  <ELN>1</ELN>
                                  <LOOT>0</LOOT>
                                  <LOMN>3</LOMN>
                                  <LOMCN>1</LOMCN>
                                  <LOSN>1</LOSN>
                                  <LOEN>10</LOEN>
                                  <LOCN>15</LOCN>
                                </LnkInProps>
                              </LnkIn>
                            </Ctg>
                            <Ctg>
                              <CtgProps>
                                <R>5</R>
                              </CtgProps>
                              <LnkIn>
                                <LnkInProps>
                                  <MN>9</MN>
                                  <CLI>1,1,39,False,16</CLI>
                                  <ELN>1</ELN>
                                  <LOOT>0</LOOT>
                                  <LOMN>3</LOMN>
                                  <LOMCN>1</LOMCN>
                                  <LOSN>1</LOSN>
                                  <LOEN>10</LOEN>
                                  <LOCN>16</LOCN>
                                </LnkInProps>
                              </LnkIn>
                            </Ctg>
                            <Ctg>
                              <CtgProps>
                                <R>5</R>
                              </CtgProps>
                              <LnkIn>
                                <LnkInProps>
                                  <MN>9</MN>
                                  <CLI>1,1,39,False,17</CLI>
                                  <ELN>1</ELN>
                                  <LOOT>0</LOOT>
                                  <LOMN>3</LOMN>
                                  <LOMCN>1</LOMCN>
                                  <LOSN>1</LOSN>
                                  <LOEN>10</LOEN>
                                  <LOCN>17</LOCN>
                                </LnkInProps>
                              </LnkIn>
                            </Ctg>
                            <Ctg>
                              <CtgProps>
                                <R>5</R>
                              </CtgProps>
                              <LnkIn>
                                <LnkInProps>
                                  <MN>9</MN>
                                  <CLI>1,1,39,False,18</CLI>
                                  <ELN>1</ELN>
                                  <LOOT>0</LOOT>
                                  <LOMN>3</LOMN>
                                  <LOMCN>1</LOMCN>
                                  <LOSN>1</LOSN>
                                  <LOEN>10</LOEN>
                                  <LOCN>18</LOCN>
                                </LnkInProps>
                              </LnkIn>
                            </Ctg>
                            <Ctg>
                              <CtgProps>
                                <R>5</R>
                              </CtgProps>
                              <LnkIn>
                                <LnkInProps>
                                  <MN>9</MN>
                                  <CLI>1,1,39,False,19</CLI>
                                  <ELN>1</ELN>
                                  <LOOT>0</LOOT>
                                  <LOMN>3</LOMN>
                                  <LOMCN>1</LOMCN>
                                  <LOSN>1</LOSN>
                                  <LOEN>10</LOEN>
                                  <LOCN>19</LOCN>
                                </LnkInProps>
                              </LnkIn>
                            </Ctg>
                            <Ctg>
                              <CtgProps>
                                <R>5</R>
                              </CtgProps>
                              <LnkIn>
                                <LnkInProps>
                                  <MN>9</MN>
                                  <CLI>1,1,39,False,20</CLI>
                                  <ELN>1</ELN>
                                  <LOOT>0</LOOT>
                                  <LOMN>3</LOMN>
                                  <LOMCN>1</LOMCN>
                                  <LOSN>1</LOSN>
                                  <LOEN>10</LOEN>
                                  <LOCN>20</LOCN>
                                </LnkInProps>
                              </LnkIn>
                            </Ctg>
                            <Ctg>
                              <CtgProps>
                                <R>5</R>
                              </CtgProps>
                              <LnkIn>
                                <LnkInProps>
                                  <MN>9</MN>
                                  <CLI>1,1,39,False,21</CLI>
                                  <ELN>1</ELN>
                                  <LOOT>0</LOOT>
                                  <LOMN>3</LOMN>
                                  <LOMCN>1</LOMCN>
                                  <LOSN>1</LOSN>
                                  <LOEN>10</LOEN>
                                  <LOCN>21</LOCN>
                                </LnkInProps>
                              </LnkIn>
                            </Ctg>
                            <Ctg>
                              <CtgProps>
                                <R>5</R>
                              </CtgProps>
                              <LnkIn>
                                <LnkInProps>
                                  <MN>9</MN>
                                  <CLI>1,1,39,False,22</CLI>
                                  <ELN>1</ELN>
                                  <LOOT>0</LOOT>
                                  <LOMN>3</LOMN>
                                  <LOMCN>1</LOMCN>
                                  <LOSN>1</LOSN>
                                  <LOEN>10</LOEN>
                                  <LOCN>22</LOCN>
                                </LnkInProps>
                              </LnkIn>
                            </Ctg>
                            <Ctg>
                              <CtgProps>
                                <R>5</R>
                              </CtgProps>
                              <LnkIn>
                                <LnkInProps>
                                  <MN>9</MN>
                                  <CLI>1,1,39,False,23</CLI>
                                  <ELN>1</ELN>
                                  <LOOT>0</LOOT>
                                  <LOMN>3</LOMN>
                                  <LOMCN>1</LOMCN>
                                  <LOSN>1</LOSN>
                                  <LOEN>10</LOEN>
                                  <LOCN>23</LOCN>
                                </LnkInProps>
                              </LnkIn>
                            </Ctg>
                            <Ctg>
                              <CtgProps>
                                <R>5</R>
                              </CtgProps>
                              <LnkIn>
                                <LnkInProps>
                                  <MN>9</MN>
                                  <CLI>1,1,39,False,24</CLI>
                                  <ELN>1</ELN>
                                  <LOOT>0</LOOT>
                                  <LOMN>3</LOMN>
                                  <LOMCN>1</LOMCN>
                                  <LOSN>1</LOSN>
                                  <LOEN>10</LOEN>
                                  <LOCN>24</LOCN>
                                </LnkInProps>
                              </LnkIn>
                            </Ctg>
                            <Ctg>
                              <CtgProps>
                                <R>5</R>
                              </CtgProps>
                              <LnkIn>
                                <LnkInProps>
                                  <MN>9</MN>
                                  <CLI>1,1,39,False,25</CLI>
                                  <ELN>1</ELN>
                                  <LOOT>0</LOOT>
                                  <LOMN>3</LOMN>
                                  <LOMCN>1</LOMCN>
                                  <LOSN>1</LOSN>
                                  <LOEN>10</LOEN>
                                  <LOCN>25</LOCN>
                                </LnkInProps>
                              </LnkIn>
                            </Ctg>
                            <Ctg>
                              <CtgProps>
                                <R>5</R>
                              </CtgProps>
                              <LnkIn>
                                <LnkInProps>
                                  <MN>9</MN>
                                  <CLI>1,1,39,False,26</CLI>
                                  <ELN>1</ELN>
                                  <LOOT>0</LOOT>
                                  <LOMN>3</LOMN>
                                  <LOMCN>1</LOMCN>
                                  <LOSN>1</LOSN>
                                  <LOEN>10</LOEN>
                                  <LOCN>26</LOCN>
                                </LnkInProps>
                              </LnkIn>
                            </Ctg>
                            <Ctg>
                              <CtgProps>
                                <R>5</R>
                              </CtgProps>
                              <LnkIn>
                                <LnkInProps>
                                  <MN>9</MN>
                                  <CLI>1,1,39,False,27</CLI>
                                  <ELN>1</ELN>
                                  <LOOT>0</LOOT>
                                  <LOMN>3</LOMN>
                                  <LOMCN>1</LOMCN>
                                  <LOSN>1</LOSN>
                                  <LOEN>10</LOEN>
                                  <LOCN>27</LOCN>
                                </LnkInProps>
                              </LnkIn>
                            </Ctg>
                            <Ctg>
                              <CtgProps>
                                <R>5</R>
                              </CtgProps>
                              <LnkIn>
                                <LnkInProps>
                                  <MN>9</MN>
                                  <CLI>1,1,39,False,28</CLI>
                                  <ELN>1</ELN>
                                  <LOOT>0</LOOT>
                                  <LOMN>3</LOMN>
                                  <LOMCN>1</LOMCN>
                                  <LOSN>1</LOSN>
                                  <LOEN>10</LOEN>
                                  <LOCN>28</LOCN>
                                </LnkInProps>
                              </LnkIn>
                            </Ctg>
                            <Ctg>
                              <CtgProps>
                                <R>5</R>
                              </CtgProps>
                              <LnkIn>
                                <LnkInProps>
                                  <MN>9</MN>
                                  <CLI>1,1,39,False,29</CLI>
                                  <ELN>1</ELN>
                                  <LOOT>0</LOOT>
                                  <LOMN>3</LOMN>
                                  <LOMCN>1</LOMCN>
                                  <LOSN>1</LOSN>
                                  <LOEN>10</LOEN>
                                  <LOCN>29</LOCN>
                                </LnkInProps>
                              </LnkIn>
                            </Ctg>
                            <Ctg>
                              <CtgProps>
                                <R>5</R>
                              </CtgProps>
                              <LnkIn>
                                <LnkInProps>
                                  <MN>9</MN>
                                  <CLI>1,1,39,False,30</CLI>
                                  <ELN>1</ELN>
                                  <LOOT>0</LOOT>
                                  <LOMN>3</LOMN>
                                  <LOMCN>1</LOMCN>
                                  <LOSN>1</LOSN>
                                  <LOEN>10</LOEN>
                                  <LOCN>30</LOCN>
                                </LnkInProps>
                              </LnkIn>
                            </Ctg>
                            <Ctg>
                              <CtgProps>
                                <R>5</R>
                              </CtgProps>
                              <LnkIn>
                                <LnkInProps>
                                  <MN>9</MN>
                                  <CLI>1,1,39,False,31</CLI>
                                  <ELN>1</ELN>
                                  <LOOT>0</LOOT>
                                  <LOMN>3</LOMN>
                                  <LOMCN>1</LOMCN>
                                  <LOSN>1</LOSN>
                                  <LOEN>10</LOEN>
                                  <LOCN>31</LOCN>
                                </LnkInProps>
                              </LnkIn>
                            </Ctg>
                            <Ctg>
                              <CtgProps>
                                <R>5</R>
                              </CtgProps>
                              <LnkIn>
                                <LnkInProps>
                                  <MN>9</MN>
                                  <CLI>1,1,39,False,32</CLI>
                                  <ELN>1</ELN>
                                  <LOOT>0</LOOT>
                                  <LOMN>3</LOMN>
                                  <LOMCN>1</LOMCN>
                                  <LOSN>1</LOSN>
                                  <LOEN>10</LOEN>
                                  <LOCN>32</LOCN>
                                </LnkInProps>
                              </LnkIn>
                            </Ctg>
                            <Ctg>
                              <CtgProps>
                                <R>5</R>
                              </CtgProps>
                              <LnkIn>
                                <LnkInProps>
                                  <MN>9</MN>
                                  <CLI>1,1,39,False,33</CLI>
                                  <ELN>1</ELN>
                                  <LOOT>0</LOOT>
                                  <LOMN>3</LOMN>
                                  <LOMCN>1</LOMCN>
                                  <LOSN>1</LOSN>
                                  <LOEN>10</LOEN>
                                  <LOCN>33</LOCN>
                                </LnkInProps>
                              </LnkIn>
                            </Ctg>
                            <Ctg>
                              <CtgProps>
                                <R>5</R>
                              </CtgProps>
                              <LnkIn>
                                <LnkInProps>
                                  <MN>9</MN>
                                  <CLI>1,1,39,False,34</CLI>
                                  <ELN>1</ELN>
                                  <LOOT>0</LOOT>
                                  <LOMN>3</LOMN>
                                  <LOMCN>1</LOMCN>
                                  <LOSN>1</LOSN>
                                  <LOEN>10</LOEN>
                                  <LOCN>34</LOCN>
                                </LnkInProps>
                              </LnkIn>
                            </Ctg>
                            <Ctg>
                              <CtgProps>
                                <R>5</R>
                              </CtgProps>
                              <LnkIn>
                                <LnkInProps>
                                  <MN>9</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9</MN>
                                  <CLI>1,1,42,False,1</CLI>
                                  <ELN>1</ELN>
                                  <LOOT>0</LOOT>
                                  <LOMN>3</LOMN>
                                  <LOMCN>1</LOMCN>
                                  <LOSN>1</LOSN>
                                  <LOEN>15</LOEN>
                                  <LOCN>1</LOCN>
                                </LnkInProps>
                              </LnkIn>
                            </Ctg>
                            <Ctg>
                              <CtgProps>
                                <R>4</R>
                              </CtgProps>
                              <LnkIn>
                                <LnkInProps>
                                  <MN>9</MN>
                                  <CLI>1,1,42,False,2</CLI>
                                  <ELN>1</ELN>
                                  <LOOT>0</LOOT>
                                  <LOMN>3</LOMN>
                                  <LOMCN>1</LOMCN>
                                  <LOSN>1</LOSN>
                                  <LOEN>15</LOEN>
                                  <LOCN>2</LOCN>
                                </LnkInProps>
                              </LnkIn>
                            </Ctg>
                            <Ctg>
                              <CtgProps>
                                <R>4</R>
                              </CtgProps>
                              <LnkIn>
                                <LnkInProps>
                                  <MN>9</MN>
                                  <CLI>1,1,42,False,3</CLI>
                                  <ELN>1</ELN>
                                  <LOOT>0</LOOT>
                                  <LOMN>3</LOMN>
                                  <LOMCN>1</LOMCN>
                                  <LOSN>1</LOSN>
                                  <LOEN>15</LOEN>
                                  <LOCN>3</LOCN>
                                </LnkInProps>
                              </LnkIn>
                            </Ctg>
                            <Ctg>
                              <CtgProps>
                                <R>4</R>
                              </CtgProps>
                              <LnkIn>
                                <LnkInProps>
                                  <MN>9</MN>
                                  <CLI>1,1,42,False,4</CLI>
                                  <ELN>1</ELN>
                                  <LOOT>0</LOOT>
                                  <LOMN>3</LOMN>
                                  <LOMCN>1</LOMCN>
                                  <LOSN>1</LOSN>
                                  <LOEN>15</LOEN>
                                  <LOCN>4</LOCN>
                                </LnkInProps>
                              </LnkIn>
                            </Ctg>
                            <Ctg>
                              <CtgProps>
                                <R>5</R>
                              </CtgProps>
                              <LnkIn>
                                <LnkInProps>
                                  <MN>9</MN>
                                  <CLI>1,1,42,False,5</CLI>
                                  <ELN>1</ELN>
                                  <LOOT>0</LOOT>
                                  <LOMN>3</LOMN>
                                  <LOMCN>1</LOMCN>
                                  <LOSN>1</LOSN>
                                  <LOEN>15</LOEN>
                                  <LOCN>5</LOCN>
                                </LnkInProps>
                              </LnkIn>
                            </Ctg>
                            <Ctg>
                              <CtgProps>
                                <R>5</R>
                              </CtgProps>
                              <LnkIn>
                                <LnkInProps>
                                  <MN>9</MN>
                                  <CLI>1,1,42,False,6</CLI>
                                  <ELN>1</ELN>
                                  <LOOT>0</LOOT>
                                  <LOMN>3</LOMN>
                                  <LOMCN>1</LOMCN>
                                  <LOSN>1</LOSN>
                                  <LOEN>15</LOEN>
                                  <LOCN>6</LOCN>
                                </LnkInProps>
                              </LnkIn>
                            </Ctg>
                            <Ctg>
                              <CtgProps>
                                <R>5</R>
                              </CtgProps>
                              <LnkIn>
                                <LnkInProps>
                                  <MN>9</MN>
                                  <CLI>1,1,42,False,7</CLI>
                                  <ELN>1</ELN>
                                  <LOOT>0</LOOT>
                                  <LOMN>3</LOMN>
                                  <LOMCN>1</LOMCN>
                                  <LOSN>1</LOSN>
                                  <LOEN>15</LOEN>
                                  <LOCN>7</LOCN>
                                </LnkInProps>
                              </LnkIn>
                            </Ctg>
                            <Ctg>
                              <CtgProps>
                                <R>5</R>
                              </CtgProps>
                              <LnkIn>
                                <LnkInProps>
                                  <MN>9</MN>
                                  <CLI>1,1,42,False,8</CLI>
                                  <ELN>1</ELN>
                                  <LOOT>0</LOOT>
                                  <LOMN>3</LOMN>
                                  <LOMCN>1</LOMCN>
                                  <LOSN>1</LOSN>
                                  <LOEN>15</LOEN>
                                  <LOCN>8</LOCN>
                                </LnkInProps>
                              </LnkIn>
                            </Ctg>
                            <Ctg>
                              <CtgProps>
                                <R>5</R>
                              </CtgProps>
                              <LnkIn>
                                <LnkInProps>
                                  <MN>9</MN>
                                  <CLI>1,1,42,False,9</CLI>
                                  <ELN>1</ELN>
                                  <LOOT>0</LOOT>
                                  <LOMN>3</LOMN>
                                  <LOMCN>1</LOMCN>
                                  <LOSN>1</LOSN>
                                  <LOEN>15</LOEN>
                                  <LOCN>9</LOCN>
                                </LnkInProps>
                              </LnkIn>
                            </Ctg>
                            <Ctg>
                              <CtgProps>
                                <R>5</R>
                              </CtgProps>
                              <LnkIn>
                                <LnkInProps>
                                  <MN>9</MN>
                                  <CLI>1,1,42,False,10</CLI>
                                  <ELN>1</ELN>
                                  <LOOT>0</LOOT>
                                  <LOMN>3</LOMN>
                                  <LOMCN>1</LOMCN>
                                  <LOSN>1</LOSN>
                                  <LOEN>15</LOEN>
                                  <LOCN>10</LOCN>
                                </LnkInProps>
                              </LnkIn>
                            </Ctg>
                            <Ctg>
                              <CtgProps>
                                <R>5</R>
                              </CtgProps>
                              <LnkIn>
                                <LnkInProps>
                                  <MN>9</MN>
                                  <CLI>1,1,42,False,11</CLI>
                                  <ELN>1</ELN>
                                  <LOOT>0</LOOT>
                                  <LOMN>3</LOMN>
                                  <LOMCN>1</LOMCN>
                                  <LOSN>1</LOSN>
                                  <LOEN>15</LOEN>
                                  <LOCN>11</LOCN>
                                </LnkInProps>
                              </LnkIn>
                            </Ctg>
                            <Ctg>
                              <CtgProps>
                                <R>5</R>
                              </CtgProps>
                              <LnkIn>
                                <LnkInProps>
                                  <MN>9</MN>
                                  <CLI>1,1,42,False,12</CLI>
                                  <ELN>1</ELN>
                                  <LOOT>0</LOOT>
                                  <LOMN>3</LOMN>
                                  <LOMCN>1</LOMCN>
                                  <LOSN>1</LOSN>
                                  <LOEN>15</LOEN>
                                  <LOCN>12</LOCN>
                                </LnkInProps>
                              </LnkIn>
                            </Ctg>
                            <Ctg>
                              <CtgProps>
                                <R>5</R>
                              </CtgProps>
                              <LnkIn>
                                <LnkInProps>
                                  <MN>9</MN>
                                  <CLI>1,1,42,False,13</CLI>
                                  <ELN>1</ELN>
                                  <LOOT>0</LOOT>
                                  <LOMN>3</LOMN>
                                  <LOMCN>1</LOMCN>
                                  <LOSN>1</LOSN>
                                  <LOEN>15</LOEN>
                                  <LOCN>13</LOCN>
                                </LnkInProps>
                              </LnkIn>
                            </Ctg>
                            <Ctg>
                              <CtgProps>
                                <R>5</R>
                              </CtgProps>
                              <LnkIn>
                                <LnkInProps>
                                  <MN>9</MN>
                                  <CLI>1,1,42,False,14</CLI>
                                  <ELN>1</ELN>
                                  <LOOT>0</LOOT>
                                  <LOMN>3</LOMN>
                                  <LOMCN>1</LOMCN>
                                  <LOSN>1</LOSN>
                                  <LOEN>15</LOEN>
                                  <LOCN>14</LOCN>
                                </LnkInProps>
                              </LnkIn>
                            </Ctg>
                            <Ctg>
                              <CtgProps>
                                <R>5</R>
                              </CtgProps>
                              <LnkIn>
                                <LnkInProps>
                                  <MN>9</MN>
                                  <CLI>1,1,42,False,15</CLI>
                                  <ELN>1</ELN>
                                  <LOOT>0</LOOT>
                                  <LOMN>3</LOMN>
                                  <LOMCN>1</LOMCN>
                                  <LOSN>1</LOSN>
                                  <LOEN>15</LOEN>
                                  <LOCN>15</LOCN>
                                </LnkInProps>
                              </LnkIn>
                            </Ctg>
                            <Ctg>
                              <CtgProps>
                                <R>5</R>
                              </CtgProps>
                              <LnkIn>
                                <LnkInProps>
                                  <MN>9</MN>
                                  <CLI>1,1,42,False,16</CLI>
                                  <ELN>1</ELN>
                                  <LOOT>0</LOOT>
                                  <LOMN>3</LOMN>
                                  <LOMCN>1</LOMCN>
                                  <LOSN>1</LOSN>
                                  <LOEN>15</LOEN>
                                  <LOCN>16</LOCN>
                                </LnkInProps>
                              </LnkIn>
                            </Ctg>
                            <Ctg>
                              <CtgProps>
                                <R>4</R>
                              </CtgProps>
                              <LnkIn>
                                <LnkInProps>
                                  <MN>9</MN>
                                  <CLI>1,1,42,False,17</CLI>
                                  <ELN>1</ELN>
                                  <LOOT>0</LOOT>
                                  <LOMN>3</LOMN>
                                  <LOMCN>1</LOMCN>
                                  <LOSN>1</LOSN>
                                  <LOEN>15</LOEN>
                                  <LOCN>17</LOCN>
                                </LnkInProps>
                              </LnkIn>
                            </Ctg>
                            <Ctg>
                              <CtgProps>
                                <R>4</R>
                              </CtgProps>
                              <LnkIn>
                                <LnkInProps>
                                  <MN>9</MN>
                                  <CLI>1,1,42,False,18</CLI>
                                  <ELN>1</ELN>
                                  <LOOT>0</LOOT>
                                  <LOMN>3</LOMN>
                                  <LOMCN>1</LOMCN>
                                  <LOSN>1</LOSN>
                                  <LOEN>15</LOEN>
                                  <LOCN>18</LOCN>
                                </LnkInProps>
                              </LnkIn>
                            </Ctg>
                            <Ctg>
                              <CtgProps>
                                <R>4</R>
                              </CtgProps>
                              <LnkIn>
                                <LnkInProps>
                                  <MN>9</MN>
                                  <CLI>1,1,42,False,19</CLI>
                                  <ELN>1</ELN>
                                  <LOOT>0</LOOT>
                                  <LOMN>3</LOMN>
                                  <LOMCN>1</LOMCN>
                                  <LOSN>1</LOSN>
                                  <LOEN>15</LOEN>
                                  <LOCN>19</LOCN>
                                </LnkInProps>
                              </LnkIn>
                            </Ctg>
                            <Ctg>
                              <CtgProps>
                                <R>4</R>
                              </CtgProps>
                              <LnkIn>
                                <LnkInProps>
                                  <MN>9</MN>
                                  <CLI>1,1,42,False,20</CLI>
                                  <ELN>1</ELN>
                                  <LOOT>0</LOOT>
                                  <LOMN>3</LOMN>
                                  <LOMCN>1</LOMCN>
                                  <LOSN>1</LOSN>
                                  <LOEN>15</LOEN>
                                  <LOCN>20</LOCN>
                                </LnkInProps>
                              </LnkIn>
                            </Ctg>
                            <Ctg>
                              <CtgProps>
                                <R>4</R>
                              </CtgProps>
                              <LnkIn>
                                <LnkInProps>
                                  <MN>9</MN>
                                  <CLI>1,1,42,False,21</CLI>
                                  <ELN>1</ELN>
                                  <LOOT>0</LOOT>
                                  <LOMN>3</LOMN>
                                  <LOMCN>1</LOMCN>
                                  <LOSN>1</LOSN>
                                  <LOEN>15</LOEN>
                                  <LOCN>21</LOCN>
                                </LnkInProps>
                              </LnkIn>
                            </Ctg>
                            <Ctg>
                              <CtgProps>
                                <R>4</R>
                              </CtgProps>
                              <LnkIn>
                                <LnkInProps>
                                  <MN>9</MN>
                                  <CLI>1,1,42,False,22</CLI>
                                  <ELN>1</ELN>
                                  <LOOT>0</LOOT>
                                  <LOMN>3</LOMN>
                                  <LOMCN>1</LOMCN>
                                  <LOSN>1</LOSN>
                                  <LOEN>15</LOEN>
                                  <LOCN>22</LOCN>
                                </LnkInProps>
                              </LnkIn>
                            </Ctg>
                            <Ctg>
                              <CtgProps>
                                <R>5</R>
                              </CtgProps>
                              <LnkIn>
                                <LnkInProps>
                                  <MN>9</MN>
                                  <CLI>1,1,42,False,23</CLI>
                                  <ELN>1</ELN>
                                  <LOOT>0</LOOT>
                                  <LOMN>3</LOMN>
                                  <LOMCN>1</LOMCN>
                                  <LOSN>1</LOSN>
                                  <LOEN>15</LOEN>
                                  <LOCN>23</LOCN>
                                </LnkInProps>
                              </LnkIn>
                            </Ctg>
                            <Ctg>
                              <CtgProps>
                                <R>5</R>
                              </CtgProps>
                              <LnkIn>
                                <LnkInProps>
                                  <MN>9</MN>
                                  <CLI>1,1,42,False,24</CLI>
                                  <ELN>1</ELN>
                                  <LOOT>0</LOOT>
                                  <LOMN>3</LOMN>
                                  <LOMCN>1</LOMCN>
                                  <LOSN>1</LOSN>
                                  <LOEN>15</LOEN>
                                  <LOCN>24</LOCN>
                                </LnkInProps>
                              </LnkIn>
                            </Ctg>
                            <Ctg>
                              <CtgProps>
                                <R>5</R>
                              </CtgProps>
                              <LnkIn>
                                <LnkInProps>
                                  <MN>9</MN>
                                  <CLI>1,1,42,False,25</CLI>
                                  <ELN>1</ELN>
                                  <LOOT>0</LOOT>
                                  <LOMN>3</LOMN>
                                  <LOMCN>1</LOMCN>
                                  <LOSN>1</LOSN>
                                  <LOEN>15</LOEN>
                                  <LOCN>25</LOCN>
                                </LnkInProps>
                              </LnkIn>
                            </Ctg>
                            <Ctg>
                              <CtgProps>
                                <R>5</R>
                              </CtgProps>
                              <LnkIn>
                                <LnkInProps>
                                  <MN>9</MN>
                                  <CLI>1,1,42,False,26</CLI>
                                  <ELN>1</ELN>
                                  <LOOT>0</LOOT>
                                  <LOMN>3</LOMN>
                                  <LOMCN>1</LOMCN>
                                  <LOSN>1</LOSN>
                                  <LOEN>15</LOEN>
                                  <LOCN>26</LOCN>
                                </LnkInProps>
                              </LnkIn>
                            </Ctg>
                            <Ctg>
                              <CtgProps>
                                <R>5</R>
                              </CtgProps>
                              <LnkIn>
                                <LnkInProps>
                                  <MN>9</MN>
                                  <CLI>1,1,42,False,27</CLI>
                                  <ELN>1</ELN>
                                  <LOOT>0</LOOT>
                                  <LOMN>3</LOMN>
                                  <LOMCN>1</LOMCN>
                                  <LOSN>1</LOSN>
                                  <LOEN>15</LOEN>
                                  <LOCN>27</LOCN>
                                </LnkInProps>
                              </LnkIn>
                            </Ctg>
                            <Ctg>
                              <CtgProps>
                                <R>5</R>
                              </CtgProps>
                              <LnkIn>
                                <LnkInProps>
                                  <MN>9</MN>
                                  <CLI>1,1,42,False,28</CLI>
                                  <ELN>1</ELN>
                                  <LOOT>0</LOOT>
                                  <LOMN>3</LOMN>
                                  <LOMCN>1</LOMCN>
                                  <LOSN>1</LOSN>
                                  <LOEN>15</LOEN>
                                  <LOCN>28</LOCN>
                                </LnkInProps>
                              </LnkIn>
                            </Ctg>
                            <Ctg>
                              <CtgProps>
                                <R>5</R>
                              </CtgProps>
                              <LnkIn>
                                <LnkInProps>
                                  <MN>9</MN>
                                  <CLI>1,1,42,False,29</CLI>
                                  <ELN>1</ELN>
                                  <LOOT>0</LOOT>
                                  <LOMN>3</LOMN>
                                  <LOMCN>1</LOMCN>
                                  <LOSN>1</LOSN>
                                  <LOEN>15</LOEN>
                                  <LOCN>29</LOCN>
                                </LnkInProps>
                              </LnkIn>
                            </Ctg>
                            <Ctg>
                              <CtgProps>
                                <R>5</R>
                              </CtgProps>
                              <LnkIn>
                                <LnkInProps>
                                  <MN>9</MN>
                                  <CLI>1,1,42,False,30</CLI>
                                  <ELN>1</ELN>
                                  <LOOT>0</LOOT>
                                  <LOMN>3</LOMN>
                                  <LOMCN>1</LOMCN>
                                  <LOSN>1</LOSN>
                                  <LOEN>15</LOEN>
                                  <LOCN>30</LOCN>
                                </LnkInProps>
                              </LnkIn>
                            </Ctg>
                            <Ctg>
                              <CtgProps>
                                <R>4</R>
                              </CtgProps>
                              <LnkIn>
                                <LnkInProps>
                                  <MN>9</MN>
                                  <CLI>1,1,42,False,31</CLI>
                                  <ELN>1</ELN>
                                  <LOOT>0</LOOT>
                                  <LOMN>3</LOMN>
                                  <LOMCN>1</LOMCN>
                                  <LOSN>1</LOSN>
                                  <LOEN>15</LOEN>
                                  <LOCN>31</LOCN>
                                </LnkInProps>
                              </LnkIn>
                            </Ctg>
                            <Ctg>
                              <CtgProps>
                                <R>4</R>
                              </CtgProps>
                              <LnkIn>
                                <LnkInProps>
                                  <MN>9</MN>
                                  <CLI>1,1,42,False,32</CLI>
                                  <ELN>1</ELN>
                                  <LOOT>0</LOOT>
                                  <LOMN>3</LOMN>
                                  <LOMCN>1</LOMCN>
                                  <LOSN>1</LOSN>
                                  <LOEN>15</LOEN>
                                  <LOCN>32</LOCN>
                                </LnkInProps>
                              </LnkIn>
                            </Ctg>
                            <Ctg>
                              <CtgProps>
                                <R>4</R>
                              </CtgProps>
                              <LnkIn>
                                <LnkInProps>
                                  <MN>9</MN>
                                  <CLI>1,1,42,False,33</CLI>
                                  <ELN>1</ELN>
                                  <LOOT>0</LOOT>
                                  <LOMN>3</LOMN>
                                  <LOMCN>1</LOMCN>
                                  <LOSN>1</LOSN>
                                  <LOEN>15</LOEN>
                                  <LOCN>33</LOCN>
                                </LnkInProps>
                              </LnkIn>
                            </Ctg>
                            <Ctg>
                              <CtgProps>
                                <R>4</R>
                              </CtgProps>
                              <LnkIn>
                                <LnkInProps>
                                  <MN>9</MN>
                                  <CLI>1,1,42,False,34</CLI>
                                  <ELN>1</ELN>
                                  <LOOT>0</LOOT>
                                  <LOMN>3</LOMN>
                                  <LOMCN>1</LOMCN>
                                  <LOSN>1</LOSN>
                                  <LOEN>15</LOEN>
                                  <LOCN>34</LOCN>
                                </LnkInProps>
                              </LnkIn>
                            </Ctg>
                            <Ctg>
                              <CtgProps>
                                <R>4</R>
                              </CtgProps>
                              <LnkIn>
                                <LnkInProps>
                                  <MN>9</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9</MN>
                                  <CLI>1,1,46,False,1</CLI>
                                  <ELN>1</ELN>
                                  <LOOT>0</LOOT>
                                  <LOMN>3</LOMN>
                                  <LOMCN>1</LOMCN>
                                  <LOSN>1</LOSN>
                                  <LOEN>19</LOEN>
                                  <LOCN>1</LOCN>
                                </LnkInProps>
                              </LnkIn>
                            </Ctg>
                            <Ctg>
                              <CtgProps>
                                <R>4</R>
                              </CtgProps>
                              <LnkIn>
                                <LnkInProps>
                                  <MN>9</MN>
                                  <CLI>1,1,46,False,2</CLI>
                                  <ELN>1</ELN>
                                  <LOOT>0</LOOT>
                                  <LOMN>3</LOMN>
                                  <LOMCN>1</LOMCN>
                                  <LOSN>1</LOSN>
                                  <LOEN>19</LOEN>
                                  <LOCN>2</LOCN>
                                </LnkInProps>
                              </LnkIn>
                            </Ctg>
                            <Ctg>
                              <CtgProps>
                                <R>4</R>
                              </CtgProps>
                              <LnkIn>
                                <LnkInProps>
                                  <MN>9</MN>
                                  <CLI>1,1,46,False,3</CLI>
                                  <ELN>1</ELN>
                                  <LOOT>0</LOOT>
                                  <LOMN>3</LOMN>
                                  <LOMCN>1</LOMCN>
                                  <LOSN>1</LOSN>
                                  <LOEN>19</LOEN>
                                  <LOCN>3</LOCN>
                                </LnkInProps>
                              </LnkIn>
                            </Ctg>
                            <Ctg>
                              <CtgProps>
                                <R>4</R>
                              </CtgProps>
                              <LnkIn>
                                <LnkInProps>
                                  <MN>9</MN>
                                  <CLI>1,1,46,False,4</CLI>
                                  <ELN>1</ELN>
                                  <LOOT>0</LOOT>
                                  <LOMN>3</LOMN>
                                  <LOMCN>1</LOMCN>
                                  <LOSN>1</LOSN>
                                  <LOEN>19</LOEN>
                                  <LOCN>4</LOCN>
                                </LnkInProps>
                              </LnkIn>
                            </Ctg>
                            <Ctg>
                              <CtgProps>
                                <R>4</R>
                              </CtgProps>
                              <LnkIn>
                                <LnkInProps>
                                  <MN>9</MN>
                                  <CLI>1,1,46,False,5</CLI>
                                  <ELN>1</ELN>
                                  <LOOT>0</LOOT>
                                  <LOMN>3</LOMN>
                                  <LOMCN>1</LOMCN>
                                  <LOSN>1</LOSN>
                                  <LOEN>19</LOEN>
                                  <LOCN>5</LOCN>
                                </LnkInProps>
                              </LnkIn>
                            </Ctg>
                            <Ctg>
                              <CtgProps>
                                <R>4</R>
                              </CtgProps>
                              <LnkIn>
                                <LnkInProps>
                                  <MN>9</MN>
                                  <CLI>1,1,46,False,6</CLI>
                                  <ELN>1</ELN>
                                  <LOOT>0</LOOT>
                                  <LOMN>3</LOMN>
                                  <LOMCN>1</LOMCN>
                                  <LOSN>1</LOSN>
                                  <LOEN>19</LOEN>
                                  <LOCN>6</LOCN>
                                </LnkInProps>
                              </LnkIn>
                            </Ctg>
                            <Ctg>
                              <CtgProps>
                                <R>4</R>
                              </CtgProps>
                              <LnkIn>
                                <LnkInProps>
                                  <MN>9</MN>
                                  <CLI>1,1,46,False,7</CLI>
                                  <ELN>1</ELN>
                                  <LOOT>0</LOOT>
                                  <LOMN>3</LOMN>
                                  <LOMCN>1</LOMCN>
                                  <LOSN>1</LOSN>
                                  <LOEN>19</LOEN>
                                  <LOCN>7</LOCN>
                                </LnkInProps>
                              </LnkIn>
                            </Ctg>
                            <Ctg>
                              <CtgProps>
                                <R>4</R>
                              </CtgProps>
                              <LnkIn>
                                <LnkInProps>
                                  <MN>9</MN>
                                  <CLI>1,1,46,False,8</CLI>
                                  <ELN>1</ELN>
                                  <LOOT>0</LOOT>
                                  <LOMN>3</LOMN>
                                  <LOMCN>1</LOMCN>
                                  <LOSN>1</LOSN>
                                  <LOEN>19</LOEN>
                                  <LOCN>8</LOCN>
                                </LnkInProps>
                              </LnkIn>
                            </Ctg>
                            <Ctg>
                              <CtgProps>
                                <R>4</R>
                              </CtgProps>
                              <LnkIn>
                                <LnkInProps>
                                  <MN>9</MN>
                                  <CLI>1,1,46,False,9</CLI>
                                  <ELN>1</ELN>
                                  <LOOT>0</LOOT>
                                  <LOMN>3</LOMN>
                                  <LOMCN>1</LOMCN>
                                  <LOSN>1</LOSN>
                                  <LOEN>19</LOEN>
                                  <LOCN>9</LOCN>
                                </LnkInProps>
                              </LnkIn>
                            </Ctg>
                            <Ctg>
                              <CtgProps>
                                <R>4</R>
                              </CtgProps>
                              <LnkIn>
                                <LnkInProps>
                                  <MN>9</MN>
                                  <CLI>1,1,46,False,10</CLI>
                                  <ELN>1</ELN>
                                  <LOOT>0</LOOT>
                                  <LOMN>3</LOMN>
                                  <LOMCN>1</LOMCN>
                                  <LOSN>1</LOSN>
                                  <LOEN>19</LOEN>
                                  <LOCN>10</LOCN>
                                </LnkInProps>
                              </LnkIn>
                            </Ctg>
                            <Ctg>
                              <CtgProps>
                                <R>4</R>
                              </CtgProps>
                              <LnkIn>
                                <LnkInProps>
                                  <MN>9</MN>
                                  <CLI>1,1,46,False,11</CLI>
                                  <ELN>1</ELN>
                                  <LOOT>0</LOOT>
                                  <LOMN>3</LOMN>
                                  <LOMCN>1</LOMCN>
                                  <LOSN>1</LOSN>
                                  <LOEN>19</LOEN>
                                  <LOCN>11</LOCN>
                                </LnkInProps>
                              </LnkIn>
                            </Ctg>
                            <Ctg>
                              <CtgProps>
                                <R>4</R>
                              </CtgProps>
                              <LnkIn>
                                <LnkInProps>
                                  <MN>9</MN>
                                  <CLI>1,1,46,False,12</CLI>
                                  <ELN>1</ELN>
                                  <LOOT>0</LOOT>
                                  <LOMN>3</LOMN>
                                  <LOMCN>1</LOMCN>
                                  <LOSN>1</LOSN>
                                  <LOEN>19</LOEN>
                                  <LOCN>12</LOCN>
                                </LnkInProps>
                              </LnkIn>
                            </Ctg>
                            <Ctg>
                              <CtgProps>
                                <R>4</R>
                              </CtgProps>
                              <LnkIn>
                                <LnkInProps>
                                  <MN>9</MN>
                                  <CLI>1,1,46,False,13</CLI>
                                  <ELN>1</ELN>
                                  <LOOT>0</LOOT>
                                  <LOMN>3</LOMN>
                                  <LOMCN>1</LOMCN>
                                  <LOSN>1</LOSN>
                                  <LOEN>19</LOEN>
                                  <LOCN>13</LOCN>
                                </LnkInProps>
                              </LnkIn>
                            </Ctg>
                            <Ctg>
                              <CtgProps>
                                <R>4</R>
                              </CtgProps>
                              <LnkIn>
                                <LnkInProps>
                                  <MN>9</MN>
                                  <CLI>1,1,46,False,14</CLI>
                                  <ELN>1</ELN>
                                  <LOOT>0</LOOT>
                                  <LOMN>3</LOMN>
                                  <LOMCN>1</LOMCN>
                                  <LOSN>1</LOSN>
                                  <LOEN>19</LOEN>
                                  <LOCN>14</LOCN>
                                </LnkInProps>
                              </LnkIn>
                            </Ctg>
                            <Ctg>
                              <CtgProps>
                                <R>4</R>
                              </CtgProps>
                              <LnkIn>
                                <LnkInProps>
                                  <MN>9</MN>
                                  <CLI>1,1,46,False,15</CLI>
                                  <ELN>1</ELN>
                                  <LOOT>0</LOOT>
                                  <LOMN>3</LOMN>
                                  <LOMCN>1</LOMCN>
                                  <LOSN>1</LOSN>
                                  <LOEN>19</LOEN>
                                  <LOCN>15</LOCN>
                                </LnkInProps>
                              </LnkIn>
                            </Ctg>
                            <Ctg>
                              <CtgProps>
                                <R>5</R>
                              </CtgProps>
                              <LnkIn>
                                <LnkInProps>
                                  <MN>9</MN>
                                  <CLI>1,1,46,False,16</CLI>
                                  <ELN>1</ELN>
                                  <LOOT>0</LOOT>
                                  <LOMN>3</LOMN>
                                  <LOMCN>1</LOMCN>
                                  <LOSN>1</LOSN>
                                  <LOEN>19</LOEN>
                                  <LOCN>16</LOCN>
                                </LnkInProps>
                              </LnkIn>
                            </Ctg>
                            <Ctg>
                              <CtgProps>
                                <R>5</R>
                              </CtgProps>
                              <LnkIn>
                                <LnkInProps>
                                  <MN>9</MN>
                                  <CLI>1,1,46,False,17</CLI>
                                  <ELN>1</ELN>
                                  <LOOT>0</LOOT>
                                  <LOMN>3</LOMN>
                                  <LOMCN>1</LOMCN>
                                  <LOSN>1</LOSN>
                                  <LOEN>19</LOEN>
                                  <LOCN>17</LOCN>
                                </LnkInProps>
                              </LnkIn>
                            </Ctg>
                            <Ctg>
                              <CtgProps>
                                <R>5</R>
                              </CtgProps>
                              <LnkIn>
                                <LnkInProps>
                                  <MN>9</MN>
                                  <CLI>1,1,46,False,18</CLI>
                                  <ELN>1</ELN>
                                  <LOOT>0</LOOT>
                                  <LOMN>3</LOMN>
                                  <LOMCN>1</LOMCN>
                                  <LOSN>1</LOSN>
                                  <LOEN>19</LOEN>
                                  <LOCN>18</LOCN>
                                </LnkInProps>
                              </LnkIn>
                            </Ctg>
                            <Ctg>
                              <CtgProps>
                                <R>5</R>
                              </CtgProps>
                              <LnkIn>
                                <LnkInProps>
                                  <MN>9</MN>
                                  <CLI>1,1,46,False,19</CLI>
                                  <ELN>1</ELN>
                                  <LOOT>0</LOOT>
                                  <LOMN>3</LOMN>
                                  <LOMCN>1</LOMCN>
                                  <LOSN>1</LOSN>
                                  <LOEN>19</LOEN>
                                  <LOCN>19</LOCN>
                                </LnkInProps>
                              </LnkIn>
                            </Ctg>
                            <Ctg>
                              <CtgProps>
                                <R>5</R>
                              </CtgProps>
                              <LnkIn>
                                <LnkInProps>
                                  <MN>9</MN>
                                  <CLI>1,1,46,False,20</CLI>
                                  <ELN>1</ELN>
                                  <LOOT>0</LOOT>
                                  <LOMN>3</LOMN>
                                  <LOMCN>1</LOMCN>
                                  <LOSN>1</LOSN>
                                  <LOEN>19</LOEN>
                                  <LOCN>20</LOCN>
                                </LnkInProps>
                              </LnkIn>
                            </Ctg>
                            <Ctg>
                              <CtgProps>
                                <R>5</R>
                              </CtgProps>
                              <LnkIn>
                                <LnkInProps>
                                  <MN>9</MN>
                                  <CLI>1,1,46,False,21</CLI>
                                  <ELN>1</ELN>
                                  <LOOT>0</LOOT>
                                  <LOMN>3</LOMN>
                                  <LOMCN>1</LOMCN>
                                  <LOSN>1</LOSN>
                                  <LOEN>19</LOEN>
                                  <LOCN>21</LOCN>
                                </LnkInProps>
                              </LnkIn>
                            </Ctg>
                            <Ctg>
                              <CtgProps>
                                <R>5</R>
                              </CtgProps>
                              <LnkIn>
                                <LnkInProps>
                                  <MN>9</MN>
                                  <CLI>1,1,46,False,22</CLI>
                                  <ELN>1</ELN>
                                  <LOOT>0</LOOT>
                                  <LOMN>3</LOMN>
                                  <LOMCN>1</LOMCN>
                                  <LOSN>1</LOSN>
                                  <LOEN>19</LOEN>
                                  <LOCN>22</LOCN>
                                </LnkInProps>
                              </LnkIn>
                            </Ctg>
                            <Ctg>
                              <CtgProps>
                                <R>5</R>
                              </CtgProps>
                              <LnkIn>
                                <LnkInProps>
                                  <MN>9</MN>
                                  <CLI>1,1,46,False,23</CLI>
                                  <ELN>1</ELN>
                                  <LOOT>0</LOOT>
                                  <LOMN>3</LOMN>
                                  <LOMCN>1</LOMCN>
                                  <LOSN>1</LOSN>
                                  <LOEN>19</LOEN>
                                  <LOCN>23</LOCN>
                                </LnkInProps>
                              </LnkIn>
                            </Ctg>
                            <Ctg>
                              <CtgProps>
                                <R>5</R>
                              </CtgProps>
                              <LnkIn>
                                <LnkInProps>
                                  <MN>9</MN>
                                  <CLI>1,1,46,False,24</CLI>
                                  <ELN>1</ELN>
                                  <LOOT>0</LOOT>
                                  <LOMN>3</LOMN>
                                  <LOMCN>1</LOMCN>
                                  <LOSN>1</LOSN>
                                  <LOEN>19</LOEN>
                                  <LOCN>24</LOCN>
                                </LnkInProps>
                              </LnkIn>
                            </Ctg>
                            <Ctg>
                              <CtgProps>
                                <R>5</R>
                              </CtgProps>
                              <LnkIn>
                                <LnkInProps>
                                  <MN>9</MN>
                                  <CLI>1,1,46,False,25</CLI>
                                  <ELN>1</ELN>
                                  <LOOT>0</LOOT>
                                  <LOMN>3</LOMN>
                                  <LOMCN>1</LOMCN>
                                  <LOSN>1</LOSN>
                                  <LOEN>19</LOEN>
                                  <LOCN>25</LOCN>
                                </LnkInProps>
                              </LnkIn>
                            </Ctg>
                            <Ctg>
                              <CtgProps>
                                <R>5</R>
                              </CtgProps>
                              <LnkIn>
                                <LnkInProps>
                                  <MN>9</MN>
                                  <CLI>1,1,46,False,26</CLI>
                                  <ELN>1</ELN>
                                  <LOOT>0</LOOT>
                                  <LOMN>3</LOMN>
                                  <LOMCN>1</LOMCN>
                                  <LOSN>1</LOSN>
                                  <LOEN>19</LOEN>
                                  <LOCN>26</LOCN>
                                </LnkInProps>
                              </LnkIn>
                            </Ctg>
                            <Ctg>
                              <CtgProps>
                                <R>5</R>
                              </CtgProps>
                              <LnkIn>
                                <LnkInProps>
                                  <MN>9</MN>
                                  <CLI>1,1,46,False,27</CLI>
                                  <ELN>1</ELN>
                                  <LOOT>0</LOOT>
                                  <LOMN>3</LOMN>
                                  <LOMCN>1</LOMCN>
                                  <LOSN>1</LOSN>
                                  <LOEN>19</LOEN>
                                  <LOCN>27</LOCN>
                                </LnkInProps>
                              </LnkIn>
                            </Ctg>
                            <Ctg>
                              <CtgProps>
                                <R>5</R>
                              </CtgProps>
                              <LnkIn>
                                <LnkInProps>
                                  <MN>9</MN>
                                  <CLI>1,1,46,False,28</CLI>
                                  <ELN>1</ELN>
                                  <LOOT>0</LOOT>
                                  <LOMN>3</LOMN>
                                  <LOMCN>1</LOMCN>
                                  <LOSN>1</LOSN>
                                  <LOEN>19</LOEN>
                                  <LOCN>28</LOCN>
                                </LnkInProps>
                              </LnkIn>
                            </Ctg>
                            <Ctg>
                              <CtgProps>
                                <R>5</R>
                              </CtgProps>
                              <LnkIn>
                                <LnkInProps>
                                  <MN>9</MN>
                                  <CLI>1,1,46,False,29</CLI>
                                  <ELN>1</ELN>
                                  <LOOT>0</LOOT>
                                  <LOMN>3</LOMN>
                                  <LOMCN>1</LOMCN>
                                  <LOSN>1</LOSN>
                                  <LOEN>19</LOEN>
                                  <LOCN>29</LOCN>
                                </LnkInProps>
                              </LnkIn>
                            </Ctg>
                            <Ctg>
                              <CtgProps>
                                <R>5</R>
                              </CtgProps>
                              <LnkIn>
                                <LnkInProps>
                                  <MN>9</MN>
                                  <CLI>1,1,46,False,30</CLI>
                                  <ELN>1</ELN>
                                  <LOOT>0</LOOT>
                                  <LOMN>3</LOMN>
                                  <LOMCN>1</LOMCN>
                                  <LOSN>1</LOSN>
                                  <LOEN>19</LOEN>
                                  <LOCN>30</LOCN>
                                </LnkInProps>
                              </LnkIn>
                            </Ctg>
                            <Ctg>
                              <CtgProps>
                                <R>5</R>
                              </CtgProps>
                              <LnkIn>
                                <LnkInProps>
                                  <MN>9</MN>
                                  <CLI>1,1,46,False,31</CLI>
                                  <ELN>1</ELN>
                                  <LOOT>0</LOOT>
                                  <LOMN>3</LOMN>
                                  <LOMCN>1</LOMCN>
                                  <LOSN>1</LOSN>
                                  <LOEN>19</LOEN>
                                  <LOCN>31</LOCN>
                                </LnkInProps>
                              </LnkIn>
                            </Ctg>
                            <Ctg>
                              <CtgProps>
                                <R>5</R>
                              </CtgProps>
                              <LnkIn>
                                <LnkInProps>
                                  <MN>9</MN>
                                  <CLI>1,1,46,False,32</CLI>
                                  <ELN>1</ELN>
                                  <LOOT>0</LOOT>
                                  <LOMN>3</LOMN>
                                  <LOMCN>1</LOMCN>
                                  <LOSN>1</LOSN>
                                  <LOEN>19</LOEN>
                                  <LOCN>32</LOCN>
                                </LnkInProps>
                              </LnkIn>
                            </Ctg>
                            <Ctg>
                              <CtgProps>
                                <R>5</R>
                              </CtgProps>
                              <LnkIn>
                                <LnkInProps>
                                  <MN>9</MN>
                                  <CLI>1,1,46,False,33</CLI>
                                  <ELN>1</ELN>
                                  <LOOT>0</LOOT>
                                  <LOMN>3</LOMN>
                                  <LOMCN>1</LOMCN>
                                  <LOSN>1</LOSN>
                                  <LOEN>19</LOEN>
                                  <LOCN>33</LOCN>
                                </LnkInProps>
                              </LnkIn>
                            </Ctg>
                            <Ctg>
                              <CtgProps>
                                <R>5</R>
                              </CtgProps>
                              <LnkIn>
                                <LnkInProps>
                                  <MN>9</MN>
                                  <CLI>1,1,46,False,34</CLI>
                                  <ELN>1</ELN>
                                  <LOOT>0</LOOT>
                                  <LOMN>3</LOMN>
                                  <LOMCN>1</LOMCN>
                                  <LOSN>1</LOSN>
                                  <LOEN>19</LOEN>
                                  <LOCN>34</LOCN>
                                </LnkInProps>
                              </LnkIn>
                            </Ctg>
                            <Ctg>
                              <CtgProps>
                                <R>5</R>
                              </CtgProps>
                              <LnkIn>
                                <LnkInProps>
                                  <MN>9</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9</MN>
                                  <CLI>1,1,49,False,1</CLI>
                                  <ELN>1</ELN>
                                  <LOOT>0</LOOT>
                                  <LOMN>3</LOMN>
                                  <LOMCN>1</LOMCN>
                                  <LOSN>1</LOSN>
                                  <LOEN>24</LOEN>
                                  <LOCN>1</LOCN>
                                </LnkInProps>
                              </LnkIn>
                            </Ctg>
                            <Ctg>
                              <CtgProps>
                                <R>4</R>
                              </CtgProps>
                              <LnkIn>
                                <LnkInProps>
                                  <MN>9</MN>
                                  <CLI>1,1,49,False,2</CLI>
                                  <ELN>1</ELN>
                                  <LOOT>0</LOOT>
                                  <LOMN>3</LOMN>
                                  <LOMCN>1</LOMCN>
                                  <LOSN>1</LOSN>
                                  <LOEN>24</LOEN>
                                  <LOCN>2</LOCN>
                                </LnkInProps>
                              </LnkIn>
                            </Ctg>
                            <Ctg>
                              <CtgProps>
                                <R>4</R>
                              </CtgProps>
                              <LnkIn>
                                <LnkInProps>
                                  <MN>9</MN>
                                  <CLI>1,1,49,False,3</CLI>
                                  <ELN>1</ELN>
                                  <LOOT>0</LOOT>
                                  <LOMN>3</LOMN>
                                  <LOMCN>1</LOMCN>
                                  <LOSN>1</LOSN>
                                  <LOEN>24</LOEN>
                                  <LOCN>3</LOCN>
                                </LnkInProps>
                              </LnkIn>
                            </Ctg>
                            <Ctg>
                              <CtgProps>
                                <R>4</R>
                              </CtgProps>
                              <LnkIn>
                                <LnkInProps>
                                  <MN>9</MN>
                                  <CLI>1,1,49,False,4</CLI>
                                  <ELN>1</ELN>
                                  <LOOT>0</LOOT>
                                  <LOMN>3</LOMN>
                                  <LOMCN>1</LOMCN>
                                  <LOSN>1</LOSN>
                                  <LOEN>24</LOEN>
                                  <LOCN>4</LOCN>
                                </LnkInProps>
                              </LnkIn>
                            </Ctg>
                            <Ctg>
                              <CtgProps>
                                <R>4</R>
                              </CtgProps>
                              <LnkIn>
                                <LnkInProps>
                                  <MN>9</MN>
                                  <CLI>1,1,49,False,5</CLI>
                                  <ELN>1</ELN>
                                  <LOOT>0</LOOT>
                                  <LOMN>3</LOMN>
                                  <LOMCN>1</LOMCN>
                                  <LOSN>1</LOSN>
                                  <LOEN>24</LOEN>
                                  <LOCN>5</LOCN>
                                </LnkInProps>
                              </LnkIn>
                            </Ctg>
                            <Ctg>
                              <CtgProps>
                                <R>5</R>
                              </CtgProps>
                              <LnkIn>
                                <LnkInProps>
                                  <MN>9</MN>
                                  <CLI>1,1,49,False,6</CLI>
                                  <ELN>1</ELN>
                                  <LOOT>0</LOOT>
                                  <LOMN>3</LOMN>
                                  <LOMCN>1</LOMCN>
                                  <LOSN>1</LOSN>
                                  <LOEN>24</LOEN>
                                  <LOCN>6</LOCN>
                                </LnkInProps>
                              </LnkIn>
                            </Ctg>
                            <Ctg>
                              <CtgProps>
                                <R>5</R>
                              </CtgProps>
                              <LnkIn>
                                <LnkInProps>
                                  <MN>9</MN>
                                  <CLI>1,1,49,False,7</CLI>
                                  <ELN>1</ELN>
                                  <LOOT>0</LOOT>
                                  <LOMN>3</LOMN>
                                  <LOMCN>1</LOMCN>
                                  <LOSN>1</LOSN>
                                  <LOEN>24</LOEN>
                                  <LOCN>7</LOCN>
                                </LnkInProps>
                              </LnkIn>
                            </Ctg>
                            <Ctg>
                              <CtgProps>
                                <R>5</R>
                              </CtgProps>
                              <LnkIn>
                                <LnkInProps>
                                  <MN>9</MN>
                                  <CLI>1,1,49,False,8</CLI>
                                  <ELN>1</ELN>
                                  <LOOT>0</LOOT>
                                  <LOMN>3</LOMN>
                                  <LOMCN>1</LOMCN>
                                  <LOSN>1</LOSN>
                                  <LOEN>24</LOEN>
                                  <LOCN>8</LOCN>
                                </LnkInProps>
                              </LnkIn>
                            </Ctg>
                            <Ctg>
                              <CtgProps>
                                <R>5</R>
                              </CtgProps>
                              <LnkIn>
                                <LnkInProps>
                                  <MN>9</MN>
                                  <CLI>1,1,49,False,9</CLI>
                                  <ELN>1</ELN>
                                  <LOOT>0</LOOT>
                                  <LOMN>3</LOMN>
                                  <LOMCN>1</LOMCN>
                                  <LOSN>1</LOSN>
                                  <LOEN>24</LOEN>
                                  <LOCN>9</LOCN>
                                </LnkInProps>
                              </LnkIn>
                            </Ctg>
                            <Ctg>
                              <CtgProps>
                                <R>5</R>
                              </CtgProps>
                              <LnkIn>
                                <LnkInProps>
                                  <MN>9</MN>
                                  <CLI>1,1,49,False,10</CLI>
                                  <ELN>1</ELN>
                                  <LOOT>0</LOOT>
                                  <LOMN>3</LOMN>
                                  <LOMCN>1</LOMCN>
                                  <LOSN>1</LOSN>
                                  <LOEN>24</LOEN>
                                  <LOCN>10</LOCN>
                                </LnkInProps>
                              </LnkIn>
                            </Ctg>
                            <Ctg>
                              <CtgProps>
                                <R>5</R>
                              </CtgProps>
                              <LnkIn>
                                <LnkInProps>
                                  <MN>9</MN>
                                  <CLI>1,1,49,False,11</CLI>
                                  <ELN>1</ELN>
                                  <LOOT>0</LOOT>
                                  <LOMN>3</LOMN>
                                  <LOMCN>1</LOMCN>
                                  <LOSN>1</LOSN>
                                  <LOEN>24</LOEN>
                                  <LOCN>11</LOCN>
                                </LnkInProps>
                              </LnkIn>
                            </Ctg>
                            <Ctg>
                              <CtgProps>
                                <R>5</R>
                              </CtgProps>
                              <LnkIn>
                                <LnkInProps>
                                  <MN>9</MN>
                                  <CLI>1,1,49,False,12</CLI>
                                  <ELN>1</ELN>
                                  <LOOT>0</LOOT>
                                  <LOMN>3</LOMN>
                                  <LOMCN>1</LOMCN>
                                  <LOSN>1</LOSN>
                                  <LOEN>24</LOEN>
                                  <LOCN>12</LOCN>
                                </LnkInProps>
                              </LnkIn>
                            </Ctg>
                            <Ctg>
                              <CtgProps>
                                <R>5</R>
                              </CtgProps>
                              <LnkIn>
                                <LnkInProps>
                                  <MN>9</MN>
                                  <CLI>1,1,49,False,13</CLI>
                                  <ELN>1</ELN>
                                  <LOOT>0</LOOT>
                                  <LOMN>3</LOMN>
                                  <LOMCN>1</LOMCN>
                                  <LOSN>1</LOSN>
                                  <LOEN>24</LOEN>
                                  <LOCN>13</LOCN>
                                </LnkInProps>
                              </LnkIn>
                            </Ctg>
                            <Ctg>
                              <CtgProps>
                                <R>5</R>
                              </CtgProps>
                              <LnkIn>
                                <LnkInProps>
                                  <MN>9</MN>
                                  <CLI>1,1,49,False,14</CLI>
                                  <ELN>1</ELN>
                                  <LOOT>0</LOOT>
                                  <LOMN>3</LOMN>
                                  <LOMCN>1</LOMCN>
                                  <LOSN>1</LOSN>
                                  <LOEN>24</LOEN>
                                  <LOCN>14</LOCN>
                                </LnkInProps>
                              </LnkIn>
                            </Ctg>
                            <Ctg>
                              <CtgProps>
                                <R>5</R>
                              </CtgProps>
                              <LnkIn>
                                <LnkInProps>
                                  <MN>9</MN>
                                  <CLI>1,1,49,False,15</CLI>
                                  <ELN>1</ELN>
                                  <LOOT>0</LOOT>
                                  <LOMN>3</LOMN>
                                  <LOMCN>1</LOMCN>
                                  <LOSN>1</LOSN>
                                  <LOEN>24</LOEN>
                                  <LOCN>15</LOCN>
                                </LnkInProps>
                              </LnkIn>
                            </Ctg>
                            <Ctg>
                              <CtgProps>
                                <R>5</R>
                              </CtgProps>
                              <LnkIn>
                                <LnkInProps>
                                  <MN>9</MN>
                                  <CLI>1,1,49,False,16</CLI>
                                  <ELN>1</ELN>
                                  <LOOT>0</LOOT>
                                  <LOMN>3</LOMN>
                                  <LOMCN>1</LOMCN>
                                  <LOSN>1</LOSN>
                                  <LOEN>24</LOEN>
                                  <LOCN>16</LOCN>
                                </LnkInProps>
                              </LnkIn>
                            </Ctg>
                            <Ctg>
                              <CtgProps>
                                <R>5</R>
                              </CtgProps>
                              <LnkIn>
                                <LnkInProps>
                                  <MN>9</MN>
                                  <CLI>1,1,49,False,17</CLI>
                                  <ELN>1</ELN>
                                  <LOOT>0</LOOT>
                                  <LOMN>3</LOMN>
                                  <LOMCN>1</LOMCN>
                                  <LOSN>1</LOSN>
                                  <LOEN>24</LOEN>
                                  <LOCN>17</LOCN>
                                </LnkInProps>
                              </LnkIn>
                            </Ctg>
                            <Ctg>
                              <CtgProps>
                                <R>5</R>
                              </CtgProps>
                              <LnkIn>
                                <LnkInProps>
                                  <MN>9</MN>
                                  <CLI>1,1,49,False,18</CLI>
                                  <ELN>1</ELN>
                                  <LOOT>0</LOOT>
                                  <LOMN>3</LOMN>
                                  <LOMCN>1</LOMCN>
                                  <LOSN>1</LOSN>
                                  <LOEN>24</LOEN>
                                  <LOCN>18</LOCN>
                                </LnkInProps>
                              </LnkIn>
                            </Ctg>
                            <Ctg>
                              <CtgProps>
                                <R>5</R>
                              </CtgProps>
                              <LnkIn>
                                <LnkInProps>
                                  <MN>9</MN>
                                  <CLI>1,1,49,False,19</CLI>
                                  <ELN>1</ELN>
                                  <LOOT>0</LOOT>
                                  <LOMN>3</LOMN>
                                  <LOMCN>1</LOMCN>
                                  <LOSN>1</LOSN>
                                  <LOEN>24</LOEN>
                                  <LOCN>19</LOCN>
                                </LnkInProps>
                              </LnkIn>
                            </Ctg>
                            <Ctg>
                              <CtgProps>
                                <R>5</R>
                              </CtgProps>
                              <LnkIn>
                                <LnkInProps>
                                  <MN>9</MN>
                                  <CLI>1,1,49,False,20</CLI>
                                  <ELN>1</ELN>
                                  <LOOT>0</LOOT>
                                  <LOMN>3</LOMN>
                                  <LOMCN>1</LOMCN>
                                  <LOSN>1</LOSN>
                                  <LOEN>24</LOEN>
                                  <LOCN>20</LOCN>
                                </LnkInProps>
                              </LnkIn>
                            </Ctg>
                            <Ctg>
                              <CtgProps>
                                <R>5</R>
                              </CtgProps>
                              <LnkIn>
                                <LnkInProps>
                                  <MN>9</MN>
                                  <CLI>1,1,49,False,21</CLI>
                                  <ELN>1</ELN>
                                  <LOOT>0</LOOT>
                                  <LOMN>3</LOMN>
                                  <LOMCN>1</LOMCN>
                                  <LOSN>1</LOSN>
                                  <LOEN>24</LOEN>
                                  <LOCN>21</LOCN>
                                </LnkInProps>
                              </LnkIn>
                            </Ctg>
                            <Ctg>
                              <CtgProps>
                                <R>5</R>
                              </CtgProps>
                              <LnkIn>
                                <LnkInProps>
                                  <MN>9</MN>
                                  <CLI>1,1,49,False,22</CLI>
                                  <ELN>1</ELN>
                                  <LOOT>0</LOOT>
                                  <LOMN>3</LOMN>
                                  <LOMCN>1</LOMCN>
                                  <LOSN>1</LOSN>
                                  <LOEN>24</LOEN>
                                  <LOCN>22</LOCN>
                                </LnkInProps>
                              </LnkIn>
                            </Ctg>
                            <Ctg>
                              <CtgProps>
                                <R>5</R>
                              </CtgProps>
                              <LnkIn>
                                <LnkInProps>
                                  <MN>9</MN>
                                  <CLI>1,1,49,False,23</CLI>
                                  <ELN>1</ELN>
                                  <LOOT>0</LOOT>
                                  <LOMN>3</LOMN>
                                  <LOMCN>1</LOMCN>
                                  <LOSN>1</LOSN>
                                  <LOEN>24</LOEN>
                                  <LOCN>23</LOCN>
                                </LnkInProps>
                              </LnkIn>
                            </Ctg>
                            <Ctg>
                              <CtgProps>
                                <R>5</R>
                              </CtgProps>
                              <LnkIn>
                                <LnkInProps>
                                  <MN>9</MN>
                                  <CLI>1,1,49,False,24</CLI>
                                  <ELN>1</ELN>
                                  <LOOT>0</LOOT>
                                  <LOMN>3</LOMN>
                                  <LOMCN>1</LOMCN>
                                  <LOSN>1</LOSN>
                                  <LOEN>24</LOEN>
                                  <LOCN>24</LOCN>
                                </LnkInProps>
                              </LnkIn>
                            </Ctg>
                            <Ctg>
                              <CtgProps>
                                <R>5</R>
                              </CtgProps>
                              <LnkIn>
                                <LnkInProps>
                                  <MN>9</MN>
                                  <CLI>1,1,49,False,25</CLI>
                                  <ELN>1</ELN>
                                  <LOOT>0</LOOT>
                                  <LOMN>3</LOMN>
                                  <LOMCN>1</LOMCN>
                                  <LOSN>1</LOSN>
                                  <LOEN>24</LOEN>
                                  <LOCN>25</LOCN>
                                </LnkInProps>
                              </LnkIn>
                            </Ctg>
                            <Ctg>
                              <CtgProps>
                                <R>5</R>
                              </CtgProps>
                              <LnkIn>
                                <LnkInProps>
                                  <MN>9</MN>
                                  <CLI>1,1,49,False,26</CLI>
                                  <ELN>1</ELN>
                                  <LOOT>0</LOOT>
                                  <LOMN>3</LOMN>
                                  <LOMCN>1</LOMCN>
                                  <LOSN>1</LOSN>
                                  <LOEN>24</LOEN>
                                  <LOCN>26</LOCN>
                                </LnkInProps>
                              </LnkIn>
                            </Ctg>
                            <Ctg>
                              <CtgProps>
                                <R>5</R>
                              </CtgProps>
                              <LnkIn>
                                <LnkInProps>
                                  <MN>9</MN>
                                  <CLI>1,1,49,False,27</CLI>
                                  <ELN>1</ELN>
                                  <LOOT>0</LOOT>
                                  <LOMN>3</LOMN>
                                  <LOMCN>1</LOMCN>
                                  <LOSN>1</LOSN>
                                  <LOEN>24</LOEN>
                                  <LOCN>27</LOCN>
                                </LnkInProps>
                              </LnkIn>
                            </Ctg>
                            <Ctg>
                              <CtgProps>
                                <R>5</R>
                              </CtgProps>
                              <LnkIn>
                                <LnkInProps>
                                  <MN>9</MN>
                                  <CLI>1,1,49,False,28</CLI>
                                  <ELN>1</ELN>
                                  <LOOT>0</LOOT>
                                  <LOMN>3</LOMN>
                                  <LOMCN>1</LOMCN>
                                  <LOSN>1</LOSN>
                                  <LOEN>24</LOEN>
                                  <LOCN>28</LOCN>
                                </LnkInProps>
                              </LnkIn>
                            </Ctg>
                            <Ctg>
                              <CtgProps>
                                <R>5</R>
                              </CtgProps>
                              <LnkIn>
                                <LnkInProps>
                                  <MN>9</MN>
                                  <CLI>1,1,49,False,29</CLI>
                                  <ELN>1</ELN>
                                  <LOOT>0</LOOT>
                                  <LOMN>3</LOMN>
                                  <LOMCN>1</LOMCN>
                                  <LOSN>1</LOSN>
                                  <LOEN>24</LOEN>
                                  <LOCN>29</LOCN>
                                </LnkInProps>
                              </LnkIn>
                            </Ctg>
                            <Ctg>
                              <CtgProps>
                                <R>5</R>
                              </CtgProps>
                              <LnkIn>
                                <LnkInProps>
                                  <MN>9</MN>
                                  <CLI>1,1,49,False,30</CLI>
                                  <ELN>1</ELN>
                                  <LOOT>0</LOOT>
                                  <LOMN>3</LOMN>
                                  <LOMCN>1</LOMCN>
                                  <LOSN>1</LOSN>
                                  <LOEN>24</LOEN>
                                  <LOCN>30</LOCN>
                                </LnkInProps>
                              </LnkIn>
                            </Ctg>
                            <Ctg>
                              <CtgProps>
                                <R>5</R>
                              </CtgProps>
                              <LnkIn>
                                <LnkInProps>
                                  <MN>9</MN>
                                  <CLI>1,1,49,False,31</CLI>
                                  <ELN>1</ELN>
                                  <LOOT>0</LOOT>
                                  <LOMN>3</LOMN>
                                  <LOMCN>1</LOMCN>
                                  <LOSN>1</LOSN>
                                  <LOEN>24</LOEN>
                                  <LOCN>31</LOCN>
                                </LnkInProps>
                              </LnkIn>
                            </Ctg>
                            <Ctg>
                              <CtgProps>
                                <R>5</R>
                              </CtgProps>
                              <LnkIn>
                                <LnkInProps>
                                  <MN>9</MN>
                                  <CLI>1,1,49,False,32</CLI>
                                  <ELN>1</ELN>
                                  <LOOT>0</LOOT>
                                  <LOMN>3</LOMN>
                                  <LOMCN>1</LOMCN>
                                  <LOSN>1</LOSN>
                                  <LOEN>24</LOEN>
                                  <LOCN>32</LOCN>
                                </LnkInProps>
                              </LnkIn>
                            </Ctg>
                            <Ctg>
                              <CtgProps>
                                <R>5</R>
                              </CtgProps>
                              <LnkIn>
                                <LnkInProps>
                                  <MN>9</MN>
                                  <CLI>1,1,49,False,33</CLI>
                                  <ELN>1</ELN>
                                  <LOOT>0</LOOT>
                                  <LOMN>3</LOMN>
                                  <LOMCN>1</LOMCN>
                                  <LOSN>1</LOSN>
                                  <LOEN>24</LOEN>
                                  <LOCN>33</LOCN>
                                </LnkInProps>
                              </LnkIn>
                            </Ctg>
                            <Ctg>
                              <CtgProps>
                                <R>5</R>
                              </CtgProps>
                              <LnkIn>
                                <LnkInProps>
                                  <MN>9</MN>
                                  <CLI>1,1,49,False,34</CLI>
                                  <ELN>1</ELN>
                                  <LOOT>0</LOOT>
                                  <LOMN>3</LOMN>
                                  <LOMCN>1</LOMCN>
                                  <LOSN>1</LOSN>
                                  <LOEN>24</LOEN>
                                  <LOCN>34</LOCN>
                                </LnkInProps>
                              </LnkIn>
                            </Ctg>
                            <Ctg>
                              <CtgProps>
                                <R>5</R>
                              </CtgProps>
                              <LnkIn>
                                <LnkInProps>
                                  <MN>9</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9</MN>
                                  <CLI>1,1,53,False,1</CLI>
                                  <ELN>1</ELN>
                                  <LOOT>0</LOOT>
                                  <LOMN>3</LOMN>
                                  <LOMCN>1</LOMCN>
                                  <LOSN>1</LOSN>
                                  <LOEN>29</LOEN>
                                  <LOCN>1</LOCN>
                                </LnkInProps>
                              </LnkIn>
                            </Ctg>
                            <Ctg>
                              <CtgProps>
                                <R>4</R>
                              </CtgProps>
                              <LnkIn>
                                <LnkInProps>
                                  <MN>9</MN>
                                  <CLI>1,1,53,False,2</CLI>
                                  <ELN>1</ELN>
                                  <LOOT>0</LOOT>
                                  <LOMN>3</LOMN>
                                  <LOMCN>1</LOMCN>
                                  <LOSN>1</LOSN>
                                  <LOEN>29</LOEN>
                                  <LOCN>2</LOCN>
                                </LnkInProps>
                              </LnkIn>
                            </Ctg>
                            <Ctg>
                              <CtgProps>
                                <R>5</R>
                              </CtgProps>
                              <LnkIn>
                                <LnkInProps>
                                  <MN>9</MN>
                                  <CLI>1,1,53,False,3</CLI>
                                  <ELN>1</ELN>
                                  <LOOT>0</LOOT>
                                  <LOMN>3</LOMN>
                                  <LOMCN>1</LOMCN>
                                  <LOSN>1</LOSN>
                                  <LOEN>29</LOEN>
                                  <LOCN>3</LOCN>
                                </LnkInProps>
                              </LnkIn>
                            </Ctg>
                            <Ctg>
                              <CtgProps>
                                <R>5</R>
                              </CtgProps>
                              <LnkIn>
                                <LnkInProps>
                                  <MN>9</MN>
                                  <CLI>1,1,53,False,4</CLI>
                                  <ELN>1</ELN>
                                  <LOOT>0</LOOT>
                                  <LOMN>3</LOMN>
                                  <LOMCN>1</LOMCN>
                                  <LOSN>1</LOSN>
                                  <LOEN>29</LOEN>
                                  <LOCN>4</LOCN>
                                </LnkInProps>
                              </LnkIn>
                            </Ctg>
                            <Ctg>
                              <CtgProps>
                                <R>5</R>
                              </CtgProps>
                              <LnkIn>
                                <LnkInProps>
                                  <MN>9</MN>
                                  <CLI>1,1,53,False,5</CLI>
                                  <ELN>1</ELN>
                                  <LOOT>0</LOOT>
                                  <LOMN>3</LOMN>
                                  <LOMCN>1</LOMCN>
                                  <LOSN>1</LOSN>
                                  <LOEN>29</LOEN>
                                  <LOCN>5</LOCN>
                                </LnkInProps>
                              </LnkIn>
                            </Ctg>
                            <Ctg>
                              <CtgProps>
                                <R>5</R>
                              </CtgProps>
                              <LnkIn>
                                <LnkInProps>
                                  <MN>9</MN>
                                  <CLI>1,1,53,False,6</CLI>
                                  <ELN>1</ELN>
                                  <LOOT>0</LOOT>
                                  <LOMN>3</LOMN>
                                  <LOMCN>1</LOMCN>
                                  <LOSN>1</LOSN>
                                  <LOEN>29</LOEN>
                                  <LOCN>6</LOCN>
                                </LnkInProps>
                              </LnkIn>
                            </Ctg>
                            <Ctg>
                              <CtgProps>
                                <R>5</R>
                              </CtgProps>
                              <LnkIn>
                                <LnkInProps>
                                  <MN>9</MN>
                                  <CLI>1,1,53,False,7</CLI>
                                  <ELN>1</ELN>
                                  <LOOT>0</LOOT>
                                  <LOMN>3</LOMN>
                                  <LOMCN>1</LOMCN>
                                  <LOSN>1</LOSN>
                                  <LOEN>29</LOEN>
                                  <LOCN>7</LOCN>
                                </LnkInProps>
                              </LnkIn>
                            </Ctg>
                            <Ctg>
                              <CtgProps>
                                <R>5</R>
                              </CtgProps>
                              <LnkIn>
                                <LnkInProps>
                                  <MN>9</MN>
                                  <CLI>1,1,53,False,8</CLI>
                                  <ELN>1</ELN>
                                  <LOOT>0</LOOT>
                                  <LOMN>3</LOMN>
                                  <LOMCN>1</LOMCN>
                                  <LOSN>1</LOSN>
                                  <LOEN>29</LOEN>
                                  <LOCN>8</LOCN>
                                </LnkInProps>
                              </LnkIn>
                            </Ctg>
                            <Ctg>
                              <CtgProps>
                                <R>5</R>
                              </CtgProps>
                              <LnkIn>
                                <LnkInProps>
                                  <MN>9</MN>
                                  <CLI>1,1,53,False,9</CLI>
                                  <ELN>1</ELN>
                                  <LOOT>0</LOOT>
                                  <LOMN>3</LOMN>
                                  <LOMCN>1</LOMCN>
                                  <LOSN>1</LOSN>
                                  <LOEN>29</LOEN>
                                  <LOCN>9</LOCN>
                                </LnkInProps>
                              </LnkIn>
                            </Ctg>
                            <Ctg>
                              <CtgProps>
                                <R>5</R>
                              </CtgProps>
                              <LnkIn>
                                <LnkInProps>
                                  <MN>9</MN>
                                  <CLI>1,1,53,False,10</CLI>
                                  <ELN>1</ELN>
                                  <LOOT>0</LOOT>
                                  <LOMN>3</LOMN>
                                  <LOMCN>1</LOMCN>
                                  <LOSN>1</LOSN>
                                  <LOEN>29</LOEN>
                                  <LOCN>10</LOCN>
                                </LnkInProps>
                              </LnkIn>
                            </Ctg>
                            <Ctg>
                              <CtgProps>
                                <R>5</R>
                              </CtgProps>
                              <LnkIn>
                                <LnkInProps>
                                  <MN>9</MN>
                                  <CLI>1,1,53,False,11</CLI>
                                  <ELN>1</ELN>
                                  <LOOT>0</LOOT>
                                  <LOMN>3</LOMN>
                                  <LOMCN>1</LOMCN>
                                  <LOSN>1</LOSN>
                                  <LOEN>29</LOEN>
                                  <LOCN>11</LOCN>
                                </LnkInProps>
                              </LnkIn>
                            </Ctg>
                            <Ctg>
                              <CtgProps>
                                <R>5</R>
                              </CtgProps>
                              <LnkIn>
                                <LnkInProps>
                                  <MN>9</MN>
                                  <CLI>1,1,53,False,12</CLI>
                                  <ELN>1</ELN>
                                  <LOOT>0</LOOT>
                                  <LOMN>3</LOMN>
                                  <LOMCN>1</LOMCN>
                                  <LOSN>1</LOSN>
                                  <LOEN>29</LOEN>
                                  <LOCN>12</LOCN>
                                </LnkInProps>
                              </LnkIn>
                            </Ctg>
                            <Ctg>
                              <CtgProps>
                                <R>5</R>
                              </CtgProps>
                              <LnkIn>
                                <LnkInProps>
                                  <MN>9</MN>
                                  <CLI>1,1,53,False,13</CLI>
                                  <ELN>1</ELN>
                                  <LOOT>0</LOOT>
                                  <LOMN>3</LOMN>
                                  <LOMCN>1</LOMCN>
                                  <LOSN>1</LOSN>
                                  <LOEN>29</LOEN>
                                  <LOCN>13</LOCN>
                                </LnkInProps>
                              </LnkIn>
                            </Ctg>
                            <Ctg>
                              <CtgProps>
                                <R>5</R>
                              </CtgProps>
                              <LnkIn>
                                <LnkInProps>
                                  <MN>9</MN>
                                  <CLI>1,1,53,False,14</CLI>
                                  <ELN>1</ELN>
                                  <LOOT>0</LOOT>
                                  <LOMN>3</LOMN>
                                  <LOMCN>1</LOMCN>
                                  <LOSN>1</LOSN>
                                  <LOEN>29</LOEN>
                                  <LOCN>14</LOCN>
                                </LnkInProps>
                              </LnkIn>
                            </Ctg>
                            <Ctg>
                              <CtgProps>
                                <R>5</R>
                              </CtgProps>
                              <LnkIn>
                                <LnkInProps>
                                  <MN>9</MN>
                                  <CLI>1,1,53,False,15</CLI>
                                  <ELN>1</ELN>
                                  <LOOT>0</LOOT>
                                  <LOMN>3</LOMN>
                                  <LOMCN>1</LOMCN>
                                  <LOSN>1</LOSN>
                                  <LOEN>29</LOEN>
                                  <LOCN>15</LOCN>
                                </LnkInProps>
                              </LnkIn>
                            </Ctg>
                            <Ctg>
                              <CtgProps>
                                <R>5</R>
                              </CtgProps>
                              <LnkIn>
                                <LnkInProps>
                                  <MN>9</MN>
                                  <CLI>1,1,53,False,16</CLI>
                                  <ELN>1</ELN>
                                  <LOOT>0</LOOT>
                                  <LOMN>3</LOMN>
                                  <LOMCN>1</LOMCN>
                                  <LOSN>1</LOSN>
                                  <LOEN>29</LOEN>
                                  <LOCN>16</LOCN>
                                </LnkInProps>
                              </LnkIn>
                            </Ctg>
                            <Ctg>
                              <CtgProps>
                                <R>5</R>
                              </CtgProps>
                              <LnkIn>
                                <LnkInProps>
                                  <MN>9</MN>
                                  <CLI>1,1,53,False,17</CLI>
                                  <ELN>1</ELN>
                                  <LOOT>0</LOOT>
                                  <LOMN>3</LOMN>
                                  <LOMCN>1</LOMCN>
                                  <LOSN>1</LOSN>
                                  <LOEN>29</LOEN>
                                  <LOCN>17</LOCN>
                                </LnkInProps>
                              </LnkIn>
                            </Ctg>
                            <Ctg>
                              <CtgProps>
                                <R>5</R>
                              </CtgProps>
                              <LnkIn>
                                <LnkInProps>
                                  <MN>9</MN>
                                  <CLI>1,1,53,False,18</CLI>
                                  <ELN>1</ELN>
                                  <LOOT>0</LOOT>
                                  <LOMN>3</LOMN>
                                  <LOMCN>1</LOMCN>
                                  <LOSN>1</LOSN>
                                  <LOEN>29</LOEN>
                                  <LOCN>18</LOCN>
                                </LnkInProps>
                              </LnkIn>
                            </Ctg>
                            <Ctg>
                              <CtgProps>
                                <R>5</R>
                              </CtgProps>
                              <LnkIn>
                                <LnkInProps>
                                  <MN>9</MN>
                                  <CLI>1,1,53,False,19</CLI>
                                  <ELN>1</ELN>
                                  <LOOT>0</LOOT>
                                  <LOMN>3</LOMN>
                                  <LOMCN>1</LOMCN>
                                  <LOSN>1</LOSN>
                                  <LOEN>29</LOEN>
                                  <LOCN>19</LOCN>
                                </LnkInProps>
                              </LnkIn>
                            </Ctg>
                            <Ctg>
                              <CtgProps>
                                <R>5</R>
                              </CtgProps>
                              <LnkIn>
                                <LnkInProps>
                                  <MN>9</MN>
                                  <CLI>1,1,53,False,20</CLI>
                                  <ELN>1</ELN>
                                  <LOOT>0</LOOT>
                                  <LOMN>3</LOMN>
                                  <LOMCN>1</LOMCN>
                                  <LOSN>1</LOSN>
                                  <LOEN>29</LOEN>
                                  <LOCN>20</LOCN>
                                </LnkInProps>
                              </LnkIn>
                            </Ctg>
                            <Ctg>
                              <CtgProps>
                                <R>5</R>
                              </CtgProps>
                              <LnkIn>
                                <LnkInProps>
                                  <MN>9</MN>
                                  <CLI>1,1,53,False,21</CLI>
                                  <ELN>1</ELN>
                                  <LOOT>0</LOOT>
                                  <LOMN>3</LOMN>
                                  <LOMCN>1</LOMCN>
                                  <LOSN>1</LOSN>
                                  <LOEN>29</LOEN>
                                  <LOCN>21</LOCN>
                                </LnkInProps>
                              </LnkIn>
                            </Ctg>
                            <Ctg>
                              <CtgProps>
                                <R>5</R>
                              </CtgProps>
                              <LnkIn>
                                <LnkInProps>
                                  <MN>9</MN>
                                  <CLI>1,1,53,False,22</CLI>
                                  <ELN>1</ELN>
                                  <LOOT>0</LOOT>
                                  <LOMN>3</LOMN>
                                  <LOMCN>1</LOMCN>
                                  <LOSN>1</LOSN>
                                  <LOEN>29</LOEN>
                                  <LOCN>22</LOCN>
                                </LnkInProps>
                              </LnkIn>
                            </Ctg>
                            <Ctg>
                              <CtgProps>
                                <R>5</R>
                              </CtgProps>
                              <LnkIn>
                                <LnkInProps>
                                  <MN>9</MN>
                                  <CLI>1,1,53,False,23</CLI>
                                  <ELN>1</ELN>
                                  <LOOT>0</LOOT>
                                  <LOMN>3</LOMN>
                                  <LOMCN>1</LOMCN>
                                  <LOSN>1</LOSN>
                                  <LOEN>29</LOEN>
                                  <LOCN>23</LOCN>
                                </LnkInProps>
                              </LnkIn>
                            </Ctg>
                            <Ctg>
                              <CtgProps>
                                <R>5</R>
                              </CtgProps>
                              <LnkIn>
                                <LnkInProps>
                                  <MN>9</MN>
                                  <CLI>1,1,53,False,24</CLI>
                                  <ELN>1</ELN>
                                  <LOOT>0</LOOT>
                                  <LOMN>3</LOMN>
                                  <LOMCN>1</LOMCN>
                                  <LOSN>1</LOSN>
                                  <LOEN>29</LOEN>
                                  <LOCN>24</LOCN>
                                </LnkInProps>
                              </LnkIn>
                            </Ctg>
                            <Ctg>
                              <CtgProps>
                                <R>5</R>
                              </CtgProps>
                              <LnkIn>
                                <LnkInProps>
                                  <MN>9</MN>
                                  <CLI>1,1,53,False,25</CLI>
                                  <ELN>1</ELN>
                                  <LOOT>0</LOOT>
                                  <LOMN>3</LOMN>
                                  <LOMCN>1</LOMCN>
                                  <LOSN>1</LOSN>
                                  <LOEN>29</LOEN>
                                  <LOCN>25</LOCN>
                                </LnkInProps>
                              </LnkIn>
                            </Ctg>
                            <Ctg>
                              <CtgProps>
                                <R>5</R>
                              </CtgProps>
                              <LnkIn>
                                <LnkInProps>
                                  <MN>9</MN>
                                  <CLI>1,1,53,False,26</CLI>
                                  <ELN>1</ELN>
                                  <LOOT>0</LOOT>
                                  <LOMN>3</LOMN>
                                  <LOMCN>1</LOMCN>
                                  <LOSN>1</LOSN>
                                  <LOEN>29</LOEN>
                                  <LOCN>26</LOCN>
                                </LnkInProps>
                              </LnkIn>
                            </Ctg>
                            <Ctg>
                              <CtgProps>
                                <R>5</R>
                              </CtgProps>
                              <LnkIn>
                                <LnkInProps>
                                  <MN>9</MN>
                                  <CLI>1,1,53,False,27</CLI>
                                  <ELN>1</ELN>
                                  <LOOT>0</LOOT>
                                  <LOMN>3</LOMN>
                                  <LOMCN>1</LOMCN>
                                  <LOSN>1</LOSN>
                                  <LOEN>29</LOEN>
                                  <LOCN>27</LOCN>
                                </LnkInProps>
                              </LnkIn>
                            </Ctg>
                            <Ctg>
                              <CtgProps>
                                <R>5</R>
                              </CtgProps>
                              <LnkIn>
                                <LnkInProps>
                                  <MN>9</MN>
                                  <CLI>1,1,53,False,28</CLI>
                                  <ELN>1</ELN>
                                  <LOOT>0</LOOT>
                                  <LOMN>3</LOMN>
                                  <LOMCN>1</LOMCN>
                                  <LOSN>1</LOSN>
                                  <LOEN>29</LOEN>
                                  <LOCN>28</LOCN>
                                </LnkInProps>
                              </LnkIn>
                            </Ctg>
                            <Ctg>
                              <CtgProps>
                                <R>5</R>
                              </CtgProps>
                              <LnkIn>
                                <LnkInProps>
                                  <MN>9</MN>
                                  <CLI>1,1,53,False,29</CLI>
                                  <ELN>1</ELN>
                                  <LOOT>0</LOOT>
                                  <LOMN>3</LOMN>
                                  <LOMCN>1</LOMCN>
                                  <LOSN>1</LOSN>
                                  <LOEN>29</LOEN>
                                  <LOCN>29</LOCN>
                                </LnkInProps>
                              </LnkIn>
                            </Ctg>
                            <Ctg>
                              <CtgProps>
                                <R>5</R>
                              </CtgProps>
                              <LnkIn>
                                <LnkInProps>
                                  <MN>9</MN>
                                  <CLI>1,1,53,False,30</CLI>
                                  <ELN>1</ELN>
                                  <LOOT>0</LOOT>
                                  <LOMN>3</LOMN>
                                  <LOMCN>1</LOMCN>
                                  <LOSN>1</LOSN>
                                  <LOEN>29</LOEN>
                                  <LOCN>30</LOCN>
                                </LnkInProps>
                              </LnkIn>
                            </Ctg>
                            <Ctg>
                              <CtgProps>
                                <R>5</R>
                              </CtgProps>
                              <LnkIn>
                                <LnkInProps>
                                  <MN>9</MN>
                                  <CLI>1,1,53,False,31</CLI>
                                  <ELN>1</ELN>
                                  <LOOT>0</LOOT>
                                  <LOMN>3</LOMN>
                                  <LOMCN>1</LOMCN>
                                  <LOSN>1</LOSN>
                                  <LOEN>29</LOEN>
                                  <LOCN>31</LOCN>
                                </LnkInProps>
                              </LnkIn>
                            </Ctg>
                            <Ctg>
                              <CtgProps>
                                <R>5</R>
                              </CtgProps>
                              <LnkIn>
                                <LnkInProps>
                                  <MN>9</MN>
                                  <CLI>1,1,53,False,32</CLI>
                                  <ELN>1</ELN>
                                  <LOOT>0</LOOT>
                                  <LOMN>3</LOMN>
                                  <LOMCN>1</LOMCN>
                                  <LOSN>1</LOSN>
                                  <LOEN>29</LOEN>
                                  <LOCN>32</LOCN>
                                </LnkInProps>
                              </LnkIn>
                            </Ctg>
                            <Ctg>
                              <CtgProps>
                                <R>5</R>
                              </CtgProps>
                              <LnkIn>
                                <LnkInProps>
                                  <MN>9</MN>
                                  <CLI>1,1,53,False,33</CLI>
                                  <ELN>1</ELN>
                                  <LOOT>0</LOOT>
                                  <LOMN>3</LOMN>
                                  <LOMCN>1</LOMCN>
                                  <LOSN>1</LOSN>
                                  <LOEN>29</LOEN>
                                  <LOCN>33</LOCN>
                                </LnkInProps>
                              </LnkIn>
                            </Ctg>
                            <Ctg>
                              <CtgProps>
                                <R>5</R>
                              </CtgProps>
                              <LnkIn>
                                <LnkInProps>
                                  <MN>9</MN>
                                  <CLI>1,1,53,False,34</CLI>
                                  <ELN>1</ELN>
                                  <LOOT>0</LOOT>
                                  <LOMN>3</LOMN>
                                  <LOMCN>1</LOMCN>
                                  <LOSN>1</LOSN>
                                  <LOEN>29</LOEN>
                                  <LOCN>34</LOCN>
                                </LnkInProps>
                              </LnkIn>
                            </Ctg>
                            <Ctg>
                              <CtgProps>
                                <R>5</R>
                              </CtgProps>
                              <LnkIn>
                                <LnkInProps>
                                  <MN>9</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9</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9</MN>
                <MCN>2</MCN>
                <MCTK>BaseCase</MCTK>
                <RT><![CDATA[<ModuleName> - Assumptions]]></RT>
                <ERN>BPMMC56</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ClmnBlks>
                        <ClmnBlk>
                          <ClmnBlkProps>
                            <FCPT>3</FCPT>
                            <FCN>3</FCN>
                            <FCOT>0</FCOT>
                            <FCOC>0</FCOC>
                            <FCPTBMCN>3</FCPTBMCN>
                            <FCPTBN>2</FCPTBN>
                            <LCPT>3</LCPT>
                            <LCN>3</LCN>
                            <LCOT>0</LCOT>
                            <LCOC>0</LCOC>
                            <LCPTBMCN>3</LCPTBMCN>
                            <LCPTBN>2</LCPTBN>
                          </ClmnBlkProps>
                          <ClmnBlkPts>
                            <ClmnBlkPt>
                              <ClmnBlkPtProps>
                                <CBPT>5</CBPT>
                                <ST>6</ST>
                                <VOFFF><![CDATA[Number of HFCA Sensitization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CDATA[0]]></VOFFF>
                                <UDAV><![CDATA[0]]></UDAV>
                              </ClmnBlkPtProps>
                            </ClmnBlkPt>
                          </ClmnBlkPts>
                        </ClmnBlk>
                      </ClmnBlks>
                      <TtlCtg/>
                    </Elmt>
                  </Elmts>
                </Sect>
              </Sects>
            </ModComp>
            <ModComp>
              <ModCompProps>
                <MN>9</MN>
                <MCN>3</MCN>
                <MCTK>OP</MCTK>
                <RT><![CDATA[<ModuleName> - Outputs]]></RT>
                <ERN>BPMMC57</ERN>
                <MCST>0</MCST>
                <IPMC>False</IPMC>
                <SN>26</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Single "&§A¿0,3,0,1,1,1,1,-1,0,0,FALSE,FALSE§Z¿]]></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Number_Local_Sens]]></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8,2,1,-1,0,0,FALSE,FALSE§Z¿*§A¿1,1,3,1,10,0,2,1,1§Z¿]]></VOFFF>
                              </ClmnBlkPtProps>
                            </ClmnBlkPt>
                          </ClmnBlkPts>
                        </ClmnBlk>
                        <ClmnBlk>
                          <ClmnBlkProps>
                            <FCPT>0</FCPT>
                            <FCN>12</FCN>
                            <LCPT>0</LCPT>
                            <LCN>12</LCN>
                          </ClmnBlkProps>
                          <ClmnBlkPts>
                            <ClmnBlkPt>
                              <ClmnBlkPtProps>
                                <CBPT>5</CBPT>
                                <ST>18</ST>
                                <SON>6</SON>
                                <VOFFF><![CDATA[=§A¿0,3,0,1,8,3,1,-1,0,0,FALSE,FALSE§Z¿*§A¿1,1,3,1,10,0,2,1,1§Z¿]]></VOFFF>
                              </ClmnBlkPtProps>
                            </ClmnBlkPt>
                          </ClmnBlkPts>
                        </ClmnBlk>
                        <ClmnBlk>
                          <ClmnBlkProps>
                            <FCPT>0</FCPT>
                            <FCN>15</FCN>
                            <LCPT>0</LCPT>
                            <LCN>15</LCN>
                          </ClmnBlkProps>
                          <ClmnBlkPts>
                            <ClmnBlkPt>
                              <ClmnBlkPtProps>
                                <CBPT>5</CBPT>
                                <ST>18</ST>
                                <SON>6</SON>
                                <VOFFF><![CDATA[=§A¿0,3,0,1,8,4,1,-1,0,0,FALSE,FALSE§Z¿*§A¿1,1,3,1,10,0,2,1,1§Z¿]]></VOFFF>
                              </ClmnBlkPtProps>
                            </ClmnBlkPt>
                          </ClmnBlkPts>
                        </ClmnBlk>
                        <ClmnBlk>
                          <ClmnBlkProps>
                            <FCPT>0</FCPT>
                            <FCN>17</FCN>
                            <LCPT>0</LCPT>
                            <LCN>17</LCN>
                          </ClmnBlkProps>
                          <ClmnBlkPts>
                            <ClmnBlkPt>
                              <ClmnBlkPtProps>
                                <CBPT>5</CBPT>
                                <ST>18</ST>
                                <SON>6</SON>
                                <VOFFF><![CDATA[=§A¿0,3,0,1,8,5,1,-1,0,0,FALSE,FALSE§Z¿*§A¿1,1,3,1,10,0,2,1,1§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9</MN>
                <MCN>4</MCN>
                <MCTK>LU</MCTK>
                <RT><![CDATA[<ModuleName> - Lookups]]></RT>
                <ERN>BPMMC58</ERN>
                <MCST>3</MCST>
                <IPMC>False</IPMC>
                <SN>40</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30</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5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5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5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5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5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5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17</MN>
            <MAG>D086F8B5-5CE4-4E5C-9775-1E45DE76A9E8</MAG>
            <BN><![CDATA[PLUG_ACTIVITY]]></BN>
            <N><![CDATA[TRAIN-TOT]]></N>
            <TS><![CDATA[Annual]]></TS>
            <D><![CDATA[Assists with planning the cost of an activity. Should be used with Prices module.]]></D>
            <FS/>
            <R/>
            <GE/>
            <CA/>
            <VA/>
            <GST/>
            <DE/>
            <E/>
            <C/>
            <W/>
            <K/>
            <CO/>
            <V>1.0.0.0.</V>
            <AX/>
            <PMLO>False</PMLO>
            <IPMLO>False</IPMLO>
            <MACA>1</MACA>
            <RTSM>True</RTSM>
            <CC>True</CC>
            <X>False</X>
            <G>354AB100-8633-436A-9269-A3AA3FE42F91</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1</OL>
                <RH>True</RH>
              </RowStgProps>
            </RowStg>
            <RowStg>
              <RowStgProps>
                <RSN>5</RSN>
                <RHST>0</RHST>
                <HS>0</HS>
                <OL>2</OL>
                <RH>False</RH>
              </RowStgProps>
            </RowStg>
            <RowStg>
              <RowStgProps>
                <RSN>6</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HA>True</IHA>
                <HA>-4108</HA>
              </StlOvlyProps>
              <FntOvly>
                <FntOvlyProps>
                  <PT>1</PT>
                  <SON>16</SON>
                  <CBPLI>0,0,0,0,0</CBPLI>
                  <FCN>0</FCN>
                  <CN>0</CN>
                  <IB>True</IB>
                  <B>True</B>
                </FntOvlyProps>
              </FntOvly>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
              <StlOvlyProps>
                <SON>19</SON>
              </StlOvlyProps>
              <BdrOvlys>
                <BdrOvly>
                  <BdrOvlyProps>
                    <PT>1</PT>
                    <SON>19</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10</MN>
                <MCN>1</MCN>
                <MCTK>BaseCase</MCTK>
                <RT><![CDATA[<ModuleName> - Assumptions]]></RT>
                <ERN>BPMMC103</ERN>
                <MCST>0</MCST>
                <IPMC>False</IPMC>
                <SN>17</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75</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71]]></N>
                            <SHN>1</SHN>
                            <SHTN>1</SHTN>
                          </ShpNmeProps>
                        </ShpNme>
                      </ShpNmes>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SON>16</SON>
                                <VOFFF><![CDATA[=IF(§A¿1,1,1,1,5,0,2,1,1§Z¿=1,§A¿0,1,0,1,35,1,1,1,0,0,TRUE,TRUE§Z¿,§A¿0,1,0,1,35,1,1,2,0,0,TRUE,TRUE§Z¿)]]></VOFFF>
                              </ClmnBlkPtProps>
                            </ClmnBlkPt>
                          </ClmnBlkPts>
                        </ClmnBlk>
                        <ClmnBlk>
                          <ClmnBlkProps>
                            <FCPT>0</FCPT>
                            <FCN>15</FCN>
                            <LCPT>0</LCPT>
                            <LCN>15</LCN>
                          </ClmnBlkProps>
                          <ClmnBlkPts>
                            <ClmnBlkPt>
                              <ClmnBlkPtProps>
                                <CBPT>5</CBPT>
                                <ST>18</ST>
                                <SON>16</SON>
                                <VOFFF><![CDATA[=IF(§A¿1,1,1,1,5,0,2,1,1§Z¿=1,§A¿0,1,0,1,35,1,1,1,0,0,TRUE,TRUE§Z¿,§A¿0,1,0,1,35,1,1,2,0,0,TRUE,TRUE§Z¿)]]></VOFFF>
                              </ClmnBlkPtProps>
                            </ClmnBlkPt>
                          </ClmnBlkPts>
                        </ClmnBlk>
                        <ClmnBlk>
                          <ClmnBlkProps>
                            <FCPT>0</FCPT>
                            <FCN>17</FCN>
                            <LCPT>0</LCPT>
                            <LCN>17</LCN>
                          </ClmnBlkProps>
                          <ClmnBlkPts>
                            <ClmnBlkPt>
                              <ClmnBlkPtProps>
                                <CBPT>5</CBPT>
                                <ST>18</ST>
                                <SON>16</SON>
                                <VOFFF><![CDATA[=IF(§A¿1,1,1,1,5,0,2,1,1§Z¿=1,§A¿0,1,0,1,35,1,1,1,0,0,TRUE,TRUE§Z¿,§A¿0,1,0,1,35,1,1,2,0,0,TRUE,TRUE§Z¿)]]></VOFFF>
                              </ClmnBlkPtProps>
                            </ClmnBlkPt>
                          </ClmnBlkPts>
                        </ClmnBlk>
                        <ClmnBlk>
                          <ClmnBlkProps>
                            <FCPT>0</FCPT>
                            <FCN>19</FCN>
                            <LCPT>0</LCPT>
                            <LCN>19</LCN>
                          </ClmnBlkProps>
                          <ClmnBlkPts>
                            <ClmnBlkPt>
                              <ClmnBlkPtProps>
                                <CBPT>5</CBPT>
                                <ST>18</ST>
                                <SON>16</SON>
                                <VOFFF><![CDATA[=IF(§A¿1,1,1,1,5,0,2,1,1§Z¿=1,§A¿0,1,0,1,35,1,1,1,0,0,TRUE,TRUE§Z¿,§A¿0,1,0,1,35,1,1,2,0,0,TRUE,TRUE§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1,1,9,1,1</CBPLI>
                                  <ADVT>-1</ADVT>
                                  <VT>3</VT>
                                  <AS>1</AS>
                                  <O>1</O>
                                  <F1FFF><![CDATA[=§A¿1,1,4,1,13,0,1,1,1§Z¿]]></F1FFF>
                                  <F2FFF/>
                                  <IB>True</IB>
                                  <ICDD>True</ICDD>
                                  <SI>True</SI>
                                  <IT/>
                                  <IM/>
                                  <SE>True</SE>
                                  <ET/>
                                  <EM/>
                                  <IMO>0</IMO>
                                </VdtnProps>
                              </Vdtn>
                            </ClmnBlkPt>
                            <ClmnBlkPt>
                              <ClmnBlkPtProps>
                                <CBPT>1</CBPT>
                                <ST>6</ST>
                                <MC>True</MC>
                                <VOFFF><![CDATA[="Total "&§A¿0,1,0,1,9,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0,2,1,1,0,0,TRUE,TRUE,1,40,2,1,2,0,0,TRUE,TRUE§Z¿,MATCH(§A¿0,1,0,1,9,1,1,0,0,0,FALSE,FALSE§Z¿,§A¿1,1,4,1,13,0,1,1,1§Z¿,0)),INDEX(§A¿0,1,1,1,40,4,1,1,0,0,TRUE,TRUE,1,40,4,1,2,0,0,TRUE,TRUE§Z¿,MATCH(§A¿0,1,0,1,9,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0,3,1,1,0,0,TRUE,TRUE,1,40,3,1,2,0,0,TRUE,TRUE§Z¿,MATCH(§A¿0,1,0,1,9,1,1,0,0,0,FALSE,FALSE§Z¿,§A¿1,1,4,1,13,0,1,1,1§Z¿,0)),INDEX(§A¿0,1,1,1,40,5,1,1,0,0,TRUE,TRUE,1,40,5,1,2,0,0,TRUE,TRUE§Z¿,MATCH(§A¿0,1,0,1,9,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9,2,1,0,0,0,FALSE,FALSE§Z¿*§A¿0,1,0,1,9,3,1,0,0,0,FALSE,FALSE§Z¿*§A¿0,1,0,1,9,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9,2,1,0,0,0,FALSE,FALSE§Z¿*§A¿0,1,0,1,9,3,1,0,0,0,FALSE,FALSE§Z¿*§A¿0,1,0,1,9,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1,1,9,1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1,1,13,1,1</CBPLI>
                                  <ADVT>-1</ADVT>
                                  <VT>3</VT>
                                  <AS>1</AS>
                                  <O>1</O>
                                  <F1FFF><![CDATA[=§A¿1,1,4,1,17,0,1,1,1§Z¿]]></F1FFF>
                                  <F2FFF/>
                                  <IB>True</IB>
                                  <ICDD>True</ICDD>
                                  <SI>True</SI>
                                  <IT/>
                                  <IM/>
                                  <SE>True</SE>
                                  <ET/>
                                  <EM/>
                                  <IMO>0</IMO>
                                </VdtnProps>
                              </Vdtn>
                            </ClmnBlkPt>
                            <ClmnBlkPt>
                              <ClmnBlkPtProps>
                                <CBPT>1</CBPT>
                                <ST>6</ST>
                                <MC>True</MC>
                                <VOFFF><![CDATA[="Total "&§A¿0,1,0,1,13,1,3,0,0,0,FALSE,FALSE§Z¿]]></VOFFF>
                                <UDAV><![CDATA[<CategoriesGroupName> Sub-Total <SubTotalNumber>]]></UDAV>
                              </ClmnBlkPtProps>
                            </ClmnBlkPt>
                            <ClmnBlkPt>
                              <ClmnBlkPtProps>
                                <CBPT>2</CBPT>
                                <ST>5</ST>
                                <MC>True</MC>
                                <VOFFF><![CDATA[=§A¿0,1,0,1,9,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3,2,1,1,0,0,TRUE,TRUE,1,43,2,1,2,0,0,TRUE,TRUE§Z¿,MATCH(§A¿0,1,0,1,13,1,1,0,0,0,FALSE,FALSE§Z¿,§A¿1,1,4,1,17,0,1,1,1§Z¿,0)),INDEX(§A¿0,1,1,1,43,4,1,1,0,0,TRUE,TRUE,1,43,4,1,2,0,0,TRUE,TRUE§Z¿,MATCH(§A¿0,1,0,1,13,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3,3,1,1,0,0,TRUE,TRUE,1,43,3,1,2,0,0,TRUE,TRUE§Z¿,MATCH(§A¿0,1,0,1,13,1,1,0,0,0,FALSE,FALSE§Z¿,§A¿1,1,4,1,17,0,1,1,1§Z¿,0)),INDEX(§A¿0,1,1,1,43,5,1,1,0,0,TRUE,TRUE,1,43,5,1,2,0,0,TRUE,TRUE§Z¿,MATCH(§A¿0,1,0,1,13,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3,2,1,0,0,0,FALSE,FALSE§Z¿*§A¿0,1,0,1,13,3,1,0,0,0,FALSE,FALSE§Z¿*§A¿0,1,0,1,13,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3,2,1,0,0,0,FALSE,FALSE§Z¿*§A¿0,1,0,1,13,3,1,0,0,0,FALSE,FALSE§Z¿*§A¿0,1,0,1,13,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1,1,13,1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1,1,19,1,1</CBPLI>
                                  <ADVT>-1</ADVT>
                                  <VT>3</VT>
                                  <AS>1</AS>
                                  <O>1</O>
                                  <F1FFF><![CDATA[=§A¿1,1,4,1,22,0,1,1,1§Z¿]]></F1FFF>
                                  <F2FFF/>
                                  <IB>True</IB>
                                  <ICDD>True</ICDD>
                                  <SI>True</SI>
                                  <IT/>
                                  <IM/>
                                  <SE>True</SE>
                                  <ET/>
                                  <EM/>
                                  <IMO>0</IMO>
                                </VdtnProps>
                              </Vdtn>
                            </ClmnBlkPt>
                            <ClmnBlkPt>
                              <ClmnBlkPtProps>
                                <CBPT>1</CBPT>
                                <ST>6</ST>
                                <MC>True</MC>
                                <VOFFF><![CDATA[="Total "&§A¿0,1,0,1,19,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materials and supply]]></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7,2,1,1,0,0,TRUE,TRUE,1,47,2,1,2,0,0,TRUE,TRUE§Z¿,MATCH(§A¿0,1,0,1,19,1,1,0,0,0,FALSE,FALSE§Z¿,§A¿1,1,4,1,22,0,1,1,1§Z¿,0)),INDEX(§A¿0,1,1,1,47,4,1,1,0,0,TRUE,TRUE,1,47,4,1,2,0,0,TRUE,TRUE§Z¿,MATCH(§A¿0,1,0,1,19,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7,3,1,1,0,0,TRUE,TRUE,1,47,3,1,2,0,0,TRUE,TRUE§Z¿,MATCH(§A¿0,1,0,1,19,1,1,0,0,0,FALSE,FALSE§Z¿,§A¿1,1,4,1,22,0,1,1,1§Z¿,0)),INDEX(§A¿0,1,1,1,47,5,1,1,0,0,TRUE,TRUE,1,47,5,1,2,0,0,TRUE,TRUE§Z¿,MATCH(§A¿0,1,0,1,19,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9,2,1,0,0,0,FALSE,FALSE§Z¿*§A¿0,1,0,1,19,3,1,0,0,0,FALSE,FALSE§Z¿*§A¿0,1,0,1,19,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9,2,1,0,0,0,FALSE,FALSE§Z¿*§A¿0,1,0,1,19,3,1,0,0,0,FALSE,FALSE§Z¿*§A¿0,1,0,1,19,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1,1,19,1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1,1,23,1,1</CBPLI>
                                  <ADVT>-1</ADVT>
                                  <VT>3</VT>
                                  <AS>1</AS>
                                  <O>1</O>
                                  <F1FFF><![CDATA[=§A¿1,1,4,1,27,0,1,1,1§Z¿]]></F1FFF>
                                  <F2FFF/>
                                  <IB>True</IB>
                                  <ICDD>True</ICDD>
                                  <SI>True</SI>
                                  <IT/>
                                  <IM/>
                                  <SE>True</SE>
                                  <ET/>
                                  <EM/>
                                  <IMO>0</IMO>
                                </VdtnProps>
                              </Vdtn>
                            </ClmnBlkPt>
                            <ClmnBlkPt>
                              <ClmnBlkPtProps>
                                <CBPT>1</CBPT>
                                <ST>6</ST>
                                <MC>True</MC>
                                <VOFFF><![CDATA[="Total "&§A¿0,1,0,1,23,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50,2,1,1,0,0,TRUE,TRUE,1,50,2,1,2,0,0,TRUE,TRUE§Z¿,MATCH(§A¿0,1,0,1,23,1,1,0,0,0,FALSE,FALSE§Z¿,§A¿1,1,4,1,27,0,1,1,1§Z¿,0)),INDEX(§A¿0,1,1,1,50,4,1,1,0,0,TRUE,TRUE,1,50,4,1,2,0,0,TRUE,TRUE§Z¿,MATCH(§A¿0,1,0,1,23,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0,3,1,1,0,0,TRUE,TRUE,1,50,3,1,2,0,0,TRUE,TRUE§Z¿,MATCH(§A¿0,1,0,1,23,1,1,0,0,0,FALSE,FALSE§Z¿,§A¿1,1,4,1,27,0,1,1,1§Z¿,0)),INDEX(§A¿0,1,1,1,50,5,1,1,0,0,TRUE,TRUE,1,50,5,1,2,0,0,TRUE,TRUE§Z¿,MATCH(§A¿0,1,0,1,23,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3,2,1,0,0,0,FALSE,FALSE§Z¿*§A¿0,1,0,1,23,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3,2,1,0,0,0,FALSE,FALSE§Z¿*§A¿0,1,0,1,23,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1,1,28,1,1</CBPLI>
                                  <ADVT>-1</ADVT>
                                  <VT>3</VT>
                                  <AS>1</AS>
                                  <O>1</O>
                                  <F1FFF><![CDATA[=§A¿1,1,4,1,31,0,1,1,1§Z¿]]></F1FFF>
                                  <F2FFF/>
                                  <IB>True</IB>
                                  <ICDD>True</ICDD>
                                  <SI>True</SI>
                                  <IT/>
                                  <IM/>
                                  <SE>True</SE>
                                  <ET/>
                                  <EM/>
                                  <IMO>0</IMO>
                                </VdtnProps>
                              </Vdtn>
                            </ClmnBlkPt>
                            <ClmnBlkPt>
                              <ClmnBlkPtProps>
                                <CBPT>1</CBPT>
                                <ST>6</ST>
                                <MC>True</MC>
                                <VOFFF><![CDATA[="Total "&§A¿0,1,0,1,28,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4,2,1,1,0,0,TRUE,TRUE,1,54,2,1,2,0,0,TRUE,TRUE§Z¿,MATCH(§A¿0,1,0,1,28,1,1,0,0,0,FALSE,FALSE§Z¿,§A¿1,1,4,1,31,0,1,1,1§Z¿,0)),INDEX(§A¿0,1,1,1,54,4,1,1,0,0,TRUE,TRUE,1,54,4,1,2,0,0,TRUE,TRUE§Z¿,MATCH(§A¿0,1,0,1,28,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4,3,1,1,0,0,TRUE,TRUE,1,54,3,1,2,0,0,TRUE,TRUE§Z¿,MATCH(§A¿0,1,0,1,28,1,1,0,0,0,FALSE,FALSE§Z¿,§A¿1,1,4,1,31,0,1,1,1§Z¿,0)),INDEX(§A¿0,1,1,1,54,5,1,1,0,0,TRUE,TRUE,1,54,5,1,2,0,0,TRUE,TRUE§Z¿,MATCH(§A¿0,1,0,1,28,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8,2,1,0,0,0,FALSE,FALSE§Z¿*§A¿0,1,0,1,28,3,1,0,0,0,FALSE,FALSE§Z¿*§A¿0,1,0,1,28,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8,2,1,0,0,0,FALSE,FALSE§Z¿*§A¿0,1,0,1,28,3,1,0,0,0,FALSE,FALSE§Z¿*§A¿0,1,0,1,28,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5,1,1,1,0,0,TRUE,TRUE§Z¿,§A¿0,1,0,1,35,1,1,2,0,0,TRUE,TRUE§Z¿)&")"]]></VOFFF>
                              </ClmnBlkPtProps>
                            </ClmnBlkPt>
                          </ClmnBlkPts>
                        </ClmnBlk>
                        <ClmnBlk>
                          <ClmnBlkProps>
                            <FCPT>0</FCPT>
                            <FCN>22</FCN>
                            <LCPT>0</LCPT>
                            <LCN>22</LCN>
                          </ClmnBlkProps>
                          <ClmnBlkPts>
                            <ClmnBlkPt>
                              <ClmnBlkPtProps>
                                <CBPT>5</CBPT>
                                <ST>6</ST>
                                <SON>2</SON>
                                <VOFFF><![CDATA[="ECONOMIC COST ("&IF(§A¿1,1,1,1,5,0,2,1,1§Z¿=2,§A¿0,1,0,1,35,1,1,1,0,0,TRUE,TRUE§Z¿,§A¿0,1,0,1,35,1,1,2,0,0,TRUE,TRUE§Z¿)&")"]]></VOFFF>
                              </ClmnBlkPtProps>
                            </ClmnBlkPt>
                          </ClmnBlkPts>
                        </ClmnBlk>
                      </ClmnBlks>
                      <TtlCtg/>
                    </Elmt>
                    <Elmt>
                      <ElmtProps>
                        <CPT>2</CPT>
                      </ElmtProps>
                      <ClmnBlks>
                        <ClmnBlk>
                          <ClmnBlkProps>
                            <FCPT>0</FCPT>
                            <FCN>2</FCN>
                            <LCPT>0</LCPT>
                            <LCN>2</LCN>
                          </ClmnBlkProps>
                          <ClmnBlkPts>
                            <ClmnBlkPt>
                              <ClmnBlkPtProps>
                                <CBPT>5</CBPT>
                                <ST>4</ST>
                                <VOFFF><![CDATA[="Total Estimated Costs - "&§A¿0,1,0,1,3,1,1,-1,0,0,FALSE,FALSE§Z¿]]></VOFFF>
                              </ClmnBlkPtProps>
                            </ClmnBlkPt>
                          </ClmnBlkPts>
                        </ClmnBlk>
                        <ClmnBlk>
                          <ClmnBlkProps>
                            <FCPT>0</FCPT>
                            <FCN>17</FCN>
                            <LCPT>0</LCPT>
                            <LCN>17</LCN>
                          </ClmnBlkProps>
                          <ClmnBlkPts>
                            <ClmnBlkPt>
                              <ClmnBlkPtProps>
                                <CBPT>5</CBPT>
                                <ST>18</ST>
                                <SON>11</SON>
                                <VOFFF><![CDATA[=SUM(§A¿0,1,0,1,9,6,6,-1,0,0,FALSE,FALSE§Z¿,§A¿0,1,0,1,13,6,6,-1,0,0,FALSE,FALSE§Z¿,§A¿0,1,0,1,19,6,6,-1,0,0,FALSE,FALSE§Z¿,§A¿0,1,0,1,23,5,6,-1,0,0,FALSE,FALSE§Z¿,§A¿0,1,0,1,28,6,6,-1,0,0,FALSE,FALSE§Z¿)]]></VOFFF>
                              </ClmnBlkPtProps>
                            </ClmnBlkPt>
                          </ClmnBlkPts>
                        </ClmnBlk>
                        <ClmnBlk>
                          <ClmnBlkProps>
                            <FCPT>0</FCPT>
                            <FCN>19</FCN>
                            <LCPT>0</LCPT>
                            <LCN>19</LCN>
                          </ClmnBlkProps>
                          <ClmnBlkPts>
                            <ClmnBlkPt>
                              <ClmnBlkPtProps>
                                <CBPT>5</CBPT>
                                <ST>18</ST>
                                <SON>11</SON>
                                <VOFFF><![CDATA[=SUM(§A¿0,1,0,1,9,7,6,-1,0,0,FALSE,FALSE§Z¿,§A¿0,1,0,1,13,7,6,-1,0,0,FALSE,FALSE§Z¿,§A¿0,1,0,1,19,7,6,-1,0,0,FALSE,FALSE§Z¿,§A¿0,1,0,1,23,6,6,-1,0,0,FALSE,FALSE§Z¿,§A¿0,1,0,1,28,7,6,-1,0,0,FALSE,FALSE§Z¿)]]></VOFFF>
                              </ClmnBlkPtProps>
                            </ClmnBlkPt>
                          </ClmnBlkPts>
                        </ClmnBlk>
                        <ClmnBlk>
                          <ClmnBlkProps>
                            <FCPT>0</FCPT>
                            <FCN>21</FCN>
                            <LCPT>0</LCPT>
                            <LCN>21</LCN>
                          </ClmnBlkProps>
                          <ClmnBlkPts>
                            <ClmnBlkPt>
                              <ClmnBlkPtProps>
                                <CBPT>5</CBPT>
                                <ST>18</ST>
                                <SON>6</SON>
                                <VOFFF><![CDATA[=IFERROR(IF(§A¿1,1,1,1,5,0,2,1,1§Z¿=2,§A¿0,1,0,1,31,2,1,-1,0,0,FALSE,TRUE§Z¿/§A¿0,1,0,1,35,2,1,2,0,0,TRUE,TRUE§Z¿,§A¿0,1,0,1,31,2,1,-1,0,0,FALSE,TRUE§Z¿*§A¿0,1,0,1,35,2,1,2,0,0,TRUE,TRUE§Z¿), 0)]]></VOFFF>
                              </ClmnBlkPtProps>
                            </ClmnBlkPt>
                          </ClmnBlkPts>
                        </ClmnBlk>
                        <ClmnBlk>
                          <ClmnBlkProps>
                            <FCPT>0</FCPT>
                            <FCN>22</FCN>
                            <LCPT>0</LCPT>
                            <LCN>22</LCN>
                          </ClmnBlkProps>
                          <ClmnBlkPts>
                            <ClmnBlkPt>
                              <ClmnBlkPtProps>
                                <CBPT>5</CBPT>
                                <ST>18</ST>
                                <SON>6</SON>
                                <VOFFF><![CDATA[=IFERROR(IF(§A¿1,1,1,1,5,0,2,1,1§Z¿=2,§A¿0,1,0,1,31,3,1,-1,0,0,FALSE,TRUE§Z¿/§A¿0,1,0,1,35,2,1,2,0,0,TRUE,TRUE§Z¿,§A¿0,1,0,1,31,3,1,-1,0,0,FALSE,TRUE§Z¿*§A¿0,1,0,1,35,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5</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1,1,35,1,1</CBPLI>
                                    <ELN>1</ELN>
                                    <FFF><![CDATA[=§A¿10,FALSE,0,1,0,FALSE§Z¿]]></FFF>
                                  </LnkInFormProps>
                                </LnkInForm>
                              </LnkInForms>
                            </ClmnBlkPt>
                            <ClmnBlkPt>
                              <ClmnBlkPtProps>
                                <CBPT>1</CBPT>
                                <ST>6</ST>
                                <MC>True</MC>
                                <VOFFF><![CDATA[="Total "&§A¿0,1,0,1,35,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10</MN>
                                  <CLI>1,1,35,False,1</CLI>
                                  <ELN>1</ELN>
                                  <LOOT>0</LOOT>
                                  <LOMN>3</LOMN>
                                  <LOMCN>2</LOMCN>
                                  <LOSN>1</LOSN>
                                  <LOEN>4</LOEN>
                                  <LOCN>1</LOCN>
                                </LnkInProps>
                              </LnkIn>
                            </Ctg>
                            <Ctg>
                              <CtgProps>
                                <R>6</R>
                              </CtgProps>
                              <LnkIn>
                                <LnkInProps>
                                  <MN>10</MN>
                                  <CLI>1,1,35,False,2</CLI>
                                  <ELN>1</ELN>
                                  <LOOT>0</LOOT>
                                  <LOMN>3</LOMN>
                                  <LOMCN>2</LOMCN>
                                  <LOSN>1</LOSN>
                                  <LOEN>4</LOEN>
                                  <LOCN>2</LOCN>
                                </LnkInProps>
                              </LnkIn>
                            </Ctg>
                          </Ctgs>
                        </SubTtl>
                      </SubTtls>
                      <TtlCtg/>
                      <ElmtLnksIn>
                        <ElmtLnk>
                          <ElmtLnkProps>
                            <ELI>1,1,35</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Developer Only. User May Change in Step 1.e)]]></VOFFF>
                              </ClmnBlkPtProps>
                            </ClmnBlkPt>
                          </ClmnBlkPts>
                        </ClmnBlk>
                      </ClmnBlks>
                      <TtlCtg/>
                    </Elmt>
                    <Elmt>
                      <ElmtProps>
                        <CPT>2</CPT>
                      </ElmtProps>
                      <ClmnBlks>
                        <ClmnBlk>
                          <ClmnBlkProps>
                            <FCPT>0</FCPT>
                            <FCN>13</FCN>
                            <LCPT>0</LCPT>
                            <LCN>13</LCN>
                          </ClmnBlkProps>
                          <ClmnBlkPts>
                            <ClmnBlkPt>
                              <ClmnBlkPtProps>
                                <CBPT>5</CBPT>
                                <ST>18</ST>
                                <VOFFF><![CDATA[=§A¿0,1,0,1,35,1,1,1,0,0,TRUE,TRUE§Z¿]]></VOFFF>
                              </ClmnBlkPtProps>
                            </ClmnBlkPt>
                          </ClmnBlkPts>
                        </ClmnBlk>
                        <ClmnBlk>
                          <ClmnBlkProps>
                            <FCPT>0</FCPT>
                            <FCN>15</FCN>
                            <LCPT>0</LCPT>
                            <LCN>15</LCN>
                          </ClmnBlkProps>
                          <ClmnBlkPts>
                            <ClmnBlkPt>
                              <ClmnBlkPtProps>
                                <CBPT>5</CBPT>
                                <ST>18</ST>
                                <VOFFF><![CDATA[=§A¿0,1,0,1,35,1,1,1,0,0,TRUE,TRUE§Z¿]]></VOFFF>
                              </ClmnBlkPtProps>
                            </ClmnBlkPt>
                          </ClmnBlkPts>
                        </ClmnBlk>
                        <ClmnBlk>
                          <ClmnBlkProps>
                            <FCPT>0</FCPT>
                            <FCN>17</FCN>
                            <LCPT>0</LCPT>
                            <LCN>17</LCN>
                          </ClmnBlkProps>
                          <ClmnBlkPts>
                            <ClmnBlkPt>
                              <ClmnBlkPtProps>
                                <CBPT>5</CBPT>
                                <ST>18</ST>
                                <VOFFF><![CDATA[=§A¿0,1,0,1,35,1,1,2,0,0,TRUE,TRUE§Z¿]]></VOFFF>
                              </ClmnBlkPtProps>
                            </ClmnBlkPt>
                          </ClmnBlkPts>
                        </ClmnBlk>
                        <ClmnBlk>
                          <ClmnBlkProps>
                            <FCPT>0</FCPT>
                            <FCN>19</FCN>
                            <LCPT>0</LCPT>
                            <LCN>19</LCN>
                          </ClmnBlkProps>
                          <ClmnBlkPts>
                            <ClmnBlkPt>
                              <ClmnBlkPtProps>
                                <CBPT>5</CBPT>
                                <ST>18</ST>
                                <VOFFF><![CDATA[=§A¿0,1,0,1,35,1,1,2,0,0,TRUE,TRUE§Z¿]]></VOFFF>
                              </ClmnBlkPtProps>
                            </ClmnBlkPt>
                          </ClmnBlkPts>
                        </ClmnBlk>
                      </ClmnBlks>
                      <TtlCtg>
                        <TtlCtgProps>
                          <R>5</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1,1,40,1,1</CBPLI>
                                    <ELN>1</ELN>
                                    <FFF><![CDATA[=§A¿10,FALSE,0,1,0,FALSE§Z¿]]></FFF>
                                  </LnkInFormProps>
                                </LnkInForm>
                              </LnkInForms>
                            </ClmnBlkPt>
                            <ClmnBlkPt>
                              <ClmnBlkPtProps>
                                <CBPT>1</CBPT>
                                <ST>6</ST>
                                <VOFFF><![CDATA[="Total "&§A¿0,1,0,1,40,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1,1,40,2,1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1,1,40,3,1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1,1,40,4,1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1,1,40,5,1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10</MN>
                                  <CLI>1,1,40,False,1</CLI>
                                  <ELN>1</ELN>
                                  <LOOT>0</LOOT>
                                  <LOMN>3</LOMN>
                                  <LOMCN>1</LOMCN>
                                  <LOSN>1</LOSN>
                                  <LOEN>10</LOEN>
                                  <LOCN>1</LOCN>
                                </LnkInProps>
                              </LnkIn>
                            </Ctg>
                            <Ctg>
                              <CtgProps>
                                <R>5</R>
                              </CtgProps>
                              <LnkIn>
                                <LnkInProps>
                                  <MN>10</MN>
                                  <CLI>1,1,40,False,2</CLI>
                                  <ELN>1</ELN>
                                  <LOOT>0</LOOT>
                                  <LOMN>3</LOMN>
                                  <LOMCN>1</LOMCN>
                                  <LOSN>1</LOSN>
                                  <LOEN>10</LOEN>
                                  <LOCN>2</LOCN>
                                </LnkInProps>
                              </LnkIn>
                            </Ctg>
                            <Ctg>
                              <CtgProps>
                                <R>5</R>
                              </CtgProps>
                              <LnkIn>
                                <LnkInProps>
                                  <MN>10</MN>
                                  <CLI>1,1,40,False,3</CLI>
                                  <ELN>1</ELN>
                                  <LOOT>0</LOOT>
                                  <LOMN>3</LOMN>
                                  <LOMCN>1</LOMCN>
                                  <LOSN>1</LOSN>
                                  <LOEN>10</LOEN>
                                  <LOCN>3</LOCN>
                                </LnkInProps>
                              </LnkIn>
                            </Ctg>
                            <Ctg>
                              <CtgProps>
                                <R>5</R>
                              </CtgProps>
                              <LnkIn>
                                <LnkInProps>
                                  <MN>10</MN>
                                  <CLI>1,1,40,False,4</CLI>
                                  <ELN>1</ELN>
                                  <LOOT>0</LOOT>
                                  <LOMN>3</LOMN>
                                  <LOMCN>1</LOMCN>
                                  <LOSN>1</LOSN>
                                  <LOEN>10</LOEN>
                                  <LOCN>4</LOCN>
                                </LnkInProps>
                              </LnkIn>
                            </Ctg>
                            <Ctg>
                              <CtgProps>
                                <R>5</R>
                              </CtgProps>
                              <LnkIn>
                                <LnkInProps>
                                  <MN>10</MN>
                                  <CLI>1,1,40,False,5</CLI>
                                  <ELN>1</ELN>
                                  <LOOT>0</LOOT>
                                  <LOMN>3</LOMN>
                                  <LOMCN>1</LOMCN>
                                  <LOSN>1</LOSN>
                                  <LOEN>10</LOEN>
                                  <LOCN>5</LOCN>
                                </LnkInProps>
                              </LnkIn>
                            </Ctg>
                            <Ctg>
                              <CtgProps>
                                <R>5</R>
                              </CtgProps>
                              <LnkIn>
                                <LnkInProps>
                                  <MN>10</MN>
                                  <CLI>1,1,40,False,6</CLI>
                                  <ELN>1</ELN>
                                  <LOOT>0</LOOT>
                                  <LOMN>3</LOMN>
                                  <LOMCN>1</LOMCN>
                                  <LOSN>1</LOSN>
                                  <LOEN>10</LOEN>
                                  <LOCN>6</LOCN>
                                </LnkInProps>
                              </LnkIn>
                            </Ctg>
                            <Ctg>
                              <CtgProps>
                                <R>5</R>
                              </CtgProps>
                              <LnkIn>
                                <LnkInProps>
                                  <MN>10</MN>
                                  <CLI>1,1,40,False,7</CLI>
                                  <ELN>1</ELN>
                                  <LOOT>0</LOOT>
                                  <LOMN>3</LOMN>
                                  <LOMCN>1</LOMCN>
                                  <LOSN>1</LOSN>
                                  <LOEN>10</LOEN>
                                  <LOCN>7</LOCN>
                                </LnkInProps>
                              </LnkIn>
                            </Ctg>
                            <Ctg>
                              <CtgProps>
                                <R>5</R>
                              </CtgProps>
                              <LnkIn>
                                <LnkInProps>
                                  <MN>10</MN>
                                  <CLI>1,1,40,False,8</CLI>
                                  <ELN>1</ELN>
                                  <LOOT>0</LOOT>
                                  <LOMN>3</LOMN>
                                  <LOMCN>1</LOMCN>
                                  <LOSN>1</LOSN>
                                  <LOEN>10</LOEN>
                                  <LOCN>8</LOCN>
                                </LnkInProps>
                              </LnkIn>
                            </Ctg>
                            <Ctg>
                              <CtgProps>
                                <R>5</R>
                              </CtgProps>
                              <LnkIn>
                                <LnkInProps>
                                  <MN>10</MN>
                                  <CLI>1,1,40,False,9</CLI>
                                  <ELN>1</ELN>
                                  <LOOT>0</LOOT>
                                  <LOMN>3</LOMN>
                                  <LOMCN>1</LOMCN>
                                  <LOSN>1</LOSN>
                                  <LOEN>10</LOEN>
                                  <LOCN>9</LOCN>
                                </LnkInProps>
                              </LnkIn>
                            </Ctg>
                            <Ctg>
                              <CtgProps>
                                <R>5</R>
                              </CtgProps>
                              <LnkIn>
                                <LnkInProps>
                                  <MN>10</MN>
                                  <CLI>1,1,40,False,10</CLI>
                                  <ELN>1</ELN>
                                  <LOOT>0</LOOT>
                                  <LOMN>3</LOMN>
                                  <LOMCN>1</LOMCN>
                                  <LOSN>1</LOSN>
                                  <LOEN>10</LOEN>
                                  <LOCN>10</LOCN>
                                </LnkInProps>
                              </LnkIn>
                            </Ctg>
                            <Ctg>
                              <CtgProps>
                                <R>5</R>
                              </CtgProps>
                              <LnkIn>
                                <LnkInProps>
                                  <MN>10</MN>
                                  <CLI>1,1,40,False,11</CLI>
                                  <ELN>1</ELN>
                                  <LOOT>0</LOOT>
                                  <LOMN>3</LOMN>
                                  <LOMCN>1</LOMCN>
                                  <LOSN>1</LOSN>
                                  <LOEN>10</LOEN>
                                  <LOCN>11</LOCN>
                                </LnkInProps>
                              </LnkIn>
                            </Ctg>
                            <Ctg>
                              <CtgProps>
                                <R>5</R>
                              </CtgProps>
                              <LnkIn>
                                <LnkInProps>
                                  <MN>10</MN>
                                  <CLI>1,1,40,False,12</CLI>
                                  <ELN>1</ELN>
                                  <LOOT>0</LOOT>
                                  <LOMN>3</LOMN>
                                  <LOMCN>1</LOMCN>
                                  <LOSN>1</LOSN>
                                  <LOEN>10</LOEN>
                                  <LOCN>12</LOCN>
                                </LnkInProps>
                              </LnkIn>
                            </Ctg>
                            <Ctg>
                              <CtgProps>
                                <R>5</R>
                              </CtgProps>
                              <LnkIn>
                                <LnkInProps>
                                  <MN>10</MN>
                                  <CLI>1,1,40,False,13</CLI>
                                  <ELN>1</ELN>
                                  <LOOT>0</LOOT>
                                  <LOMN>3</LOMN>
                                  <LOMCN>1</LOMCN>
                                  <LOSN>1</LOSN>
                                  <LOEN>10</LOEN>
                                  <LOCN>13</LOCN>
                                </LnkInProps>
                              </LnkIn>
                            </Ctg>
                            <Ctg>
                              <CtgProps>
                                <R>5</R>
                              </CtgProps>
                              <LnkIn>
                                <LnkInProps>
                                  <MN>10</MN>
                                  <CLI>1,1,40,False,14</CLI>
                                  <ELN>1</ELN>
                                  <LOOT>0</LOOT>
                                  <LOMN>3</LOMN>
                                  <LOMCN>1</LOMCN>
                                  <LOSN>1</LOSN>
                                  <LOEN>10</LOEN>
                                  <LOCN>14</LOCN>
                                </LnkInProps>
                              </LnkIn>
                            </Ctg>
                            <Ctg>
                              <CtgProps>
                                <R>6</R>
                              </CtgProps>
                              <LnkIn>
                                <LnkInProps>
                                  <MN>10</MN>
                                  <CLI>1,1,40,False,15</CLI>
                                  <ELN>1</ELN>
                                  <LOOT>0</LOOT>
                                  <LOMN>3</LOMN>
                                  <LOMCN>1</LOMCN>
                                  <LOSN>1</LOSN>
                                  <LOEN>10</LOEN>
                                  <LOCN>15</LOCN>
                                </LnkInProps>
                              </LnkIn>
                            </Ctg>
                            <Ctg>
                              <CtgProps>
                                <R>6</R>
                              </CtgProps>
                              <LnkIn>
                                <LnkInProps>
                                  <MN>10</MN>
                                  <CLI>1,1,40,False,16</CLI>
                                  <ELN>1</ELN>
                                  <LOOT>0</LOOT>
                                  <LOMN>3</LOMN>
                                  <LOMCN>1</LOMCN>
                                  <LOSN>1</LOSN>
                                  <LOEN>10</LOEN>
                                  <LOCN>16</LOCN>
                                </LnkInProps>
                              </LnkIn>
                            </Ctg>
                            <Ctg>
                              <CtgProps>
                                <R>6</R>
                              </CtgProps>
                              <LnkIn>
                                <LnkInProps>
                                  <MN>10</MN>
                                  <CLI>1,1,40,False,17</CLI>
                                  <ELN>1</ELN>
                                  <LOOT>0</LOOT>
                                  <LOMN>3</LOMN>
                                  <LOMCN>1</LOMCN>
                                  <LOSN>1</LOSN>
                                  <LOEN>10</LOEN>
                                  <LOCN>17</LOCN>
                                </LnkInProps>
                              </LnkIn>
                            </Ctg>
                            <Ctg>
                              <CtgProps>
                                <R>6</R>
                              </CtgProps>
                              <LnkIn>
                                <LnkInProps>
                                  <MN>10</MN>
                                  <CLI>1,1,40,False,18</CLI>
                                  <ELN>1</ELN>
                                  <LOOT>0</LOOT>
                                  <LOMN>3</LOMN>
                                  <LOMCN>1</LOMCN>
                                  <LOSN>1</LOSN>
                                  <LOEN>10</LOEN>
                                  <LOCN>18</LOCN>
                                </LnkInProps>
                              </LnkIn>
                            </Ctg>
                            <Ctg>
                              <CtgProps>
                                <R>6</R>
                              </CtgProps>
                              <LnkIn>
                                <LnkInProps>
                                  <MN>10</MN>
                                  <CLI>1,1,40,False,19</CLI>
                                  <ELN>1</ELN>
                                  <LOOT>0</LOOT>
                                  <LOMN>3</LOMN>
                                  <LOMCN>1</LOMCN>
                                  <LOSN>1</LOSN>
                                  <LOEN>10</LOEN>
                                  <LOCN>19</LOCN>
                                </LnkInProps>
                              </LnkIn>
                            </Ctg>
                            <Ctg>
                              <CtgProps>
                                <R>6</R>
                              </CtgProps>
                              <LnkIn>
                                <LnkInProps>
                                  <MN>10</MN>
                                  <CLI>1,1,40,False,20</CLI>
                                  <ELN>1</ELN>
                                  <LOOT>0</LOOT>
                                  <LOMN>3</LOMN>
                                  <LOMCN>1</LOMCN>
                                  <LOSN>1</LOSN>
                                  <LOEN>10</LOEN>
                                  <LOCN>20</LOCN>
                                </LnkInProps>
                              </LnkIn>
                            </Ctg>
                            <Ctg>
                              <CtgProps>
                                <R>6</R>
                              </CtgProps>
                              <LnkIn>
                                <LnkInProps>
                                  <MN>10</MN>
                                  <CLI>1,1,40,False,21</CLI>
                                  <ELN>1</ELN>
                                  <LOOT>0</LOOT>
                                  <LOMN>3</LOMN>
                                  <LOMCN>1</LOMCN>
                                  <LOSN>1</LOSN>
                                  <LOEN>10</LOEN>
                                  <LOCN>21</LOCN>
                                </LnkInProps>
                              </LnkIn>
                            </Ctg>
                            <Ctg>
                              <CtgProps>
                                <R>6</R>
                              </CtgProps>
                              <LnkIn>
                                <LnkInProps>
                                  <MN>10</MN>
                                  <CLI>1,1,40,False,22</CLI>
                                  <ELN>1</ELN>
                                  <LOOT>0</LOOT>
                                  <LOMN>3</LOMN>
                                  <LOMCN>1</LOMCN>
                                  <LOSN>1</LOSN>
                                  <LOEN>10</LOEN>
                                  <LOCN>22</LOCN>
                                </LnkInProps>
                              </LnkIn>
                            </Ctg>
                            <Ctg>
                              <CtgProps>
                                <R>6</R>
                              </CtgProps>
                              <LnkIn>
                                <LnkInProps>
                                  <MN>10</MN>
                                  <CLI>1,1,40,False,23</CLI>
                                  <ELN>1</ELN>
                                  <LOOT>0</LOOT>
                                  <LOMN>3</LOMN>
                                  <LOMCN>1</LOMCN>
                                  <LOSN>1</LOSN>
                                  <LOEN>10</LOEN>
                                  <LOCN>23</LOCN>
                                </LnkInProps>
                              </LnkIn>
                            </Ctg>
                            <Ctg>
                              <CtgProps>
                                <R>6</R>
                              </CtgProps>
                              <LnkIn>
                                <LnkInProps>
                                  <MN>10</MN>
                                  <CLI>1,1,40,False,24</CLI>
                                  <ELN>1</ELN>
                                  <LOOT>0</LOOT>
                                  <LOMN>3</LOMN>
                                  <LOMCN>1</LOMCN>
                                  <LOSN>1</LOSN>
                                  <LOEN>10</LOEN>
                                  <LOCN>24</LOCN>
                                </LnkInProps>
                              </LnkIn>
                            </Ctg>
                            <Ctg>
                              <CtgProps>
                                <R>6</R>
                              </CtgProps>
                              <LnkIn>
                                <LnkInProps>
                                  <MN>10</MN>
                                  <CLI>1,1,40,False,25</CLI>
                                  <ELN>1</ELN>
                                  <LOOT>0</LOOT>
                                  <LOMN>3</LOMN>
                                  <LOMCN>1</LOMCN>
                                  <LOSN>1</LOSN>
                                  <LOEN>10</LOEN>
                                  <LOCN>25</LOCN>
                                </LnkInProps>
                              </LnkIn>
                            </Ctg>
                            <Ctg>
                              <CtgProps>
                                <R>6</R>
                              </CtgProps>
                              <LnkIn>
                                <LnkInProps>
                                  <MN>10</MN>
                                  <CLI>1,1,40,False,26</CLI>
                                  <ELN>1</ELN>
                                  <LOOT>0</LOOT>
                                  <LOMN>3</LOMN>
                                  <LOMCN>1</LOMCN>
                                  <LOSN>1</LOSN>
                                  <LOEN>10</LOEN>
                                  <LOCN>26</LOCN>
                                </LnkInProps>
                              </LnkIn>
                            </Ctg>
                            <Ctg>
                              <CtgProps>
                                <R>6</R>
                              </CtgProps>
                              <LnkIn>
                                <LnkInProps>
                                  <MN>10</MN>
                                  <CLI>1,1,40,False,27</CLI>
                                  <ELN>1</ELN>
                                  <LOOT>0</LOOT>
                                  <LOMN>3</LOMN>
                                  <LOMCN>1</LOMCN>
                                  <LOSN>1</LOSN>
                                  <LOEN>10</LOEN>
                                  <LOCN>27</LOCN>
                                </LnkInProps>
                              </LnkIn>
                            </Ctg>
                            <Ctg>
                              <CtgProps>
                                <R>6</R>
                              </CtgProps>
                              <LnkIn>
                                <LnkInProps>
                                  <MN>10</MN>
                                  <CLI>1,1,40,False,28</CLI>
                                  <ELN>1</ELN>
                                  <LOOT>0</LOOT>
                                  <LOMN>3</LOMN>
                                  <LOMCN>1</LOMCN>
                                  <LOSN>1</LOSN>
                                  <LOEN>10</LOEN>
                                  <LOCN>28</LOCN>
                                </LnkInProps>
                              </LnkIn>
                            </Ctg>
                            <Ctg>
                              <CtgProps>
                                <R>6</R>
                              </CtgProps>
                              <LnkIn>
                                <LnkInProps>
                                  <MN>10</MN>
                                  <CLI>1,1,40,False,29</CLI>
                                  <ELN>1</ELN>
                                  <LOOT>0</LOOT>
                                  <LOMN>3</LOMN>
                                  <LOMCN>1</LOMCN>
                                  <LOSN>1</LOSN>
                                  <LOEN>10</LOEN>
                                  <LOCN>29</LOCN>
                                </LnkInProps>
                              </LnkIn>
                            </Ctg>
                            <Ctg>
                              <CtgProps>
                                <R>6</R>
                              </CtgProps>
                              <LnkIn>
                                <LnkInProps>
                                  <MN>10</MN>
                                  <CLI>1,1,40,False,30</CLI>
                                  <ELN>1</ELN>
                                  <LOOT>0</LOOT>
                                  <LOMN>3</LOMN>
                                  <LOMCN>1</LOMCN>
                                  <LOSN>1</LOSN>
                                  <LOEN>10</LOEN>
                                  <LOCN>30</LOCN>
                                </LnkInProps>
                              </LnkIn>
                            </Ctg>
                            <Ctg>
                              <CtgProps>
                                <R>6</R>
                              </CtgProps>
                              <LnkIn>
                                <LnkInProps>
                                  <MN>10</MN>
                                  <CLI>1,1,40,False,31</CLI>
                                  <ELN>1</ELN>
                                  <LOOT>0</LOOT>
                                  <LOMN>3</LOMN>
                                  <LOMCN>1</LOMCN>
                                  <LOSN>1</LOSN>
                                  <LOEN>10</LOEN>
                                  <LOCN>31</LOCN>
                                </LnkInProps>
                              </LnkIn>
                            </Ctg>
                            <Ctg>
                              <CtgProps>
                                <R>6</R>
                              </CtgProps>
                              <LnkIn>
                                <LnkInProps>
                                  <MN>10</MN>
                                  <CLI>1,1,40,False,32</CLI>
                                  <ELN>1</ELN>
                                  <LOOT>0</LOOT>
                                  <LOMN>3</LOMN>
                                  <LOMCN>1</LOMCN>
                                  <LOSN>1</LOSN>
                                  <LOEN>10</LOEN>
                                  <LOCN>32</LOCN>
                                </LnkInProps>
                              </LnkIn>
                            </Ctg>
                            <Ctg>
                              <CtgProps>
                                <R>6</R>
                              </CtgProps>
                              <LnkIn>
                                <LnkInProps>
                                  <MN>10</MN>
                                  <CLI>1,1,40,False,33</CLI>
                                  <ELN>1</ELN>
                                  <LOOT>0</LOOT>
                                  <LOMN>3</LOMN>
                                  <LOMCN>1</LOMCN>
                                  <LOSN>1</LOSN>
                                  <LOEN>10</LOEN>
                                  <LOCN>33</LOCN>
                                </LnkInProps>
                              </LnkIn>
                            </Ctg>
                            <Ctg>
                              <CtgProps>
                                <R>6</R>
                              </CtgProps>
                              <LnkIn>
                                <LnkInProps>
                                  <MN>10</MN>
                                  <CLI>1,1,40,False,34</CLI>
                                  <ELN>1</ELN>
                                  <LOOT>0</LOOT>
                                  <LOMN>3</LOMN>
                                  <LOMCN>1</LOMCN>
                                  <LOSN>1</LOSN>
                                  <LOEN>10</LOEN>
                                  <LOCN>34</LOCN>
                                </LnkInProps>
                              </LnkIn>
                            </Ctg>
                            <Ctg>
                              <CtgProps>
                                <R>6</R>
                              </CtgProps>
                              <LnkIn>
                                <LnkInProps>
                                  <MN>10</MN>
                                  <CLI>1,1,40,False,35</CLI>
                                  <ELN>1</ELN>
                                  <LOOT>0</LOOT>
                                  <LOMN>3</LOMN>
                                  <LOMCN>1</LOMCN>
                                  <LOSN>1</LOSN>
                                  <LOEN>10</LOEN>
                                  <LOCN>35</LOCN>
                                </LnkInProps>
                              </LnkIn>
                            </Ctg>
                          </Ctgs>
                        </SubTtl>
                      </SubTtls>
                      <TtlCtg/>
                      <ElmtLnksIn>
                        <ElmtLnk>
                          <ElmtLnkProps>
                            <ELI>1,1,40</ELI>
                            <ELN>1</ELN>
                            <ELGN>2</ELGN>
                            <MLG>CAC8B5C0-233F-4D13-BCDB-E76500A60063</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5,1,1,1,0,0,TRUE,TRUE§Z¿]]></VOFFF>
                              </ClmnBlkPtProps>
                            </ClmnBlkPt>
                          </ClmnBlkPts>
                        </ClmnBlk>
                        <ClmnBlk>
                          <ClmnBlkProps>
                            <FCPT>0</FCPT>
                            <FCN>15</FCN>
                            <LCPT>0</LCPT>
                            <LCN>15</LCN>
                          </ClmnBlkProps>
                          <ClmnBlkPts>
                            <ClmnBlkPt>
                              <ClmnBlkPtProps>
                                <CBPT>5</CBPT>
                                <ST>18</ST>
                                <VOFFF><![CDATA[=§A¿0,1,0,1,35,1,1,1,0,0,TRUE,TRUE§Z¿]]></VOFFF>
                              </ClmnBlkPtProps>
                            </ClmnBlkPt>
                          </ClmnBlkPts>
                        </ClmnBlk>
                        <ClmnBlk>
                          <ClmnBlkProps>
                            <FCPT>0</FCPT>
                            <FCN>17</FCN>
                            <LCPT>0</LCPT>
                            <LCN>17</LCN>
                          </ClmnBlkProps>
                          <ClmnBlkPts>
                            <ClmnBlkPt>
                              <ClmnBlkPtProps>
                                <CBPT>5</CBPT>
                                <ST>18</ST>
                                <VOFFF><![CDATA[=§A¿0,1,0,1,35,1,1,2,0,0,TRUE,TRUE§Z¿]]></VOFFF>
                              </ClmnBlkPtProps>
                            </ClmnBlkPt>
                          </ClmnBlkPts>
                        </ClmnBlk>
                        <ClmnBlk>
                          <ClmnBlkProps>
                            <FCPT>0</FCPT>
                            <FCN>19</FCN>
                            <LCPT>0</LCPT>
                            <LCN>19</LCN>
                          </ClmnBlkProps>
                          <ClmnBlkPts>
                            <ClmnBlkPt>
                              <ClmnBlkPtProps>
                                <CBPT>5</CBPT>
                                <ST>18</ST>
                                <VOFFF><![CDATA[=§A¿0,1,0,1,35,1,1,2,0,0,TRUE,TRUE§Z¿]]></VOFFF>
                              </ClmnBlkPtProps>
                            </ClmnBlkPt>
                          </ClmnBlkPts>
                        </ClmnBlk>
                      </ClmnBlks>
                      <TtlCtg>
                        <TtlCtgProps>
                          <R>5</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1,1,43,1,1</CBPLI>
                                    <ELN>1</ELN>
                                    <FFF><![CDATA[=§A¿10,FALSE,0,1,0,FALSE§Z¿]]></FFF>
                                  </LnkInFormProps>
                                </LnkInForm>
                              </LnkInForms>
                            </ClmnBlkPt>
                            <ClmnBlkPt>
                              <ClmnBlkPtProps>
                                <CBPT>1</CBPT>
                                <ST>6</ST>
                                <VOFFF><![CDATA[="Total "&§A¿0,1,0,1,4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10</MN>
                                  <CLI>1,1,43,False,1</CLI>
                                  <ELN>1</ELN>
                                  <LOOT>0</LOOT>
                                  <LOMN>3</LOMN>
                                  <LOMCN>1</LOMCN>
                                  <LOSN>1</LOSN>
                                  <LOEN>15</LOEN>
                                  <LOCN>1</LOCN>
                                </LnkInProps>
                              </LnkIn>
                            </Ctg>
                            <Ctg>
                              <CtgProps>
                                <R>5</R>
                              </CtgProps>
                              <LnkIn>
                                <LnkInProps>
                                  <MN>10</MN>
                                  <CLI>1,1,43,False,2</CLI>
                                  <ELN>1</ELN>
                                  <LOOT>0</LOOT>
                                  <LOMN>3</LOMN>
                                  <LOMCN>1</LOMCN>
                                  <LOSN>1</LOSN>
                                  <LOEN>15</LOEN>
                                  <LOCN>2</LOCN>
                                </LnkInProps>
                              </LnkIn>
                            </Ctg>
                            <Ctg>
                              <CtgProps>
                                <R>5</R>
                              </CtgProps>
                              <LnkIn>
                                <LnkInProps>
                                  <MN>10</MN>
                                  <CLI>1,1,43,False,3</CLI>
                                  <ELN>1</ELN>
                                  <LOOT>0</LOOT>
                                  <LOMN>3</LOMN>
                                  <LOMCN>1</LOMCN>
                                  <LOSN>1</LOSN>
                                  <LOEN>15</LOEN>
                                  <LOCN>3</LOCN>
                                </LnkInProps>
                              </LnkIn>
                            </Ctg>
                            <Ctg>
                              <CtgProps>
                                <R>5</R>
                              </CtgProps>
                              <LnkIn>
                                <LnkInProps>
                                  <MN>10</MN>
                                  <CLI>1,1,43,False,4</CLI>
                                  <ELN>1</ELN>
                                  <LOOT>0</LOOT>
                                  <LOMN>3</LOMN>
                                  <LOMCN>1</LOMCN>
                                  <LOSN>1</LOSN>
                                  <LOEN>15</LOEN>
                                  <LOCN>4</LOCN>
                                </LnkInProps>
                              </LnkIn>
                            </Ctg>
                            <Ctg>
                              <CtgProps>
                                <R>6</R>
                              </CtgProps>
                              <LnkIn>
                                <LnkInProps>
                                  <MN>10</MN>
                                  <CLI>1,1,43,False,5</CLI>
                                  <ELN>1</ELN>
                                  <LOOT>0</LOOT>
                                  <LOMN>3</LOMN>
                                  <LOMCN>1</LOMCN>
                                  <LOSN>1</LOSN>
                                  <LOEN>15</LOEN>
                                  <LOCN>5</LOCN>
                                </LnkInProps>
                              </LnkIn>
                            </Ctg>
                            <Ctg>
                              <CtgProps>
                                <R>6</R>
                              </CtgProps>
                              <LnkIn>
                                <LnkInProps>
                                  <MN>10</MN>
                                  <CLI>1,1,43,False,6</CLI>
                                  <ELN>1</ELN>
                                  <LOOT>0</LOOT>
                                  <LOMN>3</LOMN>
                                  <LOMCN>1</LOMCN>
                                  <LOSN>1</LOSN>
                                  <LOEN>15</LOEN>
                                  <LOCN>6</LOCN>
                                </LnkInProps>
                              </LnkIn>
                            </Ctg>
                            <Ctg>
                              <CtgProps>
                                <R>6</R>
                              </CtgProps>
                              <LnkIn>
                                <LnkInProps>
                                  <MN>10</MN>
                                  <CLI>1,1,43,False,7</CLI>
                                  <ELN>1</ELN>
                                  <LOOT>0</LOOT>
                                  <LOMN>3</LOMN>
                                  <LOMCN>1</LOMCN>
                                  <LOSN>1</LOSN>
                                  <LOEN>15</LOEN>
                                  <LOCN>7</LOCN>
                                </LnkInProps>
                              </LnkIn>
                            </Ctg>
                            <Ctg>
                              <CtgProps>
                                <R>6</R>
                              </CtgProps>
                              <LnkIn>
                                <LnkInProps>
                                  <MN>10</MN>
                                  <CLI>1,1,43,False,8</CLI>
                                  <ELN>1</ELN>
                                  <LOOT>0</LOOT>
                                  <LOMN>3</LOMN>
                                  <LOMCN>1</LOMCN>
                                  <LOSN>1</LOSN>
                                  <LOEN>15</LOEN>
                                  <LOCN>8</LOCN>
                                </LnkInProps>
                              </LnkIn>
                            </Ctg>
                            <Ctg>
                              <CtgProps>
                                <R>6</R>
                              </CtgProps>
                              <LnkIn>
                                <LnkInProps>
                                  <MN>10</MN>
                                  <CLI>1,1,43,False,9</CLI>
                                  <ELN>1</ELN>
                                  <LOOT>0</LOOT>
                                  <LOMN>3</LOMN>
                                  <LOMCN>1</LOMCN>
                                  <LOSN>1</LOSN>
                                  <LOEN>15</LOEN>
                                  <LOCN>9</LOCN>
                                </LnkInProps>
                              </LnkIn>
                            </Ctg>
                            <Ctg>
                              <CtgProps>
                                <R>6</R>
                              </CtgProps>
                              <LnkIn>
                                <LnkInProps>
                                  <MN>10</MN>
                                  <CLI>1,1,43,False,10</CLI>
                                  <ELN>1</ELN>
                                  <LOOT>0</LOOT>
                                  <LOMN>3</LOMN>
                                  <LOMCN>1</LOMCN>
                                  <LOSN>1</LOSN>
                                  <LOEN>15</LOEN>
                                  <LOCN>10</LOCN>
                                </LnkInProps>
                              </LnkIn>
                            </Ctg>
                            <Ctg>
                              <CtgProps>
                                <R>6</R>
                              </CtgProps>
                              <LnkIn>
                                <LnkInProps>
                                  <MN>10</MN>
                                  <CLI>1,1,43,False,11</CLI>
                                  <ELN>1</ELN>
                                  <LOOT>0</LOOT>
                                  <LOMN>3</LOMN>
                                  <LOMCN>1</LOMCN>
                                  <LOSN>1</LOSN>
                                  <LOEN>15</LOEN>
                                  <LOCN>11</LOCN>
                                </LnkInProps>
                              </LnkIn>
                            </Ctg>
                            <Ctg>
                              <CtgProps>
                                <R>6</R>
                              </CtgProps>
                              <LnkIn>
                                <LnkInProps>
                                  <MN>10</MN>
                                  <CLI>1,1,43,False,12</CLI>
                                  <ELN>1</ELN>
                                  <LOOT>0</LOOT>
                                  <LOMN>3</LOMN>
                                  <LOMCN>1</LOMCN>
                                  <LOSN>1</LOSN>
                                  <LOEN>15</LOEN>
                                  <LOCN>12</LOCN>
                                </LnkInProps>
                              </LnkIn>
                            </Ctg>
                            <Ctg>
                              <CtgProps>
                                <R>6</R>
                              </CtgProps>
                              <LnkIn>
                                <LnkInProps>
                                  <MN>10</MN>
                                  <CLI>1,1,43,False,13</CLI>
                                  <ELN>1</ELN>
                                  <LOOT>0</LOOT>
                                  <LOMN>3</LOMN>
                                  <LOMCN>1</LOMCN>
                                  <LOSN>1</LOSN>
                                  <LOEN>15</LOEN>
                                  <LOCN>13</LOCN>
                                </LnkInProps>
                              </LnkIn>
                            </Ctg>
                            <Ctg>
                              <CtgProps>
                                <R>6</R>
                              </CtgProps>
                              <LnkIn>
                                <LnkInProps>
                                  <MN>10</MN>
                                  <CLI>1,1,43,False,14</CLI>
                                  <ELN>1</ELN>
                                  <LOOT>0</LOOT>
                                  <LOMN>3</LOMN>
                                  <LOMCN>1</LOMCN>
                                  <LOSN>1</LOSN>
                                  <LOEN>15</LOEN>
                                  <LOCN>14</LOCN>
                                </LnkInProps>
                              </LnkIn>
                            </Ctg>
                            <Ctg>
                              <CtgProps>
                                <R>6</R>
                              </CtgProps>
                              <LnkIn>
                                <LnkInProps>
                                  <MN>10</MN>
                                  <CLI>1,1,43,False,15</CLI>
                                  <ELN>1</ELN>
                                  <LOOT>0</LOOT>
                                  <LOMN>3</LOMN>
                                  <LOMCN>1</LOMCN>
                                  <LOSN>1</LOSN>
                                  <LOEN>15</LOEN>
                                  <LOCN>15</LOCN>
                                </LnkInProps>
                              </LnkIn>
                            </Ctg>
                            <Ctg>
                              <CtgProps>
                                <R>6</R>
                              </CtgProps>
                              <LnkIn>
                                <LnkInProps>
                                  <MN>10</MN>
                                  <CLI>1,1,43,False,16</CLI>
                                  <ELN>1</ELN>
                                  <LOOT>0</LOOT>
                                  <LOMN>3</LOMN>
                                  <LOMCN>1</LOMCN>
                                  <LOSN>1</LOSN>
                                  <LOEN>15</LOEN>
                                  <LOCN>16</LOCN>
                                </LnkInProps>
                              </LnkIn>
                            </Ctg>
                            <Ctg>
                              <CtgProps>
                                <R>5</R>
                              </CtgProps>
                              <LnkIn>
                                <LnkInProps>
                                  <MN>10</MN>
                                  <CLI>1,1,43,False,17</CLI>
                                  <ELN>1</ELN>
                                  <LOOT>0</LOOT>
                                  <LOMN>3</LOMN>
                                  <LOMCN>1</LOMCN>
                                  <LOSN>1</LOSN>
                                  <LOEN>15</LOEN>
                                  <LOCN>17</LOCN>
                                </LnkInProps>
                              </LnkIn>
                            </Ctg>
                            <Ctg>
                              <CtgProps>
                                <R>5</R>
                              </CtgProps>
                              <LnkIn>
                                <LnkInProps>
                                  <MN>10</MN>
                                  <CLI>1,1,43,False,18</CLI>
                                  <ELN>1</ELN>
                                  <LOOT>0</LOOT>
                                  <LOMN>3</LOMN>
                                  <LOMCN>1</LOMCN>
                                  <LOSN>1</LOSN>
                                  <LOEN>15</LOEN>
                                  <LOCN>18</LOCN>
                                </LnkInProps>
                              </LnkIn>
                            </Ctg>
                            <Ctg>
                              <CtgProps>
                                <R>5</R>
                              </CtgProps>
                              <LnkIn>
                                <LnkInProps>
                                  <MN>10</MN>
                                  <CLI>1,1,43,False,19</CLI>
                                  <ELN>1</ELN>
                                  <LOOT>0</LOOT>
                                  <LOMN>3</LOMN>
                                  <LOMCN>1</LOMCN>
                                  <LOSN>1</LOSN>
                                  <LOEN>15</LOEN>
                                  <LOCN>19</LOCN>
                                </LnkInProps>
                              </LnkIn>
                            </Ctg>
                            <Ctg>
                              <CtgProps>
                                <R>5</R>
                              </CtgProps>
                              <LnkIn>
                                <LnkInProps>
                                  <MN>10</MN>
                                  <CLI>1,1,43,False,20</CLI>
                                  <ELN>1</ELN>
                                  <LOOT>0</LOOT>
                                  <LOMN>3</LOMN>
                                  <LOMCN>1</LOMCN>
                                  <LOSN>1</LOSN>
                                  <LOEN>15</LOEN>
                                  <LOCN>20</LOCN>
                                </LnkInProps>
                              </LnkIn>
                            </Ctg>
                            <Ctg>
                              <CtgProps>
                                <R>5</R>
                              </CtgProps>
                              <LnkIn>
                                <LnkInProps>
                                  <MN>10</MN>
                                  <CLI>1,1,43,False,21</CLI>
                                  <ELN>1</ELN>
                                  <LOOT>0</LOOT>
                                  <LOMN>3</LOMN>
                                  <LOMCN>1</LOMCN>
                                  <LOSN>1</LOSN>
                                  <LOEN>15</LOEN>
                                  <LOCN>21</LOCN>
                                </LnkInProps>
                              </LnkIn>
                            </Ctg>
                            <Ctg>
                              <CtgProps>
                                <R>5</R>
                              </CtgProps>
                              <LnkIn>
                                <LnkInProps>
                                  <MN>10</MN>
                                  <CLI>1,1,43,False,22</CLI>
                                  <ELN>1</ELN>
                                  <LOOT>0</LOOT>
                                  <LOMN>3</LOMN>
                                  <LOMCN>1</LOMCN>
                                  <LOSN>1</LOSN>
                                  <LOEN>15</LOEN>
                                  <LOCN>22</LOCN>
                                </LnkInProps>
                              </LnkIn>
                            </Ctg>
                            <Ctg>
                              <CtgProps>
                                <R>6</R>
                              </CtgProps>
                              <LnkIn>
                                <LnkInProps>
                                  <MN>10</MN>
                                  <CLI>1,1,43,False,23</CLI>
                                  <ELN>1</ELN>
                                  <LOOT>0</LOOT>
                                  <LOMN>3</LOMN>
                                  <LOMCN>1</LOMCN>
                                  <LOSN>1</LOSN>
                                  <LOEN>15</LOEN>
                                  <LOCN>23</LOCN>
                                </LnkInProps>
                              </LnkIn>
                            </Ctg>
                            <Ctg>
                              <CtgProps>
                                <R>6</R>
                              </CtgProps>
                              <LnkIn>
                                <LnkInProps>
                                  <MN>10</MN>
                                  <CLI>1,1,43,False,24</CLI>
                                  <ELN>1</ELN>
                                  <LOOT>0</LOOT>
                                  <LOMN>3</LOMN>
                                  <LOMCN>1</LOMCN>
                                  <LOSN>1</LOSN>
                                  <LOEN>15</LOEN>
                                  <LOCN>24</LOCN>
                                </LnkInProps>
                              </LnkIn>
                            </Ctg>
                            <Ctg>
                              <CtgProps>
                                <R>6</R>
                              </CtgProps>
                              <LnkIn>
                                <LnkInProps>
                                  <MN>10</MN>
                                  <CLI>1,1,43,False,25</CLI>
                                  <ELN>1</ELN>
                                  <LOOT>0</LOOT>
                                  <LOMN>3</LOMN>
                                  <LOMCN>1</LOMCN>
                                  <LOSN>1</LOSN>
                                  <LOEN>15</LOEN>
                                  <LOCN>25</LOCN>
                                </LnkInProps>
                              </LnkIn>
                            </Ctg>
                            <Ctg>
                              <CtgProps>
                                <R>6</R>
                              </CtgProps>
                              <LnkIn>
                                <LnkInProps>
                                  <MN>10</MN>
                                  <CLI>1,1,43,False,26</CLI>
                                  <ELN>1</ELN>
                                  <LOOT>0</LOOT>
                                  <LOMN>3</LOMN>
                                  <LOMCN>1</LOMCN>
                                  <LOSN>1</LOSN>
                                  <LOEN>15</LOEN>
                                  <LOCN>26</LOCN>
                                </LnkInProps>
                              </LnkIn>
                            </Ctg>
                            <Ctg>
                              <CtgProps>
                                <R>6</R>
                              </CtgProps>
                              <LnkIn>
                                <LnkInProps>
                                  <MN>10</MN>
                                  <CLI>1,1,43,False,27</CLI>
                                  <ELN>1</ELN>
                                  <LOOT>0</LOOT>
                                  <LOMN>3</LOMN>
                                  <LOMCN>1</LOMCN>
                                  <LOSN>1</LOSN>
                                  <LOEN>15</LOEN>
                                  <LOCN>27</LOCN>
                                </LnkInProps>
                              </LnkIn>
                            </Ctg>
                            <Ctg>
                              <CtgProps>
                                <R>6</R>
                              </CtgProps>
                              <LnkIn>
                                <LnkInProps>
                                  <MN>10</MN>
                                  <CLI>1,1,43,False,28</CLI>
                                  <ELN>1</ELN>
                                  <LOOT>0</LOOT>
                                  <LOMN>3</LOMN>
                                  <LOMCN>1</LOMCN>
                                  <LOSN>1</LOSN>
                                  <LOEN>15</LOEN>
                                  <LOCN>28</LOCN>
                                </LnkInProps>
                              </LnkIn>
                            </Ctg>
                            <Ctg>
                              <CtgProps>
                                <R>6</R>
                              </CtgProps>
                              <LnkIn>
                                <LnkInProps>
                                  <MN>10</MN>
                                  <CLI>1,1,43,False,29</CLI>
                                  <ELN>1</ELN>
                                  <LOOT>0</LOOT>
                                  <LOMN>3</LOMN>
                                  <LOMCN>1</LOMCN>
                                  <LOSN>1</LOSN>
                                  <LOEN>15</LOEN>
                                  <LOCN>29</LOCN>
                                </LnkInProps>
                              </LnkIn>
                            </Ctg>
                            <Ctg>
                              <CtgProps>
                                <R>6</R>
                              </CtgProps>
                              <LnkIn>
                                <LnkInProps>
                                  <MN>10</MN>
                                  <CLI>1,1,43,False,30</CLI>
                                  <ELN>1</ELN>
                                  <LOOT>0</LOOT>
                                  <LOMN>3</LOMN>
                                  <LOMCN>1</LOMCN>
                                  <LOSN>1</LOSN>
                                  <LOEN>15</LOEN>
                                  <LOCN>30</LOCN>
                                </LnkInProps>
                              </LnkIn>
                            </Ctg>
                            <Ctg>
                              <CtgProps>
                                <R>5</R>
                              </CtgProps>
                              <LnkIn>
                                <LnkInProps>
                                  <MN>10</MN>
                                  <CLI>1,1,43,False,31</CLI>
                                  <ELN>1</ELN>
                                  <LOOT>0</LOOT>
                                  <LOMN>3</LOMN>
                                  <LOMCN>1</LOMCN>
                                  <LOSN>1</LOSN>
                                  <LOEN>15</LOEN>
                                  <LOCN>31</LOCN>
                                </LnkInProps>
                              </LnkIn>
                            </Ctg>
                            <Ctg>
                              <CtgProps>
                                <R>5</R>
                              </CtgProps>
                              <LnkIn>
                                <LnkInProps>
                                  <MN>10</MN>
                                  <CLI>1,1,43,False,32</CLI>
                                  <ELN>1</ELN>
                                  <LOOT>0</LOOT>
                                  <LOMN>3</LOMN>
                                  <LOMCN>1</LOMCN>
                                  <LOSN>1</LOSN>
                                  <LOEN>15</LOEN>
                                  <LOCN>32</LOCN>
                                </LnkInProps>
                              </LnkIn>
                            </Ctg>
                            <Ctg>
                              <CtgProps>
                                <R>5</R>
                              </CtgProps>
                              <LnkIn>
                                <LnkInProps>
                                  <MN>10</MN>
                                  <CLI>1,1,43,False,33</CLI>
                                  <ELN>1</ELN>
                                  <LOOT>0</LOOT>
                                  <LOMN>3</LOMN>
                                  <LOMCN>1</LOMCN>
                                  <LOSN>1</LOSN>
                                  <LOEN>15</LOEN>
                                  <LOCN>33</LOCN>
                                </LnkInProps>
                              </LnkIn>
                            </Ctg>
                            <Ctg>
                              <CtgProps>
                                <R>5</R>
                              </CtgProps>
                              <LnkIn>
                                <LnkInProps>
                                  <MN>10</MN>
                                  <CLI>1,1,43,False,34</CLI>
                                  <ELN>1</ELN>
                                  <LOOT>0</LOOT>
                                  <LOMN>3</LOMN>
                                  <LOMCN>1</LOMCN>
                                  <LOSN>1</LOSN>
                                  <LOEN>15</LOEN>
                                  <LOCN>34</LOCN>
                                </LnkInProps>
                              </LnkIn>
                            </Ctg>
                            <Ctg>
                              <CtgProps>
                                <R>5</R>
                              </CtgProps>
                              <LnkIn>
                                <LnkInProps>
                                  <MN>10</MN>
                                  <CLI>1,1,43,False,35</CLI>
                                  <ELN>1</ELN>
                                  <LOOT>0</LOOT>
                                  <LOMN>3</LOMN>
                                  <LOMCN>1</LOMCN>
                                  <LOSN>1</LOSN>
                                  <LOEN>15</LOEN>
                                  <LOCN>35</LOCN>
                                </LnkInProps>
                              </LnkIn>
                            </Ctg>
                          </Ctgs>
                        </SubTtl>
                      </SubTtls>
                      <TtlCtg/>
                      <ElmtLnksIn>
                        <ElmtLnk>
                          <ElmtLnkProps>
                            <ELI>1,1,43</ELI>
                            <ELN>1</ELN>
                            <ELGN>3</ELGN>
                            <MLG>9954C197-DC59-49F2-BACE-BDAFCC88813C</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5,1,1,1,0,0,TRUE,TRUE§Z¿]]></VOFFF>
                              </ClmnBlkPtProps>
                            </ClmnBlkPt>
                          </ClmnBlkPts>
                        </ClmnBlk>
                        <ClmnBlk>
                          <ClmnBlkProps>
                            <FCPT>0</FCPT>
                            <FCN>15</FCN>
                            <LCPT>0</LCPT>
                            <LCN>15</LCN>
                          </ClmnBlkProps>
                          <ClmnBlkPts>
                            <ClmnBlkPt>
                              <ClmnBlkPtProps>
                                <CBPT>5</CBPT>
                                <ST>18</ST>
                                <VOFFF><![CDATA[=§A¿0,1,0,1,35,1,1,1,0,0,TRUE,TRUE§Z¿]]></VOFFF>
                              </ClmnBlkPtProps>
                            </ClmnBlkPt>
                          </ClmnBlkPts>
                        </ClmnBlk>
                        <ClmnBlk>
                          <ClmnBlkProps>
                            <FCPT>0</FCPT>
                            <FCN>17</FCN>
                            <LCPT>0</LCPT>
                            <LCN>17</LCN>
                          </ClmnBlkProps>
                          <ClmnBlkPts>
                            <ClmnBlkPt>
                              <ClmnBlkPtProps>
                                <CBPT>5</CBPT>
                                <ST>18</ST>
                                <VOFFF><![CDATA[=§A¿0,1,0,1,35,1,1,2,0,0,TRUE,TRUE§Z¿]]></VOFFF>
                              </ClmnBlkPtProps>
                            </ClmnBlkPt>
                          </ClmnBlkPts>
                        </ClmnBlk>
                        <ClmnBlk>
                          <ClmnBlkProps>
                            <FCPT>0</FCPT>
                            <FCN>19</FCN>
                            <LCPT>0</LCPT>
                            <LCN>19</LCN>
                          </ClmnBlkProps>
                          <ClmnBlkPts>
                            <ClmnBlkPt>
                              <ClmnBlkPtProps>
                                <CBPT>5</CBPT>
                                <ST>18</ST>
                                <VOFFF><![CDATA[=§A¿0,1,0,1,35,1,1,2,0,0,TRUE,TRUE§Z¿]]></VOFFF>
                              </ClmnBlkPtProps>
                            </ClmnBlkPt>
                          </ClmnBlkPts>
                        </ClmnBlk>
                      </ClmnBlks>
                      <TtlCtg>
                        <TtlCtgProps>
                          <R>5</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1,1,47,1,1</CBPLI>
                                    <ELN>1</ELN>
                                    <FFF><![CDATA[=§A¿10,FALSE,0,1,0,FALSE§Z¿]]></FFF>
                                  </LnkInFormProps>
                                </LnkInForm>
                              </LnkInForms>
                            </ClmnBlkPt>
                            <ClmnBlkPt>
                              <ClmnBlkPtProps>
                                <CBPT>1</CBPT>
                                <ST>6</ST>
                                <VOFFF><![CDATA[="Total "&§A¿0,1,0,1,47,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1,1,47,3,1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1,1,47,4,1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1,1,47,5,1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10</MN>
                                  <CLI>1,1,47,False,1</CLI>
                                  <ELN>1</ELN>
                                  <LOOT>0</LOOT>
                                  <LOMN>3</LOMN>
                                  <LOMCN>1</LOMCN>
                                  <LOSN>1</LOSN>
                                  <LOEN>19</LOEN>
                                  <LOCN>1</LOCN>
                                </LnkInProps>
                              </LnkIn>
                            </Ctg>
                            <Ctg>
                              <CtgProps>
                                <R>5</R>
                              </CtgProps>
                              <LnkIn>
                                <LnkInProps>
                                  <MN>10</MN>
                                  <CLI>1,1,47,False,2</CLI>
                                  <ELN>1</ELN>
                                  <LOOT>0</LOOT>
                                  <LOMN>3</LOMN>
                                  <LOMCN>1</LOMCN>
                                  <LOSN>1</LOSN>
                                  <LOEN>19</LOEN>
                                  <LOCN>2</LOCN>
                                </LnkInProps>
                              </LnkIn>
                            </Ctg>
                            <Ctg>
                              <CtgProps>
                                <R>5</R>
                              </CtgProps>
                              <LnkIn>
                                <LnkInProps>
                                  <MN>10</MN>
                                  <CLI>1,1,47,False,3</CLI>
                                  <ELN>1</ELN>
                                  <LOOT>0</LOOT>
                                  <LOMN>3</LOMN>
                                  <LOMCN>1</LOMCN>
                                  <LOSN>1</LOSN>
                                  <LOEN>19</LOEN>
                                  <LOCN>3</LOCN>
                                </LnkInProps>
                              </LnkIn>
                            </Ctg>
                            <Ctg>
                              <CtgProps>
                                <R>5</R>
                              </CtgProps>
                              <LnkIn>
                                <LnkInProps>
                                  <MN>10</MN>
                                  <CLI>1,1,47,False,4</CLI>
                                  <ELN>1</ELN>
                                  <LOOT>0</LOOT>
                                  <LOMN>3</LOMN>
                                  <LOMCN>1</LOMCN>
                                  <LOSN>1</LOSN>
                                  <LOEN>19</LOEN>
                                  <LOCN>4</LOCN>
                                </LnkInProps>
                              </LnkIn>
                            </Ctg>
                            <Ctg>
                              <CtgProps>
                                <R>5</R>
                              </CtgProps>
                              <LnkIn>
                                <LnkInProps>
                                  <MN>10</MN>
                                  <CLI>1,1,47,False,5</CLI>
                                  <ELN>1</ELN>
                                  <LOOT>0</LOOT>
                                  <LOMN>3</LOMN>
                                  <LOMCN>1</LOMCN>
                                  <LOSN>1</LOSN>
                                  <LOEN>19</LOEN>
                                  <LOCN>5</LOCN>
                                </LnkInProps>
                              </LnkIn>
                            </Ctg>
                            <Ctg>
                              <CtgProps>
                                <R>5</R>
                              </CtgProps>
                              <LnkIn>
                                <LnkInProps>
                                  <MN>10</MN>
                                  <CLI>1,1,47,False,6</CLI>
                                  <ELN>1</ELN>
                                  <LOOT>0</LOOT>
                                  <LOMN>3</LOMN>
                                  <LOMCN>1</LOMCN>
                                  <LOSN>1</LOSN>
                                  <LOEN>19</LOEN>
                                  <LOCN>6</LOCN>
                                </LnkInProps>
                              </LnkIn>
                            </Ctg>
                            <Ctg>
                              <CtgProps>
                                <R>5</R>
                              </CtgProps>
                              <LnkIn>
                                <LnkInProps>
                                  <MN>10</MN>
                                  <CLI>1,1,47,False,7</CLI>
                                  <ELN>1</ELN>
                                  <LOOT>0</LOOT>
                                  <LOMN>3</LOMN>
                                  <LOMCN>1</LOMCN>
                                  <LOSN>1</LOSN>
                                  <LOEN>19</LOEN>
                                  <LOCN>7</LOCN>
                                </LnkInProps>
                              </LnkIn>
                            </Ctg>
                            <Ctg>
                              <CtgProps>
                                <R>5</R>
                              </CtgProps>
                              <LnkIn>
                                <LnkInProps>
                                  <MN>10</MN>
                                  <CLI>1,1,47,False,8</CLI>
                                  <ELN>1</ELN>
                                  <LOOT>0</LOOT>
                                  <LOMN>3</LOMN>
                                  <LOMCN>1</LOMCN>
                                  <LOSN>1</LOSN>
                                  <LOEN>19</LOEN>
                                  <LOCN>8</LOCN>
                                </LnkInProps>
                              </LnkIn>
                            </Ctg>
                            <Ctg>
                              <CtgProps>
                                <R>5</R>
                              </CtgProps>
                              <LnkIn>
                                <LnkInProps>
                                  <MN>10</MN>
                                  <CLI>1,1,47,False,9</CLI>
                                  <ELN>1</ELN>
                                  <LOOT>0</LOOT>
                                  <LOMN>3</LOMN>
                                  <LOMCN>1</LOMCN>
                                  <LOSN>1</LOSN>
                                  <LOEN>19</LOEN>
                                  <LOCN>9</LOCN>
                                </LnkInProps>
                              </LnkIn>
                            </Ctg>
                            <Ctg>
                              <CtgProps>
                                <R>5</R>
                              </CtgProps>
                              <LnkIn>
                                <LnkInProps>
                                  <MN>10</MN>
                                  <CLI>1,1,47,False,10</CLI>
                                  <ELN>1</ELN>
                                  <LOOT>0</LOOT>
                                  <LOMN>3</LOMN>
                                  <LOMCN>1</LOMCN>
                                  <LOSN>1</LOSN>
                                  <LOEN>19</LOEN>
                                  <LOCN>10</LOCN>
                                </LnkInProps>
                              </LnkIn>
                            </Ctg>
                            <Ctg>
                              <CtgProps>
                                <R>5</R>
                              </CtgProps>
                              <LnkIn>
                                <LnkInProps>
                                  <MN>10</MN>
                                  <CLI>1,1,47,False,11</CLI>
                                  <ELN>1</ELN>
                                  <LOOT>0</LOOT>
                                  <LOMN>3</LOMN>
                                  <LOMCN>1</LOMCN>
                                  <LOSN>1</LOSN>
                                  <LOEN>19</LOEN>
                                  <LOCN>11</LOCN>
                                </LnkInProps>
                              </LnkIn>
                            </Ctg>
                            <Ctg>
                              <CtgProps>
                                <R>5</R>
                              </CtgProps>
                              <LnkIn>
                                <LnkInProps>
                                  <MN>10</MN>
                                  <CLI>1,1,47,False,12</CLI>
                                  <ELN>1</ELN>
                                  <LOOT>0</LOOT>
                                  <LOMN>3</LOMN>
                                  <LOMCN>1</LOMCN>
                                  <LOSN>1</LOSN>
                                  <LOEN>19</LOEN>
                                  <LOCN>12</LOCN>
                                </LnkInProps>
                              </LnkIn>
                            </Ctg>
                            <Ctg>
                              <CtgProps>
                                <R>5</R>
                              </CtgProps>
                              <LnkIn>
                                <LnkInProps>
                                  <MN>10</MN>
                                  <CLI>1,1,47,False,13</CLI>
                                  <ELN>1</ELN>
                                  <LOOT>0</LOOT>
                                  <LOMN>3</LOMN>
                                  <LOMCN>1</LOMCN>
                                  <LOSN>1</LOSN>
                                  <LOEN>19</LOEN>
                                  <LOCN>13</LOCN>
                                </LnkInProps>
                              </LnkIn>
                            </Ctg>
                            <Ctg>
                              <CtgProps>
                                <R>5</R>
                              </CtgProps>
                              <LnkIn>
                                <LnkInProps>
                                  <MN>10</MN>
                                  <CLI>1,1,47,False,14</CLI>
                                  <ELN>1</ELN>
                                  <LOOT>0</LOOT>
                                  <LOMN>3</LOMN>
                                  <LOMCN>1</LOMCN>
                                  <LOSN>1</LOSN>
                                  <LOEN>19</LOEN>
                                  <LOCN>14</LOCN>
                                </LnkInProps>
                              </LnkIn>
                            </Ctg>
                            <Ctg>
                              <CtgProps>
                                <R>5</R>
                              </CtgProps>
                              <LnkIn>
                                <LnkInProps>
                                  <MN>10</MN>
                                  <CLI>1,1,47,False,15</CLI>
                                  <ELN>1</ELN>
                                  <LOOT>0</LOOT>
                                  <LOMN>3</LOMN>
                                  <LOMCN>1</LOMCN>
                                  <LOSN>1</LOSN>
                                  <LOEN>19</LOEN>
                                  <LOCN>15</LOCN>
                                </LnkInProps>
                              </LnkIn>
                            </Ctg>
                            <Ctg>
                              <CtgProps>
                                <R>6</R>
                              </CtgProps>
                              <LnkIn>
                                <LnkInProps>
                                  <MN>10</MN>
                                  <CLI>1,1,47,False,16</CLI>
                                  <ELN>1</ELN>
                                  <LOOT>0</LOOT>
                                  <LOMN>3</LOMN>
                                  <LOMCN>1</LOMCN>
                                  <LOSN>1</LOSN>
                                  <LOEN>19</LOEN>
                                  <LOCN>16</LOCN>
                                </LnkInProps>
                              </LnkIn>
                            </Ctg>
                            <Ctg>
                              <CtgProps>
                                <R>6</R>
                              </CtgProps>
                              <LnkIn>
                                <LnkInProps>
                                  <MN>10</MN>
                                  <CLI>1,1,47,False,17</CLI>
                                  <ELN>1</ELN>
                                  <LOOT>0</LOOT>
                                  <LOMN>3</LOMN>
                                  <LOMCN>1</LOMCN>
                                  <LOSN>1</LOSN>
                                  <LOEN>19</LOEN>
                                  <LOCN>17</LOCN>
                                </LnkInProps>
                              </LnkIn>
                            </Ctg>
                            <Ctg>
                              <CtgProps>
                                <R>6</R>
                              </CtgProps>
                              <LnkIn>
                                <LnkInProps>
                                  <MN>10</MN>
                                  <CLI>1,1,47,False,18</CLI>
                                  <ELN>1</ELN>
                                  <LOOT>0</LOOT>
                                  <LOMN>3</LOMN>
                                  <LOMCN>1</LOMCN>
                                  <LOSN>1</LOSN>
                                  <LOEN>19</LOEN>
                                  <LOCN>18</LOCN>
                                </LnkInProps>
                              </LnkIn>
                            </Ctg>
                            <Ctg>
                              <CtgProps>
                                <R>6</R>
                              </CtgProps>
                              <LnkIn>
                                <LnkInProps>
                                  <MN>10</MN>
                                  <CLI>1,1,47,False,19</CLI>
                                  <ELN>1</ELN>
                                  <LOOT>0</LOOT>
                                  <LOMN>3</LOMN>
                                  <LOMCN>1</LOMCN>
                                  <LOSN>1</LOSN>
                                  <LOEN>19</LOEN>
                                  <LOCN>19</LOCN>
                                </LnkInProps>
                              </LnkIn>
                            </Ctg>
                            <Ctg>
                              <CtgProps>
                                <R>6</R>
                              </CtgProps>
                              <LnkIn>
                                <LnkInProps>
                                  <MN>10</MN>
                                  <CLI>1,1,47,False,20</CLI>
                                  <ELN>1</ELN>
                                  <LOOT>0</LOOT>
                                  <LOMN>3</LOMN>
                                  <LOMCN>1</LOMCN>
                                  <LOSN>1</LOSN>
                                  <LOEN>19</LOEN>
                                  <LOCN>20</LOCN>
                                </LnkInProps>
                              </LnkIn>
                            </Ctg>
                            <Ctg>
                              <CtgProps>
                                <R>6</R>
                              </CtgProps>
                              <LnkIn>
                                <LnkInProps>
                                  <MN>10</MN>
                                  <CLI>1,1,47,False,21</CLI>
                                  <ELN>1</ELN>
                                  <LOOT>0</LOOT>
                                  <LOMN>3</LOMN>
                                  <LOMCN>1</LOMCN>
                                  <LOSN>1</LOSN>
                                  <LOEN>19</LOEN>
                                  <LOCN>21</LOCN>
                                </LnkInProps>
                              </LnkIn>
                            </Ctg>
                            <Ctg>
                              <CtgProps>
                                <R>6</R>
                              </CtgProps>
                              <LnkIn>
                                <LnkInProps>
                                  <MN>10</MN>
                                  <CLI>1,1,47,False,22</CLI>
                                  <ELN>1</ELN>
                                  <LOOT>0</LOOT>
                                  <LOMN>3</LOMN>
                                  <LOMCN>1</LOMCN>
                                  <LOSN>1</LOSN>
                                  <LOEN>19</LOEN>
                                  <LOCN>22</LOCN>
                                </LnkInProps>
                              </LnkIn>
                            </Ctg>
                            <Ctg>
                              <CtgProps>
                                <R>6</R>
                              </CtgProps>
                              <LnkIn>
                                <LnkInProps>
                                  <MN>10</MN>
                                  <CLI>1,1,47,False,23</CLI>
                                  <ELN>1</ELN>
                                  <LOOT>0</LOOT>
                                  <LOMN>3</LOMN>
                                  <LOMCN>1</LOMCN>
                                  <LOSN>1</LOSN>
                                  <LOEN>19</LOEN>
                                  <LOCN>23</LOCN>
                                </LnkInProps>
                              </LnkIn>
                            </Ctg>
                            <Ctg>
                              <CtgProps>
                                <R>6</R>
                              </CtgProps>
                              <LnkIn>
                                <LnkInProps>
                                  <MN>10</MN>
                                  <CLI>1,1,47,False,24</CLI>
                                  <ELN>1</ELN>
                                  <LOOT>0</LOOT>
                                  <LOMN>3</LOMN>
                                  <LOMCN>1</LOMCN>
                                  <LOSN>1</LOSN>
                                  <LOEN>19</LOEN>
                                  <LOCN>24</LOCN>
                                </LnkInProps>
                              </LnkIn>
                            </Ctg>
                            <Ctg>
                              <CtgProps>
                                <R>6</R>
                              </CtgProps>
                              <LnkIn>
                                <LnkInProps>
                                  <MN>10</MN>
                                  <CLI>1,1,47,False,25</CLI>
                                  <ELN>1</ELN>
                                  <LOOT>0</LOOT>
                                  <LOMN>3</LOMN>
                                  <LOMCN>1</LOMCN>
                                  <LOSN>1</LOSN>
                                  <LOEN>19</LOEN>
                                  <LOCN>25</LOCN>
                                </LnkInProps>
                              </LnkIn>
                            </Ctg>
                            <Ctg>
                              <CtgProps>
                                <R>6</R>
                              </CtgProps>
                              <LnkIn>
                                <LnkInProps>
                                  <MN>10</MN>
                                  <CLI>1,1,47,False,26</CLI>
                                  <ELN>1</ELN>
                                  <LOOT>0</LOOT>
                                  <LOMN>3</LOMN>
                                  <LOMCN>1</LOMCN>
                                  <LOSN>1</LOSN>
                                  <LOEN>19</LOEN>
                                  <LOCN>26</LOCN>
                                </LnkInProps>
                              </LnkIn>
                            </Ctg>
                            <Ctg>
                              <CtgProps>
                                <R>6</R>
                              </CtgProps>
                              <LnkIn>
                                <LnkInProps>
                                  <MN>10</MN>
                                  <CLI>1,1,47,False,27</CLI>
                                  <ELN>1</ELN>
                                  <LOOT>0</LOOT>
                                  <LOMN>3</LOMN>
                                  <LOMCN>1</LOMCN>
                                  <LOSN>1</LOSN>
                                  <LOEN>19</LOEN>
                                  <LOCN>27</LOCN>
                                </LnkInProps>
                              </LnkIn>
                            </Ctg>
                            <Ctg>
                              <CtgProps>
                                <R>6</R>
                              </CtgProps>
                              <LnkIn>
                                <LnkInProps>
                                  <MN>10</MN>
                                  <CLI>1,1,47,False,28</CLI>
                                  <ELN>1</ELN>
                                  <LOOT>0</LOOT>
                                  <LOMN>3</LOMN>
                                  <LOMCN>1</LOMCN>
                                  <LOSN>1</LOSN>
                                  <LOEN>19</LOEN>
                                  <LOCN>28</LOCN>
                                </LnkInProps>
                              </LnkIn>
                            </Ctg>
                            <Ctg>
                              <CtgProps>
                                <R>6</R>
                              </CtgProps>
                              <LnkIn>
                                <LnkInProps>
                                  <MN>10</MN>
                                  <CLI>1,1,47,False,29</CLI>
                                  <ELN>1</ELN>
                                  <LOOT>0</LOOT>
                                  <LOMN>3</LOMN>
                                  <LOMCN>1</LOMCN>
                                  <LOSN>1</LOSN>
                                  <LOEN>19</LOEN>
                                  <LOCN>29</LOCN>
                                </LnkInProps>
                              </LnkIn>
                            </Ctg>
                            <Ctg>
                              <CtgProps>
                                <R>6</R>
                              </CtgProps>
                              <LnkIn>
                                <LnkInProps>
                                  <MN>10</MN>
                                  <CLI>1,1,47,False,30</CLI>
                                  <ELN>1</ELN>
                                  <LOOT>0</LOOT>
                                  <LOMN>3</LOMN>
                                  <LOMCN>1</LOMCN>
                                  <LOSN>1</LOSN>
                                  <LOEN>19</LOEN>
                                  <LOCN>30</LOCN>
                                </LnkInProps>
                              </LnkIn>
                            </Ctg>
                            <Ctg>
                              <CtgProps>
                                <R>6</R>
                              </CtgProps>
                              <LnkIn>
                                <LnkInProps>
                                  <MN>10</MN>
                                  <CLI>1,1,47,False,31</CLI>
                                  <ELN>1</ELN>
                                  <LOOT>0</LOOT>
                                  <LOMN>3</LOMN>
                                  <LOMCN>1</LOMCN>
                                  <LOSN>1</LOSN>
                                  <LOEN>19</LOEN>
                                  <LOCN>31</LOCN>
                                </LnkInProps>
                              </LnkIn>
                            </Ctg>
                            <Ctg>
                              <CtgProps>
                                <R>6</R>
                              </CtgProps>
                              <LnkIn>
                                <LnkInProps>
                                  <MN>10</MN>
                                  <CLI>1,1,47,False,32</CLI>
                                  <ELN>1</ELN>
                                  <LOOT>0</LOOT>
                                  <LOMN>3</LOMN>
                                  <LOMCN>1</LOMCN>
                                  <LOSN>1</LOSN>
                                  <LOEN>19</LOEN>
                                  <LOCN>32</LOCN>
                                </LnkInProps>
                              </LnkIn>
                            </Ctg>
                            <Ctg>
                              <CtgProps>
                                <R>6</R>
                              </CtgProps>
                              <LnkIn>
                                <LnkInProps>
                                  <MN>10</MN>
                                  <CLI>1,1,47,False,33</CLI>
                                  <ELN>1</ELN>
                                  <LOOT>0</LOOT>
                                  <LOMN>3</LOMN>
                                  <LOMCN>1</LOMCN>
                                  <LOSN>1</LOSN>
                                  <LOEN>19</LOEN>
                                  <LOCN>33</LOCN>
                                </LnkInProps>
                              </LnkIn>
                            </Ctg>
                            <Ctg>
                              <CtgProps>
                                <R>6</R>
                              </CtgProps>
                              <LnkIn>
                                <LnkInProps>
                                  <MN>10</MN>
                                  <CLI>1,1,47,False,34</CLI>
                                  <ELN>1</ELN>
                                  <LOOT>0</LOOT>
                                  <LOMN>3</LOMN>
                                  <LOMCN>1</LOMCN>
                                  <LOSN>1</LOSN>
                                  <LOEN>19</LOEN>
                                  <LOCN>34</LOCN>
                                </LnkInProps>
                              </LnkIn>
                            </Ctg>
                            <Ctg>
                              <CtgProps>
                                <R>6</R>
                              </CtgProps>
                              <LnkIn>
                                <LnkInProps>
                                  <MN>10</MN>
                                  <CLI>1,1,47,False,35</CLI>
                                  <ELN>1</ELN>
                                  <LOOT>0</LOOT>
                                  <LOMN>3</LOMN>
                                  <LOMCN>1</LOMCN>
                                  <LOSN>1</LOSN>
                                  <LOEN>19</LOEN>
                                  <LOCN>35</LOCN>
                                </LnkInProps>
                              </LnkIn>
                            </Ctg>
                          </Ctgs>
                        </SubTtl>
                      </SubTtls>
                      <TtlCtg/>
                      <ElmtLnksIn>
                        <ElmtLnk>
                          <ElmtLnkProps>
                            <ELI>1,1,47</ELI>
                            <ELN>1</ELN>
                            <ELGN>4</ELGN>
                            <MLG>FC884D76-0FF7-48B7-B658-EABC523ECBF4</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5,1,1,1,0,0,TRUE,TRUE§Z¿]]></VOFFF>
                              </ClmnBlkPtProps>
                            </ClmnBlkPt>
                          </ClmnBlkPts>
                        </ClmnBlk>
                        <ClmnBlk>
                          <ClmnBlkProps>
                            <FCPT>0</FCPT>
                            <FCN>15</FCN>
                            <LCPT>0</LCPT>
                            <LCN>15</LCN>
                          </ClmnBlkProps>
                          <ClmnBlkPts>
                            <ClmnBlkPt>
                              <ClmnBlkPtProps>
                                <CBPT>5</CBPT>
                                <ST>18</ST>
                                <VOFFF><![CDATA[=§A¿0,1,0,1,35,1,1,1,0,0,TRUE,TRUE§Z¿]]></VOFFF>
                              </ClmnBlkPtProps>
                            </ClmnBlkPt>
                          </ClmnBlkPts>
                        </ClmnBlk>
                        <ClmnBlk>
                          <ClmnBlkProps>
                            <FCPT>0</FCPT>
                            <FCN>17</FCN>
                            <LCPT>0</LCPT>
                            <LCN>17</LCN>
                          </ClmnBlkProps>
                          <ClmnBlkPts>
                            <ClmnBlkPt>
                              <ClmnBlkPtProps>
                                <CBPT>5</CBPT>
                                <ST>18</ST>
                                <VOFFF><![CDATA[=§A¿0,1,0,1,35,1,1,2,0,0,TRUE,TRUE§Z¿]]></VOFFF>
                              </ClmnBlkPtProps>
                            </ClmnBlkPt>
                          </ClmnBlkPts>
                        </ClmnBlk>
                        <ClmnBlk>
                          <ClmnBlkProps>
                            <FCPT>0</FCPT>
                            <FCN>19</FCN>
                            <LCPT>0</LCPT>
                            <LCN>19</LCN>
                          </ClmnBlkProps>
                          <ClmnBlkPts>
                            <ClmnBlkPt>
                              <ClmnBlkPtProps>
                                <CBPT>5</CBPT>
                                <ST>18</ST>
                                <VOFFF><![CDATA[=§A¿0,1,0,1,35,1,1,2,0,0,TRUE,TRUE§Z¿]]></VOFFF>
                              </ClmnBlkPtProps>
                            </ClmnBlkPt>
                          </ClmnBlkPts>
                        </ClmnBlk>
                      </ClmnBlks>
                      <TtlCtg>
                        <TtlCtgProps>
                          <R>5</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1,1,50,1,1</CBPLI>
                                    <ELN>1</ELN>
                                    <FFF><![CDATA[=§A¿10,FALSE,0,1,0,FALSE§Z¿]]></FFF>
                                  </LnkInFormProps>
                                </LnkInForm>
                              </LnkInForms>
                            </ClmnBlkPt>
                            <ClmnBlkPt>
                              <ClmnBlkPtProps>
                                <CBPT>1</CBPT>
                                <ST>6</ST>
                                <VOFFF><![CDATA[="Total "&§A¿0,1,0,1,50,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1,1,50,3,1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1,1,50,4,1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1,1,50,5,1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10</MN>
                                  <CLI>1,1,50,False,1</CLI>
                                  <ELN>1</ELN>
                                  <LOOT>0</LOOT>
                                  <LOMN>3</LOMN>
                                  <LOMCN>1</LOMCN>
                                  <LOSN>1</LOSN>
                                  <LOEN>24</LOEN>
                                  <LOCN>1</LOCN>
                                </LnkInProps>
                              </LnkIn>
                            </Ctg>
                            <Ctg>
                              <CtgProps>
                                <R>5</R>
                              </CtgProps>
                              <LnkIn>
                                <LnkInProps>
                                  <MN>10</MN>
                                  <CLI>1,1,50,False,2</CLI>
                                  <ELN>1</ELN>
                                  <LOOT>0</LOOT>
                                  <LOMN>3</LOMN>
                                  <LOMCN>1</LOMCN>
                                  <LOSN>1</LOSN>
                                  <LOEN>24</LOEN>
                                  <LOCN>2</LOCN>
                                </LnkInProps>
                              </LnkIn>
                            </Ctg>
                            <Ctg>
                              <CtgProps>
                                <R>5</R>
                              </CtgProps>
                              <LnkIn>
                                <LnkInProps>
                                  <MN>10</MN>
                                  <CLI>1,1,50,False,3</CLI>
                                  <ELN>1</ELN>
                                  <LOOT>0</LOOT>
                                  <LOMN>3</LOMN>
                                  <LOMCN>1</LOMCN>
                                  <LOSN>1</LOSN>
                                  <LOEN>24</LOEN>
                                  <LOCN>3</LOCN>
                                </LnkInProps>
                              </LnkIn>
                            </Ctg>
                            <Ctg>
                              <CtgProps>
                                <R>5</R>
                              </CtgProps>
                              <LnkIn>
                                <LnkInProps>
                                  <MN>10</MN>
                                  <CLI>1,1,50,False,4</CLI>
                                  <ELN>1</ELN>
                                  <LOOT>0</LOOT>
                                  <LOMN>3</LOMN>
                                  <LOMCN>1</LOMCN>
                                  <LOSN>1</LOSN>
                                  <LOEN>24</LOEN>
                                  <LOCN>4</LOCN>
                                </LnkInProps>
                              </LnkIn>
                            </Ctg>
                            <Ctg>
                              <CtgProps>
                                <R>5</R>
                              </CtgProps>
                              <LnkIn>
                                <LnkInProps>
                                  <MN>10</MN>
                                  <CLI>1,1,50,False,5</CLI>
                                  <ELN>1</ELN>
                                  <LOOT>0</LOOT>
                                  <LOMN>3</LOMN>
                                  <LOMCN>1</LOMCN>
                                  <LOSN>1</LOSN>
                                  <LOEN>24</LOEN>
                                  <LOCN>5</LOCN>
                                </LnkInProps>
                              </LnkIn>
                            </Ctg>
                            <Ctg>
                              <CtgProps>
                                <R>6</R>
                              </CtgProps>
                              <LnkIn>
                                <LnkInProps>
                                  <MN>10</MN>
                                  <CLI>1,1,50,False,6</CLI>
                                  <ELN>1</ELN>
                                  <LOOT>0</LOOT>
                                  <LOMN>3</LOMN>
                                  <LOMCN>1</LOMCN>
                                  <LOSN>1</LOSN>
                                  <LOEN>24</LOEN>
                                  <LOCN>6</LOCN>
                                </LnkInProps>
                              </LnkIn>
                            </Ctg>
                            <Ctg>
                              <CtgProps>
                                <R>6</R>
                              </CtgProps>
                              <LnkIn>
                                <LnkInProps>
                                  <MN>10</MN>
                                  <CLI>1,1,50,False,7</CLI>
                                  <ELN>1</ELN>
                                  <LOOT>0</LOOT>
                                  <LOMN>3</LOMN>
                                  <LOMCN>1</LOMCN>
                                  <LOSN>1</LOSN>
                                  <LOEN>24</LOEN>
                                  <LOCN>7</LOCN>
                                </LnkInProps>
                              </LnkIn>
                            </Ctg>
                            <Ctg>
                              <CtgProps>
                                <R>6</R>
                              </CtgProps>
                              <LnkIn>
                                <LnkInProps>
                                  <MN>10</MN>
                                  <CLI>1,1,50,False,8</CLI>
                                  <ELN>1</ELN>
                                  <LOOT>0</LOOT>
                                  <LOMN>3</LOMN>
                                  <LOMCN>1</LOMCN>
                                  <LOSN>1</LOSN>
                                  <LOEN>24</LOEN>
                                  <LOCN>8</LOCN>
                                </LnkInProps>
                              </LnkIn>
                            </Ctg>
                            <Ctg>
                              <CtgProps>
                                <R>6</R>
                              </CtgProps>
                              <LnkIn>
                                <LnkInProps>
                                  <MN>10</MN>
                                  <CLI>1,1,50,False,9</CLI>
                                  <ELN>1</ELN>
                                  <LOOT>0</LOOT>
                                  <LOMN>3</LOMN>
                                  <LOMCN>1</LOMCN>
                                  <LOSN>1</LOSN>
                                  <LOEN>24</LOEN>
                                  <LOCN>9</LOCN>
                                </LnkInProps>
                              </LnkIn>
                            </Ctg>
                            <Ctg>
                              <CtgProps>
                                <R>6</R>
                              </CtgProps>
                              <LnkIn>
                                <LnkInProps>
                                  <MN>10</MN>
                                  <CLI>1,1,50,False,10</CLI>
                                  <ELN>1</ELN>
                                  <LOOT>0</LOOT>
                                  <LOMN>3</LOMN>
                                  <LOMCN>1</LOMCN>
                                  <LOSN>1</LOSN>
                                  <LOEN>24</LOEN>
                                  <LOCN>10</LOCN>
                                </LnkInProps>
                              </LnkIn>
                            </Ctg>
                            <Ctg>
                              <CtgProps>
                                <R>6</R>
                              </CtgProps>
                              <LnkIn>
                                <LnkInProps>
                                  <MN>10</MN>
                                  <CLI>1,1,50,False,11</CLI>
                                  <ELN>1</ELN>
                                  <LOOT>0</LOOT>
                                  <LOMN>3</LOMN>
                                  <LOMCN>1</LOMCN>
                                  <LOSN>1</LOSN>
                                  <LOEN>24</LOEN>
                                  <LOCN>11</LOCN>
                                </LnkInProps>
                              </LnkIn>
                            </Ctg>
                            <Ctg>
                              <CtgProps>
                                <R>6</R>
                              </CtgProps>
                              <LnkIn>
                                <LnkInProps>
                                  <MN>10</MN>
                                  <CLI>1,1,50,False,12</CLI>
                                  <ELN>1</ELN>
                                  <LOOT>0</LOOT>
                                  <LOMN>3</LOMN>
                                  <LOMCN>1</LOMCN>
                                  <LOSN>1</LOSN>
                                  <LOEN>24</LOEN>
                                  <LOCN>12</LOCN>
                                </LnkInProps>
                              </LnkIn>
                            </Ctg>
                            <Ctg>
                              <CtgProps>
                                <R>6</R>
                              </CtgProps>
                              <LnkIn>
                                <LnkInProps>
                                  <MN>10</MN>
                                  <CLI>1,1,50,False,13</CLI>
                                  <ELN>1</ELN>
                                  <LOOT>0</LOOT>
                                  <LOMN>3</LOMN>
                                  <LOMCN>1</LOMCN>
                                  <LOSN>1</LOSN>
                                  <LOEN>24</LOEN>
                                  <LOCN>13</LOCN>
                                </LnkInProps>
                              </LnkIn>
                            </Ctg>
                            <Ctg>
                              <CtgProps>
                                <R>6</R>
                              </CtgProps>
                              <LnkIn>
                                <LnkInProps>
                                  <MN>10</MN>
                                  <CLI>1,1,50,False,14</CLI>
                                  <ELN>1</ELN>
                                  <LOOT>0</LOOT>
                                  <LOMN>3</LOMN>
                                  <LOMCN>1</LOMCN>
                                  <LOSN>1</LOSN>
                                  <LOEN>24</LOEN>
                                  <LOCN>14</LOCN>
                                </LnkInProps>
                              </LnkIn>
                            </Ctg>
                            <Ctg>
                              <CtgProps>
                                <R>6</R>
                              </CtgProps>
                              <LnkIn>
                                <LnkInProps>
                                  <MN>10</MN>
                                  <CLI>1,1,50,False,15</CLI>
                                  <ELN>1</ELN>
                                  <LOOT>0</LOOT>
                                  <LOMN>3</LOMN>
                                  <LOMCN>1</LOMCN>
                                  <LOSN>1</LOSN>
                                  <LOEN>24</LOEN>
                                  <LOCN>15</LOCN>
                                </LnkInProps>
                              </LnkIn>
                            </Ctg>
                            <Ctg>
                              <CtgProps>
                                <R>6</R>
                              </CtgProps>
                              <LnkIn>
                                <LnkInProps>
                                  <MN>10</MN>
                                  <CLI>1,1,50,False,16</CLI>
                                  <ELN>1</ELN>
                                  <LOOT>0</LOOT>
                                  <LOMN>3</LOMN>
                                  <LOMCN>1</LOMCN>
                                  <LOSN>1</LOSN>
                                  <LOEN>24</LOEN>
                                  <LOCN>16</LOCN>
                                </LnkInProps>
                              </LnkIn>
                            </Ctg>
                            <Ctg>
                              <CtgProps>
                                <R>6</R>
                              </CtgProps>
                              <LnkIn>
                                <LnkInProps>
                                  <MN>10</MN>
                                  <CLI>1,1,50,False,17</CLI>
                                  <ELN>1</ELN>
                                  <LOOT>0</LOOT>
                                  <LOMN>3</LOMN>
                                  <LOMCN>1</LOMCN>
                                  <LOSN>1</LOSN>
                                  <LOEN>24</LOEN>
                                  <LOCN>17</LOCN>
                                </LnkInProps>
                              </LnkIn>
                            </Ctg>
                            <Ctg>
                              <CtgProps>
                                <R>6</R>
                              </CtgProps>
                              <LnkIn>
                                <LnkInProps>
                                  <MN>10</MN>
                                  <CLI>1,1,50,False,18</CLI>
                                  <ELN>1</ELN>
                                  <LOOT>0</LOOT>
                                  <LOMN>3</LOMN>
                                  <LOMCN>1</LOMCN>
                                  <LOSN>1</LOSN>
                                  <LOEN>24</LOEN>
                                  <LOCN>18</LOCN>
                                </LnkInProps>
                              </LnkIn>
                            </Ctg>
                            <Ctg>
                              <CtgProps>
                                <R>6</R>
                              </CtgProps>
                              <LnkIn>
                                <LnkInProps>
                                  <MN>10</MN>
                                  <CLI>1,1,50,False,19</CLI>
                                  <ELN>1</ELN>
                                  <LOOT>0</LOOT>
                                  <LOMN>3</LOMN>
                                  <LOMCN>1</LOMCN>
                                  <LOSN>1</LOSN>
                                  <LOEN>24</LOEN>
                                  <LOCN>19</LOCN>
                                </LnkInProps>
                              </LnkIn>
                            </Ctg>
                            <Ctg>
                              <CtgProps>
                                <R>6</R>
                              </CtgProps>
                              <LnkIn>
                                <LnkInProps>
                                  <MN>10</MN>
                                  <CLI>1,1,50,False,20</CLI>
                                  <ELN>1</ELN>
                                  <LOOT>0</LOOT>
                                  <LOMN>3</LOMN>
                                  <LOMCN>1</LOMCN>
                                  <LOSN>1</LOSN>
                                  <LOEN>24</LOEN>
                                  <LOCN>20</LOCN>
                                </LnkInProps>
                              </LnkIn>
                            </Ctg>
                            <Ctg>
                              <CtgProps>
                                <R>6</R>
                              </CtgProps>
                              <LnkIn>
                                <LnkInProps>
                                  <MN>10</MN>
                                  <CLI>1,1,50,False,21</CLI>
                                  <ELN>1</ELN>
                                  <LOOT>0</LOOT>
                                  <LOMN>3</LOMN>
                                  <LOMCN>1</LOMCN>
                                  <LOSN>1</LOSN>
                                  <LOEN>24</LOEN>
                                  <LOCN>21</LOCN>
                                </LnkInProps>
                              </LnkIn>
                            </Ctg>
                            <Ctg>
                              <CtgProps>
                                <R>6</R>
                              </CtgProps>
                              <LnkIn>
                                <LnkInProps>
                                  <MN>10</MN>
                                  <CLI>1,1,50,False,22</CLI>
                                  <ELN>1</ELN>
                                  <LOOT>0</LOOT>
                                  <LOMN>3</LOMN>
                                  <LOMCN>1</LOMCN>
                                  <LOSN>1</LOSN>
                                  <LOEN>24</LOEN>
                                  <LOCN>22</LOCN>
                                </LnkInProps>
                              </LnkIn>
                            </Ctg>
                            <Ctg>
                              <CtgProps>
                                <R>6</R>
                              </CtgProps>
                              <LnkIn>
                                <LnkInProps>
                                  <MN>10</MN>
                                  <CLI>1,1,50,False,23</CLI>
                                  <ELN>1</ELN>
                                  <LOOT>0</LOOT>
                                  <LOMN>3</LOMN>
                                  <LOMCN>1</LOMCN>
                                  <LOSN>1</LOSN>
                                  <LOEN>24</LOEN>
                                  <LOCN>23</LOCN>
                                </LnkInProps>
                              </LnkIn>
                            </Ctg>
                            <Ctg>
                              <CtgProps>
                                <R>6</R>
                              </CtgProps>
                              <LnkIn>
                                <LnkInProps>
                                  <MN>10</MN>
                                  <CLI>1,1,50,False,24</CLI>
                                  <ELN>1</ELN>
                                  <LOOT>0</LOOT>
                                  <LOMN>3</LOMN>
                                  <LOMCN>1</LOMCN>
                                  <LOSN>1</LOSN>
                                  <LOEN>24</LOEN>
                                  <LOCN>24</LOCN>
                                </LnkInProps>
                              </LnkIn>
                            </Ctg>
                            <Ctg>
                              <CtgProps>
                                <R>6</R>
                              </CtgProps>
                              <LnkIn>
                                <LnkInProps>
                                  <MN>10</MN>
                                  <CLI>1,1,50,False,25</CLI>
                                  <ELN>1</ELN>
                                  <LOOT>0</LOOT>
                                  <LOMN>3</LOMN>
                                  <LOMCN>1</LOMCN>
                                  <LOSN>1</LOSN>
                                  <LOEN>24</LOEN>
                                  <LOCN>25</LOCN>
                                </LnkInProps>
                              </LnkIn>
                            </Ctg>
                            <Ctg>
                              <CtgProps>
                                <R>6</R>
                              </CtgProps>
                              <LnkIn>
                                <LnkInProps>
                                  <MN>10</MN>
                                  <CLI>1,1,50,False,26</CLI>
                                  <ELN>1</ELN>
                                  <LOOT>0</LOOT>
                                  <LOMN>3</LOMN>
                                  <LOMCN>1</LOMCN>
                                  <LOSN>1</LOSN>
                                  <LOEN>24</LOEN>
                                  <LOCN>26</LOCN>
                                </LnkInProps>
                              </LnkIn>
                            </Ctg>
                            <Ctg>
                              <CtgProps>
                                <R>6</R>
                              </CtgProps>
                              <LnkIn>
                                <LnkInProps>
                                  <MN>10</MN>
                                  <CLI>1,1,50,False,27</CLI>
                                  <ELN>1</ELN>
                                  <LOOT>0</LOOT>
                                  <LOMN>3</LOMN>
                                  <LOMCN>1</LOMCN>
                                  <LOSN>1</LOSN>
                                  <LOEN>24</LOEN>
                                  <LOCN>27</LOCN>
                                </LnkInProps>
                              </LnkIn>
                            </Ctg>
                            <Ctg>
                              <CtgProps>
                                <R>6</R>
                              </CtgProps>
                              <LnkIn>
                                <LnkInProps>
                                  <MN>10</MN>
                                  <CLI>1,1,50,False,28</CLI>
                                  <ELN>1</ELN>
                                  <LOOT>0</LOOT>
                                  <LOMN>3</LOMN>
                                  <LOMCN>1</LOMCN>
                                  <LOSN>1</LOSN>
                                  <LOEN>24</LOEN>
                                  <LOCN>28</LOCN>
                                </LnkInProps>
                              </LnkIn>
                            </Ctg>
                            <Ctg>
                              <CtgProps>
                                <R>6</R>
                              </CtgProps>
                              <LnkIn>
                                <LnkInProps>
                                  <MN>10</MN>
                                  <CLI>1,1,50,False,29</CLI>
                                  <ELN>1</ELN>
                                  <LOOT>0</LOOT>
                                  <LOMN>3</LOMN>
                                  <LOMCN>1</LOMCN>
                                  <LOSN>1</LOSN>
                                  <LOEN>24</LOEN>
                                  <LOCN>29</LOCN>
                                </LnkInProps>
                              </LnkIn>
                            </Ctg>
                            <Ctg>
                              <CtgProps>
                                <R>6</R>
                              </CtgProps>
                              <LnkIn>
                                <LnkInProps>
                                  <MN>10</MN>
                                  <CLI>1,1,50,False,30</CLI>
                                  <ELN>1</ELN>
                                  <LOOT>0</LOOT>
                                  <LOMN>3</LOMN>
                                  <LOMCN>1</LOMCN>
                                  <LOSN>1</LOSN>
                                  <LOEN>24</LOEN>
                                  <LOCN>30</LOCN>
                                </LnkInProps>
                              </LnkIn>
                            </Ctg>
                            <Ctg>
                              <CtgProps>
                                <R>6</R>
                              </CtgProps>
                              <LnkIn>
                                <LnkInProps>
                                  <MN>10</MN>
                                  <CLI>1,1,50,False,31</CLI>
                                  <ELN>1</ELN>
                                  <LOOT>0</LOOT>
                                  <LOMN>3</LOMN>
                                  <LOMCN>1</LOMCN>
                                  <LOSN>1</LOSN>
                                  <LOEN>24</LOEN>
                                  <LOCN>31</LOCN>
                                </LnkInProps>
                              </LnkIn>
                            </Ctg>
                            <Ctg>
                              <CtgProps>
                                <R>6</R>
                              </CtgProps>
                              <LnkIn>
                                <LnkInProps>
                                  <MN>10</MN>
                                  <CLI>1,1,50,False,32</CLI>
                                  <ELN>1</ELN>
                                  <LOOT>0</LOOT>
                                  <LOMN>3</LOMN>
                                  <LOMCN>1</LOMCN>
                                  <LOSN>1</LOSN>
                                  <LOEN>24</LOEN>
                                  <LOCN>32</LOCN>
                                </LnkInProps>
                              </LnkIn>
                            </Ctg>
                            <Ctg>
                              <CtgProps>
                                <R>6</R>
                              </CtgProps>
                              <LnkIn>
                                <LnkInProps>
                                  <MN>10</MN>
                                  <CLI>1,1,50,False,33</CLI>
                                  <ELN>1</ELN>
                                  <LOOT>0</LOOT>
                                  <LOMN>3</LOMN>
                                  <LOMCN>1</LOMCN>
                                  <LOSN>1</LOSN>
                                  <LOEN>24</LOEN>
                                  <LOCN>33</LOCN>
                                </LnkInProps>
                              </LnkIn>
                            </Ctg>
                            <Ctg>
                              <CtgProps>
                                <R>6</R>
                              </CtgProps>
                              <LnkIn>
                                <LnkInProps>
                                  <MN>10</MN>
                                  <CLI>1,1,50,False,34</CLI>
                                  <ELN>1</ELN>
                                  <LOOT>0</LOOT>
                                  <LOMN>3</LOMN>
                                  <LOMCN>1</LOMCN>
                                  <LOSN>1</LOSN>
                                  <LOEN>24</LOEN>
                                  <LOCN>34</LOCN>
                                </LnkInProps>
                              </LnkIn>
                            </Ctg>
                            <Ctg>
                              <CtgProps>
                                <R>6</R>
                              </CtgProps>
                              <LnkIn>
                                <LnkInProps>
                                  <MN>10</MN>
                                  <CLI>1,1,50,False,35</CLI>
                                  <ELN>1</ELN>
                                  <LOOT>0</LOOT>
                                  <LOMN>3</LOMN>
                                  <LOMCN>1</LOMCN>
                                  <LOSN>1</LOSN>
                                  <LOEN>24</LOEN>
                                  <LOCN>35</LOCN>
                                </LnkInProps>
                              </LnkIn>
                            </Ctg>
                          </Ctgs>
                        </SubTtl>
                      </SubTtls>
                      <TtlCtg/>
                      <ElmtLnksIn>
                        <ElmtLnk>
                          <ElmtLnkProps>
                            <ELI>1,1,50</ELI>
                            <ELN>1</ELN>
                            <ELGN>5</ELGN>
                            <MLG>1EE39398-735E-4BBF-B774-6358567F00C1</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5,1,1,1,0,0,TRUE,TRUE§Z¿]]></VOFFF>
                              </ClmnBlkPtProps>
                            </ClmnBlkPt>
                          </ClmnBlkPts>
                        </ClmnBlk>
                        <ClmnBlk>
                          <ClmnBlkProps>
                            <FCPT>0</FCPT>
                            <FCN>15</FCN>
                            <LCPT>0</LCPT>
                            <LCN>15</LCN>
                          </ClmnBlkProps>
                          <ClmnBlkPts>
                            <ClmnBlkPt>
                              <ClmnBlkPtProps>
                                <CBPT>5</CBPT>
                                <ST>18</ST>
                                <VOFFF><![CDATA[=§A¿0,1,0,1,35,1,1,1,0,0,TRUE,TRUE§Z¿]]></VOFFF>
                              </ClmnBlkPtProps>
                            </ClmnBlkPt>
                          </ClmnBlkPts>
                        </ClmnBlk>
                        <ClmnBlk>
                          <ClmnBlkProps>
                            <FCPT>0</FCPT>
                            <FCN>17</FCN>
                            <LCPT>0</LCPT>
                            <LCN>17</LCN>
                          </ClmnBlkProps>
                          <ClmnBlkPts>
                            <ClmnBlkPt>
                              <ClmnBlkPtProps>
                                <CBPT>5</CBPT>
                                <ST>18</ST>
                                <VOFFF><![CDATA[=§A¿0,1,0,1,35,1,1,2,0,0,TRUE,TRUE§Z¿]]></VOFFF>
                              </ClmnBlkPtProps>
                            </ClmnBlkPt>
                          </ClmnBlkPts>
                        </ClmnBlk>
                        <ClmnBlk>
                          <ClmnBlkProps>
                            <FCPT>0</FCPT>
                            <FCN>19</FCN>
                            <LCPT>0</LCPT>
                            <LCN>19</LCN>
                          </ClmnBlkProps>
                          <ClmnBlkPts>
                            <ClmnBlkPt>
                              <ClmnBlkPtProps>
                                <CBPT>5</CBPT>
                                <ST>18</ST>
                                <VOFFF><![CDATA[=§A¿0,1,0,1,35,1,1,2,0,0,TRUE,TRUE§Z¿]]></VOFFF>
                              </ClmnBlkPtProps>
                            </ClmnBlkPt>
                          </ClmnBlkPts>
                        </ClmnBlk>
                      </ClmnBlks>
                      <TtlCtg>
                        <TtlCtgProps>
                          <R>5</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1,1,54,1,1</CBPLI>
                                    <ELN>1</ELN>
                                    <FFF><![CDATA[=§A¿10,FALSE,0,1,0,FALSE§Z¿]]></FFF>
                                  </LnkInFormProps>
                                </LnkInForm>
                              </LnkInForms>
                            </ClmnBlkPt>
                            <ClmnBlkPt>
                              <ClmnBlkPtProps>
                                <CBPT>1</CBPT>
                                <ST>6</ST>
                                <VOFFF><![CDATA[="Total "&§A¿0,1,0,1,54,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1,1,54,3,1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1,1,54,4,1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1,1,54,5,1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10</MN>
                                  <CLI>1,1,54,False,1</CLI>
                                  <ELN>1</ELN>
                                  <LOOT>0</LOOT>
                                  <LOMN>3</LOMN>
                                  <LOMCN>1</LOMCN>
                                  <LOSN>1</LOSN>
                                  <LOEN>29</LOEN>
                                  <LOCN>1</LOCN>
                                </LnkInProps>
                              </LnkIn>
                            </Ctg>
                            <Ctg>
                              <CtgProps>
                                <R>5</R>
                              </CtgProps>
                              <LnkIn>
                                <LnkInProps>
                                  <MN>10</MN>
                                  <CLI>1,1,54,False,2</CLI>
                                  <ELN>1</ELN>
                                  <LOOT>0</LOOT>
                                  <LOMN>3</LOMN>
                                  <LOMCN>1</LOMCN>
                                  <LOSN>1</LOSN>
                                  <LOEN>29</LOEN>
                                  <LOCN>2</LOCN>
                                </LnkInProps>
                              </LnkIn>
                            </Ctg>
                            <Ctg>
                              <CtgProps>
                                <R>6</R>
                              </CtgProps>
                              <LnkIn>
                                <LnkInProps>
                                  <MN>10</MN>
                                  <CLI>1,1,54,False,3</CLI>
                                  <ELN>1</ELN>
                                  <LOOT>0</LOOT>
                                  <LOMN>3</LOMN>
                                  <LOMCN>1</LOMCN>
                                  <LOSN>1</LOSN>
                                  <LOEN>29</LOEN>
                                  <LOCN>3</LOCN>
                                </LnkInProps>
                              </LnkIn>
                            </Ctg>
                            <Ctg>
                              <CtgProps>
                                <R>6</R>
                              </CtgProps>
                              <LnkIn>
                                <LnkInProps>
                                  <MN>10</MN>
                                  <CLI>1,1,54,False,4</CLI>
                                  <ELN>1</ELN>
                                  <LOOT>0</LOOT>
                                  <LOMN>3</LOMN>
                                  <LOMCN>1</LOMCN>
                                  <LOSN>1</LOSN>
                                  <LOEN>29</LOEN>
                                  <LOCN>4</LOCN>
                                </LnkInProps>
                              </LnkIn>
                            </Ctg>
                            <Ctg>
                              <CtgProps>
                                <R>6</R>
                              </CtgProps>
                              <LnkIn>
                                <LnkInProps>
                                  <MN>10</MN>
                                  <CLI>1,1,54,False,5</CLI>
                                  <ELN>1</ELN>
                                  <LOOT>0</LOOT>
                                  <LOMN>3</LOMN>
                                  <LOMCN>1</LOMCN>
                                  <LOSN>1</LOSN>
                                  <LOEN>29</LOEN>
                                  <LOCN>5</LOCN>
                                </LnkInProps>
                              </LnkIn>
                            </Ctg>
                            <Ctg>
                              <CtgProps>
                                <R>6</R>
                              </CtgProps>
                              <LnkIn>
                                <LnkInProps>
                                  <MN>10</MN>
                                  <CLI>1,1,54,False,6</CLI>
                                  <ELN>1</ELN>
                                  <LOOT>0</LOOT>
                                  <LOMN>3</LOMN>
                                  <LOMCN>1</LOMCN>
                                  <LOSN>1</LOSN>
                                  <LOEN>29</LOEN>
                                  <LOCN>6</LOCN>
                                </LnkInProps>
                              </LnkIn>
                            </Ctg>
                            <Ctg>
                              <CtgProps>
                                <R>6</R>
                              </CtgProps>
                              <LnkIn>
                                <LnkInProps>
                                  <MN>10</MN>
                                  <CLI>1,1,54,False,7</CLI>
                                  <ELN>1</ELN>
                                  <LOOT>0</LOOT>
                                  <LOMN>3</LOMN>
                                  <LOMCN>1</LOMCN>
                                  <LOSN>1</LOSN>
                                  <LOEN>29</LOEN>
                                  <LOCN>7</LOCN>
                                </LnkInProps>
                              </LnkIn>
                            </Ctg>
                            <Ctg>
                              <CtgProps>
                                <R>6</R>
                              </CtgProps>
                              <LnkIn>
                                <LnkInProps>
                                  <MN>10</MN>
                                  <CLI>1,1,54,False,8</CLI>
                                  <ELN>1</ELN>
                                  <LOOT>0</LOOT>
                                  <LOMN>3</LOMN>
                                  <LOMCN>1</LOMCN>
                                  <LOSN>1</LOSN>
                                  <LOEN>29</LOEN>
                                  <LOCN>8</LOCN>
                                </LnkInProps>
                              </LnkIn>
                            </Ctg>
                            <Ctg>
                              <CtgProps>
                                <R>6</R>
                              </CtgProps>
                              <LnkIn>
                                <LnkInProps>
                                  <MN>10</MN>
                                  <CLI>1,1,54,False,9</CLI>
                                  <ELN>1</ELN>
                                  <LOOT>0</LOOT>
                                  <LOMN>3</LOMN>
                                  <LOMCN>1</LOMCN>
                                  <LOSN>1</LOSN>
                                  <LOEN>29</LOEN>
                                  <LOCN>9</LOCN>
                                </LnkInProps>
                              </LnkIn>
                            </Ctg>
                            <Ctg>
                              <CtgProps>
                                <R>6</R>
                              </CtgProps>
                              <LnkIn>
                                <LnkInProps>
                                  <MN>10</MN>
                                  <CLI>1,1,54,False,10</CLI>
                                  <ELN>1</ELN>
                                  <LOOT>0</LOOT>
                                  <LOMN>3</LOMN>
                                  <LOMCN>1</LOMCN>
                                  <LOSN>1</LOSN>
                                  <LOEN>29</LOEN>
                                  <LOCN>10</LOCN>
                                </LnkInProps>
                              </LnkIn>
                            </Ctg>
                            <Ctg>
                              <CtgProps>
                                <R>6</R>
                              </CtgProps>
                              <LnkIn>
                                <LnkInProps>
                                  <MN>10</MN>
                                  <CLI>1,1,54,False,11</CLI>
                                  <ELN>1</ELN>
                                  <LOOT>0</LOOT>
                                  <LOMN>3</LOMN>
                                  <LOMCN>1</LOMCN>
                                  <LOSN>1</LOSN>
                                  <LOEN>29</LOEN>
                                  <LOCN>11</LOCN>
                                </LnkInProps>
                              </LnkIn>
                            </Ctg>
                            <Ctg>
                              <CtgProps>
                                <R>6</R>
                              </CtgProps>
                              <LnkIn>
                                <LnkInProps>
                                  <MN>10</MN>
                                  <CLI>1,1,54,False,12</CLI>
                                  <ELN>1</ELN>
                                  <LOOT>0</LOOT>
                                  <LOMN>3</LOMN>
                                  <LOMCN>1</LOMCN>
                                  <LOSN>1</LOSN>
                                  <LOEN>29</LOEN>
                                  <LOCN>12</LOCN>
                                </LnkInProps>
                              </LnkIn>
                            </Ctg>
                            <Ctg>
                              <CtgProps>
                                <R>6</R>
                              </CtgProps>
                              <LnkIn>
                                <LnkInProps>
                                  <MN>10</MN>
                                  <CLI>1,1,54,False,13</CLI>
                                  <ELN>1</ELN>
                                  <LOOT>0</LOOT>
                                  <LOMN>3</LOMN>
                                  <LOMCN>1</LOMCN>
                                  <LOSN>1</LOSN>
                                  <LOEN>29</LOEN>
                                  <LOCN>13</LOCN>
                                </LnkInProps>
                              </LnkIn>
                            </Ctg>
                            <Ctg>
                              <CtgProps>
                                <R>6</R>
                              </CtgProps>
                              <LnkIn>
                                <LnkInProps>
                                  <MN>10</MN>
                                  <CLI>1,1,54,False,14</CLI>
                                  <ELN>1</ELN>
                                  <LOOT>0</LOOT>
                                  <LOMN>3</LOMN>
                                  <LOMCN>1</LOMCN>
                                  <LOSN>1</LOSN>
                                  <LOEN>29</LOEN>
                                  <LOCN>14</LOCN>
                                </LnkInProps>
                              </LnkIn>
                            </Ctg>
                            <Ctg>
                              <CtgProps>
                                <R>6</R>
                              </CtgProps>
                              <LnkIn>
                                <LnkInProps>
                                  <MN>10</MN>
                                  <CLI>1,1,54,False,15</CLI>
                                  <ELN>1</ELN>
                                  <LOOT>0</LOOT>
                                  <LOMN>3</LOMN>
                                  <LOMCN>1</LOMCN>
                                  <LOSN>1</LOSN>
                                  <LOEN>29</LOEN>
                                  <LOCN>15</LOCN>
                                </LnkInProps>
                              </LnkIn>
                            </Ctg>
                            <Ctg>
                              <CtgProps>
                                <R>6</R>
                              </CtgProps>
                              <LnkIn>
                                <LnkInProps>
                                  <MN>10</MN>
                                  <CLI>1,1,54,False,16</CLI>
                                  <ELN>1</ELN>
                                  <LOOT>0</LOOT>
                                  <LOMN>3</LOMN>
                                  <LOMCN>1</LOMCN>
                                  <LOSN>1</LOSN>
                                  <LOEN>29</LOEN>
                                  <LOCN>16</LOCN>
                                </LnkInProps>
                              </LnkIn>
                            </Ctg>
                            <Ctg>
                              <CtgProps>
                                <R>6</R>
                              </CtgProps>
                              <LnkIn>
                                <LnkInProps>
                                  <MN>10</MN>
                                  <CLI>1,1,54,False,17</CLI>
                                  <ELN>1</ELN>
                                  <LOOT>0</LOOT>
                                  <LOMN>3</LOMN>
                                  <LOMCN>1</LOMCN>
                                  <LOSN>1</LOSN>
                                  <LOEN>29</LOEN>
                                  <LOCN>17</LOCN>
                                </LnkInProps>
                              </LnkIn>
                            </Ctg>
                            <Ctg>
                              <CtgProps>
                                <R>6</R>
                              </CtgProps>
                              <LnkIn>
                                <LnkInProps>
                                  <MN>10</MN>
                                  <CLI>1,1,54,False,18</CLI>
                                  <ELN>1</ELN>
                                  <LOOT>0</LOOT>
                                  <LOMN>3</LOMN>
                                  <LOMCN>1</LOMCN>
                                  <LOSN>1</LOSN>
                                  <LOEN>29</LOEN>
                                  <LOCN>18</LOCN>
                                </LnkInProps>
                              </LnkIn>
                            </Ctg>
                            <Ctg>
                              <CtgProps>
                                <R>6</R>
                              </CtgProps>
                              <LnkIn>
                                <LnkInProps>
                                  <MN>10</MN>
                                  <CLI>1,1,54,False,19</CLI>
                                  <ELN>1</ELN>
                                  <LOOT>0</LOOT>
                                  <LOMN>3</LOMN>
                                  <LOMCN>1</LOMCN>
                                  <LOSN>1</LOSN>
                                  <LOEN>29</LOEN>
                                  <LOCN>19</LOCN>
                                </LnkInProps>
                              </LnkIn>
                            </Ctg>
                            <Ctg>
                              <CtgProps>
                                <R>6</R>
                              </CtgProps>
                              <LnkIn>
                                <LnkInProps>
                                  <MN>10</MN>
                                  <CLI>1,1,54,False,20</CLI>
                                  <ELN>1</ELN>
                                  <LOOT>0</LOOT>
                                  <LOMN>3</LOMN>
                                  <LOMCN>1</LOMCN>
                                  <LOSN>1</LOSN>
                                  <LOEN>29</LOEN>
                                  <LOCN>20</LOCN>
                                </LnkInProps>
                              </LnkIn>
                            </Ctg>
                            <Ctg>
                              <CtgProps>
                                <R>6</R>
                              </CtgProps>
                              <LnkIn>
                                <LnkInProps>
                                  <MN>10</MN>
                                  <CLI>1,1,54,False,21</CLI>
                                  <ELN>1</ELN>
                                  <LOOT>0</LOOT>
                                  <LOMN>3</LOMN>
                                  <LOMCN>1</LOMCN>
                                  <LOSN>1</LOSN>
                                  <LOEN>29</LOEN>
                                  <LOCN>21</LOCN>
                                </LnkInProps>
                              </LnkIn>
                            </Ctg>
                            <Ctg>
                              <CtgProps>
                                <R>6</R>
                              </CtgProps>
                              <LnkIn>
                                <LnkInProps>
                                  <MN>10</MN>
                                  <CLI>1,1,54,False,22</CLI>
                                  <ELN>1</ELN>
                                  <LOOT>0</LOOT>
                                  <LOMN>3</LOMN>
                                  <LOMCN>1</LOMCN>
                                  <LOSN>1</LOSN>
                                  <LOEN>29</LOEN>
                                  <LOCN>22</LOCN>
                                </LnkInProps>
                              </LnkIn>
                            </Ctg>
                            <Ctg>
                              <CtgProps>
                                <R>6</R>
                              </CtgProps>
                              <LnkIn>
                                <LnkInProps>
                                  <MN>10</MN>
                                  <CLI>1,1,54,False,23</CLI>
                                  <ELN>1</ELN>
                                  <LOOT>0</LOOT>
                                  <LOMN>3</LOMN>
                                  <LOMCN>1</LOMCN>
                                  <LOSN>1</LOSN>
                                  <LOEN>29</LOEN>
                                  <LOCN>23</LOCN>
                                </LnkInProps>
                              </LnkIn>
                            </Ctg>
                            <Ctg>
                              <CtgProps>
                                <R>6</R>
                              </CtgProps>
                              <LnkIn>
                                <LnkInProps>
                                  <MN>10</MN>
                                  <CLI>1,1,54,False,24</CLI>
                                  <ELN>1</ELN>
                                  <LOOT>0</LOOT>
                                  <LOMN>3</LOMN>
                                  <LOMCN>1</LOMCN>
                                  <LOSN>1</LOSN>
                                  <LOEN>29</LOEN>
                                  <LOCN>24</LOCN>
                                </LnkInProps>
                              </LnkIn>
                            </Ctg>
                            <Ctg>
                              <CtgProps>
                                <R>6</R>
                              </CtgProps>
                              <LnkIn>
                                <LnkInProps>
                                  <MN>10</MN>
                                  <CLI>1,1,54,False,25</CLI>
                                  <ELN>1</ELN>
                                  <LOOT>0</LOOT>
                                  <LOMN>3</LOMN>
                                  <LOMCN>1</LOMCN>
                                  <LOSN>1</LOSN>
                                  <LOEN>29</LOEN>
                                  <LOCN>25</LOCN>
                                </LnkInProps>
                              </LnkIn>
                            </Ctg>
                            <Ctg>
                              <CtgProps>
                                <R>6</R>
                              </CtgProps>
                              <LnkIn>
                                <LnkInProps>
                                  <MN>10</MN>
                                  <CLI>1,1,54,False,26</CLI>
                                  <ELN>1</ELN>
                                  <LOOT>0</LOOT>
                                  <LOMN>3</LOMN>
                                  <LOMCN>1</LOMCN>
                                  <LOSN>1</LOSN>
                                  <LOEN>29</LOEN>
                                  <LOCN>26</LOCN>
                                </LnkInProps>
                              </LnkIn>
                            </Ctg>
                            <Ctg>
                              <CtgProps>
                                <R>6</R>
                              </CtgProps>
                              <LnkIn>
                                <LnkInProps>
                                  <MN>10</MN>
                                  <CLI>1,1,54,False,27</CLI>
                                  <ELN>1</ELN>
                                  <LOOT>0</LOOT>
                                  <LOMN>3</LOMN>
                                  <LOMCN>1</LOMCN>
                                  <LOSN>1</LOSN>
                                  <LOEN>29</LOEN>
                                  <LOCN>27</LOCN>
                                </LnkInProps>
                              </LnkIn>
                            </Ctg>
                            <Ctg>
                              <CtgProps>
                                <R>6</R>
                              </CtgProps>
                              <LnkIn>
                                <LnkInProps>
                                  <MN>10</MN>
                                  <CLI>1,1,54,False,28</CLI>
                                  <ELN>1</ELN>
                                  <LOOT>0</LOOT>
                                  <LOMN>3</LOMN>
                                  <LOMCN>1</LOMCN>
                                  <LOSN>1</LOSN>
                                  <LOEN>29</LOEN>
                                  <LOCN>28</LOCN>
                                </LnkInProps>
                              </LnkIn>
                            </Ctg>
                            <Ctg>
                              <CtgProps>
                                <R>6</R>
                              </CtgProps>
                              <LnkIn>
                                <LnkInProps>
                                  <MN>10</MN>
                                  <CLI>1,1,54,False,29</CLI>
                                  <ELN>1</ELN>
                                  <LOOT>0</LOOT>
                                  <LOMN>3</LOMN>
                                  <LOMCN>1</LOMCN>
                                  <LOSN>1</LOSN>
                                  <LOEN>29</LOEN>
                                  <LOCN>29</LOCN>
                                </LnkInProps>
                              </LnkIn>
                            </Ctg>
                            <Ctg>
                              <CtgProps>
                                <R>6</R>
                              </CtgProps>
                              <LnkIn>
                                <LnkInProps>
                                  <MN>10</MN>
                                  <CLI>1,1,54,False,30</CLI>
                                  <ELN>1</ELN>
                                  <LOOT>0</LOOT>
                                  <LOMN>3</LOMN>
                                  <LOMCN>1</LOMCN>
                                  <LOSN>1</LOSN>
                                  <LOEN>29</LOEN>
                                  <LOCN>30</LOCN>
                                </LnkInProps>
                              </LnkIn>
                            </Ctg>
                            <Ctg>
                              <CtgProps>
                                <R>6</R>
                              </CtgProps>
                              <LnkIn>
                                <LnkInProps>
                                  <MN>10</MN>
                                  <CLI>1,1,54,False,31</CLI>
                                  <ELN>1</ELN>
                                  <LOOT>0</LOOT>
                                  <LOMN>3</LOMN>
                                  <LOMCN>1</LOMCN>
                                  <LOSN>1</LOSN>
                                  <LOEN>29</LOEN>
                                  <LOCN>31</LOCN>
                                </LnkInProps>
                              </LnkIn>
                            </Ctg>
                            <Ctg>
                              <CtgProps>
                                <R>6</R>
                              </CtgProps>
                              <LnkIn>
                                <LnkInProps>
                                  <MN>10</MN>
                                  <CLI>1,1,54,False,32</CLI>
                                  <ELN>1</ELN>
                                  <LOOT>0</LOOT>
                                  <LOMN>3</LOMN>
                                  <LOMCN>1</LOMCN>
                                  <LOSN>1</LOSN>
                                  <LOEN>29</LOEN>
                                  <LOCN>32</LOCN>
                                </LnkInProps>
                              </LnkIn>
                            </Ctg>
                            <Ctg>
                              <CtgProps>
                                <R>6</R>
                              </CtgProps>
                              <LnkIn>
                                <LnkInProps>
                                  <MN>10</MN>
                                  <CLI>1,1,54,False,33</CLI>
                                  <ELN>1</ELN>
                                  <LOOT>0</LOOT>
                                  <LOMN>3</LOMN>
                                  <LOMCN>1</LOMCN>
                                  <LOSN>1</LOSN>
                                  <LOEN>29</LOEN>
                                  <LOCN>33</LOCN>
                                </LnkInProps>
                              </LnkIn>
                            </Ctg>
                            <Ctg>
                              <CtgProps>
                                <R>6</R>
                              </CtgProps>
                              <LnkIn>
                                <LnkInProps>
                                  <MN>10</MN>
                                  <CLI>1,1,54,False,34</CLI>
                                  <ELN>1</ELN>
                                  <LOOT>0</LOOT>
                                  <LOMN>3</LOMN>
                                  <LOMCN>1</LOMCN>
                                  <LOSN>1</LOSN>
                                  <LOEN>29</LOEN>
                                  <LOCN>34</LOCN>
                                </LnkInProps>
                              </LnkIn>
                            </Ctg>
                            <Ctg>
                              <CtgProps>
                                <R>6</R>
                              </CtgProps>
                              <LnkIn>
                                <LnkInProps>
                                  <MN>10</MN>
                                  <CLI>1,1,54,False,35</CLI>
                                  <ELN>1</ELN>
                                  <LOOT>0</LOOT>
                                  <LOMN>3</LOMN>
                                  <LOMCN>1</LOMCN>
                                  <LOSN>1</LOSN>
                                  <LOEN>29</LOEN>
                                  <LOCN>35</LOCN>
                                </LnkInProps>
                              </LnkIn>
                            </Ctg>
                          </Ctgs>
                        </SubTtl>
                      </SubTtls>
                      <TtlCtg/>
                      <ElmtLnksIn>
                        <ElmtLnk>
                          <ElmtLnkProps>
                            <ELI>1,1,54</ELI>
                            <ELN>1</ELN>
                            <ELGN>6</ELGN>
                            <MLG>A4172745-D85C-404E-8029-461F8AE9358B</MLG>
                            <ICBI>1,2,3,4,5</ICBI>
                            <ILBN/>
                            <LIBN>0</LIBN>
                          </ElmtLnkProps>
                        </ElmtLnk>
                      </ElmtLnksIn>
                    </Elmt>
                  </Elmts>
                </Sect>
              </Sects>
              <Ctrls>
                <Ctrl>
                  <CtrlProps>
                    <MN>10</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10</MN>
                <MCN>2</MCN>
                <MCTK>BaseCase</MCTK>
                <RT><![CDATA[<ModuleName> - Assumptions]]></RT>
                <ERN>BPMMC104</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76</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10</MN>
                <MCN>3</MCN>
                <MCTK>OP</MCTK>
                <RT><![CDATA[<ModuleName> - Outputs]]></RT>
                <ERN>BPMMC105</ERN>
                <MCST>0</MCST>
                <IPMC>False</IPMC>
                <SN>28</SN>
                <LODS>False</LODS>
                <LST>False</LST>
                <HS>False</HS>
                <IBOA>0</IBOA>
                <IB>True</IB>
                <CI/>
                <PTI/>
                <PTP>False</PTP>
                <PTD/>
                <PTMCN>0</PTMCN>
                <CROL>0</CROL>
                <CCOL>0</CCOL>
                <AMFN>0</AMFN>
              </ModCompProps>
              <Sects>
                <Sect>
                  <SectProps>
                    <LI>3,1</LI>
                    <EGN>0</EGN>
                  </SectProps>
                  <Elmts>
                    <Elmt>
                      <ElmtProps>
                        <CPT>2</CPT>
                      </ElmtProps>
                      <TtlCtg/>
                    </Elmt>
                    <Elmt>
                      <ElmtProps>
                        <CPT>2</CPT>
                      </ElmtProps>
                      <ClmnBlks>
                        <ClmnBlk>
                          <ClmnBlkProps>
                            <FCPT>0</FCPT>
                            <FCN>2</FCN>
                            <LCPT>0</LCPT>
                            <LCN>2</LCN>
                          </ClmnBlkProps>
                          <ClmnBlkPts>
                            <ClmnBlkPt>
                              <ClmnBlkPtProps>
                                <CBPT>5</CBPT>
                                <HCTHR>True</HCTHR>
                                <CTHN>77</CTHN>
                                <ST>3</ST>
                                <VOFFF><![CDATA[Training]]></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5,1,1,1,0,0,TRUE,TRUE§Z¿,§A¿0,1,0,1,35,1,1,2,0,0,TRUE,TRUE§Z¿)&")"]]></VOFFF>
                              </ClmnBlkPtProps>
                            </ClmnBlkPt>
                          </ClmnBlkPts>
                        </ClmnBlk>
                        <ClmnBlk>
                          <ClmnBlkProps>
                            <FCPT>0</FCPT>
                            <FCN>17</FCN>
                            <LCPT>0</LCPT>
                            <LCN>17</LCN>
                          </ClmnBlkProps>
                          <ClmnBlkPts>
                            <ClmnBlkPt>
                              <ClmnBlkPtProps>
                                <CBPT>5</CBPT>
                                <ST>6</ST>
                                <SON>2</SON>
                                <VOFFF><![CDATA[="FINANCIAL COST ("&IF(§A¿1,1,1,1,5,0,2,1,1§Z¿=2,§A¿0,1,0,1,35,1,1,1,0,0,TRUE,TRUE§Z¿,§A¿0,1,0,1,35,1,1,2,0,0,TRUE,TRUE§Z¿)&")"]]></VOFFF>
                              </ClmnBlkPtProps>
                            </ClmnBlkPt>
                          </ClmnBlkPts>
                        </ClmnBlk>
                      </ClmnBlks>
                      <TtlCtg/>
                    </Elmt>
                    <Elmt>
                      <ElmtProps>
                        <CPT>2</CPT>
                      </ElmtProps>
                      <ClmnBlks>
                        <ClmnBlk>
                          <ClmnBlkProps>
                            <FCPT>0</FCPT>
                            <FCN>4</FCN>
                            <LCPT>0</LCPT>
                            <LCN>4</LCN>
                          </ClmnBlkProps>
                          <ClmnBlkPts>
                            <ClmnBlkPt>
                              <ClmnBlkPtProps>
                                <CBPT>5</CBPT>
                                <ST>6</ST>
                                <VOFFF><![CDATA[=§A¿0,1,0,1,7,1,1,-1,0,0,FALSE,FALSE§Z¿]]></VOFFF>
                              </ClmnBlkPtProps>
                            </ClmnBlkPt>
                          </ClmnBlkPts>
                        </ClmnBlk>
                        <ClmnBlk>
                          <ClmnBlkProps>
                            <FCPT>0</FCPT>
                            <FCN>10</FCN>
                            <LCPT>0</LCPT>
                            <LCN>10</LCN>
                          </ClmnBlkProps>
                          <ClmnBlkPts>
                            <ClmnBlkPt>
                              <ClmnBlkPtProps>
                                <CBPT>5</CBPT>
                                <ST>18</ST>
                                <SON>14</SON>
                                <VOFFF><![CDATA[=§A¿0,1,0,1,9,6,6,-1,0,0,FALSE,FALSE§Z¿]]></VOFFF>
                              </ClmnBlkPtProps>
                            </ClmnBlkPt>
                          </ClmnBlkPts>
                        </ClmnBlk>
                        <ClmnBlk>
                          <ClmnBlkProps>
                            <FCPT>0</FCPT>
                            <FCN>12</FCN>
                            <LCPT>0</LCPT>
                            <LCN>12</LCN>
                          </ClmnBlkProps>
                          <ClmnBlkPts>
                            <ClmnBlkPt>
                              <ClmnBlkPtProps>
                                <CBPT>5</CBPT>
                                <ST>18</ST>
                                <SON>14</SON>
                                <VOFFF><![CDATA[=§A¿0,1,0,1,9,7,6,-1,0,0,FALSE,FALSE§Z¿]]></VOFFF>
                              </ClmnBlkPtProps>
                            </ClmnBlkPt>
                          </ClmnBlkPts>
                        </ClmnBlk>
                        <ClmnBlk>
                          <ClmnBlkProps>
                            <FCPT>0</FCPT>
                            <FCN>15</FCN>
                            <LCPT>0</LCPT>
                            <LCN>15</LCN>
                          </ClmnBlkProps>
                          <ClmnBlkPts>
                            <ClmnBlkPt>
                              <ClmnBlkPtProps>
                                <CBPT>5</CBPT>
                                <ST>18</ST>
                                <SON>14</SON>
                                <VOFFF><![CDATA[=IFERROR(IF(§A¿1,1,1,1,5,0,2,1,1§Z¿=2,§A¿0,3,0,1,6,2,1,-1,0,0,FALSE,FALSE§Z¿/§A¿0,1,0,1,35,2,1,2,0,0,TRUE,TRUE§Z¿,§A¿0,3,0,1,6,2,1,-1,0,0,FALSE,FALSE§Z¿*§A¿0,1,0,1,35,2,1,2,0,0,TRUE,TRUE§Z¿), 0)]]></VOFFF>
                              </ClmnBlkPtProps>
                            </ClmnBlkPt>
                          </ClmnBlkPts>
                        </ClmnBlk>
                        <ClmnBlk>
                          <ClmnBlkProps>
                            <FCPT>0</FCPT>
                            <FCN>17</FCN>
                            <LCPT>0</LCPT>
                            <LCN>17</LCN>
                          </ClmnBlkProps>
                          <ClmnBlkPts>
                            <ClmnBlkPt>
                              <ClmnBlkPtProps>
                                <CBPT>5</CBPT>
                                <ST>18</ST>
                                <SON>14</SON>
                                <VOFFF><![CDATA[=IFERROR(IF(§A¿1,1,1,1,5,0,2,1,1§Z¿=2,§A¿0,3,0,1,6,3,1,-1,0,0,FALSE,FALSE§Z¿/§A¿0,1,0,1,35,2,1,2,0,0,TRUE,TRUE§Z¿,§A¿0,3,0,1,6,3,1,-1,0,0,FALSE,FALSE§Z¿*§A¿0,1,0,1,35,2,1,2,0,0,TRUE,TRUE§Z¿), 0)]]></VOFFF>
                              </ClmnBlkPtProps>
                            </ClmnBlkPt>
                          </ClmnBlkPts>
                        </ClmnBlk>
                      </ClmnBlks>
                      <TtlCtg/>
                    </Elmt>
                    <Elmt>
                      <ElmtProps>
                        <CPT>2</CPT>
                      </ElmtProps>
                      <ClmnBlks>
                        <ClmnBlk>
                          <ClmnBlkProps>
                            <FCPT>0</FCPT>
                            <FCN>4</FCN>
                            <LCPT>0</LCPT>
                            <LCN>4</LCN>
                          </ClmnBlkProps>
                          <ClmnBlkPts>
                            <ClmnBlkPt>
                              <ClmnBlkPtProps>
                                <CBPT>5</CBPT>
                                <ST>6</ST>
                                <VOFFF><![CDATA[=§A¿0,1,0,1,11,1,1,-1,0,0,FALSE,FALSE§Z¿]]></VOFFF>
                              </ClmnBlkPtProps>
                            </ClmnBlkPt>
                          </ClmnBlkPts>
                        </ClmnBlk>
                        <ClmnBlk>
                          <ClmnBlkProps>
                            <FCPT>0</FCPT>
                            <FCN>10</FCN>
                            <LCPT>0</LCPT>
                            <LCN>10</LCN>
                          </ClmnBlkProps>
                          <ClmnBlkPts>
                            <ClmnBlkPt>
                              <ClmnBlkPtProps>
                                <CBPT>5</CBPT>
                                <ST>18</ST>
                                <SON>14</SON>
                                <VOFFF><![CDATA[=§A¿0,1,0,1,13,6,6,-1,0,0,FALSE,FALSE§Z¿]]></VOFFF>
                              </ClmnBlkPtProps>
                            </ClmnBlkPt>
                          </ClmnBlkPts>
                        </ClmnBlk>
                        <ClmnBlk>
                          <ClmnBlkProps>
                            <FCPT>0</FCPT>
                            <FCN>12</FCN>
                            <LCPT>0</LCPT>
                            <LCN>12</LCN>
                          </ClmnBlkProps>
                          <ClmnBlkPts>
                            <ClmnBlkPt>
                              <ClmnBlkPtProps>
                                <CBPT>5</CBPT>
                                <ST>18</ST>
                                <SON>14</SON>
                                <VOFFF><![CDATA[=§A¿0,1,0,1,13,7,6,-1,0,0,FALSE,FALSE§Z¿]]></VOFFF>
                              </ClmnBlkPtProps>
                            </ClmnBlkPt>
                          </ClmnBlkPts>
                        </ClmnBlk>
                        <ClmnBlk>
                          <ClmnBlkProps>
                            <FCPT>0</FCPT>
                            <FCN>15</FCN>
                            <LCPT>0</LCPT>
                            <LCN>15</LCN>
                          </ClmnBlkProps>
                          <ClmnBlkPts>
                            <ClmnBlkPt>
                              <ClmnBlkPtProps>
                                <CBPT>5</CBPT>
                                <ST>18</ST>
                                <SON>14</SON>
                                <VOFFF><![CDATA[=IFERROR(IF(§A¿1,1,1,1,5,0,2,1,1§Z¿=2,§A¿0,3,0,1,7,2,1,-1,0,0,FALSE,FALSE§Z¿/§A¿0,1,0,1,35,2,1,2,0,0,TRUE,TRUE§Z¿,§A¿0,3,0,1,7,2,1,-1,0,0,FALSE,FALSE§Z¿*§A¿0,1,0,1,35,2,1,2,0,0,TRUE,TRUE§Z¿), 0)]]></VOFFF>
                              </ClmnBlkPtProps>
                            </ClmnBlkPt>
                          </ClmnBlkPts>
                        </ClmnBlk>
                        <ClmnBlk>
                          <ClmnBlkProps>
                            <FCPT>0</FCPT>
                            <FCN>17</FCN>
                            <LCPT>0</LCPT>
                            <LCN>17</LCN>
                          </ClmnBlkProps>
                          <ClmnBlkPts>
                            <ClmnBlkPt>
                              <ClmnBlkPtProps>
                                <CBPT>5</CBPT>
                                <ST>18</ST>
                                <SON>14</SON>
                                <VOFFF><![CDATA[=IFERROR(IF(§A¿1,1,1,1,5,0,2,1,1§Z¿=2,§A¿0,3,0,1,7,3,1,-1,0,0,FALSE,FALSE§Z¿/§A¿0,1,0,1,35,2,1,2,0,0,TRUE,TRUE§Z¿,§A¿0,3,0,1,7,3,1,-1,0,0,FALSE,FALSE§Z¿*§A¿0,1,0,1,35,2,1,2,0,0,TRUE,TRUE§Z¿), 0)]]></VOFFF>
                              </ClmnBlkPtProps>
                            </ClmnBlkPt>
                          </ClmnBlkPts>
                        </ClmnBlk>
                      </ClmnBlks>
                      <TtlCtg/>
                    </Elmt>
                    <Elmt>
                      <ElmtProps>
                        <CPT>2</CPT>
                      </ElmtProps>
                      <ClmnBlks>
                        <ClmnBlk>
                          <ClmnBlkProps>
                            <FCPT>0</FCPT>
                            <FCN>4</FCN>
                            <LCPT>0</LCPT>
                            <LCN>4</LCN>
                          </ClmnBlkProps>
                          <ClmnBlkPts>
                            <ClmnBlkPt>
                              <ClmnBlkPtProps>
                                <CBPT>5</CBPT>
                                <ST>6</ST>
                                <VOFFF><![CDATA[=§A¿0,1,0,1,17,1,1,-1,0,0,FALSE,FALSE§Z¿]]></VOFFF>
                              </ClmnBlkPtProps>
                            </ClmnBlkPt>
                          </ClmnBlkPts>
                        </ClmnBlk>
                        <ClmnBlk>
                          <ClmnBlkProps>
                            <FCPT>0</FCPT>
                            <FCN>10</FCN>
                            <LCPT>0</LCPT>
                            <LCN>10</LCN>
                          </ClmnBlkProps>
                          <ClmnBlkPts>
                            <ClmnBlkPt>
                              <ClmnBlkPtProps>
                                <CBPT>5</CBPT>
                                <ST>18</ST>
                                <SON>14</SON>
                                <VOFFF><![CDATA[=§A¿0,1,0,1,19,6,6,-1,0,0,FALSE,FALSE§Z¿]]></VOFFF>
                              </ClmnBlkPtProps>
                            </ClmnBlkPt>
                          </ClmnBlkPts>
                        </ClmnBlk>
                        <ClmnBlk>
                          <ClmnBlkProps>
                            <FCPT>0</FCPT>
                            <FCN>12</FCN>
                            <LCPT>0</LCPT>
                            <LCN>12</LCN>
                          </ClmnBlkProps>
                          <ClmnBlkPts>
                            <ClmnBlkPt>
                              <ClmnBlkPtProps>
                                <CBPT>5</CBPT>
                                <ST>18</ST>
                                <SON>14</SON>
                                <VOFFF><![CDATA[=§A¿0,1,0,1,19,7,6,-1,0,0,FALSE,FALSE§Z¿]]></VOFFF>
                              </ClmnBlkPtProps>
                            </ClmnBlkPt>
                          </ClmnBlkPts>
                        </ClmnBlk>
                        <ClmnBlk>
                          <ClmnBlkProps>
                            <FCPT>0</FCPT>
                            <FCN>15</FCN>
                            <LCPT>0</LCPT>
                            <LCN>15</LCN>
                          </ClmnBlkProps>
                          <ClmnBlkPts>
                            <ClmnBlkPt>
                              <ClmnBlkPtProps>
                                <CBPT>5</CBPT>
                                <ST>18</ST>
                                <SON>14</SON>
                                <VOFFF><![CDATA[=IFERROR(IF(§A¿1,1,1,1,5,0,2,1,1§Z¿=2,§A¿0,3,0,1,8,2,1,-1,0,0,FALSE,FALSE§Z¿/§A¿0,1,0,1,35,2,1,2,0,0,TRUE,TRUE§Z¿,§A¿0,3,0,1,8,2,1,-1,0,0,FALSE,FALSE§Z¿*§A¿0,1,0,1,35,2,1,2,0,0,TRUE,TRUE§Z¿), 0)]]></VOFFF>
                              </ClmnBlkPtProps>
                            </ClmnBlkPt>
                          </ClmnBlkPts>
                        </ClmnBlk>
                        <ClmnBlk>
                          <ClmnBlkProps>
                            <FCPT>0</FCPT>
                            <FCN>17</FCN>
                            <LCPT>0</LCPT>
                            <LCN>17</LCN>
                          </ClmnBlkProps>
                          <ClmnBlkPts>
                            <ClmnBlkPt>
                              <ClmnBlkPtProps>
                                <CBPT>5</CBPT>
                                <ST>18</ST>
                                <SON>14</SON>
                                <VOFFF><![CDATA[=IFERROR(IF(§A¿1,1,1,1,5,0,2,1,1§Z¿=2,§A¿0,3,0,1,8,3,1,-1,0,0,FALSE,FALSE§Z¿/§A¿0,1,0,1,35,2,1,2,0,0,TRUE,TRUE§Z¿,§A¿0,3,0,1,8,3,1,-1,0,0,FALSE,FALSE§Z¿*§A¿0,1,0,1,35,2,1,2,0,0,TRUE,TRUE§Z¿), 0)]]></VOFFF>
                              </ClmnBlkPtProps>
                            </ClmnBlkPt>
                          </ClmnBlkPts>
                        </ClmnBlk>
                      </ClmnBlks>
                      <TtlCtg/>
                    </Elmt>
                    <Elmt>
                      <ElmtProps>
                        <CPT>2</CPT>
                      </ElmtProps>
                      <ClmnBlks>
                        <ClmnBlk>
                          <ClmnBlkProps>
                            <FCPT>0</FCPT>
                            <FCN>4</FCN>
                            <LCPT>0</LCPT>
                            <LCN>4</LCN>
                          </ClmnBlkProps>
                          <ClmnBlkPts>
                            <ClmnBlkPt>
                              <ClmnBlkPtProps>
                                <CBPT>5</CBPT>
                                <ST>6</ST>
                                <VOFFF><![CDATA[=§A¿0,1,0,1,21,1,1,-1,0,0,FALSE,FALSE§Z¿]]></VOFFF>
                              </ClmnBlkPtProps>
                            </ClmnBlkPt>
                          </ClmnBlkPts>
                        </ClmnBlk>
                        <ClmnBlk>
                          <ClmnBlkProps>
                            <FCPT>0</FCPT>
                            <FCN>10</FCN>
                            <LCPT>0</LCPT>
                            <LCN>10</LCN>
                          </ClmnBlkProps>
                          <ClmnBlkPts>
                            <ClmnBlkPt>
                              <ClmnBlkPtProps>
                                <CBPT>5</CBPT>
                                <ST>18</ST>
                                <SON>14</SON>
                                <VOFFF><![CDATA[=§A¿0,1,0,1,23,5,6,-1,0,0,FALSE,FALSE§Z¿]]></VOFFF>
                              </ClmnBlkPtProps>
                            </ClmnBlkPt>
                          </ClmnBlkPts>
                        </ClmnBlk>
                        <ClmnBlk>
                          <ClmnBlkProps>
                            <FCPT>0</FCPT>
                            <FCN>12</FCN>
                            <LCPT>0</LCPT>
                            <LCN>12</LCN>
                          </ClmnBlkProps>
                          <ClmnBlkPts>
                            <ClmnBlkPt>
                              <ClmnBlkPtProps>
                                <CBPT>5</CBPT>
                                <ST>18</ST>
                                <SON>14</SON>
                                <VOFFF><![CDATA[=§A¿0,1,0,1,23,6,6,-1,0,0,FALSE,FALSE§Z¿]]></VOFFF>
                              </ClmnBlkPtProps>
                            </ClmnBlkPt>
                          </ClmnBlkPts>
                        </ClmnBlk>
                        <ClmnBlk>
                          <ClmnBlkProps>
                            <FCPT>0</FCPT>
                            <FCN>15</FCN>
                            <LCPT>0</LCPT>
                            <LCN>15</LCN>
                          </ClmnBlkProps>
                          <ClmnBlkPts>
                            <ClmnBlkPt>
                              <ClmnBlkPtProps>
                                <CBPT>5</CBPT>
                                <ST>18</ST>
                                <SON>14</SON>
                                <VOFFF><![CDATA[=IFERROR(IF(§A¿1,1,1,1,5,0,2,1,1§Z¿=2,§A¿0,3,0,1,9,2,1,-1,0,0,FALSE,FALSE§Z¿/§A¿0,1,0,1,35,2,1,2,0,0,TRUE,TRUE§Z¿,§A¿0,3,0,1,9,2,1,-1,0,0,FALSE,FALSE§Z¿*§A¿0,1,0,1,35,2,1,2,0,0,TRUE,TRUE§Z¿), 0)]]></VOFFF>
                              </ClmnBlkPtProps>
                            </ClmnBlkPt>
                          </ClmnBlkPts>
                        </ClmnBlk>
                        <ClmnBlk>
                          <ClmnBlkProps>
                            <FCPT>0</FCPT>
                            <FCN>17</FCN>
                            <LCPT>0</LCPT>
                            <LCN>17</LCN>
                          </ClmnBlkProps>
                          <ClmnBlkPts>
                            <ClmnBlkPt>
                              <ClmnBlkPtProps>
                                <CBPT>5</CBPT>
                                <ST>18</ST>
                                <SON>14</SON>
                                <VOFFF><![CDATA[=IFERROR(IF(§A¿1,1,1,1,5,0,2,1,1§Z¿=2,§A¿0,3,0,1,9,3,1,-1,0,0,FALSE,FALSE§Z¿/§A¿0,1,0,1,35,2,1,2,0,0,TRUE,TRUE§Z¿,§A¿0,3,0,1,9,3,1,-1,0,0,FALSE,FALSE§Z¿*§A¿0,1,0,1,35,2,1,2,0,0,TRUE,TRUE§Z¿), 0)]]></VOFFF>
                              </ClmnBlkPtProps>
                            </ClmnBlkPt>
                          </ClmnBlkPts>
                        </ClmnBlk>
                      </ClmnBlks>
                      <TtlCtg/>
                    </Elmt>
                    <Elmt>
                      <ElmtProps>
                        <CPT>2</CPT>
                      </ElmtProps>
                      <ClmnBlks>
                        <ClmnBlk>
                          <ClmnBlkProps>
                            <FCPT>0</FCPT>
                            <FCN>4</FCN>
                            <LCPT>0</LCPT>
                            <LCN>4</LCN>
                          </ClmnBlkProps>
                          <ClmnBlkPts>
                            <ClmnBlkPt>
                              <ClmnBlkPtProps>
                                <CBPT>5</CBPT>
                                <ST>6</ST>
                                <VOFFF><![CDATA[=§A¿0,1,0,1,25,1,1,-1,0,0,FALSE,FALSE§Z¿]]></VOFFF>
                              </ClmnBlkPtProps>
                            </ClmnBlkPt>
                          </ClmnBlkPts>
                        </ClmnBlk>
                        <ClmnBlk>
                          <ClmnBlkProps>
                            <FCPT>0</FCPT>
                            <FCN>10</FCN>
                            <LCPT>0</LCPT>
                            <LCN>10</LCN>
                          </ClmnBlkProps>
                          <ClmnBlkPts>
                            <ClmnBlkPt>
                              <ClmnBlkPtProps>
                                <CBPT>5</CBPT>
                                <ST>18</ST>
                                <SON>14</SON>
                                <VOFFF><![CDATA[=§A¿0,1,0,1,28,6,6,-1,0,0,FALSE,FALSE§Z¿]]></VOFFF>
                              </ClmnBlkPtProps>
                            </ClmnBlkPt>
                          </ClmnBlkPts>
                        </ClmnBlk>
                        <ClmnBlk>
                          <ClmnBlkProps>
                            <FCPT>0</FCPT>
                            <FCN>12</FCN>
                            <LCPT>0</LCPT>
                            <LCN>12</LCN>
                          </ClmnBlkProps>
                          <ClmnBlkPts>
                            <ClmnBlkPt>
                              <ClmnBlkPtProps>
                                <CBPT>5</CBPT>
                                <ST>18</ST>
                                <SON>14</SON>
                                <VOFFF><![CDATA[=§A¿0,1,0,1,28,7,6,-1,0,0,FALSE,FALSE§Z¿]]></VOFFF>
                              </ClmnBlkPtProps>
                            </ClmnBlkPt>
                          </ClmnBlkPts>
                        </ClmnBlk>
                        <ClmnBlk>
                          <ClmnBlkProps>
                            <FCPT>0</FCPT>
                            <FCN>15</FCN>
                            <LCPT>0</LCPT>
                            <LCN>15</LCN>
                          </ClmnBlkProps>
                          <ClmnBlkPts>
                            <ClmnBlkPt>
                              <ClmnBlkPtProps>
                                <CBPT>5</CBPT>
                                <ST>18</ST>
                                <SON>14</SON>
                                <VOFFF><![CDATA[=IFERROR(IF(§A¿1,1,1,1,5,0,2,1,1§Z¿=2,§A¿0,3,0,1,10,2,1,-1,0,0,FALSE,FALSE§Z¿/§A¿0,1,0,1,35,2,1,2,0,0,TRUE,TRUE§Z¿,§A¿0,3,0,1,10,2,1,-1,0,0,FALSE,FALSE§Z¿*§A¿0,1,0,1,35,2,1,2,0,0,TRUE,TRUE§Z¿), 0)]]></VOFFF>
                              </ClmnBlkPtProps>
                            </ClmnBlkPt>
                          </ClmnBlkPts>
                        </ClmnBlk>
                        <ClmnBlk>
                          <ClmnBlkProps>
                            <FCPT>0</FCPT>
                            <FCN>17</FCN>
                            <LCPT>0</LCPT>
                            <LCN>17</LCN>
                          </ClmnBlkProps>
                          <ClmnBlkPts>
                            <ClmnBlkPt>
                              <ClmnBlkPtProps>
                                <CBPT>5</CBPT>
                                <ST>18</ST>
                                <SON>14</SON>
                                <VOFFF><![CDATA[=IFERROR(IF(§A¿1,1,1,1,5,0,2,1,1§Z¿=2,§A¿0,3,0,1,10,3,1,-1,0,0,FALSE,FALSE§Z¿/§A¿0,1,0,1,35,2,1,2,0,0,TRUE,TRUE§Z¿,§A¿0,3,0,1,10,3,1,-1,0,0,FALSE,FALSE§Z¿*§A¿0,1,0,1,35,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4,1,1,-1,0,0,FALSE,FALSE§Z¿&" Activity"]]></VOFFF>
                              </ClmnBlkPtProps>
                            </ClmnBlkPt>
                          </ClmnBlkPts>
                        </ClmnBlk>
                        <ClmnBlk>
                          <ClmnBlkProps>
                            <FCPT>0</FCPT>
                            <FCN>10</FCN>
                            <LCPT>0</LCPT>
                            <LCN>10</LCN>
                          </ClmnBlkProps>
                          <ClmnBlkPts>
                            <ClmnBlkPt>
                              <ClmnBlkPtProps>
                                <CBPT>5</CBPT>
                                <ST>18</ST>
                                <SON>17</SON>
                                <VOFFF><![CDATA[=SUM(§A¿0,3,1,1,6,2,1,-1,0,0,FALSE,FALSE,1,10,2,1,-1,0,0,FALSE,FALSE§Z¿)]]></VOFFF>
                              </ClmnBlkPtProps>
                            </ClmnBlkPt>
                          </ClmnBlkPts>
                        </ClmnBlk>
                        <ClmnBlk>
                          <ClmnBlkProps>
                            <FCPT>0</FCPT>
                            <FCN>12</FCN>
                            <LCPT>0</LCPT>
                            <LCN>12</LCN>
                          </ClmnBlkProps>
                          <ClmnBlkPts>
                            <ClmnBlkPt>
                              <ClmnBlkPtProps>
                                <CBPT>5</CBPT>
                                <ST>18</ST>
                                <SON>17</SON>
                                <VOFFF><![CDATA[=SUM(§A¿0,3,1,1,6,3,1,-1,0,0,FALSE,FALSE,1,10,3,1,-1,0,0,FALSE,FALSE§Z¿)]]></VOFFF>
                              </ClmnBlkPtProps>
                            </ClmnBlkPt>
                          </ClmnBlkPts>
                        </ClmnBlk>
                        <ClmnBlk>
                          <ClmnBlkProps>
                            <FCPT>0</FCPT>
                            <FCN>15</FCN>
                            <LCPT>0</LCPT>
                            <LCN>15</LCN>
                          </ClmnBlkProps>
                          <ClmnBlkPts>
                            <ClmnBlkPt>
                              <ClmnBlkPtProps>
                                <CBPT>5</CBPT>
                                <ST>18</ST>
                                <SON>18</SON>
                                <VOFFF><![CDATA[=SUM(§A¿0,3,1,1,6,4,1,-1,0,0,FALSE,FALSE,1,10,4,1,-1,0,0,FALSE,FALSE§Z¿)]]></VOFFF>
                              </ClmnBlkPtProps>
                            </ClmnBlkPt>
                          </ClmnBlkPts>
                        </ClmnBlk>
                        <ClmnBlk>
                          <ClmnBlkProps>
                            <FCPT>0</FCPT>
                            <FCN>17</FCN>
                            <LCPT>0</LCPT>
                            <LCN>17</LCN>
                          </ClmnBlkProps>
                          <ClmnBlkPts>
                            <ClmnBlkPt>
                              <ClmnBlkPtProps>
                                <CBPT>5</CBPT>
                                <ST>18</ST>
                                <SON>18</SON>
                                <VOFFF><![CDATA[=SUM(§A¿0,3,1,1,6,5,1,-1,0,0,FALSE,FALSE,1,10,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Subtotal Cost: "&§A¿0,3,0,1,4,1,1,-1,0,0,FALSE,FALSE§Z¿&" Activities"]]></VOFFF>
                              </ClmnBlkPtProps>
                            </ClmnBlkPt>
                          </ClmnBlkPts>
                        </ClmnBlk>
                        <ClmnBlk>
                          <ClmnBlkProps>
                            <FCPT>0</FCPT>
                            <FCN>10</FCN>
                            <LCPT>0</LCPT>
                            <LCN>10</LCN>
                          </ClmnBlkProps>
                          <ClmnBlkPts>
                            <ClmnBlkPt>
                              <ClmnBlkPtProps>
                                <CBPT>5</CBPT>
                                <ST>18</ST>
                                <SON>6</SON>
                                <VOFFF><![CDATA[=§A¿0,3,0,1,13,2,1,-1,0,0,TRUE,TRUE§Z¿*§A¿0,3,0,1,11,2,1,-1,0,0,FALSE,FALSE§Z¿]]></VOFFF>
                              </ClmnBlkPtProps>
                            </ClmnBlkPt>
                          </ClmnBlkPts>
                        </ClmnBlk>
                        <ClmnBlk>
                          <ClmnBlkProps>
                            <FCPT>0</FCPT>
                            <FCN>12</FCN>
                            <LCPT>0</LCPT>
                            <LCN>12</LCN>
                          </ClmnBlkProps>
                          <ClmnBlkPts>
                            <ClmnBlkPt>
                              <ClmnBlkPtProps>
                                <CBPT>5</CBPT>
                                <ST>18</ST>
                                <SON>6</SON>
                                <VOFFF><![CDATA[=§A¿0,3,0,1,13,2,1,-1,0,0,TRUE,TRUE§Z¿*§A¿0,3,0,1,11,3,1,-1,0,0,FALSE,FALSE§Z¿]]></VOFFF>
                              </ClmnBlkPtProps>
                            </ClmnBlkPt>
                          </ClmnBlkPts>
                        </ClmnBlk>
                        <ClmnBlk>
                          <ClmnBlkProps>
                            <FCPT>0</FCPT>
                            <FCN>15</FCN>
                            <LCPT>0</LCPT>
                            <LCN>15</LCN>
                          </ClmnBlkProps>
                          <ClmnBlkPts>
                            <ClmnBlkPt>
                              <ClmnBlkPtProps>
                                <CBPT>5</CBPT>
                                <ST>18</ST>
                                <SON>6</SON>
                                <VOFFF><![CDATA[=§A¿0,3,0,1,13,2,1,-1,0,0,TRUE,TRUE§Z¿*§A¿0,3,0,1,11,4,1,-1,0,0,FALSE,FALSE§Z¿]]></VOFFF>
                              </ClmnBlkPtProps>
                            </ClmnBlkPt>
                          </ClmnBlkPts>
                        </ClmnBlk>
                        <ClmnBlk>
                          <ClmnBlkProps>
                            <FCPT>0</FCPT>
                            <FCN>17</FCN>
                            <LCPT>0</LCPT>
                            <LCN>17</LCN>
                          </ClmnBlkProps>
                          <ClmnBlkPts>
                            <ClmnBlkPt>
                              <ClmnBlkPtProps>
                                <CBPT>5</CBPT>
                                <ST>18</ST>
                                <SON>6</SON>
                                <VOFFF><![CDATA[=§A¿0,3,0,1,13,2,1,-1,0,0,TRUE,TRUE§Z¿*§A¿0,3,0,1,11,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 Trained per Training]]></VOFFF>
                              </ClmnBlkPtProps>
                            </ClmnBlkPt>
                          </ClmnBlkPts>
                        </ClmnBlk>
                        <ClmnBlk>
                          <ClmnBlkProps>
                            <FCPT>0</FCPT>
                            <FCN>10</FCN>
                            <LCPT>0</LCPT>
                            <LCN>10</LCN>
                          </ClmnBlkProps>
                          <ClmnBlkPts>
                            <ClmnBlkPt>
                              <ClmnBlkPtProps>
                                <CBPT>5</CBPT>
                                <ST>11</ST>
                                <VOFFF/>
                                <UDAV><![CDATA[0]]></UDAV>
                              </ClmnBlkPtProps>
                            </ClmnBlkPt>
                          </ClmnBlkPts>
                        </ClmnBlk>
                        <ClmnBlk>
                          <ClmnBlkProps>
                            <FCPT>0</FCPT>
                            <FCN>12</FCN>
                            <LCPT>0</LCPT>
                            <LCN>12</LCN>
                          </ClmnBlkProps>
                          <ClmnBlkPts>
                            <ClmnBlkPt>
                              <ClmnBlkPtProps>
                                <CBPT>5</CBPT>
                                <ST>11</ST>
                                <VOFFF/>
                                <UDAV><![CDATA[0]]></UDAV>
                              </ClmnBlkPtProps>
                            </ClmnBlkPt>
                          </ClmnBlkPts>
                        </ClmnBlk>
                        <ClmnBlk>
                          <ClmnBlkProps>
                            <FCPT>0</FCPT>
                            <FCN>15</FCN>
                            <LCPT>0</LCPT>
                            <LCN>15</LCN>
                          </ClmnBlkProps>
                          <ClmnBlkPts>
                            <ClmnBlkPt>
                              <ClmnBlkPtProps>
                                <CBPT>5</CBPT>
                                <ST>11</ST>
                                <VOFFF/>
                                <UDAV><![CDATA[0]]></UDAV>
                              </ClmnBlkPtProps>
                            </ClmnBlkPt>
                          </ClmnBlkPts>
                        </ClmnBlk>
                        <ClmnBlk>
                          <ClmnBlkProps>
                            <FCPT>0</FCPT>
                            <FCN>17</FCN>
                            <LCPT>0</LCPT>
                            <LCN>17</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Cost per Trainer Trained]]></VOFFF>
                              </ClmnBlkPtProps>
                            </ClmnBlkPt>
                          </ClmnBlkPts>
                        </ClmnBlk>
                        <ClmnBlk>
                          <ClmnBlkProps>
                            <FCPT>0</FCPT>
                            <FCN>10</FCN>
                            <LCPT>0</LCPT>
                            <LCN>10</LCN>
                          </ClmnBlkProps>
                          <ClmnBlkPts>
                            <ClmnBlkPt>
                              <ClmnBlkPtProps>
                                <CBPT>5</CBPT>
                                <ST>18</ST>
                                <SON>14</SON>
                                <VOFFF><![CDATA[=IFERROR(§A¿0,3,0,1,11,2,1,-1,0,0,FALSE,FALSE§Z¿/§A¿0,3,0,1,16,2,1,-1,0,0,FALSE,FALSE§Z¿,0)]]></VOFFF>
                              </ClmnBlkPtProps>
                            </ClmnBlkPt>
                          </ClmnBlkPts>
                        </ClmnBlk>
                        <ClmnBlk>
                          <ClmnBlkProps>
                            <FCPT>0</FCPT>
                            <FCN>12</FCN>
                            <LCPT>0</LCPT>
                            <LCN>12</LCN>
                          </ClmnBlkProps>
                          <ClmnBlkPts>
                            <ClmnBlkPt>
                              <ClmnBlkPtProps>
                                <CBPT>5</CBPT>
                                <ST>18</ST>
                                <SON>14</SON>
                                <VOFFF><![CDATA[=IFERROR(§A¿0,3,0,1,11,3,1,-1,0,0,FALSE,FALSE§Z¿/§A¿0,3,0,1,16,3,1,-1,0,0,FALSE,FALSE§Z¿,0)]]></VOFFF>
                              </ClmnBlkPtProps>
                            </ClmnBlkPt>
                          </ClmnBlkPts>
                        </ClmnBlk>
                        <ClmnBlk>
                          <ClmnBlkProps>
                            <FCPT>0</FCPT>
                            <FCN>15</FCN>
                            <LCPT>0</LCPT>
                            <LCN>15</LCN>
                          </ClmnBlkProps>
                          <ClmnBlkPts>
                            <ClmnBlkPt>
                              <ClmnBlkPtProps>
                                <CBPT>5</CBPT>
                                <ST>18</ST>
                                <SON>14</SON>
                                <VOFFF><![CDATA[=IFERROR(§A¿0,3,0,1,11,4,1,-1,0,0,FALSE,FALSE§Z¿/§A¿0,3,0,1,16,4,1,-1,0,0,FALSE,FALSE§Z¿,0)]]></VOFFF>
                              </ClmnBlkPtProps>
                            </ClmnBlkPt>
                          </ClmnBlkPts>
                        </ClmnBlk>
                        <ClmnBlk>
                          <ClmnBlkProps>
                            <FCPT>0</FCPT>
                            <FCN>17</FCN>
                            <LCPT>0</LCPT>
                            <LCN>17</LCN>
                          </ClmnBlkProps>
                          <ClmnBlkPts>
                            <ClmnBlkPt>
                              <ClmnBlkPtProps>
                                <CBPT>5</CBPT>
                                <ST>18</ST>
                                <SON>14</SON>
                                <VOFFF><![CDATA[=IFERROR(§A¿0,3,0,1,11,5,1,-1,0,0,FALSE,FALSE§Z¿/§A¿0,3,0,1,16,5,1,-1,0,0,FALSE,FALSE§Z¿,0)]]></VOFFF>
                              </ClmnBlkPtProps>
                            </ClmnBlkPt>
                          </ClmnBlkPts>
                        </ClmnBlk>
                      </ClmnBlks>
                      <TtlCtg/>
                    </Elmt>
                    <Elmt>
                      <ElmtProps>
                        <CPT>2</CPT>
                      </ElmtProps>
                      <ClmnBlks>
                        <ClmnBlk>
                          <ClmnBlkProps>
                            <FCPT>0</FCPT>
                            <FCN>2</FCN>
                            <LCPT>0</LCPT>
                            <LCN>18</LCN>
                          </ClmnBlkProps>
                          <ClmnBlkPts>
                            <ClmnBlkPt>
                              <ClmnBlkPtProps>
                                <CBPT>5</CBPT>
                                <ST>-1</ST>
                                <SON>19</SON>
                                <VOFFF/>
                              </ClmnBlkPtProps>
                            </ClmnBlkPt>
                          </ClmnBlkPts>
                        </ClmnBlk>
                      </ClmnBlks>
                      <TtlCtg/>
                    </Elmt>
                  </Elmts>
                </Sect>
              </Sects>
            </ModComp>
            <ModComp>
              <ModCompProps>
                <MN>10</MN>
                <MCN>4</MCN>
                <MCTK>LU</MCTK>
                <RT><![CDATA[<ModuleName> - Lookups]]></RT>
                <ERN>BPMMC106</ERN>
                <MCST>3</MCST>
                <IPMC>False</IPMC>
                <SN>59</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78</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5,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7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40,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7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3,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7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7,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7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50,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7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4,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7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18</MN>
            <MAG>D086F8B5-5CE4-4E5C-9775-1E45DE76A9E8</MAG>
            <BN><![CDATA[PLUG_ACTIVITY]]></BN>
            <N><![CDATA[TRAIN-TOVacc]]></N>
            <TS><![CDATA[Annual]]></TS>
            <D><![CDATA[Assists with planning the cost of an activity. Should be used with Prices module.]]></D>
            <FS/>
            <R/>
            <GE/>
            <CA/>
            <VA/>
            <GST/>
            <DE/>
            <E/>
            <C/>
            <W/>
            <K/>
            <CO/>
            <V>1.0.0.0.</V>
            <AX/>
            <PMLO>False</PMLO>
            <IPMLO>False</IPMLO>
            <MACA>1</MACA>
            <RTSM>True</RTSM>
            <CC>True</CC>
            <X>False</X>
            <G>11C17982-233E-4917-AF4F-397F9D863E45</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1</OL>
                <RH>True</RH>
              </RowStgProps>
            </RowStg>
            <RowStg>
              <RowStgProps>
                <RSN>5</RSN>
                <RHST>0</RHST>
                <HS>0</HS>
                <OL>2</OL>
                <RH>False</RH>
              </RowStgProps>
            </RowStg>
            <RowStg>
              <RowStgProps>
                <RSN>6</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-2</NT>
                <DP>0</DP>
                <CNF><![CDATA[_(#,##0.00_);(#,##0.00);_("-"_);_)@_)]]></CNF>
              </StlOvlyProp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
              <StlOvlyProps>
                <SON>19</SON>
              </StlOvlyProps>
              <BdrOvlys>
                <BdrOvly>
                  <BdrOvlyProps>
                    <PT>1</PT>
                    <SON>19</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11</MN>
                <MCN>1</MCN>
                <MCTK>BaseCase</MCTK>
                <RT><![CDATA[<ModuleName> - Assumptions]]></RT>
                <ERN>BPMMC107</ERN>
                <MCST>0</MCST>
                <IPMC>False</IPMC>
                <SN>17</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79</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17</LCN>
                          </ClmnBlkProps>
                          <ClmnBlkPts>
                            <ClmnBlkPt>
                              <ClmnBlkPtProps>
                                <CBPT>5</CBPT>
                                <ST>8</ST>
                                <MC>True</MC>
                                <VOFFF><![CDATA[Training of Supervisors, Vacc, and Data Collectors]]></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8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SON>16</SON>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0]]></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22</FCN>
                            <LCPT>0</LCPT>
                            <LCN>22</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4</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22</FCN>
                            <LCPT>0</LCPT>
                            <LCN>22</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d Links (Developer Use Only.  User Can Change in Step 1.d)]]></VOFFF>
                              </ClmnBlkPtProps>
                            </ClmnBlkPt>
                          </ClmnBlkPts>
                        </ClmnBlk>
                      </ClmnBlks>
                      <TtlCtg/>
                    </Elmt>
                    <Elmt>
                      <ElmtProps>
                        <CPT>2</CPT>
                      </ElmtProps>
                      <TtlCtg>
                        <TtlCtgProps>
                          <R>5</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11</MN>
                                  <CLI>1,1,34,False,1</CLI>
                                  <ELN>1</ELN>
                                  <LOOT>0</LOOT>
                                  <LOMN>3</LOMN>
                                  <LOMCN>2</LOMCN>
                                  <LOSN>1</LOSN>
                                  <LOEN>4</LOEN>
                                  <LOCN>1</LOCN>
                                </LnkInProps>
                              </LnkIn>
                            </Ctg>
                            <Ctg>
                              <CtgProps>
                                <R>6</R>
                              </CtgProps>
                              <LnkIn>
                                <LnkInProps>
                                  <MN>11</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d Links (Developer Use Only.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11</MN>
                                  <CLI>1,1,39,False,1</CLI>
                                  <ELN>1</ELN>
                                  <LOOT>0</LOOT>
                                  <LOMN>3</LOMN>
                                  <LOMCN>1</LOMCN>
                                  <LOSN>1</LOSN>
                                  <LOEN>10</LOEN>
                                  <LOCN>1</LOCN>
                                </LnkInProps>
                              </LnkIn>
                            </Ctg>
                            <Ctg>
                              <CtgProps>
                                <R>5</R>
                              </CtgProps>
                              <LnkIn>
                                <LnkInProps>
                                  <MN>11</MN>
                                  <CLI>1,1,39,False,2</CLI>
                                  <ELN>1</ELN>
                                  <LOOT>0</LOOT>
                                  <LOMN>3</LOMN>
                                  <LOMCN>1</LOMCN>
                                  <LOSN>1</LOSN>
                                  <LOEN>10</LOEN>
                                  <LOCN>2</LOCN>
                                </LnkInProps>
                              </LnkIn>
                            </Ctg>
                            <Ctg>
                              <CtgProps>
                                <R>5</R>
                              </CtgProps>
                              <LnkIn>
                                <LnkInProps>
                                  <MN>11</MN>
                                  <CLI>1,1,39,False,3</CLI>
                                  <ELN>1</ELN>
                                  <LOOT>0</LOOT>
                                  <LOMN>3</LOMN>
                                  <LOMCN>1</LOMCN>
                                  <LOSN>1</LOSN>
                                  <LOEN>10</LOEN>
                                  <LOCN>3</LOCN>
                                </LnkInProps>
                              </LnkIn>
                            </Ctg>
                            <Ctg>
                              <CtgProps>
                                <R>5</R>
                              </CtgProps>
                              <LnkIn>
                                <LnkInProps>
                                  <MN>11</MN>
                                  <CLI>1,1,39,False,4</CLI>
                                  <ELN>1</ELN>
                                  <LOOT>0</LOOT>
                                  <LOMN>3</LOMN>
                                  <LOMCN>1</LOMCN>
                                  <LOSN>1</LOSN>
                                  <LOEN>10</LOEN>
                                  <LOCN>4</LOCN>
                                </LnkInProps>
                              </LnkIn>
                            </Ctg>
                            <Ctg>
                              <CtgProps>
                                <R>5</R>
                              </CtgProps>
                              <LnkIn>
                                <LnkInProps>
                                  <MN>11</MN>
                                  <CLI>1,1,39,False,5</CLI>
                                  <ELN>1</ELN>
                                  <LOOT>0</LOOT>
                                  <LOMN>3</LOMN>
                                  <LOMCN>1</LOMCN>
                                  <LOSN>1</LOSN>
                                  <LOEN>10</LOEN>
                                  <LOCN>5</LOCN>
                                </LnkInProps>
                              </LnkIn>
                            </Ctg>
                            <Ctg>
                              <CtgProps>
                                <R>5</R>
                              </CtgProps>
                              <LnkIn>
                                <LnkInProps>
                                  <MN>11</MN>
                                  <CLI>1,1,39,False,6</CLI>
                                  <ELN>1</ELN>
                                  <LOOT>0</LOOT>
                                  <LOMN>3</LOMN>
                                  <LOMCN>1</LOMCN>
                                  <LOSN>1</LOSN>
                                  <LOEN>10</LOEN>
                                  <LOCN>6</LOCN>
                                </LnkInProps>
                              </LnkIn>
                            </Ctg>
                            <Ctg>
                              <CtgProps>
                                <R>5</R>
                              </CtgProps>
                              <LnkIn>
                                <LnkInProps>
                                  <MN>11</MN>
                                  <CLI>1,1,39,False,7</CLI>
                                  <ELN>1</ELN>
                                  <LOOT>0</LOOT>
                                  <LOMN>3</LOMN>
                                  <LOMCN>1</LOMCN>
                                  <LOSN>1</LOSN>
                                  <LOEN>10</LOEN>
                                  <LOCN>7</LOCN>
                                </LnkInProps>
                              </LnkIn>
                            </Ctg>
                            <Ctg>
                              <CtgProps>
                                <R>5</R>
                              </CtgProps>
                              <LnkIn>
                                <LnkInProps>
                                  <MN>11</MN>
                                  <CLI>1,1,39,False,8</CLI>
                                  <ELN>1</ELN>
                                  <LOOT>0</LOOT>
                                  <LOMN>3</LOMN>
                                  <LOMCN>1</LOMCN>
                                  <LOSN>1</LOSN>
                                  <LOEN>10</LOEN>
                                  <LOCN>8</LOCN>
                                </LnkInProps>
                              </LnkIn>
                            </Ctg>
                            <Ctg>
                              <CtgProps>
                                <R>5</R>
                              </CtgProps>
                              <LnkIn>
                                <LnkInProps>
                                  <MN>11</MN>
                                  <CLI>1,1,39,False,9</CLI>
                                  <ELN>1</ELN>
                                  <LOOT>0</LOOT>
                                  <LOMN>3</LOMN>
                                  <LOMCN>1</LOMCN>
                                  <LOSN>1</LOSN>
                                  <LOEN>10</LOEN>
                                  <LOCN>9</LOCN>
                                </LnkInProps>
                              </LnkIn>
                            </Ctg>
                            <Ctg>
                              <CtgProps>
                                <R>5</R>
                              </CtgProps>
                              <LnkIn>
                                <LnkInProps>
                                  <MN>11</MN>
                                  <CLI>1,1,39,False,10</CLI>
                                  <ELN>1</ELN>
                                  <LOOT>0</LOOT>
                                  <LOMN>3</LOMN>
                                  <LOMCN>1</LOMCN>
                                  <LOSN>1</LOSN>
                                  <LOEN>10</LOEN>
                                  <LOCN>10</LOCN>
                                </LnkInProps>
                              </LnkIn>
                            </Ctg>
                            <Ctg>
                              <CtgProps>
                                <R>5</R>
                              </CtgProps>
                              <LnkIn>
                                <LnkInProps>
                                  <MN>11</MN>
                                  <CLI>1,1,39,False,11</CLI>
                                  <ELN>1</ELN>
                                  <LOOT>0</LOOT>
                                  <LOMN>3</LOMN>
                                  <LOMCN>1</LOMCN>
                                  <LOSN>1</LOSN>
                                  <LOEN>10</LOEN>
                                  <LOCN>11</LOCN>
                                </LnkInProps>
                              </LnkIn>
                            </Ctg>
                            <Ctg>
                              <CtgProps>
                                <R>5</R>
                              </CtgProps>
                              <LnkIn>
                                <LnkInProps>
                                  <MN>11</MN>
                                  <CLI>1,1,39,False,12</CLI>
                                  <ELN>1</ELN>
                                  <LOOT>0</LOOT>
                                  <LOMN>3</LOMN>
                                  <LOMCN>1</LOMCN>
                                  <LOSN>1</LOSN>
                                  <LOEN>10</LOEN>
                                  <LOCN>12</LOCN>
                                </LnkInProps>
                              </LnkIn>
                            </Ctg>
                            <Ctg>
                              <CtgProps>
                                <R>5</R>
                              </CtgProps>
                              <LnkIn>
                                <LnkInProps>
                                  <MN>11</MN>
                                  <CLI>1,1,39,False,13</CLI>
                                  <ELN>1</ELN>
                                  <LOOT>0</LOOT>
                                  <LOMN>3</LOMN>
                                  <LOMCN>1</LOMCN>
                                  <LOSN>1</LOSN>
                                  <LOEN>10</LOEN>
                                  <LOCN>13</LOCN>
                                </LnkInProps>
                              </LnkIn>
                            </Ctg>
                            <Ctg>
                              <CtgProps>
                                <R>5</R>
                              </CtgProps>
                              <LnkIn>
                                <LnkInProps>
                                  <MN>11</MN>
                                  <CLI>1,1,39,False,14</CLI>
                                  <ELN>1</ELN>
                                  <LOOT>0</LOOT>
                                  <LOMN>3</LOMN>
                                  <LOMCN>1</LOMCN>
                                  <LOSN>1</LOSN>
                                  <LOEN>10</LOEN>
                                  <LOCN>14</LOCN>
                                </LnkInProps>
                              </LnkIn>
                            </Ctg>
                            <Ctg>
                              <CtgProps>
                                <R>6</R>
                              </CtgProps>
                              <LnkIn>
                                <LnkInProps>
                                  <MN>11</MN>
                                  <CLI>1,1,39,False,15</CLI>
                                  <ELN>1</ELN>
                                  <LOOT>0</LOOT>
                                  <LOMN>3</LOMN>
                                  <LOMCN>1</LOMCN>
                                  <LOSN>1</LOSN>
                                  <LOEN>10</LOEN>
                                  <LOCN>15</LOCN>
                                </LnkInProps>
                              </LnkIn>
                            </Ctg>
                            <Ctg>
                              <CtgProps>
                                <R>6</R>
                              </CtgProps>
                              <LnkIn>
                                <LnkInProps>
                                  <MN>11</MN>
                                  <CLI>1,1,39,False,16</CLI>
                                  <ELN>1</ELN>
                                  <LOOT>0</LOOT>
                                  <LOMN>3</LOMN>
                                  <LOMCN>1</LOMCN>
                                  <LOSN>1</LOSN>
                                  <LOEN>10</LOEN>
                                  <LOCN>16</LOCN>
                                </LnkInProps>
                              </LnkIn>
                            </Ctg>
                            <Ctg>
                              <CtgProps>
                                <R>6</R>
                              </CtgProps>
                              <LnkIn>
                                <LnkInProps>
                                  <MN>11</MN>
                                  <CLI>1,1,39,False,17</CLI>
                                  <ELN>1</ELN>
                                  <LOOT>0</LOOT>
                                  <LOMN>3</LOMN>
                                  <LOMCN>1</LOMCN>
                                  <LOSN>1</LOSN>
                                  <LOEN>10</LOEN>
                                  <LOCN>17</LOCN>
                                </LnkInProps>
                              </LnkIn>
                            </Ctg>
                            <Ctg>
                              <CtgProps>
                                <R>6</R>
                              </CtgProps>
                              <LnkIn>
                                <LnkInProps>
                                  <MN>11</MN>
                                  <CLI>1,1,39,False,18</CLI>
                                  <ELN>1</ELN>
                                  <LOOT>0</LOOT>
                                  <LOMN>3</LOMN>
                                  <LOMCN>1</LOMCN>
                                  <LOSN>1</LOSN>
                                  <LOEN>10</LOEN>
                                  <LOCN>18</LOCN>
                                </LnkInProps>
                              </LnkIn>
                            </Ctg>
                            <Ctg>
                              <CtgProps>
                                <R>6</R>
                              </CtgProps>
                              <LnkIn>
                                <LnkInProps>
                                  <MN>11</MN>
                                  <CLI>1,1,39,False,19</CLI>
                                  <ELN>1</ELN>
                                  <LOOT>0</LOOT>
                                  <LOMN>3</LOMN>
                                  <LOMCN>1</LOMCN>
                                  <LOSN>1</LOSN>
                                  <LOEN>10</LOEN>
                                  <LOCN>19</LOCN>
                                </LnkInProps>
                              </LnkIn>
                            </Ctg>
                            <Ctg>
                              <CtgProps>
                                <R>6</R>
                              </CtgProps>
                              <LnkIn>
                                <LnkInProps>
                                  <MN>11</MN>
                                  <CLI>1,1,39,False,20</CLI>
                                  <ELN>1</ELN>
                                  <LOOT>0</LOOT>
                                  <LOMN>3</LOMN>
                                  <LOMCN>1</LOMCN>
                                  <LOSN>1</LOSN>
                                  <LOEN>10</LOEN>
                                  <LOCN>20</LOCN>
                                </LnkInProps>
                              </LnkIn>
                            </Ctg>
                            <Ctg>
                              <CtgProps>
                                <R>6</R>
                              </CtgProps>
                              <LnkIn>
                                <LnkInProps>
                                  <MN>11</MN>
                                  <CLI>1,1,39,False,21</CLI>
                                  <ELN>1</ELN>
                                  <LOOT>0</LOOT>
                                  <LOMN>3</LOMN>
                                  <LOMCN>1</LOMCN>
                                  <LOSN>1</LOSN>
                                  <LOEN>10</LOEN>
                                  <LOCN>21</LOCN>
                                </LnkInProps>
                              </LnkIn>
                            </Ctg>
                            <Ctg>
                              <CtgProps>
                                <R>6</R>
                              </CtgProps>
                              <LnkIn>
                                <LnkInProps>
                                  <MN>11</MN>
                                  <CLI>1,1,39,False,22</CLI>
                                  <ELN>1</ELN>
                                  <LOOT>0</LOOT>
                                  <LOMN>3</LOMN>
                                  <LOMCN>1</LOMCN>
                                  <LOSN>1</LOSN>
                                  <LOEN>10</LOEN>
                                  <LOCN>22</LOCN>
                                </LnkInProps>
                              </LnkIn>
                            </Ctg>
                            <Ctg>
                              <CtgProps>
                                <R>6</R>
                              </CtgProps>
                              <LnkIn>
                                <LnkInProps>
                                  <MN>11</MN>
                                  <CLI>1,1,39,False,23</CLI>
                                  <ELN>1</ELN>
                                  <LOOT>0</LOOT>
                                  <LOMN>3</LOMN>
                                  <LOMCN>1</LOMCN>
                                  <LOSN>1</LOSN>
                                  <LOEN>10</LOEN>
                                  <LOCN>23</LOCN>
                                </LnkInProps>
                              </LnkIn>
                            </Ctg>
                            <Ctg>
                              <CtgProps>
                                <R>6</R>
                              </CtgProps>
                              <LnkIn>
                                <LnkInProps>
                                  <MN>11</MN>
                                  <CLI>1,1,39,False,24</CLI>
                                  <ELN>1</ELN>
                                  <LOOT>0</LOOT>
                                  <LOMN>3</LOMN>
                                  <LOMCN>1</LOMCN>
                                  <LOSN>1</LOSN>
                                  <LOEN>10</LOEN>
                                  <LOCN>24</LOCN>
                                </LnkInProps>
                              </LnkIn>
                            </Ctg>
                            <Ctg>
                              <CtgProps>
                                <R>6</R>
                              </CtgProps>
                              <LnkIn>
                                <LnkInProps>
                                  <MN>11</MN>
                                  <CLI>1,1,39,False,25</CLI>
                                  <ELN>1</ELN>
                                  <LOOT>0</LOOT>
                                  <LOMN>3</LOMN>
                                  <LOMCN>1</LOMCN>
                                  <LOSN>1</LOSN>
                                  <LOEN>10</LOEN>
                                  <LOCN>25</LOCN>
                                </LnkInProps>
                              </LnkIn>
                            </Ctg>
                            <Ctg>
                              <CtgProps>
                                <R>6</R>
                              </CtgProps>
                              <LnkIn>
                                <LnkInProps>
                                  <MN>11</MN>
                                  <CLI>1,1,39,False,26</CLI>
                                  <ELN>1</ELN>
                                  <LOOT>0</LOOT>
                                  <LOMN>3</LOMN>
                                  <LOMCN>1</LOMCN>
                                  <LOSN>1</LOSN>
                                  <LOEN>10</LOEN>
                                  <LOCN>26</LOCN>
                                </LnkInProps>
                              </LnkIn>
                            </Ctg>
                            <Ctg>
                              <CtgProps>
                                <R>6</R>
                              </CtgProps>
                              <LnkIn>
                                <LnkInProps>
                                  <MN>11</MN>
                                  <CLI>1,1,39,False,27</CLI>
                                  <ELN>1</ELN>
                                  <LOOT>0</LOOT>
                                  <LOMN>3</LOMN>
                                  <LOMCN>1</LOMCN>
                                  <LOSN>1</LOSN>
                                  <LOEN>10</LOEN>
                                  <LOCN>27</LOCN>
                                </LnkInProps>
                              </LnkIn>
                            </Ctg>
                            <Ctg>
                              <CtgProps>
                                <R>6</R>
                              </CtgProps>
                              <LnkIn>
                                <LnkInProps>
                                  <MN>11</MN>
                                  <CLI>1,1,39,False,28</CLI>
                                  <ELN>1</ELN>
                                  <LOOT>0</LOOT>
                                  <LOMN>3</LOMN>
                                  <LOMCN>1</LOMCN>
                                  <LOSN>1</LOSN>
                                  <LOEN>10</LOEN>
                                  <LOCN>28</LOCN>
                                </LnkInProps>
                              </LnkIn>
                            </Ctg>
                            <Ctg>
                              <CtgProps>
                                <R>6</R>
                              </CtgProps>
                              <LnkIn>
                                <LnkInProps>
                                  <MN>11</MN>
                                  <CLI>1,1,39,False,29</CLI>
                                  <ELN>1</ELN>
                                  <LOOT>0</LOOT>
                                  <LOMN>3</LOMN>
                                  <LOMCN>1</LOMCN>
                                  <LOSN>1</LOSN>
                                  <LOEN>10</LOEN>
                                  <LOCN>29</LOCN>
                                </LnkInProps>
                              </LnkIn>
                            </Ctg>
                            <Ctg>
                              <CtgProps>
                                <R>6</R>
                              </CtgProps>
                              <LnkIn>
                                <LnkInProps>
                                  <MN>11</MN>
                                  <CLI>1,1,39,False,30</CLI>
                                  <ELN>1</ELN>
                                  <LOOT>0</LOOT>
                                  <LOMN>3</LOMN>
                                  <LOMCN>1</LOMCN>
                                  <LOSN>1</LOSN>
                                  <LOEN>10</LOEN>
                                  <LOCN>30</LOCN>
                                </LnkInProps>
                              </LnkIn>
                            </Ctg>
                            <Ctg>
                              <CtgProps>
                                <R>6</R>
                              </CtgProps>
                              <LnkIn>
                                <LnkInProps>
                                  <MN>11</MN>
                                  <CLI>1,1,39,False,31</CLI>
                                  <ELN>1</ELN>
                                  <LOOT>0</LOOT>
                                  <LOMN>3</LOMN>
                                  <LOMCN>1</LOMCN>
                                  <LOSN>1</LOSN>
                                  <LOEN>10</LOEN>
                                  <LOCN>31</LOCN>
                                </LnkInProps>
                              </LnkIn>
                            </Ctg>
                            <Ctg>
                              <CtgProps>
                                <R>6</R>
                              </CtgProps>
                              <LnkIn>
                                <LnkInProps>
                                  <MN>11</MN>
                                  <CLI>1,1,39,False,32</CLI>
                                  <ELN>1</ELN>
                                  <LOOT>0</LOOT>
                                  <LOMN>3</LOMN>
                                  <LOMCN>1</LOMCN>
                                  <LOSN>1</LOSN>
                                  <LOEN>10</LOEN>
                                  <LOCN>32</LOCN>
                                </LnkInProps>
                              </LnkIn>
                            </Ctg>
                            <Ctg>
                              <CtgProps>
                                <R>6</R>
                              </CtgProps>
                              <LnkIn>
                                <LnkInProps>
                                  <MN>11</MN>
                                  <CLI>1,1,39,False,33</CLI>
                                  <ELN>1</ELN>
                                  <LOOT>0</LOOT>
                                  <LOMN>3</LOMN>
                                  <LOMCN>1</LOMCN>
                                  <LOSN>1</LOSN>
                                  <LOEN>10</LOEN>
                                  <LOCN>33</LOCN>
                                </LnkInProps>
                              </LnkIn>
                            </Ctg>
                            <Ctg>
                              <CtgProps>
                                <R>6</R>
                              </CtgProps>
                              <LnkIn>
                                <LnkInProps>
                                  <MN>11</MN>
                                  <CLI>1,1,39,False,34</CLI>
                                  <ELN>1</ELN>
                                  <LOOT>0</LOOT>
                                  <LOMN>3</LOMN>
                                  <LOMCN>1</LOMCN>
                                  <LOSN>1</LOSN>
                                  <LOEN>10</LOEN>
                                  <LOCN>34</LOCN>
                                </LnkInProps>
                              </LnkIn>
                            </Ctg>
                            <Ctg>
                              <CtgProps>
                                <R>6</R>
                              </CtgProps>
                              <LnkIn>
                                <LnkInProps>
                                  <MN>11</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11</MN>
                                  <CLI>1,1,42,False,1</CLI>
                                  <ELN>1</ELN>
                                  <LOOT>0</LOOT>
                                  <LOMN>3</LOMN>
                                  <LOMCN>1</LOMCN>
                                  <LOSN>1</LOSN>
                                  <LOEN>15</LOEN>
                                  <LOCN>1</LOCN>
                                </LnkInProps>
                              </LnkIn>
                            </Ctg>
                            <Ctg>
                              <CtgProps>
                                <R>5</R>
                              </CtgProps>
                              <LnkIn>
                                <LnkInProps>
                                  <MN>11</MN>
                                  <CLI>1,1,42,False,2</CLI>
                                  <ELN>1</ELN>
                                  <LOOT>0</LOOT>
                                  <LOMN>3</LOMN>
                                  <LOMCN>1</LOMCN>
                                  <LOSN>1</LOSN>
                                  <LOEN>15</LOEN>
                                  <LOCN>2</LOCN>
                                </LnkInProps>
                              </LnkIn>
                            </Ctg>
                            <Ctg>
                              <CtgProps>
                                <R>5</R>
                              </CtgProps>
                              <LnkIn>
                                <LnkInProps>
                                  <MN>11</MN>
                                  <CLI>1,1,42,False,3</CLI>
                                  <ELN>1</ELN>
                                  <LOOT>0</LOOT>
                                  <LOMN>3</LOMN>
                                  <LOMCN>1</LOMCN>
                                  <LOSN>1</LOSN>
                                  <LOEN>15</LOEN>
                                  <LOCN>3</LOCN>
                                </LnkInProps>
                              </LnkIn>
                            </Ctg>
                            <Ctg>
                              <CtgProps>
                                <R>5</R>
                              </CtgProps>
                              <LnkIn>
                                <LnkInProps>
                                  <MN>11</MN>
                                  <CLI>1,1,42,False,4</CLI>
                                  <ELN>1</ELN>
                                  <LOOT>0</LOOT>
                                  <LOMN>3</LOMN>
                                  <LOMCN>1</LOMCN>
                                  <LOSN>1</LOSN>
                                  <LOEN>15</LOEN>
                                  <LOCN>4</LOCN>
                                </LnkInProps>
                              </LnkIn>
                            </Ctg>
                            <Ctg>
                              <CtgProps>
                                <R>6</R>
                              </CtgProps>
                              <LnkIn>
                                <LnkInProps>
                                  <MN>11</MN>
                                  <CLI>1,1,42,False,5</CLI>
                                  <ELN>1</ELN>
                                  <LOOT>0</LOOT>
                                  <LOMN>3</LOMN>
                                  <LOMCN>1</LOMCN>
                                  <LOSN>1</LOSN>
                                  <LOEN>15</LOEN>
                                  <LOCN>5</LOCN>
                                </LnkInProps>
                              </LnkIn>
                            </Ctg>
                            <Ctg>
                              <CtgProps>
                                <R>6</R>
                              </CtgProps>
                              <LnkIn>
                                <LnkInProps>
                                  <MN>11</MN>
                                  <CLI>1,1,42,False,6</CLI>
                                  <ELN>1</ELN>
                                  <LOOT>0</LOOT>
                                  <LOMN>3</LOMN>
                                  <LOMCN>1</LOMCN>
                                  <LOSN>1</LOSN>
                                  <LOEN>15</LOEN>
                                  <LOCN>6</LOCN>
                                </LnkInProps>
                              </LnkIn>
                            </Ctg>
                            <Ctg>
                              <CtgProps>
                                <R>6</R>
                              </CtgProps>
                              <LnkIn>
                                <LnkInProps>
                                  <MN>11</MN>
                                  <CLI>1,1,42,False,7</CLI>
                                  <ELN>1</ELN>
                                  <LOOT>0</LOOT>
                                  <LOMN>3</LOMN>
                                  <LOMCN>1</LOMCN>
                                  <LOSN>1</LOSN>
                                  <LOEN>15</LOEN>
                                  <LOCN>7</LOCN>
                                </LnkInProps>
                              </LnkIn>
                            </Ctg>
                            <Ctg>
                              <CtgProps>
                                <R>6</R>
                              </CtgProps>
                              <LnkIn>
                                <LnkInProps>
                                  <MN>11</MN>
                                  <CLI>1,1,42,False,8</CLI>
                                  <ELN>1</ELN>
                                  <LOOT>0</LOOT>
                                  <LOMN>3</LOMN>
                                  <LOMCN>1</LOMCN>
                                  <LOSN>1</LOSN>
                                  <LOEN>15</LOEN>
                                  <LOCN>8</LOCN>
                                </LnkInProps>
                              </LnkIn>
                            </Ctg>
                            <Ctg>
                              <CtgProps>
                                <R>6</R>
                              </CtgProps>
                              <LnkIn>
                                <LnkInProps>
                                  <MN>11</MN>
                                  <CLI>1,1,42,False,9</CLI>
                                  <ELN>1</ELN>
                                  <LOOT>0</LOOT>
                                  <LOMN>3</LOMN>
                                  <LOMCN>1</LOMCN>
                                  <LOSN>1</LOSN>
                                  <LOEN>15</LOEN>
                                  <LOCN>9</LOCN>
                                </LnkInProps>
                              </LnkIn>
                            </Ctg>
                            <Ctg>
                              <CtgProps>
                                <R>6</R>
                              </CtgProps>
                              <LnkIn>
                                <LnkInProps>
                                  <MN>11</MN>
                                  <CLI>1,1,42,False,10</CLI>
                                  <ELN>1</ELN>
                                  <LOOT>0</LOOT>
                                  <LOMN>3</LOMN>
                                  <LOMCN>1</LOMCN>
                                  <LOSN>1</LOSN>
                                  <LOEN>15</LOEN>
                                  <LOCN>10</LOCN>
                                </LnkInProps>
                              </LnkIn>
                            </Ctg>
                            <Ctg>
                              <CtgProps>
                                <R>6</R>
                              </CtgProps>
                              <LnkIn>
                                <LnkInProps>
                                  <MN>11</MN>
                                  <CLI>1,1,42,False,11</CLI>
                                  <ELN>1</ELN>
                                  <LOOT>0</LOOT>
                                  <LOMN>3</LOMN>
                                  <LOMCN>1</LOMCN>
                                  <LOSN>1</LOSN>
                                  <LOEN>15</LOEN>
                                  <LOCN>11</LOCN>
                                </LnkInProps>
                              </LnkIn>
                            </Ctg>
                            <Ctg>
                              <CtgProps>
                                <R>6</R>
                              </CtgProps>
                              <LnkIn>
                                <LnkInProps>
                                  <MN>11</MN>
                                  <CLI>1,1,42,False,12</CLI>
                                  <ELN>1</ELN>
                                  <LOOT>0</LOOT>
                                  <LOMN>3</LOMN>
                                  <LOMCN>1</LOMCN>
                                  <LOSN>1</LOSN>
                                  <LOEN>15</LOEN>
                                  <LOCN>12</LOCN>
                                </LnkInProps>
                              </LnkIn>
                            </Ctg>
                            <Ctg>
                              <CtgProps>
                                <R>6</R>
                              </CtgProps>
                              <LnkIn>
                                <LnkInProps>
                                  <MN>11</MN>
                                  <CLI>1,1,42,False,13</CLI>
                                  <ELN>1</ELN>
                                  <LOOT>0</LOOT>
                                  <LOMN>3</LOMN>
                                  <LOMCN>1</LOMCN>
                                  <LOSN>1</LOSN>
                                  <LOEN>15</LOEN>
                                  <LOCN>13</LOCN>
                                </LnkInProps>
                              </LnkIn>
                            </Ctg>
                            <Ctg>
                              <CtgProps>
                                <R>6</R>
                              </CtgProps>
                              <LnkIn>
                                <LnkInProps>
                                  <MN>11</MN>
                                  <CLI>1,1,42,False,14</CLI>
                                  <ELN>1</ELN>
                                  <LOOT>0</LOOT>
                                  <LOMN>3</LOMN>
                                  <LOMCN>1</LOMCN>
                                  <LOSN>1</LOSN>
                                  <LOEN>15</LOEN>
                                  <LOCN>14</LOCN>
                                </LnkInProps>
                              </LnkIn>
                            </Ctg>
                            <Ctg>
                              <CtgProps>
                                <R>6</R>
                              </CtgProps>
                              <LnkIn>
                                <LnkInProps>
                                  <MN>11</MN>
                                  <CLI>1,1,42,False,15</CLI>
                                  <ELN>1</ELN>
                                  <LOOT>0</LOOT>
                                  <LOMN>3</LOMN>
                                  <LOMCN>1</LOMCN>
                                  <LOSN>1</LOSN>
                                  <LOEN>15</LOEN>
                                  <LOCN>15</LOCN>
                                </LnkInProps>
                              </LnkIn>
                            </Ctg>
                            <Ctg>
                              <CtgProps>
                                <R>6</R>
                              </CtgProps>
                              <LnkIn>
                                <LnkInProps>
                                  <MN>11</MN>
                                  <CLI>1,1,42,False,16</CLI>
                                  <ELN>1</ELN>
                                  <LOOT>0</LOOT>
                                  <LOMN>3</LOMN>
                                  <LOMCN>1</LOMCN>
                                  <LOSN>1</LOSN>
                                  <LOEN>15</LOEN>
                                  <LOCN>16</LOCN>
                                </LnkInProps>
                              </LnkIn>
                            </Ctg>
                            <Ctg>
                              <CtgProps>
                                <R>5</R>
                              </CtgProps>
                              <LnkIn>
                                <LnkInProps>
                                  <MN>11</MN>
                                  <CLI>1,1,42,False,17</CLI>
                                  <ELN>1</ELN>
                                  <LOOT>0</LOOT>
                                  <LOMN>3</LOMN>
                                  <LOMCN>1</LOMCN>
                                  <LOSN>1</LOSN>
                                  <LOEN>15</LOEN>
                                  <LOCN>17</LOCN>
                                </LnkInProps>
                              </LnkIn>
                            </Ctg>
                            <Ctg>
                              <CtgProps>
                                <R>5</R>
                              </CtgProps>
                              <LnkIn>
                                <LnkInProps>
                                  <MN>11</MN>
                                  <CLI>1,1,42,False,18</CLI>
                                  <ELN>1</ELN>
                                  <LOOT>0</LOOT>
                                  <LOMN>3</LOMN>
                                  <LOMCN>1</LOMCN>
                                  <LOSN>1</LOSN>
                                  <LOEN>15</LOEN>
                                  <LOCN>18</LOCN>
                                </LnkInProps>
                              </LnkIn>
                            </Ctg>
                            <Ctg>
                              <CtgProps>
                                <R>5</R>
                              </CtgProps>
                              <LnkIn>
                                <LnkInProps>
                                  <MN>11</MN>
                                  <CLI>1,1,42,False,19</CLI>
                                  <ELN>1</ELN>
                                  <LOOT>0</LOOT>
                                  <LOMN>3</LOMN>
                                  <LOMCN>1</LOMCN>
                                  <LOSN>1</LOSN>
                                  <LOEN>15</LOEN>
                                  <LOCN>19</LOCN>
                                </LnkInProps>
                              </LnkIn>
                            </Ctg>
                            <Ctg>
                              <CtgProps>
                                <R>5</R>
                              </CtgProps>
                              <LnkIn>
                                <LnkInProps>
                                  <MN>11</MN>
                                  <CLI>1,1,42,False,20</CLI>
                                  <ELN>1</ELN>
                                  <LOOT>0</LOOT>
                                  <LOMN>3</LOMN>
                                  <LOMCN>1</LOMCN>
                                  <LOSN>1</LOSN>
                                  <LOEN>15</LOEN>
                                  <LOCN>20</LOCN>
                                </LnkInProps>
                              </LnkIn>
                            </Ctg>
                            <Ctg>
                              <CtgProps>
                                <R>5</R>
                              </CtgProps>
                              <LnkIn>
                                <LnkInProps>
                                  <MN>11</MN>
                                  <CLI>1,1,42,False,21</CLI>
                                  <ELN>1</ELN>
                                  <LOOT>0</LOOT>
                                  <LOMN>3</LOMN>
                                  <LOMCN>1</LOMCN>
                                  <LOSN>1</LOSN>
                                  <LOEN>15</LOEN>
                                  <LOCN>21</LOCN>
                                </LnkInProps>
                              </LnkIn>
                            </Ctg>
                            <Ctg>
                              <CtgProps>
                                <R>5</R>
                              </CtgProps>
                              <LnkIn>
                                <LnkInProps>
                                  <MN>11</MN>
                                  <CLI>1,1,42,False,22</CLI>
                                  <ELN>1</ELN>
                                  <LOOT>0</LOOT>
                                  <LOMN>3</LOMN>
                                  <LOMCN>1</LOMCN>
                                  <LOSN>1</LOSN>
                                  <LOEN>15</LOEN>
                                  <LOCN>22</LOCN>
                                </LnkInProps>
                              </LnkIn>
                            </Ctg>
                            <Ctg>
                              <CtgProps>
                                <R>6</R>
                              </CtgProps>
                              <LnkIn>
                                <LnkInProps>
                                  <MN>11</MN>
                                  <CLI>1,1,42,False,23</CLI>
                                  <ELN>1</ELN>
                                  <LOOT>0</LOOT>
                                  <LOMN>3</LOMN>
                                  <LOMCN>1</LOMCN>
                                  <LOSN>1</LOSN>
                                  <LOEN>15</LOEN>
                                  <LOCN>23</LOCN>
                                </LnkInProps>
                              </LnkIn>
                            </Ctg>
                            <Ctg>
                              <CtgProps>
                                <R>6</R>
                              </CtgProps>
                              <LnkIn>
                                <LnkInProps>
                                  <MN>11</MN>
                                  <CLI>1,1,42,False,24</CLI>
                                  <ELN>1</ELN>
                                  <LOOT>0</LOOT>
                                  <LOMN>3</LOMN>
                                  <LOMCN>1</LOMCN>
                                  <LOSN>1</LOSN>
                                  <LOEN>15</LOEN>
                                  <LOCN>24</LOCN>
                                </LnkInProps>
                              </LnkIn>
                            </Ctg>
                            <Ctg>
                              <CtgProps>
                                <R>6</R>
                              </CtgProps>
                              <LnkIn>
                                <LnkInProps>
                                  <MN>11</MN>
                                  <CLI>1,1,42,False,25</CLI>
                                  <ELN>1</ELN>
                                  <LOOT>0</LOOT>
                                  <LOMN>3</LOMN>
                                  <LOMCN>1</LOMCN>
                                  <LOSN>1</LOSN>
                                  <LOEN>15</LOEN>
                                  <LOCN>25</LOCN>
                                </LnkInProps>
                              </LnkIn>
                            </Ctg>
                            <Ctg>
                              <CtgProps>
                                <R>6</R>
                              </CtgProps>
                              <LnkIn>
                                <LnkInProps>
                                  <MN>11</MN>
                                  <CLI>1,1,42,False,26</CLI>
                                  <ELN>1</ELN>
                                  <LOOT>0</LOOT>
                                  <LOMN>3</LOMN>
                                  <LOMCN>1</LOMCN>
                                  <LOSN>1</LOSN>
                                  <LOEN>15</LOEN>
                                  <LOCN>26</LOCN>
                                </LnkInProps>
                              </LnkIn>
                            </Ctg>
                            <Ctg>
                              <CtgProps>
                                <R>6</R>
                              </CtgProps>
                              <LnkIn>
                                <LnkInProps>
                                  <MN>11</MN>
                                  <CLI>1,1,42,False,27</CLI>
                                  <ELN>1</ELN>
                                  <LOOT>0</LOOT>
                                  <LOMN>3</LOMN>
                                  <LOMCN>1</LOMCN>
                                  <LOSN>1</LOSN>
                                  <LOEN>15</LOEN>
                                  <LOCN>27</LOCN>
                                </LnkInProps>
                              </LnkIn>
                            </Ctg>
                            <Ctg>
                              <CtgProps>
                                <R>6</R>
                              </CtgProps>
                              <LnkIn>
                                <LnkInProps>
                                  <MN>11</MN>
                                  <CLI>1,1,42,False,28</CLI>
                                  <ELN>1</ELN>
                                  <LOOT>0</LOOT>
                                  <LOMN>3</LOMN>
                                  <LOMCN>1</LOMCN>
                                  <LOSN>1</LOSN>
                                  <LOEN>15</LOEN>
                                  <LOCN>28</LOCN>
                                </LnkInProps>
                              </LnkIn>
                            </Ctg>
                            <Ctg>
                              <CtgProps>
                                <R>6</R>
                              </CtgProps>
                              <LnkIn>
                                <LnkInProps>
                                  <MN>11</MN>
                                  <CLI>1,1,42,False,29</CLI>
                                  <ELN>1</ELN>
                                  <LOOT>0</LOOT>
                                  <LOMN>3</LOMN>
                                  <LOMCN>1</LOMCN>
                                  <LOSN>1</LOSN>
                                  <LOEN>15</LOEN>
                                  <LOCN>29</LOCN>
                                </LnkInProps>
                              </LnkIn>
                            </Ctg>
                            <Ctg>
                              <CtgProps>
                                <R>6</R>
                              </CtgProps>
                              <LnkIn>
                                <LnkInProps>
                                  <MN>11</MN>
                                  <CLI>1,1,42,False,30</CLI>
                                  <ELN>1</ELN>
                                  <LOOT>0</LOOT>
                                  <LOMN>3</LOMN>
                                  <LOMCN>1</LOMCN>
                                  <LOSN>1</LOSN>
                                  <LOEN>15</LOEN>
                                  <LOCN>30</LOCN>
                                </LnkInProps>
                              </LnkIn>
                            </Ctg>
                            <Ctg>
                              <CtgProps>
                                <R>5</R>
                              </CtgProps>
                              <LnkIn>
                                <LnkInProps>
                                  <MN>11</MN>
                                  <CLI>1,1,42,False,31</CLI>
                                  <ELN>1</ELN>
                                  <LOOT>0</LOOT>
                                  <LOMN>3</LOMN>
                                  <LOMCN>1</LOMCN>
                                  <LOSN>1</LOSN>
                                  <LOEN>15</LOEN>
                                  <LOCN>31</LOCN>
                                </LnkInProps>
                              </LnkIn>
                            </Ctg>
                            <Ctg>
                              <CtgProps>
                                <R>5</R>
                              </CtgProps>
                              <LnkIn>
                                <LnkInProps>
                                  <MN>11</MN>
                                  <CLI>1,1,42,False,32</CLI>
                                  <ELN>1</ELN>
                                  <LOOT>0</LOOT>
                                  <LOMN>3</LOMN>
                                  <LOMCN>1</LOMCN>
                                  <LOSN>1</LOSN>
                                  <LOEN>15</LOEN>
                                  <LOCN>32</LOCN>
                                </LnkInProps>
                              </LnkIn>
                            </Ctg>
                            <Ctg>
                              <CtgProps>
                                <R>5</R>
                              </CtgProps>
                              <LnkIn>
                                <LnkInProps>
                                  <MN>11</MN>
                                  <CLI>1,1,42,False,33</CLI>
                                  <ELN>1</ELN>
                                  <LOOT>0</LOOT>
                                  <LOMN>3</LOMN>
                                  <LOMCN>1</LOMCN>
                                  <LOSN>1</LOSN>
                                  <LOEN>15</LOEN>
                                  <LOCN>33</LOCN>
                                </LnkInProps>
                              </LnkIn>
                            </Ctg>
                            <Ctg>
                              <CtgProps>
                                <R>5</R>
                              </CtgProps>
                              <LnkIn>
                                <LnkInProps>
                                  <MN>11</MN>
                                  <CLI>1,1,42,False,34</CLI>
                                  <ELN>1</ELN>
                                  <LOOT>0</LOOT>
                                  <LOMN>3</LOMN>
                                  <LOMCN>1</LOMCN>
                                  <LOSN>1</LOSN>
                                  <LOEN>15</LOEN>
                                  <LOCN>34</LOCN>
                                </LnkInProps>
                              </LnkIn>
                            </Ctg>
                            <Ctg>
                              <CtgProps>
                                <R>5</R>
                              </CtgProps>
                              <LnkIn>
                                <LnkInProps>
                                  <MN>11</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11</MN>
                                  <CLI>1,1,46,False,1</CLI>
                                  <ELN>1</ELN>
                                  <LOOT>0</LOOT>
                                  <LOMN>3</LOMN>
                                  <LOMCN>1</LOMCN>
                                  <LOSN>1</LOSN>
                                  <LOEN>19</LOEN>
                                  <LOCN>1</LOCN>
                                </LnkInProps>
                              </LnkIn>
                            </Ctg>
                            <Ctg>
                              <CtgProps>
                                <R>5</R>
                              </CtgProps>
                              <LnkIn>
                                <LnkInProps>
                                  <MN>11</MN>
                                  <CLI>1,1,46,False,2</CLI>
                                  <ELN>1</ELN>
                                  <LOOT>0</LOOT>
                                  <LOMN>3</LOMN>
                                  <LOMCN>1</LOMCN>
                                  <LOSN>1</LOSN>
                                  <LOEN>19</LOEN>
                                  <LOCN>2</LOCN>
                                </LnkInProps>
                              </LnkIn>
                            </Ctg>
                            <Ctg>
                              <CtgProps>
                                <R>5</R>
                              </CtgProps>
                              <LnkIn>
                                <LnkInProps>
                                  <MN>11</MN>
                                  <CLI>1,1,46,False,3</CLI>
                                  <ELN>1</ELN>
                                  <LOOT>0</LOOT>
                                  <LOMN>3</LOMN>
                                  <LOMCN>1</LOMCN>
                                  <LOSN>1</LOSN>
                                  <LOEN>19</LOEN>
                                  <LOCN>3</LOCN>
                                </LnkInProps>
                              </LnkIn>
                            </Ctg>
                            <Ctg>
                              <CtgProps>
                                <R>5</R>
                              </CtgProps>
                              <LnkIn>
                                <LnkInProps>
                                  <MN>11</MN>
                                  <CLI>1,1,46,False,4</CLI>
                                  <ELN>1</ELN>
                                  <LOOT>0</LOOT>
                                  <LOMN>3</LOMN>
                                  <LOMCN>1</LOMCN>
                                  <LOSN>1</LOSN>
                                  <LOEN>19</LOEN>
                                  <LOCN>4</LOCN>
                                </LnkInProps>
                              </LnkIn>
                            </Ctg>
                            <Ctg>
                              <CtgProps>
                                <R>5</R>
                              </CtgProps>
                              <LnkIn>
                                <LnkInProps>
                                  <MN>11</MN>
                                  <CLI>1,1,46,False,5</CLI>
                                  <ELN>1</ELN>
                                  <LOOT>0</LOOT>
                                  <LOMN>3</LOMN>
                                  <LOMCN>1</LOMCN>
                                  <LOSN>1</LOSN>
                                  <LOEN>19</LOEN>
                                  <LOCN>5</LOCN>
                                </LnkInProps>
                              </LnkIn>
                            </Ctg>
                            <Ctg>
                              <CtgProps>
                                <R>5</R>
                              </CtgProps>
                              <LnkIn>
                                <LnkInProps>
                                  <MN>11</MN>
                                  <CLI>1,1,46,False,6</CLI>
                                  <ELN>1</ELN>
                                  <LOOT>0</LOOT>
                                  <LOMN>3</LOMN>
                                  <LOMCN>1</LOMCN>
                                  <LOSN>1</LOSN>
                                  <LOEN>19</LOEN>
                                  <LOCN>6</LOCN>
                                </LnkInProps>
                              </LnkIn>
                            </Ctg>
                            <Ctg>
                              <CtgProps>
                                <R>5</R>
                              </CtgProps>
                              <LnkIn>
                                <LnkInProps>
                                  <MN>11</MN>
                                  <CLI>1,1,46,False,7</CLI>
                                  <ELN>1</ELN>
                                  <LOOT>0</LOOT>
                                  <LOMN>3</LOMN>
                                  <LOMCN>1</LOMCN>
                                  <LOSN>1</LOSN>
                                  <LOEN>19</LOEN>
                                  <LOCN>7</LOCN>
                                </LnkInProps>
                              </LnkIn>
                            </Ctg>
                            <Ctg>
                              <CtgProps>
                                <R>5</R>
                              </CtgProps>
                              <LnkIn>
                                <LnkInProps>
                                  <MN>11</MN>
                                  <CLI>1,1,46,False,8</CLI>
                                  <ELN>1</ELN>
                                  <LOOT>0</LOOT>
                                  <LOMN>3</LOMN>
                                  <LOMCN>1</LOMCN>
                                  <LOSN>1</LOSN>
                                  <LOEN>19</LOEN>
                                  <LOCN>8</LOCN>
                                </LnkInProps>
                              </LnkIn>
                            </Ctg>
                            <Ctg>
                              <CtgProps>
                                <R>5</R>
                              </CtgProps>
                              <LnkIn>
                                <LnkInProps>
                                  <MN>11</MN>
                                  <CLI>1,1,46,False,9</CLI>
                                  <ELN>1</ELN>
                                  <LOOT>0</LOOT>
                                  <LOMN>3</LOMN>
                                  <LOMCN>1</LOMCN>
                                  <LOSN>1</LOSN>
                                  <LOEN>19</LOEN>
                                  <LOCN>9</LOCN>
                                </LnkInProps>
                              </LnkIn>
                            </Ctg>
                            <Ctg>
                              <CtgProps>
                                <R>5</R>
                              </CtgProps>
                              <LnkIn>
                                <LnkInProps>
                                  <MN>11</MN>
                                  <CLI>1,1,46,False,10</CLI>
                                  <ELN>1</ELN>
                                  <LOOT>0</LOOT>
                                  <LOMN>3</LOMN>
                                  <LOMCN>1</LOMCN>
                                  <LOSN>1</LOSN>
                                  <LOEN>19</LOEN>
                                  <LOCN>10</LOCN>
                                </LnkInProps>
                              </LnkIn>
                            </Ctg>
                            <Ctg>
                              <CtgProps>
                                <R>5</R>
                              </CtgProps>
                              <LnkIn>
                                <LnkInProps>
                                  <MN>11</MN>
                                  <CLI>1,1,46,False,11</CLI>
                                  <ELN>1</ELN>
                                  <LOOT>0</LOOT>
                                  <LOMN>3</LOMN>
                                  <LOMCN>1</LOMCN>
                                  <LOSN>1</LOSN>
                                  <LOEN>19</LOEN>
                                  <LOCN>11</LOCN>
                                </LnkInProps>
                              </LnkIn>
                            </Ctg>
                            <Ctg>
                              <CtgProps>
                                <R>5</R>
                              </CtgProps>
                              <LnkIn>
                                <LnkInProps>
                                  <MN>11</MN>
                                  <CLI>1,1,46,False,12</CLI>
                                  <ELN>1</ELN>
                                  <LOOT>0</LOOT>
                                  <LOMN>3</LOMN>
                                  <LOMCN>1</LOMCN>
                                  <LOSN>1</LOSN>
                                  <LOEN>19</LOEN>
                                  <LOCN>12</LOCN>
                                </LnkInProps>
                              </LnkIn>
                            </Ctg>
                            <Ctg>
                              <CtgProps>
                                <R>5</R>
                              </CtgProps>
                              <LnkIn>
                                <LnkInProps>
                                  <MN>11</MN>
                                  <CLI>1,1,46,False,13</CLI>
                                  <ELN>1</ELN>
                                  <LOOT>0</LOOT>
                                  <LOMN>3</LOMN>
                                  <LOMCN>1</LOMCN>
                                  <LOSN>1</LOSN>
                                  <LOEN>19</LOEN>
                                  <LOCN>13</LOCN>
                                </LnkInProps>
                              </LnkIn>
                            </Ctg>
                            <Ctg>
                              <CtgProps>
                                <R>5</R>
                              </CtgProps>
                              <LnkIn>
                                <LnkInProps>
                                  <MN>11</MN>
                                  <CLI>1,1,46,False,14</CLI>
                                  <ELN>1</ELN>
                                  <LOOT>0</LOOT>
                                  <LOMN>3</LOMN>
                                  <LOMCN>1</LOMCN>
                                  <LOSN>1</LOSN>
                                  <LOEN>19</LOEN>
                                  <LOCN>14</LOCN>
                                </LnkInProps>
                              </LnkIn>
                            </Ctg>
                            <Ctg>
                              <CtgProps>
                                <R>5</R>
                              </CtgProps>
                              <LnkIn>
                                <LnkInProps>
                                  <MN>11</MN>
                                  <CLI>1,1,46,False,15</CLI>
                                  <ELN>1</ELN>
                                  <LOOT>0</LOOT>
                                  <LOMN>3</LOMN>
                                  <LOMCN>1</LOMCN>
                                  <LOSN>1</LOSN>
                                  <LOEN>19</LOEN>
                                  <LOCN>15</LOCN>
                                </LnkInProps>
                              </LnkIn>
                            </Ctg>
                            <Ctg>
                              <CtgProps>
                                <R>6</R>
                              </CtgProps>
                              <LnkIn>
                                <LnkInProps>
                                  <MN>11</MN>
                                  <CLI>1,1,46,False,16</CLI>
                                  <ELN>1</ELN>
                                  <LOOT>0</LOOT>
                                  <LOMN>3</LOMN>
                                  <LOMCN>1</LOMCN>
                                  <LOSN>1</LOSN>
                                  <LOEN>19</LOEN>
                                  <LOCN>16</LOCN>
                                </LnkInProps>
                              </LnkIn>
                            </Ctg>
                            <Ctg>
                              <CtgProps>
                                <R>6</R>
                              </CtgProps>
                              <LnkIn>
                                <LnkInProps>
                                  <MN>11</MN>
                                  <CLI>1,1,46,False,17</CLI>
                                  <ELN>1</ELN>
                                  <LOOT>0</LOOT>
                                  <LOMN>3</LOMN>
                                  <LOMCN>1</LOMCN>
                                  <LOSN>1</LOSN>
                                  <LOEN>19</LOEN>
                                  <LOCN>17</LOCN>
                                </LnkInProps>
                              </LnkIn>
                            </Ctg>
                            <Ctg>
                              <CtgProps>
                                <R>6</R>
                              </CtgProps>
                              <LnkIn>
                                <LnkInProps>
                                  <MN>11</MN>
                                  <CLI>1,1,46,False,18</CLI>
                                  <ELN>1</ELN>
                                  <LOOT>0</LOOT>
                                  <LOMN>3</LOMN>
                                  <LOMCN>1</LOMCN>
                                  <LOSN>1</LOSN>
                                  <LOEN>19</LOEN>
                                  <LOCN>18</LOCN>
                                </LnkInProps>
                              </LnkIn>
                            </Ctg>
                            <Ctg>
                              <CtgProps>
                                <R>6</R>
                              </CtgProps>
                              <LnkIn>
                                <LnkInProps>
                                  <MN>11</MN>
                                  <CLI>1,1,46,False,19</CLI>
                                  <ELN>1</ELN>
                                  <LOOT>0</LOOT>
                                  <LOMN>3</LOMN>
                                  <LOMCN>1</LOMCN>
                                  <LOSN>1</LOSN>
                                  <LOEN>19</LOEN>
                                  <LOCN>19</LOCN>
                                </LnkInProps>
                              </LnkIn>
                            </Ctg>
                            <Ctg>
                              <CtgProps>
                                <R>6</R>
                              </CtgProps>
                              <LnkIn>
                                <LnkInProps>
                                  <MN>11</MN>
                                  <CLI>1,1,46,False,20</CLI>
                                  <ELN>1</ELN>
                                  <LOOT>0</LOOT>
                                  <LOMN>3</LOMN>
                                  <LOMCN>1</LOMCN>
                                  <LOSN>1</LOSN>
                                  <LOEN>19</LOEN>
                                  <LOCN>20</LOCN>
                                </LnkInProps>
                              </LnkIn>
                            </Ctg>
                            <Ctg>
                              <CtgProps>
                                <R>6</R>
                              </CtgProps>
                              <LnkIn>
                                <LnkInProps>
                                  <MN>11</MN>
                                  <CLI>1,1,46,False,21</CLI>
                                  <ELN>1</ELN>
                                  <LOOT>0</LOOT>
                                  <LOMN>3</LOMN>
                                  <LOMCN>1</LOMCN>
                                  <LOSN>1</LOSN>
                                  <LOEN>19</LOEN>
                                  <LOCN>21</LOCN>
                                </LnkInProps>
                              </LnkIn>
                            </Ctg>
                            <Ctg>
                              <CtgProps>
                                <R>6</R>
                              </CtgProps>
                              <LnkIn>
                                <LnkInProps>
                                  <MN>11</MN>
                                  <CLI>1,1,46,False,22</CLI>
                                  <ELN>1</ELN>
                                  <LOOT>0</LOOT>
                                  <LOMN>3</LOMN>
                                  <LOMCN>1</LOMCN>
                                  <LOSN>1</LOSN>
                                  <LOEN>19</LOEN>
                                  <LOCN>22</LOCN>
                                </LnkInProps>
                              </LnkIn>
                            </Ctg>
                            <Ctg>
                              <CtgProps>
                                <R>6</R>
                              </CtgProps>
                              <LnkIn>
                                <LnkInProps>
                                  <MN>11</MN>
                                  <CLI>1,1,46,False,23</CLI>
                                  <ELN>1</ELN>
                                  <LOOT>0</LOOT>
                                  <LOMN>3</LOMN>
                                  <LOMCN>1</LOMCN>
                                  <LOSN>1</LOSN>
                                  <LOEN>19</LOEN>
                                  <LOCN>23</LOCN>
                                </LnkInProps>
                              </LnkIn>
                            </Ctg>
                            <Ctg>
                              <CtgProps>
                                <R>6</R>
                              </CtgProps>
                              <LnkIn>
                                <LnkInProps>
                                  <MN>11</MN>
                                  <CLI>1,1,46,False,24</CLI>
                                  <ELN>1</ELN>
                                  <LOOT>0</LOOT>
                                  <LOMN>3</LOMN>
                                  <LOMCN>1</LOMCN>
                                  <LOSN>1</LOSN>
                                  <LOEN>19</LOEN>
                                  <LOCN>24</LOCN>
                                </LnkInProps>
                              </LnkIn>
                            </Ctg>
                            <Ctg>
                              <CtgProps>
                                <R>6</R>
                              </CtgProps>
                              <LnkIn>
                                <LnkInProps>
                                  <MN>11</MN>
                                  <CLI>1,1,46,False,25</CLI>
                                  <ELN>1</ELN>
                                  <LOOT>0</LOOT>
                                  <LOMN>3</LOMN>
                                  <LOMCN>1</LOMCN>
                                  <LOSN>1</LOSN>
                                  <LOEN>19</LOEN>
                                  <LOCN>25</LOCN>
                                </LnkInProps>
                              </LnkIn>
                            </Ctg>
                            <Ctg>
                              <CtgProps>
                                <R>6</R>
                              </CtgProps>
                              <LnkIn>
                                <LnkInProps>
                                  <MN>11</MN>
                                  <CLI>1,1,46,False,26</CLI>
                                  <ELN>1</ELN>
                                  <LOOT>0</LOOT>
                                  <LOMN>3</LOMN>
                                  <LOMCN>1</LOMCN>
                                  <LOSN>1</LOSN>
                                  <LOEN>19</LOEN>
                                  <LOCN>26</LOCN>
                                </LnkInProps>
                              </LnkIn>
                            </Ctg>
                            <Ctg>
                              <CtgProps>
                                <R>6</R>
                              </CtgProps>
                              <LnkIn>
                                <LnkInProps>
                                  <MN>11</MN>
                                  <CLI>1,1,46,False,27</CLI>
                                  <ELN>1</ELN>
                                  <LOOT>0</LOOT>
                                  <LOMN>3</LOMN>
                                  <LOMCN>1</LOMCN>
                                  <LOSN>1</LOSN>
                                  <LOEN>19</LOEN>
                                  <LOCN>27</LOCN>
                                </LnkInProps>
                              </LnkIn>
                            </Ctg>
                            <Ctg>
                              <CtgProps>
                                <R>6</R>
                              </CtgProps>
                              <LnkIn>
                                <LnkInProps>
                                  <MN>11</MN>
                                  <CLI>1,1,46,False,28</CLI>
                                  <ELN>1</ELN>
                                  <LOOT>0</LOOT>
                                  <LOMN>3</LOMN>
                                  <LOMCN>1</LOMCN>
                                  <LOSN>1</LOSN>
                                  <LOEN>19</LOEN>
                                  <LOCN>28</LOCN>
                                </LnkInProps>
                              </LnkIn>
                            </Ctg>
                            <Ctg>
                              <CtgProps>
                                <R>6</R>
                              </CtgProps>
                              <LnkIn>
                                <LnkInProps>
                                  <MN>11</MN>
                                  <CLI>1,1,46,False,29</CLI>
                                  <ELN>1</ELN>
                                  <LOOT>0</LOOT>
                                  <LOMN>3</LOMN>
                                  <LOMCN>1</LOMCN>
                                  <LOSN>1</LOSN>
                                  <LOEN>19</LOEN>
                                  <LOCN>29</LOCN>
                                </LnkInProps>
                              </LnkIn>
                            </Ctg>
                            <Ctg>
                              <CtgProps>
                                <R>6</R>
                              </CtgProps>
                              <LnkIn>
                                <LnkInProps>
                                  <MN>11</MN>
                                  <CLI>1,1,46,False,30</CLI>
                                  <ELN>1</ELN>
                                  <LOOT>0</LOOT>
                                  <LOMN>3</LOMN>
                                  <LOMCN>1</LOMCN>
                                  <LOSN>1</LOSN>
                                  <LOEN>19</LOEN>
                                  <LOCN>30</LOCN>
                                </LnkInProps>
                              </LnkIn>
                            </Ctg>
                            <Ctg>
                              <CtgProps>
                                <R>6</R>
                              </CtgProps>
                              <LnkIn>
                                <LnkInProps>
                                  <MN>11</MN>
                                  <CLI>1,1,46,False,31</CLI>
                                  <ELN>1</ELN>
                                  <LOOT>0</LOOT>
                                  <LOMN>3</LOMN>
                                  <LOMCN>1</LOMCN>
                                  <LOSN>1</LOSN>
                                  <LOEN>19</LOEN>
                                  <LOCN>31</LOCN>
                                </LnkInProps>
                              </LnkIn>
                            </Ctg>
                            <Ctg>
                              <CtgProps>
                                <R>6</R>
                              </CtgProps>
                              <LnkIn>
                                <LnkInProps>
                                  <MN>11</MN>
                                  <CLI>1,1,46,False,32</CLI>
                                  <ELN>1</ELN>
                                  <LOOT>0</LOOT>
                                  <LOMN>3</LOMN>
                                  <LOMCN>1</LOMCN>
                                  <LOSN>1</LOSN>
                                  <LOEN>19</LOEN>
                                  <LOCN>32</LOCN>
                                </LnkInProps>
                              </LnkIn>
                            </Ctg>
                            <Ctg>
                              <CtgProps>
                                <R>6</R>
                              </CtgProps>
                              <LnkIn>
                                <LnkInProps>
                                  <MN>11</MN>
                                  <CLI>1,1,46,False,33</CLI>
                                  <ELN>1</ELN>
                                  <LOOT>0</LOOT>
                                  <LOMN>3</LOMN>
                                  <LOMCN>1</LOMCN>
                                  <LOSN>1</LOSN>
                                  <LOEN>19</LOEN>
                                  <LOCN>33</LOCN>
                                </LnkInProps>
                              </LnkIn>
                            </Ctg>
                            <Ctg>
                              <CtgProps>
                                <R>6</R>
                              </CtgProps>
                              <LnkIn>
                                <LnkInProps>
                                  <MN>11</MN>
                                  <CLI>1,1,46,False,34</CLI>
                                  <ELN>1</ELN>
                                  <LOOT>0</LOOT>
                                  <LOMN>3</LOMN>
                                  <LOMCN>1</LOMCN>
                                  <LOSN>1</LOSN>
                                  <LOEN>19</LOEN>
                                  <LOCN>34</LOCN>
                                </LnkInProps>
                              </LnkIn>
                            </Ctg>
                            <Ctg>
                              <CtgProps>
                                <R>6</R>
                              </CtgProps>
                              <LnkIn>
                                <LnkInProps>
                                  <MN>11</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11</MN>
                                  <CLI>1,1,49,False,1</CLI>
                                  <ELN>1</ELN>
                                  <LOOT>0</LOOT>
                                  <LOMN>3</LOMN>
                                  <LOMCN>1</LOMCN>
                                  <LOSN>1</LOSN>
                                  <LOEN>24</LOEN>
                                  <LOCN>1</LOCN>
                                </LnkInProps>
                              </LnkIn>
                            </Ctg>
                            <Ctg>
                              <CtgProps>
                                <R>5</R>
                              </CtgProps>
                              <LnkIn>
                                <LnkInProps>
                                  <MN>11</MN>
                                  <CLI>1,1,49,False,2</CLI>
                                  <ELN>1</ELN>
                                  <LOOT>0</LOOT>
                                  <LOMN>3</LOMN>
                                  <LOMCN>1</LOMCN>
                                  <LOSN>1</LOSN>
                                  <LOEN>24</LOEN>
                                  <LOCN>2</LOCN>
                                </LnkInProps>
                              </LnkIn>
                            </Ctg>
                            <Ctg>
                              <CtgProps>
                                <R>5</R>
                              </CtgProps>
                              <LnkIn>
                                <LnkInProps>
                                  <MN>11</MN>
                                  <CLI>1,1,49,False,3</CLI>
                                  <ELN>1</ELN>
                                  <LOOT>0</LOOT>
                                  <LOMN>3</LOMN>
                                  <LOMCN>1</LOMCN>
                                  <LOSN>1</LOSN>
                                  <LOEN>24</LOEN>
                                  <LOCN>3</LOCN>
                                </LnkInProps>
                              </LnkIn>
                            </Ctg>
                            <Ctg>
                              <CtgProps>
                                <R>5</R>
                              </CtgProps>
                              <LnkIn>
                                <LnkInProps>
                                  <MN>11</MN>
                                  <CLI>1,1,49,False,4</CLI>
                                  <ELN>1</ELN>
                                  <LOOT>0</LOOT>
                                  <LOMN>3</LOMN>
                                  <LOMCN>1</LOMCN>
                                  <LOSN>1</LOSN>
                                  <LOEN>24</LOEN>
                                  <LOCN>4</LOCN>
                                </LnkInProps>
                              </LnkIn>
                            </Ctg>
                            <Ctg>
                              <CtgProps>
                                <R>5</R>
                              </CtgProps>
                              <LnkIn>
                                <LnkInProps>
                                  <MN>11</MN>
                                  <CLI>1,1,49,False,5</CLI>
                                  <ELN>1</ELN>
                                  <LOOT>0</LOOT>
                                  <LOMN>3</LOMN>
                                  <LOMCN>1</LOMCN>
                                  <LOSN>1</LOSN>
                                  <LOEN>24</LOEN>
                                  <LOCN>5</LOCN>
                                </LnkInProps>
                              </LnkIn>
                            </Ctg>
                            <Ctg>
                              <CtgProps>
                                <R>6</R>
                              </CtgProps>
                              <LnkIn>
                                <LnkInProps>
                                  <MN>11</MN>
                                  <CLI>1,1,49,False,6</CLI>
                                  <ELN>1</ELN>
                                  <LOOT>0</LOOT>
                                  <LOMN>3</LOMN>
                                  <LOMCN>1</LOMCN>
                                  <LOSN>1</LOSN>
                                  <LOEN>24</LOEN>
                                  <LOCN>6</LOCN>
                                </LnkInProps>
                              </LnkIn>
                            </Ctg>
                            <Ctg>
                              <CtgProps>
                                <R>6</R>
                              </CtgProps>
                              <LnkIn>
                                <LnkInProps>
                                  <MN>11</MN>
                                  <CLI>1,1,49,False,7</CLI>
                                  <ELN>1</ELN>
                                  <LOOT>0</LOOT>
                                  <LOMN>3</LOMN>
                                  <LOMCN>1</LOMCN>
                                  <LOSN>1</LOSN>
                                  <LOEN>24</LOEN>
                                  <LOCN>7</LOCN>
                                </LnkInProps>
                              </LnkIn>
                            </Ctg>
                            <Ctg>
                              <CtgProps>
                                <R>6</R>
                              </CtgProps>
                              <LnkIn>
                                <LnkInProps>
                                  <MN>11</MN>
                                  <CLI>1,1,49,False,8</CLI>
                                  <ELN>1</ELN>
                                  <LOOT>0</LOOT>
                                  <LOMN>3</LOMN>
                                  <LOMCN>1</LOMCN>
                                  <LOSN>1</LOSN>
                                  <LOEN>24</LOEN>
                                  <LOCN>8</LOCN>
                                </LnkInProps>
                              </LnkIn>
                            </Ctg>
                            <Ctg>
                              <CtgProps>
                                <R>6</R>
                              </CtgProps>
                              <LnkIn>
                                <LnkInProps>
                                  <MN>11</MN>
                                  <CLI>1,1,49,False,9</CLI>
                                  <ELN>1</ELN>
                                  <LOOT>0</LOOT>
                                  <LOMN>3</LOMN>
                                  <LOMCN>1</LOMCN>
                                  <LOSN>1</LOSN>
                                  <LOEN>24</LOEN>
                                  <LOCN>9</LOCN>
                                </LnkInProps>
                              </LnkIn>
                            </Ctg>
                            <Ctg>
                              <CtgProps>
                                <R>6</R>
                              </CtgProps>
                              <LnkIn>
                                <LnkInProps>
                                  <MN>11</MN>
                                  <CLI>1,1,49,False,10</CLI>
                                  <ELN>1</ELN>
                                  <LOOT>0</LOOT>
                                  <LOMN>3</LOMN>
                                  <LOMCN>1</LOMCN>
                                  <LOSN>1</LOSN>
                                  <LOEN>24</LOEN>
                                  <LOCN>10</LOCN>
                                </LnkInProps>
                              </LnkIn>
                            </Ctg>
                            <Ctg>
                              <CtgProps>
                                <R>6</R>
                              </CtgProps>
                              <LnkIn>
                                <LnkInProps>
                                  <MN>11</MN>
                                  <CLI>1,1,49,False,11</CLI>
                                  <ELN>1</ELN>
                                  <LOOT>0</LOOT>
                                  <LOMN>3</LOMN>
                                  <LOMCN>1</LOMCN>
                                  <LOSN>1</LOSN>
                                  <LOEN>24</LOEN>
                                  <LOCN>11</LOCN>
                                </LnkInProps>
                              </LnkIn>
                            </Ctg>
                            <Ctg>
                              <CtgProps>
                                <R>6</R>
                              </CtgProps>
                              <LnkIn>
                                <LnkInProps>
                                  <MN>11</MN>
                                  <CLI>1,1,49,False,12</CLI>
                                  <ELN>1</ELN>
                                  <LOOT>0</LOOT>
                                  <LOMN>3</LOMN>
                                  <LOMCN>1</LOMCN>
                                  <LOSN>1</LOSN>
                                  <LOEN>24</LOEN>
                                  <LOCN>12</LOCN>
                                </LnkInProps>
                              </LnkIn>
                            </Ctg>
                            <Ctg>
                              <CtgProps>
                                <R>6</R>
                              </CtgProps>
                              <LnkIn>
                                <LnkInProps>
                                  <MN>11</MN>
                                  <CLI>1,1,49,False,13</CLI>
                                  <ELN>1</ELN>
                                  <LOOT>0</LOOT>
                                  <LOMN>3</LOMN>
                                  <LOMCN>1</LOMCN>
                                  <LOSN>1</LOSN>
                                  <LOEN>24</LOEN>
                                  <LOCN>13</LOCN>
                                </LnkInProps>
                              </LnkIn>
                            </Ctg>
                            <Ctg>
                              <CtgProps>
                                <R>6</R>
                              </CtgProps>
                              <LnkIn>
                                <LnkInProps>
                                  <MN>11</MN>
                                  <CLI>1,1,49,False,14</CLI>
                                  <ELN>1</ELN>
                                  <LOOT>0</LOOT>
                                  <LOMN>3</LOMN>
                                  <LOMCN>1</LOMCN>
                                  <LOSN>1</LOSN>
                                  <LOEN>24</LOEN>
                                  <LOCN>14</LOCN>
                                </LnkInProps>
                              </LnkIn>
                            </Ctg>
                            <Ctg>
                              <CtgProps>
                                <R>6</R>
                              </CtgProps>
                              <LnkIn>
                                <LnkInProps>
                                  <MN>11</MN>
                                  <CLI>1,1,49,False,15</CLI>
                                  <ELN>1</ELN>
                                  <LOOT>0</LOOT>
                                  <LOMN>3</LOMN>
                                  <LOMCN>1</LOMCN>
                                  <LOSN>1</LOSN>
                                  <LOEN>24</LOEN>
                                  <LOCN>15</LOCN>
                                </LnkInProps>
                              </LnkIn>
                            </Ctg>
                            <Ctg>
                              <CtgProps>
                                <R>6</R>
                              </CtgProps>
                              <LnkIn>
                                <LnkInProps>
                                  <MN>11</MN>
                                  <CLI>1,1,49,False,16</CLI>
                                  <ELN>1</ELN>
                                  <LOOT>0</LOOT>
                                  <LOMN>3</LOMN>
                                  <LOMCN>1</LOMCN>
                                  <LOSN>1</LOSN>
                                  <LOEN>24</LOEN>
                                  <LOCN>16</LOCN>
                                </LnkInProps>
                              </LnkIn>
                            </Ctg>
                            <Ctg>
                              <CtgProps>
                                <R>6</R>
                              </CtgProps>
                              <LnkIn>
                                <LnkInProps>
                                  <MN>11</MN>
                                  <CLI>1,1,49,False,17</CLI>
                                  <ELN>1</ELN>
                                  <LOOT>0</LOOT>
                                  <LOMN>3</LOMN>
                                  <LOMCN>1</LOMCN>
                                  <LOSN>1</LOSN>
                                  <LOEN>24</LOEN>
                                  <LOCN>17</LOCN>
                                </LnkInProps>
                              </LnkIn>
                            </Ctg>
                            <Ctg>
                              <CtgProps>
                                <R>6</R>
                              </CtgProps>
                              <LnkIn>
                                <LnkInProps>
                                  <MN>11</MN>
                                  <CLI>1,1,49,False,18</CLI>
                                  <ELN>1</ELN>
                                  <LOOT>0</LOOT>
                                  <LOMN>3</LOMN>
                                  <LOMCN>1</LOMCN>
                                  <LOSN>1</LOSN>
                                  <LOEN>24</LOEN>
                                  <LOCN>18</LOCN>
                                </LnkInProps>
                              </LnkIn>
                            </Ctg>
                            <Ctg>
                              <CtgProps>
                                <R>6</R>
                              </CtgProps>
                              <LnkIn>
                                <LnkInProps>
                                  <MN>11</MN>
                                  <CLI>1,1,49,False,19</CLI>
                                  <ELN>1</ELN>
                                  <LOOT>0</LOOT>
                                  <LOMN>3</LOMN>
                                  <LOMCN>1</LOMCN>
                                  <LOSN>1</LOSN>
                                  <LOEN>24</LOEN>
                                  <LOCN>19</LOCN>
                                </LnkInProps>
                              </LnkIn>
                            </Ctg>
                            <Ctg>
                              <CtgProps>
                                <R>6</R>
                              </CtgProps>
                              <LnkIn>
                                <LnkInProps>
                                  <MN>11</MN>
                                  <CLI>1,1,49,False,20</CLI>
                                  <ELN>1</ELN>
                                  <LOOT>0</LOOT>
                                  <LOMN>3</LOMN>
                                  <LOMCN>1</LOMCN>
                                  <LOSN>1</LOSN>
                                  <LOEN>24</LOEN>
                                  <LOCN>20</LOCN>
                                </LnkInProps>
                              </LnkIn>
                            </Ctg>
                            <Ctg>
                              <CtgProps>
                                <R>6</R>
                              </CtgProps>
                              <LnkIn>
                                <LnkInProps>
                                  <MN>11</MN>
                                  <CLI>1,1,49,False,21</CLI>
                                  <ELN>1</ELN>
                                  <LOOT>0</LOOT>
                                  <LOMN>3</LOMN>
                                  <LOMCN>1</LOMCN>
                                  <LOSN>1</LOSN>
                                  <LOEN>24</LOEN>
                                  <LOCN>21</LOCN>
                                </LnkInProps>
                              </LnkIn>
                            </Ctg>
                            <Ctg>
                              <CtgProps>
                                <R>6</R>
                              </CtgProps>
                              <LnkIn>
                                <LnkInProps>
                                  <MN>11</MN>
                                  <CLI>1,1,49,False,22</CLI>
                                  <ELN>1</ELN>
                                  <LOOT>0</LOOT>
                                  <LOMN>3</LOMN>
                                  <LOMCN>1</LOMCN>
                                  <LOSN>1</LOSN>
                                  <LOEN>24</LOEN>
                                  <LOCN>22</LOCN>
                                </LnkInProps>
                              </LnkIn>
                            </Ctg>
                            <Ctg>
                              <CtgProps>
                                <R>6</R>
                              </CtgProps>
                              <LnkIn>
                                <LnkInProps>
                                  <MN>11</MN>
                                  <CLI>1,1,49,False,23</CLI>
                                  <ELN>1</ELN>
                                  <LOOT>0</LOOT>
                                  <LOMN>3</LOMN>
                                  <LOMCN>1</LOMCN>
                                  <LOSN>1</LOSN>
                                  <LOEN>24</LOEN>
                                  <LOCN>23</LOCN>
                                </LnkInProps>
                              </LnkIn>
                            </Ctg>
                            <Ctg>
                              <CtgProps>
                                <R>6</R>
                              </CtgProps>
                              <LnkIn>
                                <LnkInProps>
                                  <MN>11</MN>
                                  <CLI>1,1,49,False,24</CLI>
                                  <ELN>1</ELN>
                                  <LOOT>0</LOOT>
                                  <LOMN>3</LOMN>
                                  <LOMCN>1</LOMCN>
                                  <LOSN>1</LOSN>
                                  <LOEN>24</LOEN>
                                  <LOCN>24</LOCN>
                                </LnkInProps>
                              </LnkIn>
                            </Ctg>
                            <Ctg>
                              <CtgProps>
                                <R>6</R>
                              </CtgProps>
                              <LnkIn>
                                <LnkInProps>
                                  <MN>11</MN>
                                  <CLI>1,1,49,False,25</CLI>
                                  <ELN>1</ELN>
                                  <LOOT>0</LOOT>
                                  <LOMN>3</LOMN>
                                  <LOMCN>1</LOMCN>
                                  <LOSN>1</LOSN>
                                  <LOEN>24</LOEN>
                                  <LOCN>25</LOCN>
                                </LnkInProps>
                              </LnkIn>
                            </Ctg>
                            <Ctg>
                              <CtgProps>
                                <R>6</R>
                              </CtgProps>
                              <LnkIn>
                                <LnkInProps>
                                  <MN>11</MN>
                                  <CLI>1,1,49,False,26</CLI>
                                  <ELN>1</ELN>
                                  <LOOT>0</LOOT>
                                  <LOMN>3</LOMN>
                                  <LOMCN>1</LOMCN>
                                  <LOSN>1</LOSN>
                                  <LOEN>24</LOEN>
                                  <LOCN>26</LOCN>
                                </LnkInProps>
                              </LnkIn>
                            </Ctg>
                            <Ctg>
                              <CtgProps>
                                <R>6</R>
                              </CtgProps>
                              <LnkIn>
                                <LnkInProps>
                                  <MN>11</MN>
                                  <CLI>1,1,49,False,27</CLI>
                                  <ELN>1</ELN>
                                  <LOOT>0</LOOT>
                                  <LOMN>3</LOMN>
                                  <LOMCN>1</LOMCN>
                                  <LOSN>1</LOSN>
                                  <LOEN>24</LOEN>
                                  <LOCN>27</LOCN>
                                </LnkInProps>
                              </LnkIn>
                            </Ctg>
                            <Ctg>
                              <CtgProps>
                                <R>6</R>
                              </CtgProps>
                              <LnkIn>
                                <LnkInProps>
                                  <MN>11</MN>
                                  <CLI>1,1,49,False,28</CLI>
                                  <ELN>1</ELN>
                                  <LOOT>0</LOOT>
                                  <LOMN>3</LOMN>
                                  <LOMCN>1</LOMCN>
                                  <LOSN>1</LOSN>
                                  <LOEN>24</LOEN>
                                  <LOCN>28</LOCN>
                                </LnkInProps>
                              </LnkIn>
                            </Ctg>
                            <Ctg>
                              <CtgProps>
                                <R>6</R>
                              </CtgProps>
                              <LnkIn>
                                <LnkInProps>
                                  <MN>11</MN>
                                  <CLI>1,1,49,False,29</CLI>
                                  <ELN>1</ELN>
                                  <LOOT>0</LOOT>
                                  <LOMN>3</LOMN>
                                  <LOMCN>1</LOMCN>
                                  <LOSN>1</LOSN>
                                  <LOEN>24</LOEN>
                                  <LOCN>29</LOCN>
                                </LnkInProps>
                              </LnkIn>
                            </Ctg>
                            <Ctg>
                              <CtgProps>
                                <R>6</R>
                              </CtgProps>
                              <LnkIn>
                                <LnkInProps>
                                  <MN>11</MN>
                                  <CLI>1,1,49,False,30</CLI>
                                  <ELN>1</ELN>
                                  <LOOT>0</LOOT>
                                  <LOMN>3</LOMN>
                                  <LOMCN>1</LOMCN>
                                  <LOSN>1</LOSN>
                                  <LOEN>24</LOEN>
                                  <LOCN>30</LOCN>
                                </LnkInProps>
                              </LnkIn>
                            </Ctg>
                            <Ctg>
                              <CtgProps>
                                <R>6</R>
                              </CtgProps>
                              <LnkIn>
                                <LnkInProps>
                                  <MN>11</MN>
                                  <CLI>1,1,49,False,31</CLI>
                                  <ELN>1</ELN>
                                  <LOOT>0</LOOT>
                                  <LOMN>3</LOMN>
                                  <LOMCN>1</LOMCN>
                                  <LOSN>1</LOSN>
                                  <LOEN>24</LOEN>
                                  <LOCN>31</LOCN>
                                </LnkInProps>
                              </LnkIn>
                            </Ctg>
                            <Ctg>
                              <CtgProps>
                                <R>6</R>
                              </CtgProps>
                              <LnkIn>
                                <LnkInProps>
                                  <MN>11</MN>
                                  <CLI>1,1,49,False,32</CLI>
                                  <ELN>1</ELN>
                                  <LOOT>0</LOOT>
                                  <LOMN>3</LOMN>
                                  <LOMCN>1</LOMCN>
                                  <LOSN>1</LOSN>
                                  <LOEN>24</LOEN>
                                  <LOCN>32</LOCN>
                                </LnkInProps>
                              </LnkIn>
                            </Ctg>
                            <Ctg>
                              <CtgProps>
                                <R>6</R>
                              </CtgProps>
                              <LnkIn>
                                <LnkInProps>
                                  <MN>11</MN>
                                  <CLI>1,1,49,False,33</CLI>
                                  <ELN>1</ELN>
                                  <LOOT>0</LOOT>
                                  <LOMN>3</LOMN>
                                  <LOMCN>1</LOMCN>
                                  <LOSN>1</LOSN>
                                  <LOEN>24</LOEN>
                                  <LOCN>33</LOCN>
                                </LnkInProps>
                              </LnkIn>
                            </Ctg>
                            <Ctg>
                              <CtgProps>
                                <R>6</R>
                              </CtgProps>
                              <LnkIn>
                                <LnkInProps>
                                  <MN>11</MN>
                                  <CLI>1,1,49,False,34</CLI>
                                  <ELN>1</ELN>
                                  <LOOT>0</LOOT>
                                  <LOMN>3</LOMN>
                                  <LOMCN>1</LOMCN>
                                  <LOSN>1</LOSN>
                                  <LOEN>24</LOEN>
                                  <LOCN>34</LOCN>
                                </LnkInProps>
                              </LnkIn>
                            </Ctg>
                            <Ctg>
                              <CtgProps>
                                <R>6</R>
                              </CtgProps>
                              <LnkIn>
                                <LnkInProps>
                                  <MN>11</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11</MN>
                                  <CLI>1,1,53,False,1</CLI>
                                  <ELN>1</ELN>
                                  <LOOT>0</LOOT>
                                  <LOMN>3</LOMN>
                                  <LOMCN>1</LOMCN>
                                  <LOSN>1</LOSN>
                                  <LOEN>29</LOEN>
                                  <LOCN>1</LOCN>
                                </LnkInProps>
                              </LnkIn>
                            </Ctg>
                            <Ctg>
                              <CtgProps>
                                <R>5</R>
                              </CtgProps>
                              <LnkIn>
                                <LnkInProps>
                                  <MN>11</MN>
                                  <CLI>1,1,53,False,2</CLI>
                                  <ELN>1</ELN>
                                  <LOOT>0</LOOT>
                                  <LOMN>3</LOMN>
                                  <LOMCN>1</LOMCN>
                                  <LOSN>1</LOSN>
                                  <LOEN>29</LOEN>
                                  <LOCN>2</LOCN>
                                </LnkInProps>
                              </LnkIn>
                            </Ctg>
                            <Ctg>
                              <CtgProps>
                                <R>6</R>
                              </CtgProps>
                              <LnkIn>
                                <LnkInProps>
                                  <MN>11</MN>
                                  <CLI>1,1,53,False,3</CLI>
                                  <ELN>1</ELN>
                                  <LOOT>0</LOOT>
                                  <LOMN>3</LOMN>
                                  <LOMCN>1</LOMCN>
                                  <LOSN>1</LOSN>
                                  <LOEN>29</LOEN>
                                  <LOCN>3</LOCN>
                                </LnkInProps>
                              </LnkIn>
                            </Ctg>
                            <Ctg>
                              <CtgProps>
                                <R>6</R>
                              </CtgProps>
                              <LnkIn>
                                <LnkInProps>
                                  <MN>11</MN>
                                  <CLI>1,1,53,False,4</CLI>
                                  <ELN>1</ELN>
                                  <LOOT>0</LOOT>
                                  <LOMN>3</LOMN>
                                  <LOMCN>1</LOMCN>
                                  <LOSN>1</LOSN>
                                  <LOEN>29</LOEN>
                                  <LOCN>4</LOCN>
                                </LnkInProps>
                              </LnkIn>
                            </Ctg>
                            <Ctg>
                              <CtgProps>
                                <R>6</R>
                              </CtgProps>
                              <LnkIn>
                                <LnkInProps>
                                  <MN>11</MN>
                                  <CLI>1,1,53,False,5</CLI>
                                  <ELN>1</ELN>
                                  <LOOT>0</LOOT>
                                  <LOMN>3</LOMN>
                                  <LOMCN>1</LOMCN>
                                  <LOSN>1</LOSN>
                                  <LOEN>29</LOEN>
                                  <LOCN>5</LOCN>
                                </LnkInProps>
                              </LnkIn>
                            </Ctg>
                            <Ctg>
                              <CtgProps>
                                <R>6</R>
                              </CtgProps>
                              <LnkIn>
                                <LnkInProps>
                                  <MN>11</MN>
                                  <CLI>1,1,53,False,6</CLI>
                                  <ELN>1</ELN>
                                  <LOOT>0</LOOT>
                                  <LOMN>3</LOMN>
                                  <LOMCN>1</LOMCN>
                                  <LOSN>1</LOSN>
                                  <LOEN>29</LOEN>
                                  <LOCN>6</LOCN>
                                </LnkInProps>
                              </LnkIn>
                            </Ctg>
                            <Ctg>
                              <CtgProps>
                                <R>6</R>
                              </CtgProps>
                              <LnkIn>
                                <LnkInProps>
                                  <MN>11</MN>
                                  <CLI>1,1,53,False,7</CLI>
                                  <ELN>1</ELN>
                                  <LOOT>0</LOOT>
                                  <LOMN>3</LOMN>
                                  <LOMCN>1</LOMCN>
                                  <LOSN>1</LOSN>
                                  <LOEN>29</LOEN>
                                  <LOCN>7</LOCN>
                                </LnkInProps>
                              </LnkIn>
                            </Ctg>
                            <Ctg>
                              <CtgProps>
                                <R>6</R>
                              </CtgProps>
                              <LnkIn>
                                <LnkInProps>
                                  <MN>11</MN>
                                  <CLI>1,1,53,False,8</CLI>
                                  <ELN>1</ELN>
                                  <LOOT>0</LOOT>
                                  <LOMN>3</LOMN>
                                  <LOMCN>1</LOMCN>
                                  <LOSN>1</LOSN>
                                  <LOEN>29</LOEN>
                                  <LOCN>8</LOCN>
                                </LnkInProps>
                              </LnkIn>
                            </Ctg>
                            <Ctg>
                              <CtgProps>
                                <R>6</R>
                              </CtgProps>
                              <LnkIn>
                                <LnkInProps>
                                  <MN>11</MN>
                                  <CLI>1,1,53,False,9</CLI>
                                  <ELN>1</ELN>
                                  <LOOT>0</LOOT>
                                  <LOMN>3</LOMN>
                                  <LOMCN>1</LOMCN>
                                  <LOSN>1</LOSN>
                                  <LOEN>29</LOEN>
                                  <LOCN>9</LOCN>
                                </LnkInProps>
                              </LnkIn>
                            </Ctg>
                            <Ctg>
                              <CtgProps>
                                <R>6</R>
                              </CtgProps>
                              <LnkIn>
                                <LnkInProps>
                                  <MN>11</MN>
                                  <CLI>1,1,53,False,10</CLI>
                                  <ELN>1</ELN>
                                  <LOOT>0</LOOT>
                                  <LOMN>3</LOMN>
                                  <LOMCN>1</LOMCN>
                                  <LOSN>1</LOSN>
                                  <LOEN>29</LOEN>
                                  <LOCN>10</LOCN>
                                </LnkInProps>
                              </LnkIn>
                            </Ctg>
                            <Ctg>
                              <CtgProps>
                                <R>6</R>
                              </CtgProps>
                              <LnkIn>
                                <LnkInProps>
                                  <MN>11</MN>
                                  <CLI>1,1,53,False,11</CLI>
                                  <ELN>1</ELN>
                                  <LOOT>0</LOOT>
                                  <LOMN>3</LOMN>
                                  <LOMCN>1</LOMCN>
                                  <LOSN>1</LOSN>
                                  <LOEN>29</LOEN>
                                  <LOCN>11</LOCN>
                                </LnkInProps>
                              </LnkIn>
                            </Ctg>
                            <Ctg>
                              <CtgProps>
                                <R>6</R>
                              </CtgProps>
                              <LnkIn>
                                <LnkInProps>
                                  <MN>11</MN>
                                  <CLI>1,1,53,False,12</CLI>
                                  <ELN>1</ELN>
                                  <LOOT>0</LOOT>
                                  <LOMN>3</LOMN>
                                  <LOMCN>1</LOMCN>
                                  <LOSN>1</LOSN>
                                  <LOEN>29</LOEN>
                                  <LOCN>12</LOCN>
                                </LnkInProps>
                              </LnkIn>
                            </Ctg>
                            <Ctg>
                              <CtgProps>
                                <R>6</R>
                              </CtgProps>
                              <LnkIn>
                                <LnkInProps>
                                  <MN>11</MN>
                                  <CLI>1,1,53,False,13</CLI>
                                  <ELN>1</ELN>
                                  <LOOT>0</LOOT>
                                  <LOMN>3</LOMN>
                                  <LOMCN>1</LOMCN>
                                  <LOSN>1</LOSN>
                                  <LOEN>29</LOEN>
                                  <LOCN>13</LOCN>
                                </LnkInProps>
                              </LnkIn>
                            </Ctg>
                            <Ctg>
                              <CtgProps>
                                <R>6</R>
                              </CtgProps>
                              <LnkIn>
                                <LnkInProps>
                                  <MN>11</MN>
                                  <CLI>1,1,53,False,14</CLI>
                                  <ELN>1</ELN>
                                  <LOOT>0</LOOT>
                                  <LOMN>3</LOMN>
                                  <LOMCN>1</LOMCN>
                                  <LOSN>1</LOSN>
                                  <LOEN>29</LOEN>
                                  <LOCN>14</LOCN>
                                </LnkInProps>
                              </LnkIn>
                            </Ctg>
                            <Ctg>
                              <CtgProps>
                                <R>6</R>
                              </CtgProps>
                              <LnkIn>
                                <LnkInProps>
                                  <MN>11</MN>
                                  <CLI>1,1,53,False,15</CLI>
                                  <ELN>1</ELN>
                                  <LOOT>0</LOOT>
                                  <LOMN>3</LOMN>
                                  <LOMCN>1</LOMCN>
                                  <LOSN>1</LOSN>
                                  <LOEN>29</LOEN>
                                  <LOCN>15</LOCN>
                                </LnkInProps>
                              </LnkIn>
                            </Ctg>
                            <Ctg>
                              <CtgProps>
                                <R>6</R>
                              </CtgProps>
                              <LnkIn>
                                <LnkInProps>
                                  <MN>11</MN>
                                  <CLI>1,1,53,False,16</CLI>
                                  <ELN>1</ELN>
                                  <LOOT>0</LOOT>
                                  <LOMN>3</LOMN>
                                  <LOMCN>1</LOMCN>
                                  <LOSN>1</LOSN>
                                  <LOEN>29</LOEN>
                                  <LOCN>16</LOCN>
                                </LnkInProps>
                              </LnkIn>
                            </Ctg>
                            <Ctg>
                              <CtgProps>
                                <R>6</R>
                              </CtgProps>
                              <LnkIn>
                                <LnkInProps>
                                  <MN>11</MN>
                                  <CLI>1,1,53,False,17</CLI>
                                  <ELN>1</ELN>
                                  <LOOT>0</LOOT>
                                  <LOMN>3</LOMN>
                                  <LOMCN>1</LOMCN>
                                  <LOSN>1</LOSN>
                                  <LOEN>29</LOEN>
                                  <LOCN>17</LOCN>
                                </LnkInProps>
                              </LnkIn>
                            </Ctg>
                            <Ctg>
                              <CtgProps>
                                <R>6</R>
                              </CtgProps>
                              <LnkIn>
                                <LnkInProps>
                                  <MN>11</MN>
                                  <CLI>1,1,53,False,18</CLI>
                                  <ELN>1</ELN>
                                  <LOOT>0</LOOT>
                                  <LOMN>3</LOMN>
                                  <LOMCN>1</LOMCN>
                                  <LOSN>1</LOSN>
                                  <LOEN>29</LOEN>
                                  <LOCN>18</LOCN>
                                </LnkInProps>
                              </LnkIn>
                            </Ctg>
                            <Ctg>
                              <CtgProps>
                                <R>6</R>
                              </CtgProps>
                              <LnkIn>
                                <LnkInProps>
                                  <MN>11</MN>
                                  <CLI>1,1,53,False,19</CLI>
                                  <ELN>1</ELN>
                                  <LOOT>0</LOOT>
                                  <LOMN>3</LOMN>
                                  <LOMCN>1</LOMCN>
                                  <LOSN>1</LOSN>
                                  <LOEN>29</LOEN>
                                  <LOCN>19</LOCN>
                                </LnkInProps>
                              </LnkIn>
                            </Ctg>
                            <Ctg>
                              <CtgProps>
                                <R>6</R>
                              </CtgProps>
                              <LnkIn>
                                <LnkInProps>
                                  <MN>11</MN>
                                  <CLI>1,1,53,False,20</CLI>
                                  <ELN>1</ELN>
                                  <LOOT>0</LOOT>
                                  <LOMN>3</LOMN>
                                  <LOMCN>1</LOMCN>
                                  <LOSN>1</LOSN>
                                  <LOEN>29</LOEN>
                                  <LOCN>20</LOCN>
                                </LnkInProps>
                              </LnkIn>
                            </Ctg>
                            <Ctg>
                              <CtgProps>
                                <R>6</R>
                              </CtgProps>
                              <LnkIn>
                                <LnkInProps>
                                  <MN>11</MN>
                                  <CLI>1,1,53,False,21</CLI>
                                  <ELN>1</ELN>
                                  <LOOT>0</LOOT>
                                  <LOMN>3</LOMN>
                                  <LOMCN>1</LOMCN>
                                  <LOSN>1</LOSN>
                                  <LOEN>29</LOEN>
                                  <LOCN>21</LOCN>
                                </LnkInProps>
                              </LnkIn>
                            </Ctg>
                            <Ctg>
                              <CtgProps>
                                <R>6</R>
                              </CtgProps>
                              <LnkIn>
                                <LnkInProps>
                                  <MN>11</MN>
                                  <CLI>1,1,53,False,22</CLI>
                                  <ELN>1</ELN>
                                  <LOOT>0</LOOT>
                                  <LOMN>3</LOMN>
                                  <LOMCN>1</LOMCN>
                                  <LOSN>1</LOSN>
                                  <LOEN>29</LOEN>
                                  <LOCN>22</LOCN>
                                </LnkInProps>
                              </LnkIn>
                            </Ctg>
                            <Ctg>
                              <CtgProps>
                                <R>6</R>
                              </CtgProps>
                              <LnkIn>
                                <LnkInProps>
                                  <MN>11</MN>
                                  <CLI>1,1,53,False,23</CLI>
                                  <ELN>1</ELN>
                                  <LOOT>0</LOOT>
                                  <LOMN>3</LOMN>
                                  <LOMCN>1</LOMCN>
                                  <LOSN>1</LOSN>
                                  <LOEN>29</LOEN>
                                  <LOCN>23</LOCN>
                                </LnkInProps>
                              </LnkIn>
                            </Ctg>
                            <Ctg>
                              <CtgProps>
                                <R>6</R>
                              </CtgProps>
                              <LnkIn>
                                <LnkInProps>
                                  <MN>11</MN>
                                  <CLI>1,1,53,False,24</CLI>
                                  <ELN>1</ELN>
                                  <LOOT>0</LOOT>
                                  <LOMN>3</LOMN>
                                  <LOMCN>1</LOMCN>
                                  <LOSN>1</LOSN>
                                  <LOEN>29</LOEN>
                                  <LOCN>24</LOCN>
                                </LnkInProps>
                              </LnkIn>
                            </Ctg>
                            <Ctg>
                              <CtgProps>
                                <R>6</R>
                              </CtgProps>
                              <LnkIn>
                                <LnkInProps>
                                  <MN>11</MN>
                                  <CLI>1,1,53,False,25</CLI>
                                  <ELN>1</ELN>
                                  <LOOT>0</LOOT>
                                  <LOMN>3</LOMN>
                                  <LOMCN>1</LOMCN>
                                  <LOSN>1</LOSN>
                                  <LOEN>29</LOEN>
                                  <LOCN>25</LOCN>
                                </LnkInProps>
                              </LnkIn>
                            </Ctg>
                            <Ctg>
                              <CtgProps>
                                <R>6</R>
                              </CtgProps>
                              <LnkIn>
                                <LnkInProps>
                                  <MN>11</MN>
                                  <CLI>1,1,53,False,26</CLI>
                                  <ELN>1</ELN>
                                  <LOOT>0</LOOT>
                                  <LOMN>3</LOMN>
                                  <LOMCN>1</LOMCN>
                                  <LOSN>1</LOSN>
                                  <LOEN>29</LOEN>
                                  <LOCN>26</LOCN>
                                </LnkInProps>
                              </LnkIn>
                            </Ctg>
                            <Ctg>
                              <CtgProps>
                                <R>6</R>
                              </CtgProps>
                              <LnkIn>
                                <LnkInProps>
                                  <MN>11</MN>
                                  <CLI>1,1,53,False,27</CLI>
                                  <ELN>1</ELN>
                                  <LOOT>0</LOOT>
                                  <LOMN>3</LOMN>
                                  <LOMCN>1</LOMCN>
                                  <LOSN>1</LOSN>
                                  <LOEN>29</LOEN>
                                  <LOCN>27</LOCN>
                                </LnkInProps>
                              </LnkIn>
                            </Ctg>
                            <Ctg>
                              <CtgProps>
                                <R>6</R>
                              </CtgProps>
                              <LnkIn>
                                <LnkInProps>
                                  <MN>11</MN>
                                  <CLI>1,1,53,False,28</CLI>
                                  <ELN>1</ELN>
                                  <LOOT>0</LOOT>
                                  <LOMN>3</LOMN>
                                  <LOMCN>1</LOMCN>
                                  <LOSN>1</LOSN>
                                  <LOEN>29</LOEN>
                                  <LOCN>28</LOCN>
                                </LnkInProps>
                              </LnkIn>
                            </Ctg>
                            <Ctg>
                              <CtgProps>
                                <R>6</R>
                              </CtgProps>
                              <LnkIn>
                                <LnkInProps>
                                  <MN>11</MN>
                                  <CLI>1,1,53,False,29</CLI>
                                  <ELN>1</ELN>
                                  <LOOT>0</LOOT>
                                  <LOMN>3</LOMN>
                                  <LOMCN>1</LOMCN>
                                  <LOSN>1</LOSN>
                                  <LOEN>29</LOEN>
                                  <LOCN>29</LOCN>
                                </LnkInProps>
                              </LnkIn>
                            </Ctg>
                            <Ctg>
                              <CtgProps>
                                <R>6</R>
                              </CtgProps>
                              <LnkIn>
                                <LnkInProps>
                                  <MN>11</MN>
                                  <CLI>1,1,53,False,30</CLI>
                                  <ELN>1</ELN>
                                  <LOOT>0</LOOT>
                                  <LOMN>3</LOMN>
                                  <LOMCN>1</LOMCN>
                                  <LOSN>1</LOSN>
                                  <LOEN>29</LOEN>
                                  <LOCN>30</LOCN>
                                </LnkInProps>
                              </LnkIn>
                            </Ctg>
                            <Ctg>
                              <CtgProps>
                                <R>6</R>
                              </CtgProps>
                              <LnkIn>
                                <LnkInProps>
                                  <MN>11</MN>
                                  <CLI>1,1,53,False,31</CLI>
                                  <ELN>1</ELN>
                                  <LOOT>0</LOOT>
                                  <LOMN>3</LOMN>
                                  <LOMCN>1</LOMCN>
                                  <LOSN>1</LOSN>
                                  <LOEN>29</LOEN>
                                  <LOCN>31</LOCN>
                                </LnkInProps>
                              </LnkIn>
                            </Ctg>
                            <Ctg>
                              <CtgProps>
                                <R>6</R>
                              </CtgProps>
                              <LnkIn>
                                <LnkInProps>
                                  <MN>11</MN>
                                  <CLI>1,1,53,False,32</CLI>
                                  <ELN>1</ELN>
                                  <LOOT>0</LOOT>
                                  <LOMN>3</LOMN>
                                  <LOMCN>1</LOMCN>
                                  <LOSN>1</LOSN>
                                  <LOEN>29</LOEN>
                                  <LOCN>32</LOCN>
                                </LnkInProps>
                              </LnkIn>
                            </Ctg>
                            <Ctg>
                              <CtgProps>
                                <R>6</R>
                              </CtgProps>
                              <LnkIn>
                                <LnkInProps>
                                  <MN>11</MN>
                                  <CLI>1,1,53,False,33</CLI>
                                  <ELN>1</ELN>
                                  <LOOT>0</LOOT>
                                  <LOMN>3</LOMN>
                                  <LOMCN>1</LOMCN>
                                  <LOSN>1</LOSN>
                                  <LOEN>29</LOEN>
                                  <LOCN>33</LOCN>
                                </LnkInProps>
                              </LnkIn>
                            </Ctg>
                            <Ctg>
                              <CtgProps>
                                <R>6</R>
                              </CtgProps>
                              <LnkIn>
                                <LnkInProps>
                                  <MN>11</MN>
                                  <CLI>1,1,53,False,34</CLI>
                                  <ELN>1</ELN>
                                  <LOOT>0</LOOT>
                                  <LOMN>3</LOMN>
                                  <LOMCN>1</LOMCN>
                                  <LOSN>1</LOSN>
                                  <LOEN>29</LOEN>
                                  <LOCN>34</LOCN>
                                </LnkInProps>
                              </LnkIn>
                            </Ctg>
                            <Ctg>
                              <CtgProps>
                                <R>6</R>
                              </CtgProps>
                              <LnkIn>
                                <LnkInProps>
                                  <MN>11</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11</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11</MN>
                <MCN>2</MCN>
                <MCTK>BaseCase</MCTK>
                <RT><![CDATA[<ModuleName> - Assumptions]]></RT>
                <ERN>BPMMC108</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80</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11</MN>
                <MCN>3</MCN>
                <MCTK>OP</MCTK>
                <RT><![CDATA[<ModuleName> - Outputs]]></RT>
                <ERN>BPMMC109</ERN>
                <MCST>0</MCST>
                <IPMC>False</IPMC>
                <SN>28</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17</SON>
                                <VOFFF><![CDATA[=SUM(§A¿0,3,1,1,3,2,1,-1,0,0,FALSE,FALSE,1,7,2,1,-1,0,0,FALSE,FALSE§Z¿)]]></VOFFF>
                              </ClmnBlkPtProps>
                            </ClmnBlkPt>
                          </ClmnBlkPts>
                        </ClmnBlk>
                        <ClmnBlk>
                          <ClmnBlkProps>
                            <FCPT>0</FCPT>
                            <FCN>12</FCN>
                            <LCPT>0</LCPT>
                            <LCN>12</LCN>
                          </ClmnBlkProps>
                          <ClmnBlkPts>
                            <ClmnBlkPt>
                              <ClmnBlkPtProps>
                                <CBPT>5</CBPT>
                                <ST>18</ST>
                                <SON>17</SON>
                                <VOFFF><![CDATA[=SUM(§A¿0,3,1,1,3,3,1,-1,0,0,FALSE,FALSE,1,7,3,1,-1,0,0,FALSE,FALSE§Z¿)]]></VOFFF>
                              </ClmnBlkPtProps>
                            </ClmnBlkPt>
                          </ClmnBlkPts>
                        </ClmnBlk>
                        <ClmnBlk>
                          <ClmnBlkProps>
                            <FCPT>0</FCPT>
                            <FCN>15</FCN>
                            <LCPT>0</LCPT>
                            <LCN>15</LCN>
                          </ClmnBlkProps>
                          <ClmnBlkPts>
                            <ClmnBlkPt>
                              <ClmnBlkPtProps>
                                <CBPT>5</CBPT>
                                <ST>18</ST>
                                <SON>18</SON>
                                <VOFFF><![CDATA[=SUM(§A¿0,3,1,1,3,4,1,-1,0,0,FALSE,FALSE,1,7,4,1,-1,0,0,FALSE,FALSE§Z¿)]]></VOFFF>
                              </ClmnBlkPtProps>
                            </ClmnBlkPt>
                          </ClmnBlkPts>
                        </ClmnBlk>
                        <ClmnBlk>
                          <ClmnBlkProps>
                            <FCPT>0</FCPT>
                            <FCN>17</FCN>
                            <LCPT>0</LCPT>
                            <LCN>17</LCN>
                          </ClmnBlkProps>
                          <ClmnBlkPts>
                            <ClmnBlkPt>
                              <ClmnBlkPtProps>
                                <CBPT>5</CBPT>
                                <ST>18</ST>
                                <SON>18</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 Trained per Training]]></VOFFF>
                              </ClmnBlkPtProps>
                            </ClmnBlkPt>
                          </ClmnBlkPts>
                        </ClmnBlk>
                        <ClmnBlk>
                          <ClmnBlkProps>
                            <FCPT>0</FCPT>
                            <FCN>10</FCN>
                            <LCPT>0</LCPT>
                            <LCN>10</LCN>
                          </ClmnBlkProps>
                          <ClmnBlkPts>
                            <ClmnBlkPt>
                              <ClmnBlkPtProps>
                                <CBPT>5</CBPT>
                                <ST>11</ST>
                                <VOFFF/>
                                <UDAV><![CDATA[0]]></UDAV>
                              </ClmnBlkPtProps>
                            </ClmnBlkPt>
                          </ClmnBlkPts>
                        </ClmnBlk>
                        <ClmnBlk>
                          <ClmnBlkProps>
                            <FCPT>0</FCPT>
                            <FCN>12</FCN>
                            <LCPT>0</LCPT>
                            <LCN>12</LCN>
                          </ClmnBlkProps>
                          <ClmnBlkPts>
                            <ClmnBlkPt>
                              <ClmnBlkPtProps>
                                <CBPT>5</CBPT>
                                <ST>11</ST>
                                <VOFFF/>
                                <UDAV><![CDATA[0]]></UDAV>
                              </ClmnBlkPtProps>
                            </ClmnBlkPt>
                          </ClmnBlkPts>
                        </ClmnBlk>
                        <ClmnBlk>
                          <ClmnBlkProps>
                            <FCPT>0</FCPT>
                            <FCN>15</FCN>
                            <LCPT>0</LCPT>
                            <LCN>15</LCN>
                          </ClmnBlkProps>
                          <ClmnBlkPts>
                            <ClmnBlkPt>
                              <ClmnBlkPtProps>
                                <CBPT>5</CBPT>
                                <ST>11</ST>
                                <VOFFF/>
                                <UDAV><![CDATA[0]]></UDAV>
                              </ClmnBlkPtProps>
                            </ClmnBlkPt>
                          </ClmnBlkPts>
                        </ClmnBlk>
                        <ClmnBlk>
                          <ClmnBlkProps>
                            <FCPT>0</FCPT>
                            <FCN>17</FCN>
                            <LCPT>0</LCPT>
                            <LCN>17</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Cost per Vaccinator Trained]]></VOFFF>
                              </ClmnBlkPtProps>
                            </ClmnBlkPt>
                          </ClmnBlkPts>
                        </ClmnBlk>
                        <ClmnBlk>
                          <ClmnBlkProps>
                            <FCPT>0</FCPT>
                            <FCN>10</FCN>
                            <LCPT>0</LCPT>
                            <LCN>10</LCN>
                          </ClmnBlkProps>
                          <ClmnBlkPts>
                            <ClmnBlkPt>
                              <ClmnBlkPtProps>
                                <CBPT>5</CBPT>
                                <ST>18</ST>
                                <SON>14</SON>
                                <VOFFF><![CDATA[=IFERROR(§A¿0,3,0,1,8,2,1,-1,0,0,FALSE,FALSE§Z¿/§A¿0,3,0,1,13,2,1,-1,0,0,FALSE,FALSE§Z¿,0)]]></VOFFF>
                              </ClmnBlkPtProps>
                            </ClmnBlkPt>
                          </ClmnBlkPts>
                        </ClmnBlk>
                        <ClmnBlk>
                          <ClmnBlkProps>
                            <FCPT>0</FCPT>
                            <FCN>12</FCN>
                            <LCPT>0</LCPT>
                            <LCN>12</LCN>
                          </ClmnBlkProps>
                          <ClmnBlkPts>
                            <ClmnBlkPt>
                              <ClmnBlkPtProps>
                                <CBPT>5</CBPT>
                                <ST>18</ST>
                                <SON>14</SON>
                                <VOFFF><![CDATA[=IFERROR(§A¿0,3,0,1,8,3,1,-1,0,0,FALSE,FALSE§Z¿/§A¿0,3,0,1,13,3,1,-1,0,0,FALSE,FALSE§Z¿,0)]]></VOFFF>
                              </ClmnBlkPtProps>
                            </ClmnBlkPt>
                          </ClmnBlkPts>
                        </ClmnBlk>
                        <ClmnBlk>
                          <ClmnBlkProps>
                            <FCPT>0</FCPT>
                            <FCN>15</FCN>
                            <LCPT>0</LCPT>
                            <LCN>15</LCN>
                          </ClmnBlkProps>
                          <ClmnBlkPts>
                            <ClmnBlkPt>
                              <ClmnBlkPtProps>
                                <CBPT>5</CBPT>
                                <ST>18</ST>
                                <SON>14</SON>
                                <VOFFF><![CDATA[=IFERROR(§A¿0,3,0,1,8,4,1,-1,0,0,FALSE,FALSE§Z¿/§A¿0,3,0,1,13,4,1,-1,0,0,FALSE,FALSE§Z¿,0)]]></VOFFF>
                              </ClmnBlkPtProps>
                            </ClmnBlkPt>
                          </ClmnBlkPts>
                        </ClmnBlk>
                        <ClmnBlk>
                          <ClmnBlkProps>
                            <FCPT>0</FCPT>
                            <FCN>17</FCN>
                            <LCPT>0</LCPT>
                            <LCN>17</LCN>
                          </ClmnBlkProps>
                          <ClmnBlkPts>
                            <ClmnBlkPt>
                              <ClmnBlkPtProps>
                                <CBPT>5</CBPT>
                                <ST>18</ST>
                                <SON>14</SON>
                                <VOFFF><![CDATA[=IFERROR(§A¿0,3,0,1,8,5,1,-1,0,0,FALSE,FALSE§Z¿/§A¿0,3,0,1,13,5,1,-1,0,0,FALSE,FALSE§Z¿,0)]]></VOFFF>
                              </ClmnBlkPtProps>
                            </ClmnBlkPt>
                          </ClmnBlkPts>
                        </ClmnBlk>
                      </ClmnBlks>
                      <TtlCtg/>
                    </Elmt>
                    <Elmt>
                      <ElmtProps>
                        <CPT>2</CPT>
                      </ElmtProps>
                      <ClmnBlks>
                        <ClmnBlk>
                          <ClmnBlkProps>
                            <FCPT>0</FCPT>
                            <FCN>2</FCN>
                            <LCPT>0</LCPT>
                            <LCN>18</LCN>
                          </ClmnBlkProps>
                          <ClmnBlkPts>
                            <ClmnBlkPt>
                              <ClmnBlkPtProps>
                                <CBPT>5</CBPT>
                                <ST>-1</ST>
                                <SON>19</SON>
                                <VOFFF/>
                              </ClmnBlkPtProps>
                            </ClmnBlkPt>
                          </ClmnBlkPts>
                        </ClmnBlk>
                      </ClmnBlks>
                      <TtlCtg/>
                    </Elmt>
                  </Elmts>
                </Sect>
              </Sects>
            </ModComp>
            <ModComp>
              <ModCompProps>
                <MN>11</MN>
                <MCN>4</MCN>
                <MCTK>LU</MCTK>
                <RT><![CDATA[<ModuleName> - Lookups]]></RT>
                <ERN>BPMMC110</ERN>
                <MCST>3</MCST>
                <IPMC>False</IPMC>
                <SN>60</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82</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8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8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8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8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8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8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19</MN>
            <MAG>D086F8B5-5CE4-4E5C-9775-1E45DE76A9E8</MAG>
            <BN><![CDATA[PLUG_ACTIVITY]]></BN>
            <N><![CDATA[TRAIN-TOVacc2]]></N>
            <TS><![CDATA[Annual]]></TS>
            <D><![CDATA[Assists with planning the cost of an activity. Should be used with Prices module.]]></D>
            <FS/>
            <R/>
            <GE/>
            <CA/>
            <VA/>
            <GST/>
            <DE/>
            <E/>
            <C/>
            <W/>
            <K/>
            <CO/>
            <V>1.0.0.0.</V>
            <AX/>
            <PMLO>False</PMLO>
            <IPMLO>False</IPMLO>
            <MACA>1</MACA>
            <RTSM>True</RTSM>
            <CC>True</CC>
            <X>False</X>
            <G>2EE8AB04-0585-486A-98A7-0372BF8860C5</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1</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12</MN>
                <MCN>1</MCN>
                <MCTK>BaseCase</MCTK>
                <RT><![CDATA[<ModuleName> - Assumptions]]></RT>
                <ERN>BPMMC111</ERN>
                <MCST>0</MCST>
                <IPMC>False</IPMC>
                <SN>17</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83</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19</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9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0]]></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22</FCN>
                            <LCPT>0</LCPT>
                            <LCN>22</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4</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22</FCN>
                            <LCPT>0</LCPT>
                            <LCN>22</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d Links (Developer Use Only.  User Can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2</CC>
                              <R>4</R>
                            </CatSpanProps>
                            <LnkIn>
                              <LnkInProps>
                                <MN>12</MN>
                                <CLI>1,1,34,False,1</CLI>
                                <ELN>1</ELN>
                                <LOOT>0</LOOT>
                                <LOMN>3</LOMN>
                                <LOMCN>2</LOMCN>
                                <LOSN>1</LOSN>
                                <LOEN>4</LOEN>
                                <LOCN>1</LOCN>
                              </LnkInProps>
                            </LnkIn>
                          </CatSpan>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d Links (Developer Use Only.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35</CC>
                              <R>4</R>
                            </CatSpanProps>
                            <LnkIn>
                              <LnkInProps>
                                <MN>12</MN>
                                <CLI>1,1,39,False,1</CLI>
                                <ELN>1</ELN>
                                <LOOT>0</LOOT>
                                <LOMN>3</LOMN>
                                <LOMCN>1</LOMCN>
                                <LOSN>1</LOSN>
                                <LOEN>10</LOEN>
                                <LOCN>1</LOCN>
                              </LnkInProps>
                            </LnkIn>
                          </CatSpan>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35</CC>
                              <R>4</R>
                            </CatSpanProps>
                            <LnkIn>
                              <LnkInProps>
                                <MN>12</MN>
                                <CLI>1,1,42,False,1</CLI>
                                <ELN>1</ELN>
                                <LOOT>0</LOOT>
                                <LOMN>3</LOMN>
                                <LOMCN>1</LOMCN>
                                <LOSN>1</LOSN>
                                <LOEN>15</LOEN>
                                <LOCN>1</LOCN>
                              </LnkInProps>
                            </LnkIn>
                          </CatSpan>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35</CC>
                              <R>4</R>
                            </CatSpanProps>
                            <LnkIn>
                              <LnkInProps>
                                <MN>12</MN>
                                <CLI>1,1,46,False,1</CLI>
                                <ELN>1</ELN>
                                <LOOT>0</LOOT>
                                <LOMN>3</LOMN>
                                <LOMCN>1</LOMCN>
                                <LOSN>1</LOSN>
                                <LOEN>19</LOEN>
                                <LOCN>1</LOCN>
                              </LnkInProps>
                            </LnkIn>
                          </CatSpan>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35</CC>
                              <R>4</R>
                            </CatSpanProps>
                            <LnkIn>
                              <LnkInProps>
                                <MN>12</MN>
                                <CLI>1,1,49,False,1</CLI>
                                <ELN>1</ELN>
                                <LOOT>0</LOOT>
                                <LOMN>3</LOMN>
                                <LOMCN>1</LOMCN>
                                <LOSN>1</LOSN>
                                <LOEN>24</LOEN>
                                <LOCN>1</LOCN>
                              </LnkInProps>
                            </LnkIn>
                          </CatSpan>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35</CC>
                              <R>4</R>
                            </CatSpanProps>
                            <LnkIn>
                              <LnkInProps>
                                <MN>12</MN>
                                <CLI>1,1,53,False,1</CLI>
                                <ELN>1</ELN>
                                <LOOT>0</LOOT>
                                <LOMN>3</LOMN>
                                <LOMCN>1</LOMCN>
                                <LOSN>1</LOSN>
                                <LOEN>29</LOEN>
                                <LOCN>1</LOCN>
                              </LnkInProps>
                            </LnkIn>
                          </CatSpan>
                        </SubTtl>
                      </SubTtls>
                      <TtlCtg/>
                      <ElmtLnksIn>
                        <ElmtLnk>
                          <ElmtLnkProps>
                            <ELI>1,1,53</ELI>
                            <ELN>1</ELN>
                            <ELGN>6</ELGN>
                            <MLG>A4172745-D85C-404E-8029-461F8AE9358B</MLG>
                            <ICBI>1,2,3,4,5</ICBI>
                            <ILBN/>
                            <LIBN>0</LIBN>
                          </ElmtLnkProps>
                        </ElmtLnk>
                      </ElmtLnksIn>
                    </Elmt>
                  </Elmts>
                </Sect>
              </Sects>
              <Ctrls>
                <Ctrl>
                  <CtrlProps>
                    <MN>12</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12</MN>
                <MCN>2</MCN>
                <MCTK>BaseCase</MCTK>
                <RT><![CDATA[<ModuleName> - Assumptions]]></RT>
                <ERN>BPMMC112</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84</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12</MN>
                <MCN>3</MCN>
                <MCTK>OP</MCTK>
                <RT><![CDATA[<ModuleName> - Outputs]]></RT>
                <ERN>BPMMC113</ERN>
                <MCST>0</MCST>
                <IPMC>False</IPMC>
                <SN>28</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 Trained per Training]]></VOFFF>
                              </ClmnBlkPtProps>
                            </ClmnBlkPt>
                          </ClmnBlkPts>
                        </ClmnBlk>
                        <ClmnBlk>
                          <ClmnBlkProps>
                            <FCPT>0</FCPT>
                            <FCN>10</FCN>
                            <LCPT>0</LCPT>
                            <LCN>10</LCN>
                          </ClmnBlkProps>
                          <ClmnBlkPts>
                            <ClmnBlkPt>
                              <ClmnBlkPtProps>
                                <CBPT>5</CBPT>
                                <ST>11</ST>
                                <VOFFF/>
                                <UDAV><![CDATA[0]]></UDAV>
                              </ClmnBlkPtProps>
                            </ClmnBlkPt>
                          </ClmnBlkPts>
                        </ClmnBlk>
                        <ClmnBlk>
                          <ClmnBlkProps>
                            <FCPT>0</FCPT>
                            <FCN>12</FCN>
                            <LCPT>0</LCPT>
                            <LCN>12</LCN>
                          </ClmnBlkProps>
                          <ClmnBlkPts>
                            <ClmnBlkPt>
                              <ClmnBlkPtProps>
                                <CBPT>5</CBPT>
                                <ST>11</ST>
                                <VOFFF/>
                                <UDAV><![CDATA[0]]></UDAV>
                              </ClmnBlkPtProps>
                            </ClmnBlkPt>
                          </ClmnBlkPts>
                        </ClmnBlk>
                        <ClmnBlk>
                          <ClmnBlkProps>
                            <FCPT>0</FCPT>
                            <FCN>15</FCN>
                            <LCPT>0</LCPT>
                            <LCN>15</LCN>
                          </ClmnBlkProps>
                          <ClmnBlkPts>
                            <ClmnBlkPt>
                              <ClmnBlkPtProps>
                                <CBPT>5</CBPT>
                                <ST>11</ST>
                                <VOFFF/>
                                <UDAV><![CDATA[0]]></UDAV>
                              </ClmnBlkPtProps>
                            </ClmnBlkPt>
                          </ClmnBlkPts>
                        </ClmnBlk>
                        <ClmnBlk>
                          <ClmnBlkProps>
                            <FCPT>0</FCPT>
                            <FCN>17</FCN>
                            <LCPT>0</LCPT>
                            <LCN>17</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Cost per Participant Trained]]></VOFFF>
                              </ClmnBlkPtProps>
                            </ClmnBlkPt>
                          </ClmnBlkPts>
                        </ClmnBlk>
                        <ClmnBlk>
                          <ClmnBlkProps>
                            <FCPT>0</FCPT>
                            <FCN>10</FCN>
                            <LCPT>0</LCPT>
                            <LCN>10</LCN>
                          </ClmnBlkProps>
                          <ClmnBlkPts>
                            <ClmnBlkPt>
                              <ClmnBlkPtProps>
                                <CBPT>5</CBPT>
                                <ST>18</ST>
                                <SON>14</SON>
                                <VOFFF><![CDATA[=IFERROR(§A¿0,3,0,1,8,2,1,-1,0,0,FALSE,FALSE§Z¿/§A¿0,3,0,1,13,2,1,-1,0,0,FALSE,FALSE§Z¿,0)]]></VOFFF>
                              </ClmnBlkPtProps>
                            </ClmnBlkPt>
                          </ClmnBlkPts>
                        </ClmnBlk>
                        <ClmnBlk>
                          <ClmnBlkProps>
                            <FCPT>0</FCPT>
                            <FCN>12</FCN>
                            <LCPT>0</LCPT>
                            <LCN>12</LCN>
                          </ClmnBlkProps>
                          <ClmnBlkPts>
                            <ClmnBlkPt>
                              <ClmnBlkPtProps>
                                <CBPT>5</CBPT>
                                <ST>18</ST>
                                <SON>14</SON>
                                <VOFFF><![CDATA[=IFERROR(§A¿0,3,0,1,8,3,1,-1,0,0,FALSE,FALSE§Z¿/§A¿0,3,0,1,13,3,1,-1,0,0,FALSE,FALSE§Z¿,0)]]></VOFFF>
                              </ClmnBlkPtProps>
                            </ClmnBlkPt>
                          </ClmnBlkPts>
                        </ClmnBlk>
                        <ClmnBlk>
                          <ClmnBlkProps>
                            <FCPT>0</FCPT>
                            <FCN>15</FCN>
                            <LCPT>0</LCPT>
                            <LCN>15</LCN>
                          </ClmnBlkProps>
                          <ClmnBlkPts>
                            <ClmnBlkPt>
                              <ClmnBlkPtProps>
                                <CBPT>5</CBPT>
                                <ST>18</ST>
                                <SON>14</SON>
                                <VOFFF><![CDATA[=IFERROR(§A¿0,3,0,1,8,4,1,-1,0,0,FALSE,FALSE§Z¿/§A¿0,3,0,1,13,4,1,-1,0,0,FALSE,FALSE§Z¿,0)]]></VOFFF>
                              </ClmnBlkPtProps>
                            </ClmnBlkPt>
                          </ClmnBlkPts>
                        </ClmnBlk>
                        <ClmnBlk>
                          <ClmnBlkProps>
                            <FCPT>0</FCPT>
                            <FCN>17</FCN>
                            <LCPT>0</LCPT>
                            <LCN>17</LCN>
                          </ClmnBlkProps>
                          <ClmnBlkPts>
                            <ClmnBlkPt>
                              <ClmnBlkPtProps>
                                <CBPT>5</CBPT>
                                <ST>18</ST>
                                <SON>14</SON>
                                <VOFFF><![CDATA[=IFERROR(§A¿0,3,0,1,8,5,1,-1,0,0,FALSE,FALSE§Z¿/§A¿0,3,0,1,13,5,1,-1,0,0,FALSE,FALSE§Z¿,0)]]></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12</MN>
                <MCN>4</MCN>
                <MCTK>LU</MCTK>
                <RT><![CDATA[<ModuleName> - Lookups]]></RT>
                <ERN>BPMMC114</ERN>
                <MCST>3</MCST>
                <IPMC>False</IPMC>
                <SN>61</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86</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9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9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9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9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9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9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20</MN>
            <MAG>D086F8B5-5CE4-4E5C-9775-1E45DE76A9E8</MAG>
            <BN><![CDATA[PLUG_ACTIVITY]]></BN>
            <N><![CDATA[TRAIN-TOVol]]></N>
            <TS><![CDATA[Annual]]></TS>
            <D><![CDATA[Assists with planning the cost of an activity. Should be used with Prices module.]]></D>
            <FS/>
            <R/>
            <GE/>
            <CA/>
            <VA/>
            <GST/>
            <DE/>
            <E/>
            <C/>
            <W/>
            <K/>
            <CO/>
            <V>1.0.0.0.</V>
            <AX/>
            <PMLO>False</PMLO>
            <IPMLO>False</IPMLO>
            <MACA>1</MACA>
            <RTSM>True</RTSM>
            <CC>True</CC>
            <X>False</X>
            <G>EC856668-115B-4A80-BD5B-33288FEB753B</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1</OL>
                <RH>True</RH>
              </RowStgProps>
            </RowStg>
            <RowStg>
              <RowStgProps>
                <RSN>5</RSN>
                <RHST>0</RHST>
                <HS>0</HS>
                <OL>2</OL>
                <RH>False</RH>
              </RowStgProps>
            </RowStg>
            <RowStg>
              <RowStgProps>
                <RSN>6</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13</MN>
                <MCN>1</MCN>
                <MCTK>BaseCase</MCTK>
                <RT><![CDATA[<ModuleName> - Assumptions]]></RT>
                <ERN>BPMMC115</ERN>
                <MCST>0</MCST>
                <IPMC>False</IPMC>
                <SN>17</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87</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0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TtlCtgProps>
                          <R>4</R>
                        </TtlCtgProp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22</FCN>
                            <LCPT>0</LCPT>
                            <LCN>22</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4</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22</FCN>
                            <LCPT>0</LCPT>
                            <LCN>22</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d Links (Developer Use Only.  User Can Change in Step 1.d)]]></VOFFF>
                              </ClmnBlkPtProps>
                            </ClmnBlkPt>
                          </ClmnBlkPts>
                        </ClmnBlk>
                      </ClmnBlks>
                      <TtlCtg/>
                    </Elmt>
                    <Elmt>
                      <ElmtProps>
                        <CPT>2</CPT>
                      </ElmtProps>
                      <TtlCtg>
                        <TtlCtgProps>
                          <R>5</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1,1,34,False,1</CLI>
                                  <ELN>1</ELN>
                                  <LOOT>0</LOOT>
                                  <LOMN>3</LOMN>
                                  <LOMCN>2</LOMCN>
                                  <LOSN>1</LOSN>
                                  <LOEN>4</LOEN>
                                  <LOCN>1</LOCN>
                                </LnkInProps>
                              </LnkIn>
                            </Ctg>
                            <Ctg>
                              <CtgProps>
                                <R>6</R>
                              </CtgProps>
                              <LnkIn>
                                <LnkInProps>
                                  <MN>13</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d Links (Developer Use Only.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1,1,39,False,1</CLI>
                                  <ELN>1</ELN>
                                  <LOOT>0</LOOT>
                                  <LOMN>3</LOMN>
                                  <LOMCN>1</LOMCN>
                                  <LOSN>1</LOSN>
                                  <LOEN>10</LOEN>
                                  <LOCN>1</LOCN>
                                </LnkInProps>
                              </LnkIn>
                            </Ctg>
                            <Ctg>
                              <CtgProps>
                                <R>5</R>
                              </CtgProps>
                              <LnkIn>
                                <LnkInProps>
                                  <MN>13</MN>
                                  <CLI>1,1,39,False,2</CLI>
                                  <ELN>1</ELN>
                                  <LOOT>0</LOOT>
                                  <LOMN>3</LOMN>
                                  <LOMCN>1</LOMCN>
                                  <LOSN>1</LOSN>
                                  <LOEN>10</LOEN>
                                  <LOCN>2</LOCN>
                                </LnkInProps>
                              </LnkIn>
                            </Ctg>
                            <Ctg>
                              <CtgProps>
                                <R>5</R>
                              </CtgProps>
                              <LnkIn>
                                <LnkInProps>
                                  <MN>13</MN>
                                  <CLI>1,1,39,False,3</CLI>
                                  <ELN>1</ELN>
                                  <LOOT>0</LOOT>
                                  <LOMN>3</LOMN>
                                  <LOMCN>1</LOMCN>
                                  <LOSN>1</LOSN>
                                  <LOEN>10</LOEN>
                                  <LOCN>3</LOCN>
                                </LnkInProps>
                              </LnkIn>
                            </Ctg>
                            <Ctg>
                              <CtgProps>
                                <R>5</R>
                              </CtgProps>
                              <LnkIn>
                                <LnkInProps>
                                  <MN>13</MN>
                                  <CLI>1,1,39,False,4</CLI>
                                  <ELN>1</ELN>
                                  <LOOT>0</LOOT>
                                  <LOMN>3</LOMN>
                                  <LOMCN>1</LOMCN>
                                  <LOSN>1</LOSN>
                                  <LOEN>10</LOEN>
                                  <LOCN>4</LOCN>
                                </LnkInProps>
                              </LnkIn>
                            </Ctg>
                            <Ctg>
                              <CtgProps>
                                <R>5</R>
                              </CtgProps>
                              <LnkIn>
                                <LnkInProps>
                                  <MN>13</MN>
                                  <CLI>1,1,39,False,5</CLI>
                                  <ELN>1</ELN>
                                  <LOOT>0</LOOT>
                                  <LOMN>3</LOMN>
                                  <LOMCN>1</LOMCN>
                                  <LOSN>1</LOSN>
                                  <LOEN>10</LOEN>
                                  <LOCN>5</LOCN>
                                </LnkInProps>
                              </LnkIn>
                            </Ctg>
                            <Ctg>
                              <CtgProps>
                                <R>5</R>
                              </CtgProps>
                              <LnkIn>
                                <LnkInProps>
                                  <MN>13</MN>
                                  <CLI>1,1,39,False,6</CLI>
                                  <ELN>1</ELN>
                                  <LOOT>0</LOOT>
                                  <LOMN>3</LOMN>
                                  <LOMCN>1</LOMCN>
                                  <LOSN>1</LOSN>
                                  <LOEN>10</LOEN>
                                  <LOCN>6</LOCN>
                                </LnkInProps>
                              </LnkIn>
                            </Ctg>
                            <Ctg>
                              <CtgProps>
                                <R>5</R>
                              </CtgProps>
                              <LnkIn>
                                <LnkInProps>
                                  <MN>13</MN>
                                  <CLI>1,1,39,False,7</CLI>
                                  <ELN>1</ELN>
                                  <LOOT>0</LOOT>
                                  <LOMN>3</LOMN>
                                  <LOMCN>1</LOMCN>
                                  <LOSN>1</LOSN>
                                  <LOEN>10</LOEN>
                                  <LOCN>7</LOCN>
                                </LnkInProps>
                              </LnkIn>
                            </Ctg>
                            <Ctg>
                              <CtgProps>
                                <R>5</R>
                              </CtgProps>
                              <LnkIn>
                                <LnkInProps>
                                  <MN>13</MN>
                                  <CLI>1,1,39,False,8</CLI>
                                  <ELN>1</ELN>
                                  <LOOT>0</LOOT>
                                  <LOMN>3</LOMN>
                                  <LOMCN>1</LOMCN>
                                  <LOSN>1</LOSN>
                                  <LOEN>10</LOEN>
                                  <LOCN>8</LOCN>
                                </LnkInProps>
                              </LnkIn>
                            </Ctg>
                            <Ctg>
                              <CtgProps>
                                <R>5</R>
                              </CtgProps>
                              <LnkIn>
                                <LnkInProps>
                                  <MN>13</MN>
                                  <CLI>1,1,39,False,9</CLI>
                                  <ELN>1</ELN>
                                  <LOOT>0</LOOT>
                                  <LOMN>3</LOMN>
                                  <LOMCN>1</LOMCN>
                                  <LOSN>1</LOSN>
                                  <LOEN>10</LOEN>
                                  <LOCN>9</LOCN>
                                </LnkInProps>
                              </LnkIn>
                            </Ctg>
                            <Ctg>
                              <CtgProps>
                                <R>5</R>
                              </CtgProps>
                              <LnkIn>
                                <LnkInProps>
                                  <MN>13</MN>
                                  <CLI>1,1,39,False,10</CLI>
                                  <ELN>1</ELN>
                                  <LOOT>0</LOOT>
                                  <LOMN>3</LOMN>
                                  <LOMCN>1</LOMCN>
                                  <LOSN>1</LOSN>
                                  <LOEN>10</LOEN>
                                  <LOCN>10</LOCN>
                                </LnkInProps>
                              </LnkIn>
                            </Ctg>
                            <Ctg>
                              <CtgProps>
                                <R>5</R>
                              </CtgProps>
                              <LnkIn>
                                <LnkInProps>
                                  <MN>13</MN>
                                  <CLI>1,1,39,False,11</CLI>
                                  <ELN>1</ELN>
                                  <LOOT>0</LOOT>
                                  <LOMN>3</LOMN>
                                  <LOMCN>1</LOMCN>
                                  <LOSN>1</LOSN>
                                  <LOEN>10</LOEN>
                                  <LOCN>11</LOCN>
                                </LnkInProps>
                              </LnkIn>
                            </Ctg>
                            <Ctg>
                              <CtgProps>
                                <R>5</R>
                              </CtgProps>
                              <LnkIn>
                                <LnkInProps>
                                  <MN>13</MN>
                                  <CLI>1,1,39,False,12</CLI>
                                  <ELN>1</ELN>
                                  <LOOT>0</LOOT>
                                  <LOMN>3</LOMN>
                                  <LOMCN>1</LOMCN>
                                  <LOSN>1</LOSN>
                                  <LOEN>10</LOEN>
                                  <LOCN>12</LOCN>
                                </LnkInProps>
                              </LnkIn>
                            </Ctg>
                            <Ctg>
                              <CtgProps>
                                <R>5</R>
                              </CtgProps>
                              <LnkIn>
                                <LnkInProps>
                                  <MN>13</MN>
                                  <CLI>1,1,39,False,13</CLI>
                                  <ELN>1</ELN>
                                  <LOOT>0</LOOT>
                                  <LOMN>3</LOMN>
                                  <LOMCN>1</LOMCN>
                                  <LOSN>1</LOSN>
                                  <LOEN>10</LOEN>
                                  <LOCN>13</LOCN>
                                </LnkInProps>
                              </LnkIn>
                            </Ctg>
                            <Ctg>
                              <CtgProps>
                                <R>5</R>
                              </CtgProps>
                              <LnkIn>
                                <LnkInProps>
                                  <MN>13</MN>
                                  <CLI>1,1,39,False,14</CLI>
                                  <ELN>1</ELN>
                                  <LOOT>0</LOOT>
                                  <LOMN>3</LOMN>
                                  <LOMCN>1</LOMCN>
                                  <LOSN>1</LOSN>
                                  <LOEN>10</LOEN>
                                  <LOCN>14</LOCN>
                                </LnkInProps>
                              </LnkIn>
                            </Ctg>
                            <Ctg>
                              <CtgProps>
                                <R>6</R>
                              </CtgProps>
                              <LnkIn>
                                <LnkInProps>
                                  <MN>13</MN>
                                  <CLI>1,1,39,False,15</CLI>
                                  <ELN>1</ELN>
                                  <LOOT>0</LOOT>
                                  <LOMN>3</LOMN>
                                  <LOMCN>1</LOMCN>
                                  <LOSN>1</LOSN>
                                  <LOEN>10</LOEN>
                                  <LOCN>15</LOCN>
                                </LnkInProps>
                              </LnkIn>
                            </Ctg>
                            <Ctg>
                              <CtgProps>
                                <R>6</R>
                              </CtgProps>
                              <LnkIn>
                                <LnkInProps>
                                  <MN>13</MN>
                                  <CLI>1,1,39,False,16</CLI>
                                  <ELN>1</ELN>
                                  <LOOT>0</LOOT>
                                  <LOMN>3</LOMN>
                                  <LOMCN>1</LOMCN>
                                  <LOSN>1</LOSN>
                                  <LOEN>10</LOEN>
                                  <LOCN>16</LOCN>
                                </LnkInProps>
                              </LnkIn>
                            </Ctg>
                            <Ctg>
                              <CtgProps>
                                <R>6</R>
                              </CtgProps>
                              <LnkIn>
                                <LnkInProps>
                                  <MN>13</MN>
                                  <CLI>1,1,39,False,17</CLI>
                                  <ELN>1</ELN>
                                  <LOOT>0</LOOT>
                                  <LOMN>3</LOMN>
                                  <LOMCN>1</LOMCN>
                                  <LOSN>1</LOSN>
                                  <LOEN>10</LOEN>
                                  <LOCN>17</LOCN>
                                </LnkInProps>
                              </LnkIn>
                            </Ctg>
                            <Ctg>
                              <CtgProps>
                                <R>6</R>
                              </CtgProps>
                              <LnkIn>
                                <LnkInProps>
                                  <MN>13</MN>
                                  <CLI>1,1,39,False,18</CLI>
                                  <ELN>1</ELN>
                                  <LOOT>0</LOOT>
                                  <LOMN>3</LOMN>
                                  <LOMCN>1</LOMCN>
                                  <LOSN>1</LOSN>
                                  <LOEN>10</LOEN>
                                  <LOCN>18</LOCN>
                                </LnkInProps>
                              </LnkIn>
                            </Ctg>
                            <Ctg>
                              <CtgProps>
                                <R>6</R>
                              </CtgProps>
                              <LnkIn>
                                <LnkInProps>
                                  <MN>13</MN>
                                  <CLI>1,1,39,False,19</CLI>
                                  <ELN>1</ELN>
                                  <LOOT>0</LOOT>
                                  <LOMN>3</LOMN>
                                  <LOMCN>1</LOMCN>
                                  <LOSN>1</LOSN>
                                  <LOEN>10</LOEN>
                                  <LOCN>19</LOCN>
                                </LnkInProps>
                              </LnkIn>
                            </Ctg>
                            <Ctg>
                              <CtgProps>
                                <R>6</R>
                              </CtgProps>
                              <LnkIn>
                                <LnkInProps>
                                  <MN>13</MN>
                                  <CLI>1,1,39,False,20</CLI>
                                  <ELN>1</ELN>
                                  <LOOT>0</LOOT>
                                  <LOMN>3</LOMN>
                                  <LOMCN>1</LOMCN>
                                  <LOSN>1</LOSN>
                                  <LOEN>10</LOEN>
                                  <LOCN>20</LOCN>
                                </LnkInProps>
                              </LnkIn>
                            </Ctg>
                            <Ctg>
                              <CtgProps>
                                <R>6</R>
                              </CtgProps>
                              <LnkIn>
                                <LnkInProps>
                                  <MN>13</MN>
                                  <CLI>1,1,39,False,21</CLI>
                                  <ELN>1</ELN>
                                  <LOOT>0</LOOT>
                                  <LOMN>3</LOMN>
                                  <LOMCN>1</LOMCN>
                                  <LOSN>1</LOSN>
                                  <LOEN>10</LOEN>
                                  <LOCN>21</LOCN>
                                </LnkInProps>
                              </LnkIn>
                            </Ctg>
                            <Ctg>
                              <CtgProps>
                                <R>6</R>
                              </CtgProps>
                              <LnkIn>
                                <LnkInProps>
                                  <MN>13</MN>
                                  <CLI>1,1,39,False,22</CLI>
                                  <ELN>1</ELN>
                                  <LOOT>0</LOOT>
                                  <LOMN>3</LOMN>
                                  <LOMCN>1</LOMCN>
                                  <LOSN>1</LOSN>
                                  <LOEN>10</LOEN>
                                  <LOCN>22</LOCN>
                                </LnkInProps>
                              </LnkIn>
                            </Ctg>
                            <Ctg>
                              <CtgProps>
                                <R>6</R>
                              </CtgProps>
                              <LnkIn>
                                <LnkInProps>
                                  <MN>13</MN>
                                  <CLI>1,1,39,False,23</CLI>
                                  <ELN>1</ELN>
                                  <LOOT>0</LOOT>
                                  <LOMN>3</LOMN>
                                  <LOMCN>1</LOMCN>
                                  <LOSN>1</LOSN>
                                  <LOEN>10</LOEN>
                                  <LOCN>23</LOCN>
                                </LnkInProps>
                              </LnkIn>
                            </Ctg>
                            <Ctg>
                              <CtgProps>
                                <R>6</R>
                              </CtgProps>
                              <LnkIn>
                                <LnkInProps>
                                  <MN>13</MN>
                                  <CLI>1,1,39,False,24</CLI>
                                  <ELN>1</ELN>
                                  <LOOT>0</LOOT>
                                  <LOMN>3</LOMN>
                                  <LOMCN>1</LOMCN>
                                  <LOSN>1</LOSN>
                                  <LOEN>10</LOEN>
                                  <LOCN>24</LOCN>
                                </LnkInProps>
                              </LnkIn>
                            </Ctg>
                            <Ctg>
                              <CtgProps>
                                <R>6</R>
                              </CtgProps>
                              <LnkIn>
                                <LnkInProps>
                                  <MN>13</MN>
                                  <CLI>1,1,39,False,25</CLI>
                                  <ELN>1</ELN>
                                  <LOOT>0</LOOT>
                                  <LOMN>3</LOMN>
                                  <LOMCN>1</LOMCN>
                                  <LOSN>1</LOSN>
                                  <LOEN>10</LOEN>
                                  <LOCN>25</LOCN>
                                </LnkInProps>
                              </LnkIn>
                            </Ctg>
                            <Ctg>
                              <CtgProps>
                                <R>6</R>
                              </CtgProps>
                              <LnkIn>
                                <LnkInProps>
                                  <MN>13</MN>
                                  <CLI>1,1,39,False,26</CLI>
                                  <ELN>1</ELN>
                                  <LOOT>0</LOOT>
                                  <LOMN>3</LOMN>
                                  <LOMCN>1</LOMCN>
                                  <LOSN>1</LOSN>
                                  <LOEN>10</LOEN>
                                  <LOCN>26</LOCN>
                                </LnkInProps>
                              </LnkIn>
                            </Ctg>
                            <Ctg>
                              <CtgProps>
                                <R>6</R>
                              </CtgProps>
                              <LnkIn>
                                <LnkInProps>
                                  <MN>13</MN>
                                  <CLI>1,1,39,False,27</CLI>
                                  <ELN>1</ELN>
                                  <LOOT>0</LOOT>
                                  <LOMN>3</LOMN>
                                  <LOMCN>1</LOMCN>
                                  <LOSN>1</LOSN>
                                  <LOEN>10</LOEN>
                                  <LOCN>27</LOCN>
                                </LnkInProps>
                              </LnkIn>
                            </Ctg>
                            <Ctg>
                              <CtgProps>
                                <R>6</R>
                              </CtgProps>
                              <LnkIn>
                                <LnkInProps>
                                  <MN>13</MN>
                                  <CLI>1,1,39,False,28</CLI>
                                  <ELN>1</ELN>
                                  <LOOT>0</LOOT>
                                  <LOMN>3</LOMN>
                                  <LOMCN>1</LOMCN>
                                  <LOSN>1</LOSN>
                                  <LOEN>10</LOEN>
                                  <LOCN>28</LOCN>
                                </LnkInProps>
                              </LnkIn>
                            </Ctg>
                            <Ctg>
                              <CtgProps>
                                <R>6</R>
                              </CtgProps>
                              <LnkIn>
                                <LnkInProps>
                                  <MN>13</MN>
                                  <CLI>1,1,39,False,29</CLI>
                                  <ELN>1</ELN>
                                  <LOOT>0</LOOT>
                                  <LOMN>3</LOMN>
                                  <LOMCN>1</LOMCN>
                                  <LOSN>1</LOSN>
                                  <LOEN>10</LOEN>
                                  <LOCN>29</LOCN>
                                </LnkInProps>
                              </LnkIn>
                            </Ctg>
                            <Ctg>
                              <CtgProps>
                                <R>6</R>
                              </CtgProps>
                              <LnkIn>
                                <LnkInProps>
                                  <MN>13</MN>
                                  <CLI>1,1,39,False,30</CLI>
                                  <ELN>1</ELN>
                                  <LOOT>0</LOOT>
                                  <LOMN>3</LOMN>
                                  <LOMCN>1</LOMCN>
                                  <LOSN>1</LOSN>
                                  <LOEN>10</LOEN>
                                  <LOCN>30</LOCN>
                                </LnkInProps>
                              </LnkIn>
                            </Ctg>
                            <Ctg>
                              <CtgProps>
                                <R>6</R>
                              </CtgProps>
                              <LnkIn>
                                <LnkInProps>
                                  <MN>13</MN>
                                  <CLI>1,1,39,False,31</CLI>
                                  <ELN>1</ELN>
                                  <LOOT>0</LOOT>
                                  <LOMN>3</LOMN>
                                  <LOMCN>1</LOMCN>
                                  <LOSN>1</LOSN>
                                  <LOEN>10</LOEN>
                                  <LOCN>31</LOCN>
                                </LnkInProps>
                              </LnkIn>
                            </Ctg>
                            <Ctg>
                              <CtgProps>
                                <R>6</R>
                              </CtgProps>
                              <LnkIn>
                                <LnkInProps>
                                  <MN>13</MN>
                                  <CLI>1,1,39,False,32</CLI>
                                  <ELN>1</ELN>
                                  <LOOT>0</LOOT>
                                  <LOMN>3</LOMN>
                                  <LOMCN>1</LOMCN>
                                  <LOSN>1</LOSN>
                                  <LOEN>10</LOEN>
                                  <LOCN>32</LOCN>
                                </LnkInProps>
                              </LnkIn>
                            </Ctg>
                            <Ctg>
                              <CtgProps>
                                <R>6</R>
                              </CtgProps>
                              <LnkIn>
                                <LnkInProps>
                                  <MN>13</MN>
                                  <CLI>1,1,39,False,33</CLI>
                                  <ELN>1</ELN>
                                  <LOOT>0</LOOT>
                                  <LOMN>3</LOMN>
                                  <LOMCN>1</LOMCN>
                                  <LOSN>1</LOSN>
                                  <LOEN>10</LOEN>
                                  <LOCN>33</LOCN>
                                </LnkInProps>
                              </LnkIn>
                            </Ctg>
                            <Ctg>
                              <CtgProps>
                                <R>6</R>
                              </CtgProps>
                              <LnkIn>
                                <LnkInProps>
                                  <MN>13</MN>
                                  <CLI>1,1,39,False,34</CLI>
                                  <ELN>1</ELN>
                                  <LOOT>0</LOOT>
                                  <LOMN>3</LOMN>
                                  <LOMCN>1</LOMCN>
                                  <LOSN>1</LOSN>
                                  <LOEN>10</LOEN>
                                  <LOCN>34</LOCN>
                                </LnkInProps>
                              </LnkIn>
                            </Ctg>
                            <Ctg>
                              <CtgProps>
                                <R>6</R>
                              </CtgProps>
                              <LnkIn>
                                <LnkInProps>
                                  <MN>13</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1,1,42,False,1</CLI>
                                  <ELN>1</ELN>
                                  <LOOT>0</LOOT>
                                  <LOMN>3</LOMN>
                                  <LOMCN>1</LOMCN>
                                  <LOSN>1</LOSN>
                                  <LOEN>15</LOEN>
                                  <LOCN>1</LOCN>
                                </LnkInProps>
                              </LnkIn>
                            </Ctg>
                            <Ctg>
                              <CtgProps>
                                <R>5</R>
                              </CtgProps>
                              <LnkIn>
                                <LnkInProps>
                                  <MN>13</MN>
                                  <CLI>1,1,42,False,2</CLI>
                                  <ELN>1</ELN>
                                  <LOOT>0</LOOT>
                                  <LOMN>3</LOMN>
                                  <LOMCN>1</LOMCN>
                                  <LOSN>1</LOSN>
                                  <LOEN>15</LOEN>
                                  <LOCN>2</LOCN>
                                </LnkInProps>
                              </LnkIn>
                            </Ctg>
                            <Ctg>
                              <CtgProps>
                                <R>5</R>
                              </CtgProps>
                              <LnkIn>
                                <LnkInProps>
                                  <MN>13</MN>
                                  <CLI>1,1,42,False,3</CLI>
                                  <ELN>1</ELN>
                                  <LOOT>0</LOOT>
                                  <LOMN>3</LOMN>
                                  <LOMCN>1</LOMCN>
                                  <LOSN>1</LOSN>
                                  <LOEN>15</LOEN>
                                  <LOCN>3</LOCN>
                                </LnkInProps>
                              </LnkIn>
                            </Ctg>
                            <Ctg>
                              <CtgProps>
                                <R>5</R>
                              </CtgProps>
                              <LnkIn>
                                <LnkInProps>
                                  <MN>13</MN>
                                  <CLI>1,1,42,False,4</CLI>
                                  <ELN>1</ELN>
                                  <LOOT>0</LOOT>
                                  <LOMN>3</LOMN>
                                  <LOMCN>1</LOMCN>
                                  <LOSN>1</LOSN>
                                  <LOEN>15</LOEN>
                                  <LOCN>4</LOCN>
                                </LnkInProps>
                              </LnkIn>
                            </Ctg>
                            <Ctg>
                              <CtgProps>
                                <R>6</R>
                              </CtgProps>
                              <LnkIn>
                                <LnkInProps>
                                  <MN>13</MN>
                                  <CLI>1,1,42,False,5</CLI>
                                  <ELN>1</ELN>
                                  <LOOT>0</LOOT>
                                  <LOMN>3</LOMN>
                                  <LOMCN>1</LOMCN>
                                  <LOSN>1</LOSN>
                                  <LOEN>15</LOEN>
                                  <LOCN>5</LOCN>
                                </LnkInProps>
                              </LnkIn>
                            </Ctg>
                            <Ctg>
                              <CtgProps>
                                <R>6</R>
                              </CtgProps>
                              <LnkIn>
                                <LnkInProps>
                                  <MN>13</MN>
                                  <CLI>1,1,42,False,6</CLI>
                                  <ELN>1</ELN>
                                  <LOOT>0</LOOT>
                                  <LOMN>3</LOMN>
                                  <LOMCN>1</LOMCN>
                                  <LOSN>1</LOSN>
                                  <LOEN>15</LOEN>
                                  <LOCN>6</LOCN>
                                </LnkInProps>
                              </LnkIn>
                            </Ctg>
                            <Ctg>
                              <CtgProps>
                                <R>6</R>
                              </CtgProps>
                              <LnkIn>
                                <LnkInProps>
                                  <MN>13</MN>
                                  <CLI>1,1,42,False,7</CLI>
                                  <ELN>1</ELN>
                                  <LOOT>0</LOOT>
                                  <LOMN>3</LOMN>
                                  <LOMCN>1</LOMCN>
                                  <LOSN>1</LOSN>
                                  <LOEN>15</LOEN>
                                  <LOCN>7</LOCN>
                                </LnkInProps>
                              </LnkIn>
                            </Ctg>
                            <Ctg>
                              <CtgProps>
                                <R>6</R>
                              </CtgProps>
                              <LnkIn>
                                <LnkInProps>
                                  <MN>13</MN>
                                  <CLI>1,1,42,False,8</CLI>
                                  <ELN>1</ELN>
                                  <LOOT>0</LOOT>
                                  <LOMN>3</LOMN>
                                  <LOMCN>1</LOMCN>
                                  <LOSN>1</LOSN>
                                  <LOEN>15</LOEN>
                                  <LOCN>8</LOCN>
                                </LnkInProps>
                              </LnkIn>
                            </Ctg>
                            <Ctg>
                              <CtgProps>
                                <R>6</R>
                              </CtgProps>
                              <LnkIn>
                                <LnkInProps>
                                  <MN>13</MN>
                                  <CLI>1,1,42,False,9</CLI>
                                  <ELN>1</ELN>
                                  <LOOT>0</LOOT>
                                  <LOMN>3</LOMN>
                                  <LOMCN>1</LOMCN>
                                  <LOSN>1</LOSN>
                                  <LOEN>15</LOEN>
                                  <LOCN>9</LOCN>
                                </LnkInProps>
                              </LnkIn>
                            </Ctg>
                            <Ctg>
                              <CtgProps>
                                <R>6</R>
                              </CtgProps>
                              <LnkIn>
                                <LnkInProps>
                                  <MN>13</MN>
                                  <CLI>1,1,42,False,10</CLI>
                                  <ELN>1</ELN>
                                  <LOOT>0</LOOT>
                                  <LOMN>3</LOMN>
                                  <LOMCN>1</LOMCN>
                                  <LOSN>1</LOSN>
                                  <LOEN>15</LOEN>
                                  <LOCN>10</LOCN>
                                </LnkInProps>
                              </LnkIn>
                            </Ctg>
                            <Ctg>
                              <CtgProps>
                                <R>6</R>
                              </CtgProps>
                              <LnkIn>
                                <LnkInProps>
                                  <MN>13</MN>
                                  <CLI>1,1,42,False,11</CLI>
                                  <ELN>1</ELN>
                                  <LOOT>0</LOOT>
                                  <LOMN>3</LOMN>
                                  <LOMCN>1</LOMCN>
                                  <LOSN>1</LOSN>
                                  <LOEN>15</LOEN>
                                  <LOCN>11</LOCN>
                                </LnkInProps>
                              </LnkIn>
                            </Ctg>
                            <Ctg>
                              <CtgProps>
                                <R>6</R>
                              </CtgProps>
                              <LnkIn>
                                <LnkInProps>
                                  <MN>13</MN>
                                  <CLI>1,1,42,False,12</CLI>
                                  <ELN>1</ELN>
                                  <LOOT>0</LOOT>
                                  <LOMN>3</LOMN>
                                  <LOMCN>1</LOMCN>
                                  <LOSN>1</LOSN>
                                  <LOEN>15</LOEN>
                                  <LOCN>12</LOCN>
                                </LnkInProps>
                              </LnkIn>
                            </Ctg>
                            <Ctg>
                              <CtgProps>
                                <R>6</R>
                              </CtgProps>
                              <LnkIn>
                                <LnkInProps>
                                  <MN>13</MN>
                                  <CLI>1,1,42,False,13</CLI>
                                  <ELN>1</ELN>
                                  <LOOT>0</LOOT>
                                  <LOMN>3</LOMN>
                                  <LOMCN>1</LOMCN>
                                  <LOSN>1</LOSN>
                                  <LOEN>15</LOEN>
                                  <LOCN>13</LOCN>
                                </LnkInProps>
                              </LnkIn>
                            </Ctg>
                            <Ctg>
                              <CtgProps>
                                <R>6</R>
                              </CtgProps>
                              <LnkIn>
                                <LnkInProps>
                                  <MN>13</MN>
                                  <CLI>1,1,42,False,14</CLI>
                                  <ELN>1</ELN>
                                  <LOOT>0</LOOT>
                                  <LOMN>3</LOMN>
                                  <LOMCN>1</LOMCN>
                                  <LOSN>1</LOSN>
                                  <LOEN>15</LOEN>
                                  <LOCN>14</LOCN>
                                </LnkInProps>
                              </LnkIn>
                            </Ctg>
                            <Ctg>
                              <CtgProps>
                                <R>6</R>
                              </CtgProps>
                              <LnkIn>
                                <LnkInProps>
                                  <MN>13</MN>
                                  <CLI>1,1,42,False,15</CLI>
                                  <ELN>1</ELN>
                                  <LOOT>0</LOOT>
                                  <LOMN>3</LOMN>
                                  <LOMCN>1</LOMCN>
                                  <LOSN>1</LOSN>
                                  <LOEN>15</LOEN>
                                  <LOCN>15</LOCN>
                                </LnkInProps>
                              </LnkIn>
                            </Ctg>
                            <Ctg>
                              <CtgProps>
                                <R>6</R>
                              </CtgProps>
                              <LnkIn>
                                <LnkInProps>
                                  <MN>13</MN>
                                  <CLI>1,1,42,False,16</CLI>
                                  <ELN>1</ELN>
                                  <LOOT>0</LOOT>
                                  <LOMN>3</LOMN>
                                  <LOMCN>1</LOMCN>
                                  <LOSN>1</LOSN>
                                  <LOEN>15</LOEN>
                                  <LOCN>16</LOCN>
                                </LnkInProps>
                              </LnkIn>
                            </Ctg>
                            <Ctg>
                              <CtgProps>
                                <R>5</R>
                              </CtgProps>
                              <LnkIn>
                                <LnkInProps>
                                  <MN>13</MN>
                                  <CLI>1,1,42,False,17</CLI>
                                  <ELN>1</ELN>
                                  <LOOT>0</LOOT>
                                  <LOMN>3</LOMN>
                                  <LOMCN>1</LOMCN>
                                  <LOSN>1</LOSN>
                                  <LOEN>15</LOEN>
                                  <LOCN>17</LOCN>
                                </LnkInProps>
                              </LnkIn>
                            </Ctg>
                            <Ctg>
                              <CtgProps>
                                <R>5</R>
                              </CtgProps>
                              <LnkIn>
                                <LnkInProps>
                                  <MN>13</MN>
                                  <CLI>1,1,42,False,18</CLI>
                                  <ELN>1</ELN>
                                  <LOOT>0</LOOT>
                                  <LOMN>3</LOMN>
                                  <LOMCN>1</LOMCN>
                                  <LOSN>1</LOSN>
                                  <LOEN>15</LOEN>
                                  <LOCN>18</LOCN>
                                </LnkInProps>
                              </LnkIn>
                            </Ctg>
                            <Ctg>
                              <CtgProps>
                                <R>5</R>
                              </CtgProps>
                              <LnkIn>
                                <LnkInProps>
                                  <MN>13</MN>
                                  <CLI>1,1,42,False,19</CLI>
                                  <ELN>1</ELN>
                                  <LOOT>0</LOOT>
                                  <LOMN>3</LOMN>
                                  <LOMCN>1</LOMCN>
                                  <LOSN>1</LOSN>
                                  <LOEN>15</LOEN>
                                  <LOCN>19</LOCN>
                                </LnkInProps>
                              </LnkIn>
                            </Ctg>
                            <Ctg>
                              <CtgProps>
                                <R>5</R>
                              </CtgProps>
                              <LnkIn>
                                <LnkInProps>
                                  <MN>13</MN>
                                  <CLI>1,1,42,False,20</CLI>
                                  <ELN>1</ELN>
                                  <LOOT>0</LOOT>
                                  <LOMN>3</LOMN>
                                  <LOMCN>1</LOMCN>
                                  <LOSN>1</LOSN>
                                  <LOEN>15</LOEN>
                                  <LOCN>20</LOCN>
                                </LnkInProps>
                              </LnkIn>
                            </Ctg>
                            <Ctg>
                              <CtgProps>
                                <R>5</R>
                              </CtgProps>
                              <LnkIn>
                                <LnkInProps>
                                  <MN>13</MN>
                                  <CLI>1,1,42,False,21</CLI>
                                  <ELN>1</ELN>
                                  <LOOT>0</LOOT>
                                  <LOMN>3</LOMN>
                                  <LOMCN>1</LOMCN>
                                  <LOSN>1</LOSN>
                                  <LOEN>15</LOEN>
                                  <LOCN>21</LOCN>
                                </LnkInProps>
                              </LnkIn>
                            </Ctg>
                            <Ctg>
                              <CtgProps>
                                <R>5</R>
                              </CtgProps>
                              <LnkIn>
                                <LnkInProps>
                                  <MN>13</MN>
                                  <CLI>1,1,42,False,22</CLI>
                                  <ELN>1</ELN>
                                  <LOOT>0</LOOT>
                                  <LOMN>3</LOMN>
                                  <LOMCN>1</LOMCN>
                                  <LOSN>1</LOSN>
                                  <LOEN>15</LOEN>
                                  <LOCN>22</LOCN>
                                </LnkInProps>
                              </LnkIn>
                            </Ctg>
                            <Ctg>
                              <CtgProps>
                                <R>6</R>
                              </CtgProps>
                              <LnkIn>
                                <LnkInProps>
                                  <MN>13</MN>
                                  <CLI>1,1,42,False,23</CLI>
                                  <ELN>1</ELN>
                                  <LOOT>0</LOOT>
                                  <LOMN>3</LOMN>
                                  <LOMCN>1</LOMCN>
                                  <LOSN>1</LOSN>
                                  <LOEN>15</LOEN>
                                  <LOCN>23</LOCN>
                                </LnkInProps>
                              </LnkIn>
                            </Ctg>
                            <Ctg>
                              <CtgProps>
                                <R>6</R>
                              </CtgProps>
                              <LnkIn>
                                <LnkInProps>
                                  <MN>13</MN>
                                  <CLI>1,1,42,False,24</CLI>
                                  <ELN>1</ELN>
                                  <LOOT>0</LOOT>
                                  <LOMN>3</LOMN>
                                  <LOMCN>1</LOMCN>
                                  <LOSN>1</LOSN>
                                  <LOEN>15</LOEN>
                                  <LOCN>24</LOCN>
                                </LnkInProps>
                              </LnkIn>
                            </Ctg>
                            <Ctg>
                              <CtgProps>
                                <R>6</R>
                              </CtgProps>
                              <LnkIn>
                                <LnkInProps>
                                  <MN>13</MN>
                                  <CLI>1,1,42,False,25</CLI>
                                  <ELN>1</ELN>
                                  <LOOT>0</LOOT>
                                  <LOMN>3</LOMN>
                                  <LOMCN>1</LOMCN>
                                  <LOSN>1</LOSN>
                                  <LOEN>15</LOEN>
                                  <LOCN>25</LOCN>
                                </LnkInProps>
                              </LnkIn>
                            </Ctg>
                            <Ctg>
                              <CtgProps>
                                <R>6</R>
                              </CtgProps>
                              <LnkIn>
                                <LnkInProps>
                                  <MN>13</MN>
                                  <CLI>1,1,42,False,26</CLI>
                                  <ELN>1</ELN>
                                  <LOOT>0</LOOT>
                                  <LOMN>3</LOMN>
                                  <LOMCN>1</LOMCN>
                                  <LOSN>1</LOSN>
                                  <LOEN>15</LOEN>
                                  <LOCN>26</LOCN>
                                </LnkInProps>
                              </LnkIn>
                            </Ctg>
                            <Ctg>
                              <CtgProps>
                                <R>6</R>
                              </CtgProps>
                              <LnkIn>
                                <LnkInProps>
                                  <MN>13</MN>
                                  <CLI>1,1,42,False,27</CLI>
                                  <ELN>1</ELN>
                                  <LOOT>0</LOOT>
                                  <LOMN>3</LOMN>
                                  <LOMCN>1</LOMCN>
                                  <LOSN>1</LOSN>
                                  <LOEN>15</LOEN>
                                  <LOCN>27</LOCN>
                                </LnkInProps>
                              </LnkIn>
                            </Ctg>
                            <Ctg>
                              <CtgProps>
                                <R>6</R>
                              </CtgProps>
                              <LnkIn>
                                <LnkInProps>
                                  <MN>13</MN>
                                  <CLI>1,1,42,False,28</CLI>
                                  <ELN>1</ELN>
                                  <LOOT>0</LOOT>
                                  <LOMN>3</LOMN>
                                  <LOMCN>1</LOMCN>
                                  <LOSN>1</LOSN>
                                  <LOEN>15</LOEN>
                                  <LOCN>28</LOCN>
                                </LnkInProps>
                              </LnkIn>
                            </Ctg>
                            <Ctg>
                              <CtgProps>
                                <R>6</R>
                              </CtgProps>
                              <LnkIn>
                                <LnkInProps>
                                  <MN>13</MN>
                                  <CLI>1,1,42,False,29</CLI>
                                  <ELN>1</ELN>
                                  <LOOT>0</LOOT>
                                  <LOMN>3</LOMN>
                                  <LOMCN>1</LOMCN>
                                  <LOSN>1</LOSN>
                                  <LOEN>15</LOEN>
                                  <LOCN>29</LOCN>
                                </LnkInProps>
                              </LnkIn>
                            </Ctg>
                            <Ctg>
                              <CtgProps>
                                <R>6</R>
                              </CtgProps>
                              <LnkIn>
                                <LnkInProps>
                                  <MN>13</MN>
                                  <CLI>1,1,42,False,30</CLI>
                                  <ELN>1</ELN>
                                  <LOOT>0</LOOT>
                                  <LOMN>3</LOMN>
                                  <LOMCN>1</LOMCN>
                                  <LOSN>1</LOSN>
                                  <LOEN>15</LOEN>
                                  <LOCN>30</LOCN>
                                </LnkInProps>
                              </LnkIn>
                            </Ctg>
                            <Ctg>
                              <CtgProps>
                                <R>5</R>
                              </CtgProps>
                              <LnkIn>
                                <LnkInProps>
                                  <MN>13</MN>
                                  <CLI>1,1,42,False,31</CLI>
                                  <ELN>1</ELN>
                                  <LOOT>0</LOOT>
                                  <LOMN>3</LOMN>
                                  <LOMCN>1</LOMCN>
                                  <LOSN>1</LOSN>
                                  <LOEN>15</LOEN>
                                  <LOCN>31</LOCN>
                                </LnkInProps>
                              </LnkIn>
                            </Ctg>
                            <Ctg>
                              <CtgProps>
                                <R>5</R>
                              </CtgProps>
                              <LnkIn>
                                <LnkInProps>
                                  <MN>13</MN>
                                  <CLI>1,1,42,False,32</CLI>
                                  <ELN>1</ELN>
                                  <LOOT>0</LOOT>
                                  <LOMN>3</LOMN>
                                  <LOMCN>1</LOMCN>
                                  <LOSN>1</LOSN>
                                  <LOEN>15</LOEN>
                                  <LOCN>32</LOCN>
                                </LnkInProps>
                              </LnkIn>
                            </Ctg>
                            <Ctg>
                              <CtgProps>
                                <R>5</R>
                              </CtgProps>
                              <LnkIn>
                                <LnkInProps>
                                  <MN>13</MN>
                                  <CLI>1,1,42,False,33</CLI>
                                  <ELN>1</ELN>
                                  <LOOT>0</LOOT>
                                  <LOMN>3</LOMN>
                                  <LOMCN>1</LOMCN>
                                  <LOSN>1</LOSN>
                                  <LOEN>15</LOEN>
                                  <LOCN>33</LOCN>
                                </LnkInProps>
                              </LnkIn>
                            </Ctg>
                            <Ctg>
                              <CtgProps>
                                <R>5</R>
                              </CtgProps>
                              <LnkIn>
                                <LnkInProps>
                                  <MN>13</MN>
                                  <CLI>1,1,42,False,34</CLI>
                                  <ELN>1</ELN>
                                  <LOOT>0</LOOT>
                                  <LOMN>3</LOMN>
                                  <LOMCN>1</LOMCN>
                                  <LOSN>1</LOSN>
                                  <LOEN>15</LOEN>
                                  <LOCN>34</LOCN>
                                </LnkInProps>
                              </LnkIn>
                            </Ctg>
                            <Ctg>
                              <CtgProps>
                                <R>5</R>
                              </CtgProps>
                              <LnkIn>
                                <LnkInProps>
                                  <MN>13</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1,1,46,False,1</CLI>
                                  <ELN>1</ELN>
                                  <LOOT>0</LOOT>
                                  <LOMN>3</LOMN>
                                  <LOMCN>1</LOMCN>
                                  <LOSN>1</LOSN>
                                  <LOEN>19</LOEN>
                                  <LOCN>1</LOCN>
                                </LnkInProps>
                              </LnkIn>
                            </Ctg>
                            <Ctg>
                              <CtgProps>
                                <R>5</R>
                              </CtgProps>
                              <LnkIn>
                                <LnkInProps>
                                  <MN>13</MN>
                                  <CLI>1,1,46,False,2</CLI>
                                  <ELN>1</ELN>
                                  <LOOT>0</LOOT>
                                  <LOMN>3</LOMN>
                                  <LOMCN>1</LOMCN>
                                  <LOSN>1</LOSN>
                                  <LOEN>19</LOEN>
                                  <LOCN>2</LOCN>
                                </LnkInProps>
                              </LnkIn>
                            </Ctg>
                            <Ctg>
                              <CtgProps>
                                <R>5</R>
                              </CtgProps>
                              <LnkIn>
                                <LnkInProps>
                                  <MN>13</MN>
                                  <CLI>1,1,46,False,3</CLI>
                                  <ELN>1</ELN>
                                  <LOOT>0</LOOT>
                                  <LOMN>3</LOMN>
                                  <LOMCN>1</LOMCN>
                                  <LOSN>1</LOSN>
                                  <LOEN>19</LOEN>
                                  <LOCN>3</LOCN>
                                </LnkInProps>
                              </LnkIn>
                            </Ctg>
                            <Ctg>
                              <CtgProps>
                                <R>5</R>
                              </CtgProps>
                              <LnkIn>
                                <LnkInProps>
                                  <MN>13</MN>
                                  <CLI>1,1,46,False,4</CLI>
                                  <ELN>1</ELN>
                                  <LOOT>0</LOOT>
                                  <LOMN>3</LOMN>
                                  <LOMCN>1</LOMCN>
                                  <LOSN>1</LOSN>
                                  <LOEN>19</LOEN>
                                  <LOCN>4</LOCN>
                                </LnkInProps>
                              </LnkIn>
                            </Ctg>
                            <Ctg>
                              <CtgProps>
                                <R>5</R>
                              </CtgProps>
                              <LnkIn>
                                <LnkInProps>
                                  <MN>13</MN>
                                  <CLI>1,1,46,False,5</CLI>
                                  <ELN>1</ELN>
                                  <LOOT>0</LOOT>
                                  <LOMN>3</LOMN>
                                  <LOMCN>1</LOMCN>
                                  <LOSN>1</LOSN>
                                  <LOEN>19</LOEN>
                                  <LOCN>5</LOCN>
                                </LnkInProps>
                              </LnkIn>
                            </Ctg>
                            <Ctg>
                              <CtgProps>
                                <R>5</R>
                              </CtgProps>
                              <LnkIn>
                                <LnkInProps>
                                  <MN>13</MN>
                                  <CLI>1,1,46,False,6</CLI>
                                  <ELN>1</ELN>
                                  <LOOT>0</LOOT>
                                  <LOMN>3</LOMN>
                                  <LOMCN>1</LOMCN>
                                  <LOSN>1</LOSN>
                                  <LOEN>19</LOEN>
                                  <LOCN>6</LOCN>
                                </LnkInProps>
                              </LnkIn>
                            </Ctg>
                            <Ctg>
                              <CtgProps>
                                <R>5</R>
                              </CtgProps>
                              <LnkIn>
                                <LnkInProps>
                                  <MN>13</MN>
                                  <CLI>1,1,46,False,7</CLI>
                                  <ELN>1</ELN>
                                  <LOOT>0</LOOT>
                                  <LOMN>3</LOMN>
                                  <LOMCN>1</LOMCN>
                                  <LOSN>1</LOSN>
                                  <LOEN>19</LOEN>
                                  <LOCN>7</LOCN>
                                </LnkInProps>
                              </LnkIn>
                            </Ctg>
                            <Ctg>
                              <CtgProps>
                                <R>5</R>
                              </CtgProps>
                              <LnkIn>
                                <LnkInProps>
                                  <MN>13</MN>
                                  <CLI>1,1,46,False,8</CLI>
                                  <ELN>1</ELN>
                                  <LOOT>0</LOOT>
                                  <LOMN>3</LOMN>
                                  <LOMCN>1</LOMCN>
                                  <LOSN>1</LOSN>
                                  <LOEN>19</LOEN>
                                  <LOCN>8</LOCN>
                                </LnkInProps>
                              </LnkIn>
                            </Ctg>
                            <Ctg>
                              <CtgProps>
                                <R>5</R>
                              </CtgProps>
                              <LnkIn>
                                <LnkInProps>
                                  <MN>13</MN>
                                  <CLI>1,1,46,False,9</CLI>
                                  <ELN>1</ELN>
                                  <LOOT>0</LOOT>
                                  <LOMN>3</LOMN>
                                  <LOMCN>1</LOMCN>
                                  <LOSN>1</LOSN>
                                  <LOEN>19</LOEN>
                                  <LOCN>9</LOCN>
                                </LnkInProps>
                              </LnkIn>
                            </Ctg>
                            <Ctg>
                              <CtgProps>
                                <R>5</R>
                              </CtgProps>
                              <LnkIn>
                                <LnkInProps>
                                  <MN>13</MN>
                                  <CLI>1,1,46,False,10</CLI>
                                  <ELN>1</ELN>
                                  <LOOT>0</LOOT>
                                  <LOMN>3</LOMN>
                                  <LOMCN>1</LOMCN>
                                  <LOSN>1</LOSN>
                                  <LOEN>19</LOEN>
                                  <LOCN>10</LOCN>
                                </LnkInProps>
                              </LnkIn>
                            </Ctg>
                            <Ctg>
                              <CtgProps>
                                <R>5</R>
                              </CtgProps>
                              <LnkIn>
                                <LnkInProps>
                                  <MN>13</MN>
                                  <CLI>1,1,46,False,11</CLI>
                                  <ELN>1</ELN>
                                  <LOOT>0</LOOT>
                                  <LOMN>3</LOMN>
                                  <LOMCN>1</LOMCN>
                                  <LOSN>1</LOSN>
                                  <LOEN>19</LOEN>
                                  <LOCN>11</LOCN>
                                </LnkInProps>
                              </LnkIn>
                            </Ctg>
                            <Ctg>
                              <CtgProps>
                                <R>5</R>
                              </CtgProps>
                              <LnkIn>
                                <LnkInProps>
                                  <MN>13</MN>
                                  <CLI>1,1,46,False,12</CLI>
                                  <ELN>1</ELN>
                                  <LOOT>0</LOOT>
                                  <LOMN>3</LOMN>
                                  <LOMCN>1</LOMCN>
                                  <LOSN>1</LOSN>
                                  <LOEN>19</LOEN>
                                  <LOCN>12</LOCN>
                                </LnkInProps>
                              </LnkIn>
                            </Ctg>
                            <Ctg>
                              <CtgProps>
                                <R>5</R>
                              </CtgProps>
                              <LnkIn>
                                <LnkInProps>
                                  <MN>13</MN>
                                  <CLI>1,1,46,False,13</CLI>
                                  <ELN>1</ELN>
                                  <LOOT>0</LOOT>
                                  <LOMN>3</LOMN>
                                  <LOMCN>1</LOMCN>
                                  <LOSN>1</LOSN>
                                  <LOEN>19</LOEN>
                                  <LOCN>13</LOCN>
                                </LnkInProps>
                              </LnkIn>
                            </Ctg>
                            <Ctg>
                              <CtgProps>
                                <R>5</R>
                              </CtgProps>
                              <LnkIn>
                                <LnkInProps>
                                  <MN>13</MN>
                                  <CLI>1,1,46,False,14</CLI>
                                  <ELN>1</ELN>
                                  <LOOT>0</LOOT>
                                  <LOMN>3</LOMN>
                                  <LOMCN>1</LOMCN>
                                  <LOSN>1</LOSN>
                                  <LOEN>19</LOEN>
                                  <LOCN>14</LOCN>
                                </LnkInProps>
                              </LnkIn>
                            </Ctg>
                            <Ctg>
                              <CtgProps>
                                <R>5</R>
                              </CtgProps>
                              <LnkIn>
                                <LnkInProps>
                                  <MN>13</MN>
                                  <CLI>1,1,46,False,15</CLI>
                                  <ELN>1</ELN>
                                  <LOOT>0</LOOT>
                                  <LOMN>3</LOMN>
                                  <LOMCN>1</LOMCN>
                                  <LOSN>1</LOSN>
                                  <LOEN>19</LOEN>
                                  <LOCN>15</LOCN>
                                </LnkInProps>
                              </LnkIn>
                            </Ctg>
                            <Ctg>
                              <CtgProps>
                                <R>6</R>
                              </CtgProps>
                              <LnkIn>
                                <LnkInProps>
                                  <MN>13</MN>
                                  <CLI>1,1,46,False,16</CLI>
                                  <ELN>1</ELN>
                                  <LOOT>0</LOOT>
                                  <LOMN>3</LOMN>
                                  <LOMCN>1</LOMCN>
                                  <LOSN>1</LOSN>
                                  <LOEN>19</LOEN>
                                  <LOCN>16</LOCN>
                                </LnkInProps>
                              </LnkIn>
                            </Ctg>
                            <Ctg>
                              <CtgProps>
                                <R>6</R>
                              </CtgProps>
                              <LnkIn>
                                <LnkInProps>
                                  <MN>13</MN>
                                  <CLI>1,1,46,False,17</CLI>
                                  <ELN>1</ELN>
                                  <LOOT>0</LOOT>
                                  <LOMN>3</LOMN>
                                  <LOMCN>1</LOMCN>
                                  <LOSN>1</LOSN>
                                  <LOEN>19</LOEN>
                                  <LOCN>17</LOCN>
                                </LnkInProps>
                              </LnkIn>
                            </Ctg>
                            <Ctg>
                              <CtgProps>
                                <R>6</R>
                              </CtgProps>
                              <LnkIn>
                                <LnkInProps>
                                  <MN>13</MN>
                                  <CLI>1,1,46,False,18</CLI>
                                  <ELN>1</ELN>
                                  <LOOT>0</LOOT>
                                  <LOMN>3</LOMN>
                                  <LOMCN>1</LOMCN>
                                  <LOSN>1</LOSN>
                                  <LOEN>19</LOEN>
                                  <LOCN>18</LOCN>
                                </LnkInProps>
                              </LnkIn>
                            </Ctg>
                            <Ctg>
                              <CtgProps>
                                <R>6</R>
                              </CtgProps>
                              <LnkIn>
                                <LnkInProps>
                                  <MN>13</MN>
                                  <CLI>1,1,46,False,19</CLI>
                                  <ELN>1</ELN>
                                  <LOOT>0</LOOT>
                                  <LOMN>3</LOMN>
                                  <LOMCN>1</LOMCN>
                                  <LOSN>1</LOSN>
                                  <LOEN>19</LOEN>
                                  <LOCN>19</LOCN>
                                </LnkInProps>
                              </LnkIn>
                            </Ctg>
                            <Ctg>
                              <CtgProps>
                                <R>6</R>
                              </CtgProps>
                              <LnkIn>
                                <LnkInProps>
                                  <MN>13</MN>
                                  <CLI>1,1,46,False,20</CLI>
                                  <ELN>1</ELN>
                                  <LOOT>0</LOOT>
                                  <LOMN>3</LOMN>
                                  <LOMCN>1</LOMCN>
                                  <LOSN>1</LOSN>
                                  <LOEN>19</LOEN>
                                  <LOCN>20</LOCN>
                                </LnkInProps>
                              </LnkIn>
                            </Ctg>
                            <Ctg>
                              <CtgProps>
                                <R>6</R>
                              </CtgProps>
                              <LnkIn>
                                <LnkInProps>
                                  <MN>13</MN>
                                  <CLI>1,1,46,False,21</CLI>
                                  <ELN>1</ELN>
                                  <LOOT>0</LOOT>
                                  <LOMN>3</LOMN>
                                  <LOMCN>1</LOMCN>
                                  <LOSN>1</LOSN>
                                  <LOEN>19</LOEN>
                                  <LOCN>21</LOCN>
                                </LnkInProps>
                              </LnkIn>
                            </Ctg>
                            <Ctg>
                              <CtgProps>
                                <R>6</R>
                              </CtgProps>
                              <LnkIn>
                                <LnkInProps>
                                  <MN>13</MN>
                                  <CLI>1,1,46,False,22</CLI>
                                  <ELN>1</ELN>
                                  <LOOT>0</LOOT>
                                  <LOMN>3</LOMN>
                                  <LOMCN>1</LOMCN>
                                  <LOSN>1</LOSN>
                                  <LOEN>19</LOEN>
                                  <LOCN>22</LOCN>
                                </LnkInProps>
                              </LnkIn>
                            </Ctg>
                            <Ctg>
                              <CtgProps>
                                <R>6</R>
                              </CtgProps>
                              <LnkIn>
                                <LnkInProps>
                                  <MN>13</MN>
                                  <CLI>1,1,46,False,23</CLI>
                                  <ELN>1</ELN>
                                  <LOOT>0</LOOT>
                                  <LOMN>3</LOMN>
                                  <LOMCN>1</LOMCN>
                                  <LOSN>1</LOSN>
                                  <LOEN>19</LOEN>
                                  <LOCN>23</LOCN>
                                </LnkInProps>
                              </LnkIn>
                            </Ctg>
                            <Ctg>
                              <CtgProps>
                                <R>6</R>
                              </CtgProps>
                              <LnkIn>
                                <LnkInProps>
                                  <MN>13</MN>
                                  <CLI>1,1,46,False,24</CLI>
                                  <ELN>1</ELN>
                                  <LOOT>0</LOOT>
                                  <LOMN>3</LOMN>
                                  <LOMCN>1</LOMCN>
                                  <LOSN>1</LOSN>
                                  <LOEN>19</LOEN>
                                  <LOCN>24</LOCN>
                                </LnkInProps>
                              </LnkIn>
                            </Ctg>
                            <Ctg>
                              <CtgProps>
                                <R>6</R>
                              </CtgProps>
                              <LnkIn>
                                <LnkInProps>
                                  <MN>13</MN>
                                  <CLI>1,1,46,False,25</CLI>
                                  <ELN>1</ELN>
                                  <LOOT>0</LOOT>
                                  <LOMN>3</LOMN>
                                  <LOMCN>1</LOMCN>
                                  <LOSN>1</LOSN>
                                  <LOEN>19</LOEN>
                                  <LOCN>25</LOCN>
                                </LnkInProps>
                              </LnkIn>
                            </Ctg>
                            <Ctg>
                              <CtgProps>
                                <R>6</R>
                              </CtgProps>
                              <LnkIn>
                                <LnkInProps>
                                  <MN>13</MN>
                                  <CLI>1,1,46,False,26</CLI>
                                  <ELN>1</ELN>
                                  <LOOT>0</LOOT>
                                  <LOMN>3</LOMN>
                                  <LOMCN>1</LOMCN>
                                  <LOSN>1</LOSN>
                                  <LOEN>19</LOEN>
                                  <LOCN>26</LOCN>
                                </LnkInProps>
                              </LnkIn>
                            </Ctg>
                            <Ctg>
                              <CtgProps>
                                <R>6</R>
                              </CtgProps>
                              <LnkIn>
                                <LnkInProps>
                                  <MN>13</MN>
                                  <CLI>1,1,46,False,27</CLI>
                                  <ELN>1</ELN>
                                  <LOOT>0</LOOT>
                                  <LOMN>3</LOMN>
                                  <LOMCN>1</LOMCN>
                                  <LOSN>1</LOSN>
                                  <LOEN>19</LOEN>
                                  <LOCN>27</LOCN>
                                </LnkInProps>
                              </LnkIn>
                            </Ctg>
                            <Ctg>
                              <CtgProps>
                                <R>6</R>
                              </CtgProps>
                              <LnkIn>
                                <LnkInProps>
                                  <MN>13</MN>
                                  <CLI>1,1,46,False,28</CLI>
                                  <ELN>1</ELN>
                                  <LOOT>0</LOOT>
                                  <LOMN>3</LOMN>
                                  <LOMCN>1</LOMCN>
                                  <LOSN>1</LOSN>
                                  <LOEN>19</LOEN>
                                  <LOCN>28</LOCN>
                                </LnkInProps>
                              </LnkIn>
                            </Ctg>
                            <Ctg>
                              <CtgProps>
                                <R>6</R>
                              </CtgProps>
                              <LnkIn>
                                <LnkInProps>
                                  <MN>13</MN>
                                  <CLI>1,1,46,False,29</CLI>
                                  <ELN>1</ELN>
                                  <LOOT>0</LOOT>
                                  <LOMN>3</LOMN>
                                  <LOMCN>1</LOMCN>
                                  <LOSN>1</LOSN>
                                  <LOEN>19</LOEN>
                                  <LOCN>29</LOCN>
                                </LnkInProps>
                              </LnkIn>
                            </Ctg>
                            <Ctg>
                              <CtgProps>
                                <R>6</R>
                              </CtgProps>
                              <LnkIn>
                                <LnkInProps>
                                  <MN>13</MN>
                                  <CLI>1,1,46,False,30</CLI>
                                  <ELN>1</ELN>
                                  <LOOT>0</LOOT>
                                  <LOMN>3</LOMN>
                                  <LOMCN>1</LOMCN>
                                  <LOSN>1</LOSN>
                                  <LOEN>19</LOEN>
                                  <LOCN>30</LOCN>
                                </LnkInProps>
                              </LnkIn>
                            </Ctg>
                            <Ctg>
                              <CtgProps>
                                <R>6</R>
                              </CtgProps>
                              <LnkIn>
                                <LnkInProps>
                                  <MN>13</MN>
                                  <CLI>1,1,46,False,31</CLI>
                                  <ELN>1</ELN>
                                  <LOOT>0</LOOT>
                                  <LOMN>3</LOMN>
                                  <LOMCN>1</LOMCN>
                                  <LOSN>1</LOSN>
                                  <LOEN>19</LOEN>
                                  <LOCN>31</LOCN>
                                </LnkInProps>
                              </LnkIn>
                            </Ctg>
                            <Ctg>
                              <CtgProps>
                                <R>6</R>
                              </CtgProps>
                              <LnkIn>
                                <LnkInProps>
                                  <MN>13</MN>
                                  <CLI>1,1,46,False,32</CLI>
                                  <ELN>1</ELN>
                                  <LOOT>0</LOOT>
                                  <LOMN>3</LOMN>
                                  <LOMCN>1</LOMCN>
                                  <LOSN>1</LOSN>
                                  <LOEN>19</LOEN>
                                  <LOCN>32</LOCN>
                                </LnkInProps>
                              </LnkIn>
                            </Ctg>
                            <Ctg>
                              <CtgProps>
                                <R>6</R>
                              </CtgProps>
                              <LnkIn>
                                <LnkInProps>
                                  <MN>13</MN>
                                  <CLI>1,1,46,False,33</CLI>
                                  <ELN>1</ELN>
                                  <LOOT>0</LOOT>
                                  <LOMN>3</LOMN>
                                  <LOMCN>1</LOMCN>
                                  <LOSN>1</LOSN>
                                  <LOEN>19</LOEN>
                                  <LOCN>33</LOCN>
                                </LnkInProps>
                              </LnkIn>
                            </Ctg>
                            <Ctg>
                              <CtgProps>
                                <R>6</R>
                              </CtgProps>
                              <LnkIn>
                                <LnkInProps>
                                  <MN>13</MN>
                                  <CLI>1,1,46,False,34</CLI>
                                  <ELN>1</ELN>
                                  <LOOT>0</LOOT>
                                  <LOMN>3</LOMN>
                                  <LOMCN>1</LOMCN>
                                  <LOSN>1</LOSN>
                                  <LOEN>19</LOEN>
                                  <LOCN>34</LOCN>
                                </LnkInProps>
                              </LnkIn>
                            </Ctg>
                            <Ctg>
                              <CtgProps>
                                <R>6</R>
                              </CtgProps>
                              <LnkIn>
                                <LnkInProps>
                                  <MN>13</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1,1,49,False,1</CLI>
                                  <ELN>1</ELN>
                                  <LOOT>0</LOOT>
                                  <LOMN>3</LOMN>
                                  <LOMCN>1</LOMCN>
                                  <LOSN>1</LOSN>
                                  <LOEN>24</LOEN>
                                  <LOCN>1</LOCN>
                                </LnkInProps>
                              </LnkIn>
                            </Ctg>
                            <Ctg>
                              <CtgProps>
                                <R>5</R>
                              </CtgProps>
                              <LnkIn>
                                <LnkInProps>
                                  <MN>13</MN>
                                  <CLI>1,1,49,False,2</CLI>
                                  <ELN>1</ELN>
                                  <LOOT>0</LOOT>
                                  <LOMN>3</LOMN>
                                  <LOMCN>1</LOMCN>
                                  <LOSN>1</LOSN>
                                  <LOEN>24</LOEN>
                                  <LOCN>2</LOCN>
                                </LnkInProps>
                              </LnkIn>
                            </Ctg>
                            <Ctg>
                              <CtgProps>
                                <R>5</R>
                              </CtgProps>
                              <LnkIn>
                                <LnkInProps>
                                  <MN>13</MN>
                                  <CLI>1,1,49,False,3</CLI>
                                  <ELN>1</ELN>
                                  <LOOT>0</LOOT>
                                  <LOMN>3</LOMN>
                                  <LOMCN>1</LOMCN>
                                  <LOSN>1</LOSN>
                                  <LOEN>24</LOEN>
                                  <LOCN>3</LOCN>
                                </LnkInProps>
                              </LnkIn>
                            </Ctg>
                            <Ctg>
                              <CtgProps>
                                <R>5</R>
                              </CtgProps>
                              <LnkIn>
                                <LnkInProps>
                                  <MN>13</MN>
                                  <CLI>1,1,49,False,4</CLI>
                                  <ELN>1</ELN>
                                  <LOOT>0</LOOT>
                                  <LOMN>3</LOMN>
                                  <LOMCN>1</LOMCN>
                                  <LOSN>1</LOSN>
                                  <LOEN>24</LOEN>
                                  <LOCN>4</LOCN>
                                </LnkInProps>
                              </LnkIn>
                            </Ctg>
                            <Ctg>
                              <CtgProps>
                                <R>5</R>
                              </CtgProps>
                              <LnkIn>
                                <LnkInProps>
                                  <MN>13</MN>
                                  <CLI>1,1,49,False,5</CLI>
                                  <ELN>1</ELN>
                                  <LOOT>0</LOOT>
                                  <LOMN>3</LOMN>
                                  <LOMCN>1</LOMCN>
                                  <LOSN>1</LOSN>
                                  <LOEN>24</LOEN>
                                  <LOCN>5</LOCN>
                                </LnkInProps>
                              </LnkIn>
                            </Ctg>
                            <Ctg>
                              <CtgProps>
                                <R>6</R>
                              </CtgProps>
                              <LnkIn>
                                <LnkInProps>
                                  <MN>13</MN>
                                  <CLI>1,1,49,False,6</CLI>
                                  <ELN>1</ELN>
                                  <LOOT>0</LOOT>
                                  <LOMN>3</LOMN>
                                  <LOMCN>1</LOMCN>
                                  <LOSN>1</LOSN>
                                  <LOEN>24</LOEN>
                                  <LOCN>6</LOCN>
                                </LnkInProps>
                              </LnkIn>
                            </Ctg>
                            <Ctg>
                              <CtgProps>
                                <R>6</R>
                              </CtgProps>
                              <LnkIn>
                                <LnkInProps>
                                  <MN>13</MN>
                                  <CLI>1,1,49,False,7</CLI>
                                  <ELN>1</ELN>
                                  <LOOT>0</LOOT>
                                  <LOMN>3</LOMN>
                                  <LOMCN>1</LOMCN>
                                  <LOSN>1</LOSN>
                                  <LOEN>24</LOEN>
                                  <LOCN>7</LOCN>
                                </LnkInProps>
                              </LnkIn>
                            </Ctg>
                            <Ctg>
                              <CtgProps>
                                <R>6</R>
                              </CtgProps>
                              <LnkIn>
                                <LnkInProps>
                                  <MN>13</MN>
                                  <CLI>1,1,49,False,8</CLI>
                                  <ELN>1</ELN>
                                  <LOOT>0</LOOT>
                                  <LOMN>3</LOMN>
                                  <LOMCN>1</LOMCN>
                                  <LOSN>1</LOSN>
                                  <LOEN>24</LOEN>
                                  <LOCN>8</LOCN>
                                </LnkInProps>
                              </LnkIn>
                            </Ctg>
                            <Ctg>
                              <CtgProps>
                                <R>6</R>
                              </CtgProps>
                              <LnkIn>
                                <LnkInProps>
                                  <MN>13</MN>
                                  <CLI>1,1,49,False,9</CLI>
                                  <ELN>1</ELN>
                                  <LOOT>0</LOOT>
                                  <LOMN>3</LOMN>
                                  <LOMCN>1</LOMCN>
                                  <LOSN>1</LOSN>
                                  <LOEN>24</LOEN>
                                  <LOCN>9</LOCN>
                                </LnkInProps>
                              </LnkIn>
                            </Ctg>
                            <Ctg>
                              <CtgProps>
                                <R>6</R>
                              </CtgProps>
                              <LnkIn>
                                <LnkInProps>
                                  <MN>13</MN>
                                  <CLI>1,1,49,False,10</CLI>
                                  <ELN>1</ELN>
                                  <LOOT>0</LOOT>
                                  <LOMN>3</LOMN>
                                  <LOMCN>1</LOMCN>
                                  <LOSN>1</LOSN>
                                  <LOEN>24</LOEN>
                                  <LOCN>10</LOCN>
                                </LnkInProps>
                              </LnkIn>
                            </Ctg>
                            <Ctg>
                              <CtgProps>
                                <R>6</R>
                              </CtgProps>
                              <LnkIn>
                                <LnkInProps>
                                  <MN>13</MN>
                                  <CLI>1,1,49,False,11</CLI>
                                  <ELN>1</ELN>
                                  <LOOT>0</LOOT>
                                  <LOMN>3</LOMN>
                                  <LOMCN>1</LOMCN>
                                  <LOSN>1</LOSN>
                                  <LOEN>24</LOEN>
                                  <LOCN>11</LOCN>
                                </LnkInProps>
                              </LnkIn>
                            </Ctg>
                            <Ctg>
                              <CtgProps>
                                <R>6</R>
                              </CtgProps>
                              <LnkIn>
                                <LnkInProps>
                                  <MN>13</MN>
                                  <CLI>1,1,49,False,12</CLI>
                                  <ELN>1</ELN>
                                  <LOOT>0</LOOT>
                                  <LOMN>3</LOMN>
                                  <LOMCN>1</LOMCN>
                                  <LOSN>1</LOSN>
                                  <LOEN>24</LOEN>
                                  <LOCN>12</LOCN>
                                </LnkInProps>
                              </LnkIn>
                            </Ctg>
                            <Ctg>
                              <CtgProps>
                                <R>6</R>
                              </CtgProps>
                              <LnkIn>
                                <LnkInProps>
                                  <MN>13</MN>
                                  <CLI>1,1,49,False,13</CLI>
                                  <ELN>1</ELN>
                                  <LOOT>0</LOOT>
                                  <LOMN>3</LOMN>
                                  <LOMCN>1</LOMCN>
                                  <LOSN>1</LOSN>
                                  <LOEN>24</LOEN>
                                  <LOCN>13</LOCN>
                                </LnkInProps>
                              </LnkIn>
                            </Ctg>
                            <Ctg>
                              <CtgProps>
                                <R>6</R>
                              </CtgProps>
                              <LnkIn>
                                <LnkInProps>
                                  <MN>13</MN>
                                  <CLI>1,1,49,False,14</CLI>
                                  <ELN>1</ELN>
                                  <LOOT>0</LOOT>
                                  <LOMN>3</LOMN>
                                  <LOMCN>1</LOMCN>
                                  <LOSN>1</LOSN>
                                  <LOEN>24</LOEN>
                                  <LOCN>14</LOCN>
                                </LnkInProps>
                              </LnkIn>
                            </Ctg>
                            <Ctg>
                              <CtgProps>
                                <R>6</R>
                              </CtgProps>
                              <LnkIn>
                                <LnkInProps>
                                  <MN>13</MN>
                                  <CLI>1,1,49,False,15</CLI>
                                  <ELN>1</ELN>
                                  <LOOT>0</LOOT>
                                  <LOMN>3</LOMN>
                                  <LOMCN>1</LOMCN>
                                  <LOSN>1</LOSN>
                                  <LOEN>24</LOEN>
                                  <LOCN>15</LOCN>
                                </LnkInProps>
                              </LnkIn>
                            </Ctg>
                            <Ctg>
                              <CtgProps>
                                <R>6</R>
                              </CtgProps>
                              <LnkIn>
                                <LnkInProps>
                                  <MN>13</MN>
                                  <CLI>1,1,49,False,16</CLI>
                                  <ELN>1</ELN>
                                  <LOOT>0</LOOT>
                                  <LOMN>3</LOMN>
                                  <LOMCN>1</LOMCN>
                                  <LOSN>1</LOSN>
                                  <LOEN>24</LOEN>
                                  <LOCN>16</LOCN>
                                </LnkInProps>
                              </LnkIn>
                            </Ctg>
                            <Ctg>
                              <CtgProps>
                                <R>6</R>
                              </CtgProps>
                              <LnkIn>
                                <LnkInProps>
                                  <MN>13</MN>
                                  <CLI>1,1,49,False,17</CLI>
                                  <ELN>1</ELN>
                                  <LOOT>0</LOOT>
                                  <LOMN>3</LOMN>
                                  <LOMCN>1</LOMCN>
                                  <LOSN>1</LOSN>
                                  <LOEN>24</LOEN>
                                  <LOCN>17</LOCN>
                                </LnkInProps>
                              </LnkIn>
                            </Ctg>
                            <Ctg>
                              <CtgProps>
                                <R>6</R>
                              </CtgProps>
                              <LnkIn>
                                <LnkInProps>
                                  <MN>13</MN>
                                  <CLI>1,1,49,False,18</CLI>
                                  <ELN>1</ELN>
                                  <LOOT>0</LOOT>
                                  <LOMN>3</LOMN>
                                  <LOMCN>1</LOMCN>
                                  <LOSN>1</LOSN>
                                  <LOEN>24</LOEN>
                                  <LOCN>18</LOCN>
                                </LnkInProps>
                              </LnkIn>
                            </Ctg>
                            <Ctg>
                              <CtgProps>
                                <R>6</R>
                              </CtgProps>
                              <LnkIn>
                                <LnkInProps>
                                  <MN>13</MN>
                                  <CLI>1,1,49,False,19</CLI>
                                  <ELN>1</ELN>
                                  <LOOT>0</LOOT>
                                  <LOMN>3</LOMN>
                                  <LOMCN>1</LOMCN>
                                  <LOSN>1</LOSN>
                                  <LOEN>24</LOEN>
                                  <LOCN>19</LOCN>
                                </LnkInProps>
                              </LnkIn>
                            </Ctg>
                            <Ctg>
                              <CtgProps>
                                <R>6</R>
                              </CtgProps>
                              <LnkIn>
                                <LnkInProps>
                                  <MN>13</MN>
                                  <CLI>1,1,49,False,20</CLI>
                                  <ELN>1</ELN>
                                  <LOOT>0</LOOT>
                                  <LOMN>3</LOMN>
                                  <LOMCN>1</LOMCN>
                                  <LOSN>1</LOSN>
                                  <LOEN>24</LOEN>
                                  <LOCN>20</LOCN>
                                </LnkInProps>
                              </LnkIn>
                            </Ctg>
                            <Ctg>
                              <CtgProps>
                                <R>6</R>
                              </CtgProps>
                              <LnkIn>
                                <LnkInProps>
                                  <MN>13</MN>
                                  <CLI>1,1,49,False,21</CLI>
                                  <ELN>1</ELN>
                                  <LOOT>0</LOOT>
                                  <LOMN>3</LOMN>
                                  <LOMCN>1</LOMCN>
                                  <LOSN>1</LOSN>
                                  <LOEN>24</LOEN>
                                  <LOCN>21</LOCN>
                                </LnkInProps>
                              </LnkIn>
                            </Ctg>
                            <Ctg>
                              <CtgProps>
                                <R>6</R>
                              </CtgProps>
                              <LnkIn>
                                <LnkInProps>
                                  <MN>13</MN>
                                  <CLI>1,1,49,False,22</CLI>
                                  <ELN>1</ELN>
                                  <LOOT>0</LOOT>
                                  <LOMN>3</LOMN>
                                  <LOMCN>1</LOMCN>
                                  <LOSN>1</LOSN>
                                  <LOEN>24</LOEN>
                                  <LOCN>22</LOCN>
                                </LnkInProps>
                              </LnkIn>
                            </Ctg>
                            <Ctg>
                              <CtgProps>
                                <R>6</R>
                              </CtgProps>
                              <LnkIn>
                                <LnkInProps>
                                  <MN>13</MN>
                                  <CLI>1,1,49,False,23</CLI>
                                  <ELN>1</ELN>
                                  <LOOT>0</LOOT>
                                  <LOMN>3</LOMN>
                                  <LOMCN>1</LOMCN>
                                  <LOSN>1</LOSN>
                                  <LOEN>24</LOEN>
                                  <LOCN>23</LOCN>
                                </LnkInProps>
                              </LnkIn>
                            </Ctg>
                            <Ctg>
                              <CtgProps>
                                <R>6</R>
                              </CtgProps>
                              <LnkIn>
                                <LnkInProps>
                                  <MN>13</MN>
                                  <CLI>1,1,49,False,24</CLI>
                                  <ELN>1</ELN>
                                  <LOOT>0</LOOT>
                                  <LOMN>3</LOMN>
                                  <LOMCN>1</LOMCN>
                                  <LOSN>1</LOSN>
                                  <LOEN>24</LOEN>
                                  <LOCN>24</LOCN>
                                </LnkInProps>
                              </LnkIn>
                            </Ctg>
                            <Ctg>
                              <CtgProps>
                                <R>6</R>
                              </CtgProps>
                              <LnkIn>
                                <LnkInProps>
                                  <MN>13</MN>
                                  <CLI>1,1,49,False,25</CLI>
                                  <ELN>1</ELN>
                                  <LOOT>0</LOOT>
                                  <LOMN>3</LOMN>
                                  <LOMCN>1</LOMCN>
                                  <LOSN>1</LOSN>
                                  <LOEN>24</LOEN>
                                  <LOCN>25</LOCN>
                                </LnkInProps>
                              </LnkIn>
                            </Ctg>
                            <Ctg>
                              <CtgProps>
                                <R>6</R>
                              </CtgProps>
                              <LnkIn>
                                <LnkInProps>
                                  <MN>13</MN>
                                  <CLI>1,1,49,False,26</CLI>
                                  <ELN>1</ELN>
                                  <LOOT>0</LOOT>
                                  <LOMN>3</LOMN>
                                  <LOMCN>1</LOMCN>
                                  <LOSN>1</LOSN>
                                  <LOEN>24</LOEN>
                                  <LOCN>26</LOCN>
                                </LnkInProps>
                              </LnkIn>
                            </Ctg>
                            <Ctg>
                              <CtgProps>
                                <R>6</R>
                              </CtgProps>
                              <LnkIn>
                                <LnkInProps>
                                  <MN>13</MN>
                                  <CLI>1,1,49,False,27</CLI>
                                  <ELN>1</ELN>
                                  <LOOT>0</LOOT>
                                  <LOMN>3</LOMN>
                                  <LOMCN>1</LOMCN>
                                  <LOSN>1</LOSN>
                                  <LOEN>24</LOEN>
                                  <LOCN>27</LOCN>
                                </LnkInProps>
                              </LnkIn>
                            </Ctg>
                            <Ctg>
                              <CtgProps>
                                <R>6</R>
                              </CtgProps>
                              <LnkIn>
                                <LnkInProps>
                                  <MN>13</MN>
                                  <CLI>1,1,49,False,28</CLI>
                                  <ELN>1</ELN>
                                  <LOOT>0</LOOT>
                                  <LOMN>3</LOMN>
                                  <LOMCN>1</LOMCN>
                                  <LOSN>1</LOSN>
                                  <LOEN>24</LOEN>
                                  <LOCN>28</LOCN>
                                </LnkInProps>
                              </LnkIn>
                            </Ctg>
                            <Ctg>
                              <CtgProps>
                                <R>6</R>
                              </CtgProps>
                              <LnkIn>
                                <LnkInProps>
                                  <MN>13</MN>
                                  <CLI>1,1,49,False,29</CLI>
                                  <ELN>1</ELN>
                                  <LOOT>0</LOOT>
                                  <LOMN>3</LOMN>
                                  <LOMCN>1</LOMCN>
                                  <LOSN>1</LOSN>
                                  <LOEN>24</LOEN>
                                  <LOCN>29</LOCN>
                                </LnkInProps>
                              </LnkIn>
                            </Ctg>
                            <Ctg>
                              <CtgProps>
                                <R>6</R>
                              </CtgProps>
                              <LnkIn>
                                <LnkInProps>
                                  <MN>13</MN>
                                  <CLI>1,1,49,False,30</CLI>
                                  <ELN>1</ELN>
                                  <LOOT>0</LOOT>
                                  <LOMN>3</LOMN>
                                  <LOMCN>1</LOMCN>
                                  <LOSN>1</LOSN>
                                  <LOEN>24</LOEN>
                                  <LOCN>30</LOCN>
                                </LnkInProps>
                              </LnkIn>
                            </Ctg>
                            <Ctg>
                              <CtgProps>
                                <R>6</R>
                              </CtgProps>
                              <LnkIn>
                                <LnkInProps>
                                  <MN>13</MN>
                                  <CLI>1,1,49,False,31</CLI>
                                  <ELN>1</ELN>
                                  <LOOT>0</LOOT>
                                  <LOMN>3</LOMN>
                                  <LOMCN>1</LOMCN>
                                  <LOSN>1</LOSN>
                                  <LOEN>24</LOEN>
                                  <LOCN>31</LOCN>
                                </LnkInProps>
                              </LnkIn>
                            </Ctg>
                            <Ctg>
                              <CtgProps>
                                <R>6</R>
                              </CtgProps>
                              <LnkIn>
                                <LnkInProps>
                                  <MN>13</MN>
                                  <CLI>1,1,49,False,32</CLI>
                                  <ELN>1</ELN>
                                  <LOOT>0</LOOT>
                                  <LOMN>3</LOMN>
                                  <LOMCN>1</LOMCN>
                                  <LOSN>1</LOSN>
                                  <LOEN>24</LOEN>
                                  <LOCN>32</LOCN>
                                </LnkInProps>
                              </LnkIn>
                            </Ctg>
                            <Ctg>
                              <CtgProps>
                                <R>6</R>
                              </CtgProps>
                              <LnkIn>
                                <LnkInProps>
                                  <MN>13</MN>
                                  <CLI>1,1,49,False,33</CLI>
                                  <ELN>1</ELN>
                                  <LOOT>0</LOOT>
                                  <LOMN>3</LOMN>
                                  <LOMCN>1</LOMCN>
                                  <LOSN>1</LOSN>
                                  <LOEN>24</LOEN>
                                  <LOCN>33</LOCN>
                                </LnkInProps>
                              </LnkIn>
                            </Ctg>
                            <Ctg>
                              <CtgProps>
                                <R>6</R>
                              </CtgProps>
                              <LnkIn>
                                <LnkInProps>
                                  <MN>13</MN>
                                  <CLI>1,1,49,False,34</CLI>
                                  <ELN>1</ELN>
                                  <LOOT>0</LOOT>
                                  <LOMN>3</LOMN>
                                  <LOMCN>1</LOMCN>
                                  <LOSN>1</LOSN>
                                  <LOEN>24</LOEN>
                                  <LOCN>34</LOCN>
                                </LnkInProps>
                              </LnkIn>
                            </Ctg>
                            <Ctg>
                              <CtgProps>
                                <R>6</R>
                              </CtgProps>
                              <LnkIn>
                                <LnkInProps>
                                  <MN>13</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1,1,53,False,1</CLI>
                                  <ELN>1</ELN>
                                  <LOOT>0</LOOT>
                                  <LOMN>3</LOMN>
                                  <LOMCN>1</LOMCN>
                                  <LOSN>1</LOSN>
                                  <LOEN>29</LOEN>
                                  <LOCN>1</LOCN>
                                </LnkInProps>
                              </LnkIn>
                            </Ctg>
                            <Ctg>
                              <CtgProps>
                                <R>5</R>
                              </CtgProps>
                              <LnkIn>
                                <LnkInProps>
                                  <MN>13</MN>
                                  <CLI>1,1,53,False,2</CLI>
                                  <ELN>1</ELN>
                                  <LOOT>0</LOOT>
                                  <LOMN>3</LOMN>
                                  <LOMCN>1</LOMCN>
                                  <LOSN>1</LOSN>
                                  <LOEN>29</LOEN>
                                  <LOCN>2</LOCN>
                                </LnkInProps>
                              </LnkIn>
                            </Ctg>
                            <Ctg>
                              <CtgProps>
                                <R>6</R>
                              </CtgProps>
                              <LnkIn>
                                <LnkInProps>
                                  <MN>13</MN>
                                  <CLI>1,1,53,False,3</CLI>
                                  <ELN>1</ELN>
                                  <LOOT>0</LOOT>
                                  <LOMN>3</LOMN>
                                  <LOMCN>1</LOMCN>
                                  <LOSN>1</LOSN>
                                  <LOEN>29</LOEN>
                                  <LOCN>3</LOCN>
                                </LnkInProps>
                              </LnkIn>
                            </Ctg>
                            <Ctg>
                              <CtgProps>
                                <R>6</R>
                              </CtgProps>
                              <LnkIn>
                                <LnkInProps>
                                  <MN>13</MN>
                                  <CLI>1,1,53,False,4</CLI>
                                  <ELN>1</ELN>
                                  <LOOT>0</LOOT>
                                  <LOMN>3</LOMN>
                                  <LOMCN>1</LOMCN>
                                  <LOSN>1</LOSN>
                                  <LOEN>29</LOEN>
                                  <LOCN>4</LOCN>
                                </LnkInProps>
                              </LnkIn>
                            </Ctg>
                            <Ctg>
                              <CtgProps>
                                <R>6</R>
                              </CtgProps>
                              <LnkIn>
                                <LnkInProps>
                                  <MN>13</MN>
                                  <CLI>1,1,53,False,5</CLI>
                                  <ELN>1</ELN>
                                  <LOOT>0</LOOT>
                                  <LOMN>3</LOMN>
                                  <LOMCN>1</LOMCN>
                                  <LOSN>1</LOSN>
                                  <LOEN>29</LOEN>
                                  <LOCN>5</LOCN>
                                </LnkInProps>
                              </LnkIn>
                            </Ctg>
                            <Ctg>
                              <CtgProps>
                                <R>6</R>
                              </CtgProps>
                              <LnkIn>
                                <LnkInProps>
                                  <MN>13</MN>
                                  <CLI>1,1,53,False,6</CLI>
                                  <ELN>1</ELN>
                                  <LOOT>0</LOOT>
                                  <LOMN>3</LOMN>
                                  <LOMCN>1</LOMCN>
                                  <LOSN>1</LOSN>
                                  <LOEN>29</LOEN>
                                  <LOCN>6</LOCN>
                                </LnkInProps>
                              </LnkIn>
                            </Ctg>
                            <Ctg>
                              <CtgProps>
                                <R>6</R>
                              </CtgProps>
                              <LnkIn>
                                <LnkInProps>
                                  <MN>13</MN>
                                  <CLI>1,1,53,False,7</CLI>
                                  <ELN>1</ELN>
                                  <LOOT>0</LOOT>
                                  <LOMN>3</LOMN>
                                  <LOMCN>1</LOMCN>
                                  <LOSN>1</LOSN>
                                  <LOEN>29</LOEN>
                                  <LOCN>7</LOCN>
                                </LnkInProps>
                              </LnkIn>
                            </Ctg>
                            <Ctg>
                              <CtgProps>
                                <R>6</R>
                              </CtgProps>
                              <LnkIn>
                                <LnkInProps>
                                  <MN>13</MN>
                                  <CLI>1,1,53,False,8</CLI>
                                  <ELN>1</ELN>
                                  <LOOT>0</LOOT>
                                  <LOMN>3</LOMN>
                                  <LOMCN>1</LOMCN>
                                  <LOSN>1</LOSN>
                                  <LOEN>29</LOEN>
                                  <LOCN>8</LOCN>
                                </LnkInProps>
                              </LnkIn>
                            </Ctg>
                            <Ctg>
                              <CtgProps>
                                <R>6</R>
                              </CtgProps>
                              <LnkIn>
                                <LnkInProps>
                                  <MN>13</MN>
                                  <CLI>1,1,53,False,9</CLI>
                                  <ELN>1</ELN>
                                  <LOOT>0</LOOT>
                                  <LOMN>3</LOMN>
                                  <LOMCN>1</LOMCN>
                                  <LOSN>1</LOSN>
                                  <LOEN>29</LOEN>
                                  <LOCN>9</LOCN>
                                </LnkInProps>
                              </LnkIn>
                            </Ctg>
                            <Ctg>
                              <CtgProps>
                                <R>6</R>
                              </CtgProps>
                              <LnkIn>
                                <LnkInProps>
                                  <MN>13</MN>
                                  <CLI>1,1,53,False,10</CLI>
                                  <ELN>1</ELN>
                                  <LOOT>0</LOOT>
                                  <LOMN>3</LOMN>
                                  <LOMCN>1</LOMCN>
                                  <LOSN>1</LOSN>
                                  <LOEN>29</LOEN>
                                  <LOCN>10</LOCN>
                                </LnkInProps>
                              </LnkIn>
                            </Ctg>
                            <Ctg>
                              <CtgProps>
                                <R>6</R>
                              </CtgProps>
                              <LnkIn>
                                <LnkInProps>
                                  <MN>13</MN>
                                  <CLI>1,1,53,False,11</CLI>
                                  <ELN>1</ELN>
                                  <LOOT>0</LOOT>
                                  <LOMN>3</LOMN>
                                  <LOMCN>1</LOMCN>
                                  <LOSN>1</LOSN>
                                  <LOEN>29</LOEN>
                                  <LOCN>11</LOCN>
                                </LnkInProps>
                              </LnkIn>
                            </Ctg>
                            <Ctg>
                              <CtgProps>
                                <R>6</R>
                              </CtgProps>
                              <LnkIn>
                                <LnkInProps>
                                  <MN>13</MN>
                                  <CLI>1,1,53,False,12</CLI>
                                  <ELN>1</ELN>
                                  <LOOT>0</LOOT>
                                  <LOMN>3</LOMN>
                                  <LOMCN>1</LOMCN>
                                  <LOSN>1</LOSN>
                                  <LOEN>29</LOEN>
                                  <LOCN>12</LOCN>
                                </LnkInProps>
                              </LnkIn>
                            </Ctg>
                            <Ctg>
                              <CtgProps>
                                <R>6</R>
                              </CtgProps>
                              <LnkIn>
                                <LnkInProps>
                                  <MN>13</MN>
                                  <CLI>1,1,53,False,13</CLI>
                                  <ELN>1</ELN>
                                  <LOOT>0</LOOT>
                                  <LOMN>3</LOMN>
                                  <LOMCN>1</LOMCN>
                                  <LOSN>1</LOSN>
                                  <LOEN>29</LOEN>
                                  <LOCN>13</LOCN>
                                </LnkInProps>
                              </LnkIn>
                            </Ctg>
                            <Ctg>
                              <CtgProps>
                                <R>6</R>
                              </CtgProps>
                              <LnkIn>
                                <LnkInProps>
                                  <MN>13</MN>
                                  <CLI>1,1,53,False,14</CLI>
                                  <ELN>1</ELN>
                                  <LOOT>0</LOOT>
                                  <LOMN>3</LOMN>
                                  <LOMCN>1</LOMCN>
                                  <LOSN>1</LOSN>
                                  <LOEN>29</LOEN>
                                  <LOCN>14</LOCN>
                                </LnkInProps>
                              </LnkIn>
                            </Ctg>
                            <Ctg>
                              <CtgProps>
                                <R>6</R>
                              </CtgProps>
                              <LnkIn>
                                <LnkInProps>
                                  <MN>13</MN>
                                  <CLI>1,1,53,False,15</CLI>
                                  <ELN>1</ELN>
                                  <LOOT>0</LOOT>
                                  <LOMN>3</LOMN>
                                  <LOMCN>1</LOMCN>
                                  <LOSN>1</LOSN>
                                  <LOEN>29</LOEN>
                                  <LOCN>15</LOCN>
                                </LnkInProps>
                              </LnkIn>
                            </Ctg>
                            <Ctg>
                              <CtgProps>
                                <R>6</R>
                              </CtgProps>
                              <LnkIn>
                                <LnkInProps>
                                  <MN>13</MN>
                                  <CLI>1,1,53,False,16</CLI>
                                  <ELN>1</ELN>
                                  <LOOT>0</LOOT>
                                  <LOMN>3</LOMN>
                                  <LOMCN>1</LOMCN>
                                  <LOSN>1</LOSN>
                                  <LOEN>29</LOEN>
                                  <LOCN>16</LOCN>
                                </LnkInProps>
                              </LnkIn>
                            </Ctg>
                            <Ctg>
                              <CtgProps>
                                <R>6</R>
                              </CtgProps>
                              <LnkIn>
                                <LnkInProps>
                                  <MN>13</MN>
                                  <CLI>1,1,53,False,17</CLI>
                                  <ELN>1</ELN>
                                  <LOOT>0</LOOT>
                                  <LOMN>3</LOMN>
                                  <LOMCN>1</LOMCN>
                                  <LOSN>1</LOSN>
                                  <LOEN>29</LOEN>
                                  <LOCN>17</LOCN>
                                </LnkInProps>
                              </LnkIn>
                            </Ctg>
                            <Ctg>
                              <CtgProps>
                                <R>6</R>
                              </CtgProps>
                              <LnkIn>
                                <LnkInProps>
                                  <MN>13</MN>
                                  <CLI>1,1,53,False,18</CLI>
                                  <ELN>1</ELN>
                                  <LOOT>0</LOOT>
                                  <LOMN>3</LOMN>
                                  <LOMCN>1</LOMCN>
                                  <LOSN>1</LOSN>
                                  <LOEN>29</LOEN>
                                  <LOCN>18</LOCN>
                                </LnkInProps>
                              </LnkIn>
                            </Ctg>
                            <Ctg>
                              <CtgProps>
                                <R>6</R>
                              </CtgProps>
                              <LnkIn>
                                <LnkInProps>
                                  <MN>13</MN>
                                  <CLI>1,1,53,False,19</CLI>
                                  <ELN>1</ELN>
                                  <LOOT>0</LOOT>
                                  <LOMN>3</LOMN>
                                  <LOMCN>1</LOMCN>
                                  <LOSN>1</LOSN>
                                  <LOEN>29</LOEN>
                                  <LOCN>19</LOCN>
                                </LnkInProps>
                              </LnkIn>
                            </Ctg>
                            <Ctg>
                              <CtgProps>
                                <R>6</R>
                              </CtgProps>
                              <LnkIn>
                                <LnkInProps>
                                  <MN>13</MN>
                                  <CLI>1,1,53,False,20</CLI>
                                  <ELN>1</ELN>
                                  <LOOT>0</LOOT>
                                  <LOMN>3</LOMN>
                                  <LOMCN>1</LOMCN>
                                  <LOSN>1</LOSN>
                                  <LOEN>29</LOEN>
                                  <LOCN>20</LOCN>
                                </LnkInProps>
                              </LnkIn>
                            </Ctg>
                            <Ctg>
                              <CtgProps>
                                <R>6</R>
                              </CtgProps>
                              <LnkIn>
                                <LnkInProps>
                                  <MN>13</MN>
                                  <CLI>1,1,53,False,21</CLI>
                                  <ELN>1</ELN>
                                  <LOOT>0</LOOT>
                                  <LOMN>3</LOMN>
                                  <LOMCN>1</LOMCN>
                                  <LOSN>1</LOSN>
                                  <LOEN>29</LOEN>
                                  <LOCN>21</LOCN>
                                </LnkInProps>
                              </LnkIn>
                            </Ctg>
                            <Ctg>
                              <CtgProps>
                                <R>6</R>
                              </CtgProps>
                              <LnkIn>
                                <LnkInProps>
                                  <MN>13</MN>
                                  <CLI>1,1,53,False,22</CLI>
                                  <ELN>1</ELN>
                                  <LOOT>0</LOOT>
                                  <LOMN>3</LOMN>
                                  <LOMCN>1</LOMCN>
                                  <LOSN>1</LOSN>
                                  <LOEN>29</LOEN>
                                  <LOCN>22</LOCN>
                                </LnkInProps>
                              </LnkIn>
                            </Ctg>
                            <Ctg>
                              <CtgProps>
                                <R>6</R>
                              </CtgProps>
                              <LnkIn>
                                <LnkInProps>
                                  <MN>13</MN>
                                  <CLI>1,1,53,False,23</CLI>
                                  <ELN>1</ELN>
                                  <LOOT>0</LOOT>
                                  <LOMN>3</LOMN>
                                  <LOMCN>1</LOMCN>
                                  <LOSN>1</LOSN>
                                  <LOEN>29</LOEN>
                                  <LOCN>23</LOCN>
                                </LnkInProps>
                              </LnkIn>
                            </Ctg>
                            <Ctg>
                              <CtgProps>
                                <R>6</R>
                              </CtgProps>
                              <LnkIn>
                                <LnkInProps>
                                  <MN>13</MN>
                                  <CLI>1,1,53,False,24</CLI>
                                  <ELN>1</ELN>
                                  <LOOT>0</LOOT>
                                  <LOMN>3</LOMN>
                                  <LOMCN>1</LOMCN>
                                  <LOSN>1</LOSN>
                                  <LOEN>29</LOEN>
                                  <LOCN>24</LOCN>
                                </LnkInProps>
                              </LnkIn>
                            </Ctg>
                            <Ctg>
                              <CtgProps>
                                <R>6</R>
                              </CtgProps>
                              <LnkIn>
                                <LnkInProps>
                                  <MN>13</MN>
                                  <CLI>1,1,53,False,25</CLI>
                                  <ELN>1</ELN>
                                  <LOOT>0</LOOT>
                                  <LOMN>3</LOMN>
                                  <LOMCN>1</LOMCN>
                                  <LOSN>1</LOSN>
                                  <LOEN>29</LOEN>
                                  <LOCN>25</LOCN>
                                </LnkInProps>
                              </LnkIn>
                            </Ctg>
                            <Ctg>
                              <CtgProps>
                                <R>6</R>
                              </CtgProps>
                              <LnkIn>
                                <LnkInProps>
                                  <MN>13</MN>
                                  <CLI>1,1,53,False,26</CLI>
                                  <ELN>1</ELN>
                                  <LOOT>0</LOOT>
                                  <LOMN>3</LOMN>
                                  <LOMCN>1</LOMCN>
                                  <LOSN>1</LOSN>
                                  <LOEN>29</LOEN>
                                  <LOCN>26</LOCN>
                                </LnkInProps>
                              </LnkIn>
                            </Ctg>
                            <Ctg>
                              <CtgProps>
                                <R>6</R>
                              </CtgProps>
                              <LnkIn>
                                <LnkInProps>
                                  <MN>13</MN>
                                  <CLI>1,1,53,False,27</CLI>
                                  <ELN>1</ELN>
                                  <LOOT>0</LOOT>
                                  <LOMN>3</LOMN>
                                  <LOMCN>1</LOMCN>
                                  <LOSN>1</LOSN>
                                  <LOEN>29</LOEN>
                                  <LOCN>27</LOCN>
                                </LnkInProps>
                              </LnkIn>
                            </Ctg>
                            <Ctg>
                              <CtgProps>
                                <R>6</R>
                              </CtgProps>
                              <LnkIn>
                                <LnkInProps>
                                  <MN>13</MN>
                                  <CLI>1,1,53,False,28</CLI>
                                  <ELN>1</ELN>
                                  <LOOT>0</LOOT>
                                  <LOMN>3</LOMN>
                                  <LOMCN>1</LOMCN>
                                  <LOSN>1</LOSN>
                                  <LOEN>29</LOEN>
                                  <LOCN>28</LOCN>
                                </LnkInProps>
                              </LnkIn>
                            </Ctg>
                            <Ctg>
                              <CtgProps>
                                <R>6</R>
                              </CtgProps>
                              <LnkIn>
                                <LnkInProps>
                                  <MN>13</MN>
                                  <CLI>1,1,53,False,29</CLI>
                                  <ELN>1</ELN>
                                  <LOOT>0</LOOT>
                                  <LOMN>3</LOMN>
                                  <LOMCN>1</LOMCN>
                                  <LOSN>1</LOSN>
                                  <LOEN>29</LOEN>
                                  <LOCN>29</LOCN>
                                </LnkInProps>
                              </LnkIn>
                            </Ctg>
                            <Ctg>
                              <CtgProps>
                                <R>6</R>
                              </CtgProps>
                              <LnkIn>
                                <LnkInProps>
                                  <MN>13</MN>
                                  <CLI>1,1,53,False,30</CLI>
                                  <ELN>1</ELN>
                                  <LOOT>0</LOOT>
                                  <LOMN>3</LOMN>
                                  <LOMCN>1</LOMCN>
                                  <LOSN>1</LOSN>
                                  <LOEN>29</LOEN>
                                  <LOCN>30</LOCN>
                                </LnkInProps>
                              </LnkIn>
                            </Ctg>
                            <Ctg>
                              <CtgProps>
                                <R>6</R>
                              </CtgProps>
                              <LnkIn>
                                <LnkInProps>
                                  <MN>13</MN>
                                  <CLI>1,1,53,False,31</CLI>
                                  <ELN>1</ELN>
                                  <LOOT>0</LOOT>
                                  <LOMN>3</LOMN>
                                  <LOMCN>1</LOMCN>
                                  <LOSN>1</LOSN>
                                  <LOEN>29</LOEN>
                                  <LOCN>31</LOCN>
                                </LnkInProps>
                              </LnkIn>
                            </Ctg>
                            <Ctg>
                              <CtgProps>
                                <R>6</R>
                              </CtgProps>
                              <LnkIn>
                                <LnkInProps>
                                  <MN>13</MN>
                                  <CLI>1,1,53,False,32</CLI>
                                  <ELN>1</ELN>
                                  <LOOT>0</LOOT>
                                  <LOMN>3</LOMN>
                                  <LOMCN>1</LOMCN>
                                  <LOSN>1</LOSN>
                                  <LOEN>29</LOEN>
                                  <LOCN>32</LOCN>
                                </LnkInProps>
                              </LnkIn>
                            </Ctg>
                            <Ctg>
                              <CtgProps>
                                <R>6</R>
                              </CtgProps>
                              <LnkIn>
                                <LnkInProps>
                                  <MN>13</MN>
                                  <CLI>1,1,53,False,33</CLI>
                                  <ELN>1</ELN>
                                  <LOOT>0</LOOT>
                                  <LOMN>3</LOMN>
                                  <LOMCN>1</LOMCN>
                                  <LOSN>1</LOSN>
                                  <LOEN>29</LOEN>
                                  <LOCN>33</LOCN>
                                </LnkInProps>
                              </LnkIn>
                            </Ctg>
                            <Ctg>
                              <CtgProps>
                                <R>6</R>
                              </CtgProps>
                              <LnkIn>
                                <LnkInProps>
                                  <MN>13</MN>
                                  <CLI>1,1,53,False,34</CLI>
                                  <ELN>1</ELN>
                                  <LOOT>0</LOOT>
                                  <LOMN>3</LOMN>
                                  <LOMCN>1</LOMCN>
                                  <LOSN>1</LOSN>
                                  <LOEN>29</LOEN>
                                  <LOCN>34</LOCN>
                                </LnkInProps>
                              </LnkIn>
                            </Ctg>
                            <Ctg>
                              <CtgProps>
                                <R>6</R>
                              </CtgProps>
                              <LnkIn>
                                <LnkInProps>
                                  <MN>13</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13</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13</MN>
                <MCN>2</MCN>
                <MCTK>BaseCase</MCTK>
                <RT><![CDATA[<ModuleName> - Assumptions]]></RT>
                <ERN>BPMMC116</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88</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13</MN>
                <MCN>3</MCN>
                <MCTK>OP</MCTK>
                <RT><![CDATA[<ModuleName> - Outputs]]></RT>
                <ERN>BPMMC117</ERN>
                <MCST>0</MCST>
                <IPMC>False</IPMC>
                <SN>28</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17</SON>
                                <VOFFF><![CDATA[=SUM(§A¿0,3,1,1,3,2,1,-1,0,0,FALSE,FALSE,1,7,2,1,-1,0,0,FALSE,FALSE§Z¿)]]></VOFFF>
                              </ClmnBlkPtProps>
                            </ClmnBlkPt>
                          </ClmnBlkPts>
                        </ClmnBlk>
                        <ClmnBlk>
                          <ClmnBlkProps>
                            <FCPT>0</FCPT>
                            <FCN>12</FCN>
                            <LCPT>0</LCPT>
                            <LCN>12</LCN>
                          </ClmnBlkProps>
                          <ClmnBlkPts>
                            <ClmnBlkPt>
                              <ClmnBlkPtProps>
                                <CBPT>5</CBPT>
                                <ST>18</ST>
                                <SON>17</SON>
                                <VOFFF><![CDATA[=SUM(§A¿0,3,1,1,3,3,1,-1,0,0,FALSE,FALSE,1,7,3,1,-1,0,0,FALSE,FALSE§Z¿)]]></VOFFF>
                              </ClmnBlkPtProps>
                            </ClmnBlkPt>
                          </ClmnBlkPts>
                        </ClmnBlk>
                        <ClmnBlk>
                          <ClmnBlkProps>
                            <FCPT>0</FCPT>
                            <FCN>15</FCN>
                            <LCPT>0</LCPT>
                            <LCN>15</LCN>
                          </ClmnBlkProps>
                          <ClmnBlkPts>
                            <ClmnBlkPt>
                              <ClmnBlkPtProps>
                                <CBPT>5</CBPT>
                                <ST>18</ST>
                                <SON>18</SON>
                                <VOFFF><![CDATA[=SUM(§A¿0,3,1,1,3,4,1,-1,0,0,FALSE,FALSE,1,7,4,1,-1,0,0,FALSE,FALSE§Z¿)]]></VOFFF>
                              </ClmnBlkPtProps>
                            </ClmnBlkPt>
                          </ClmnBlkPts>
                        </ClmnBlk>
                        <ClmnBlk>
                          <ClmnBlkProps>
                            <FCPT>0</FCPT>
                            <FCN>17</FCN>
                            <LCPT>0</LCPT>
                            <LCN>17</LCN>
                          </ClmnBlkProps>
                          <ClmnBlkPts>
                            <ClmnBlkPt>
                              <ClmnBlkPtProps>
                                <CBPT>5</CBPT>
                                <ST>18</ST>
                                <SON>18</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 Trained per Training]]></VOFFF>
                              </ClmnBlkPtProps>
                            </ClmnBlkPt>
                          </ClmnBlkPts>
                        </ClmnBlk>
                        <ClmnBlk>
                          <ClmnBlkProps>
                            <FCPT>0</FCPT>
                            <FCN>10</FCN>
                            <LCPT>0</LCPT>
                            <LCN>10</LCN>
                          </ClmnBlkProps>
                          <ClmnBlkPts>
                            <ClmnBlkPt>
                              <ClmnBlkPtProps>
                                <CBPT>5</CBPT>
                                <ST>11</ST>
                                <VOFFF/>
                                <UDAV><![CDATA[0]]></UDAV>
                              </ClmnBlkPtProps>
                            </ClmnBlkPt>
                          </ClmnBlkPts>
                        </ClmnBlk>
                        <ClmnBlk>
                          <ClmnBlkProps>
                            <FCPT>0</FCPT>
                            <FCN>12</FCN>
                            <LCPT>0</LCPT>
                            <LCN>12</LCN>
                          </ClmnBlkProps>
                          <ClmnBlkPts>
                            <ClmnBlkPt>
                              <ClmnBlkPtProps>
                                <CBPT>5</CBPT>
                                <ST>11</ST>
                                <VOFFF/>
                                <UDAV><![CDATA[0]]></UDAV>
                              </ClmnBlkPtProps>
                            </ClmnBlkPt>
                          </ClmnBlkPts>
                        </ClmnBlk>
                        <ClmnBlk>
                          <ClmnBlkProps>
                            <FCPT>0</FCPT>
                            <FCN>15</FCN>
                            <LCPT>0</LCPT>
                            <LCN>15</LCN>
                          </ClmnBlkProps>
                          <ClmnBlkPts>
                            <ClmnBlkPt>
                              <ClmnBlkPtProps>
                                <CBPT>5</CBPT>
                                <ST>11</ST>
                                <VOFFF/>
                                <UDAV><![CDATA[0]]></UDAV>
                              </ClmnBlkPtProps>
                            </ClmnBlkPt>
                          </ClmnBlkPts>
                        </ClmnBlk>
                        <ClmnBlk>
                          <ClmnBlkProps>
                            <FCPT>0</FCPT>
                            <FCN>17</FCN>
                            <LCPT>0</LCPT>
                            <LCN>17</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Cost per Participant Trained]]></VOFFF>
                              </ClmnBlkPtProps>
                            </ClmnBlkPt>
                          </ClmnBlkPts>
                        </ClmnBlk>
                        <ClmnBlk>
                          <ClmnBlkProps>
                            <FCPT>0</FCPT>
                            <FCN>10</FCN>
                            <LCPT>0</LCPT>
                            <LCN>10</LCN>
                          </ClmnBlkProps>
                          <ClmnBlkPts>
                            <ClmnBlkPt>
                              <ClmnBlkPtProps>
                                <CBPT>5</CBPT>
                                <ST>18</ST>
                                <SON>14</SON>
                                <VOFFF><![CDATA[=IFERROR(§A¿0,3,0,1,8,2,1,-1,0,0,FALSE,FALSE§Z¿/§A¿0,3,0,1,13,2,1,-1,0,0,FALSE,FALSE§Z¿,0)]]></VOFFF>
                              </ClmnBlkPtProps>
                            </ClmnBlkPt>
                          </ClmnBlkPts>
                        </ClmnBlk>
                        <ClmnBlk>
                          <ClmnBlkProps>
                            <FCPT>0</FCPT>
                            <FCN>12</FCN>
                            <LCPT>0</LCPT>
                            <LCN>12</LCN>
                          </ClmnBlkProps>
                          <ClmnBlkPts>
                            <ClmnBlkPt>
                              <ClmnBlkPtProps>
                                <CBPT>5</CBPT>
                                <ST>18</ST>
                                <SON>14</SON>
                                <VOFFF><![CDATA[=IFERROR(§A¿0,3,0,1,8,3,1,-1,0,0,FALSE,FALSE§Z¿/§A¿0,3,0,1,13,3,1,-1,0,0,FALSE,FALSE§Z¿,0)]]></VOFFF>
                              </ClmnBlkPtProps>
                            </ClmnBlkPt>
                          </ClmnBlkPts>
                        </ClmnBlk>
                        <ClmnBlk>
                          <ClmnBlkProps>
                            <FCPT>0</FCPT>
                            <FCN>15</FCN>
                            <LCPT>0</LCPT>
                            <LCN>15</LCN>
                          </ClmnBlkProps>
                          <ClmnBlkPts>
                            <ClmnBlkPt>
                              <ClmnBlkPtProps>
                                <CBPT>5</CBPT>
                                <ST>18</ST>
                                <SON>14</SON>
                                <VOFFF><![CDATA[=IFERROR(§A¿0,3,0,1,8,4,1,-1,0,0,FALSE,FALSE§Z¿/§A¿0,3,0,1,13,4,1,-1,0,0,FALSE,FALSE§Z¿,0)]]></VOFFF>
                              </ClmnBlkPtProps>
                            </ClmnBlkPt>
                          </ClmnBlkPts>
                        </ClmnBlk>
                        <ClmnBlk>
                          <ClmnBlkProps>
                            <FCPT>0</FCPT>
                            <FCN>17</FCN>
                            <LCPT>0</LCPT>
                            <LCN>17</LCN>
                          </ClmnBlkProps>
                          <ClmnBlkPts>
                            <ClmnBlkPt>
                              <ClmnBlkPtProps>
                                <CBPT>5</CBPT>
                                <ST>18</ST>
                                <SON>14</SON>
                                <VOFFF><![CDATA[=IFERROR(§A¿0,3,0,1,8,5,1,-1,0,0,FALSE,FALSE§Z¿/§A¿0,3,0,1,13,5,1,-1,0,0,FALSE,FALSE§Z¿,0)]]></VOFFF>
                              </ClmnBlkPtProps>
                            </ClmnBlkPt>
                          </ClmnBlkPts>
                        </ClmnBlk>
                      </ClmnBlks>
                      <TtlCtg/>
                    </Elmt>
                    <Elmt>
                      <ElmtProps>
                        <CPT>2</CPT>
                      </ElmtProps>
                      <ClmnBlks>
                        <ClmnBlk>
                          <ClmnBlkProps>
                            <FCPT>0</FCPT>
                            <FCN>2</FCN>
                            <LCPT>0</LCPT>
                            <LCN>17</LCN>
                          </ClmnBlkProps>
                          <ClmnBlkPts>
                            <ClmnBlkPt>
                              <ClmnBlkPtProps>
                                <CBPT>5</CBPT>
                                <ST>-1</ST>
                                <SON>16</SON>
                                <VOFFF/>
                              </ClmnBlkPtProps>
                            </ClmnBlkPt>
                          </ClmnBlkPts>
                        </ClmnBlk>
                      </ClmnBlks>
                      <TtlCtg/>
                    </Elmt>
                    <Elmt>
                      <ElmtProps>
                        <CPT>2</CPT>
                      </ElmtProps>
                      <TtlCtg/>
                    </Elmt>
                    <Elmt>
                      <ElmtProps>
                        <CPT>2</CPT>
                      </ElmtProps>
                      <TtlCtg/>
                    </Elmt>
                    <Elmt>
                      <ElmtProps>
                        <CPT>2</CPT>
                      </ElmtProps>
                      <TtlCtg/>
                    </Elmt>
                    <Elmt>
                      <ElmtProps>
                        <CPT>2</CPT>
                      </ElmtProps>
                      <ClmnBlks>
                        <ClmnBlk>
                          <ClmnBlkProps>
                            <FCPT>0</FCPT>
                            <FCN>2</FCN>
                            <LCPT>0</LCPT>
                            <LCN>2</LCN>
                          </ClmnBlkProps>
                          <ClmnBlkPts>
                            <ClmnBlkPt>
                              <ClmnBlkPtProps>
                                <CBPT>5</CBPT>
                                <ST>5</ST>
                                <VOFFF><![CDATA[Currencies and Exchange Rates]]></VOFFF>
                              </ClmnBlkPtProps>
                            </ClmnBlkPt>
                          </ClmnBlkPts>
                        </ClmnBlk>
                      </ClmnBlks>
                      <TtlCtg/>
                    </Elmt>
                    <Elmt>
                      <ElmtProps>
                        <CPT>2</CPT>
                      </ElmtProps>
                      <TtlCtg>
                        <TtlCtgProps>
                          <R>5</R>
                        </TtlCtgProps>
                      </TtlCtg>
                    </Elmt>
                    <Elmt>
                      <ElmtProps>
                        <CPT>1</CPT>
                        <TOT>False</TOT>
                        <EGN>5</EGN>
                      </ElmtProps>
                      <ClmnBlks>
                        <ClmnBlk>
                          <ClmnBlkProps>
                            <FCPT>0</FCPT>
                            <FCN>4</FCN>
                            <LCPT>0</LCPT>
                            <LCN>4</LCN>
                          </ClmnBlkProps>
                          <ClmnBlkPts>
                            <ClmnBlkPt>
                              <ClmnBlkPtProps>
                                <CBPT>0</CBPT>
                                <ST>6</ST>
                                <VOFFF><![CDATA[=§A¿0,1,0,1,34,1,1,0,0,0,FALSE,FALSE§Z¿]]></VOFFF>
                                <UDAV><![CDATA[<CategoriesGroupName> Category <CategoryNumber>]]></UDAV>
                              </ClmnBlkPtProps>
                              <LnkInForms>
                                <LnkInForm>
                                  <LnkInFormProps>
                                    <CBPLI>3,1,21,1,1</CBPLI>
                                    <ELN>1</ELN>
                                    <FFF><![CDATA[=§A¿10,FALSE,0,1,0,FALSE§Z¿]]></FFF>
                                  </LnkInFormProps>
                                </LnkInForm>
                              </LnkInForms>
                            </ClmnBlkPt>
                            <ClmnBlkPt>
                              <ClmnBlkPtProps>
                                <CBPT>1</CBPT>
                                <ST>6</ST>
                                <VOFFF><![CDATA[="Total "&§A¿0,3,0,1,21,1,3,0,0,0,FALSE,FALSE§Z¿]]></VOFFF>
                                <UDAV><![CDATA[<CategoriesGroupName> Sub-Total <SubTotalNumber>]]></UDAV>
                              </ClmnBlkPtProps>
                            </ClmnBlkPt>
                            <ClmnBlkPt>
                              <ClmnBlkPtProps>
                                <CBPT>2</CBPT>
                                <ST>5</ST>
                                <VOFFF><![CDATA[=§A¿0,1,0,1,34,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9</FCN>
                            <LCPT>0</LCPT>
                            <LCN>9</LCN>
                          </ClmnBlkProps>
                          <ClmnBlkPts>
                            <ClmnBlkPt>
                              <ClmnBlkPtProps>
                                <CBPT>0</CBPT>
                                <ST>18</ST>
                                <VOFFF><![CDATA[0]]></VOFFF>
                              </ClmnBlkPtProps>
                              <LnkInForms>
                                <LnkInForm>
                                  <LnkInFormProps>
                                    <CBPLI>3,1,21,2,1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13</MN>
                                  <CLI>3,1,21,False,1</CLI>
                                  <ELN>1</ELN>
                                  <LOOT>0</LOOT>
                                  <LOMN>3</LOMN>
                                  <LOMCN>2</LOMCN>
                                  <LOSN>1</LOSN>
                                  <LOEN>4</LOEN>
                                  <LOCN>1</LOCN>
                                </LnkInProps>
                              </LnkIn>
                            </Ctg>
                            <Ctg>
                              <CtgProps>
                                <R>6</R>
                              </CtgProps>
                              <LnkIn>
                                <LnkInProps>
                                  <MN>13</MN>
                                  <CLI>3,1,21,False,2</CLI>
                                  <ELN>1</ELN>
                                  <LOOT>0</LOOT>
                                  <LOMN>3</LOMN>
                                  <LOMCN>2</LOMCN>
                                  <LOSN>1</LOSN>
                                  <LOEN>4</LOEN>
                                  <LOCN>2</LOCN>
                                </LnkInProps>
                              </LnkIn>
                            </Ctg>
                          </Ctgs>
                        </SubTtl>
                      </SubTtls>
                      <TtlCtg/>
                      <ElmtLnksIn>
                        <ElmtLnk>
                          <ElmtLnkProps>
                            <ELI>3,1,21</ELI>
                            <ELN>1</ELN>
                            <ELGN>1</ELGN>
                            <MLG>1638744F-648F-4D87-8C2C-69B71D7C5AA6</MLG>
                            <ICBI>1,2</ICBI>
                            <ILBN/>
                            <LIBN>0</LIBN>
                          </ElmtLnkProps>
                        </ElmtLnk>
                      </ElmtLnksIn>
                    </Elmt>
                  </Elmts>
                </Sect>
              </Sects>
            </ModComp>
            <ModComp>
              <ModCompProps>
                <MN>13</MN>
                <MCN>4</MCN>
                <MCTK>LU</MCTK>
                <RT><![CDATA[<ModuleName> - Lookups]]></RT>
                <ERN>BPMMC118</ERN>
                <MCST>3</MCST>
                <IPMC>False</IPMC>
                <SN>62</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90</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0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0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0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0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0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0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25</MN>
            <MAG>D086F8B5-5CE4-4E5C-9775-1E45DE76A9E8</MAG>
            <BN><![CDATA[PLUG_ACTIVITY]]></BN>
            <N><![CDATA[PLUG_ACTIVITY]]></N>
            <TS><![CDATA[Annual]]></TS>
            <D><![CDATA[Assists with planning the cost of an activity. Should be used with Prices module.]]></D>
            <FS/>
            <R/>
            <GE/>
            <CA/>
            <VA/>
            <GST/>
            <DE/>
            <E/>
            <C/>
            <W/>
            <K/>
            <CO/>
            <V>1.0.0.0.</V>
            <AX/>
            <PMLO>False</PMLO>
            <IPMLO>False</IPMLO>
            <MACA>1</MACA>
            <RTSM>True</RTSM>
            <CC>True</CC>
            <X>False</X>
            <G>D9D62452-6EDE-4DCC-A2E3-4ED85173F525</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1</OL>
                <RH>True</RH>
              </RowStgProps>
            </RowStg>
            <RowStg>
              <RowStgProps>
                <RSN>5</RSN>
                <RHST>0</RHST>
                <HS>0</HS>
                <OL>2</OL>
                <RH>False</RH>
              </RowStgProps>
            </RowStg>
            <RowStg>
              <RowStgProps>
                <RSN>6</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14</MN>
                <MCN>1</MCN>
                <MCTK>BaseCase</MCTK>
                <RT><![CDATA[<ModuleName> - Assumptions]]></RT>
                <ERN>BPMMC4</ERN>
                <MCST>0</MCST>
                <IPMC>False</IPMC>
                <SN>17</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14</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5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CtgProps>
                          <R>4</R>
                        </TtlCtgProps>
                        <TtlSpcrRow>
                          <TtlSpcrRowProps>
                            <RSN>2</RSN>
                          </TtlSpcrRowProps>
                        </TtlSpcrRow>
                      </TtlCtg>
                    </Elmt>
                    <Elmt>
                      <ElmtProps>
                        <CPT>2</CPT>
                      </ElmtProps>
                      <TtlCtg>
                        <TtlCtgProps>
                          <R>4</R>
                        </TtlCtgProps>
                      </TtlCtg>
                    </Elmt>
                    <Elmt>
                      <ElmtProps>
                        <CPT>2</CPT>
                      </ElmtProps>
                      <ClmnBlks>
                        <ClmnBlk>
                          <ClmnBlkProps>
                            <FCPT>0</FCPT>
                            <FCN>3</FCN>
                            <LCPT>0</LCPT>
                            <LCN>3</LCN>
                          </ClmnBlkProps>
                          <ClmnBlkPts>
                            <ClmnBlkPt>
                              <ClmnBlkPtProps>
                                <CBPT>5</CBPT>
                                <ST>4</ST>
                                <VOFFF><![CDATA[Allowances]]></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CtgProps>
                          <R>4</R>
                        </TtlCtgProps>
                        <TtlSpcrRow>
                          <TtlSpcrRowProps>
                            <RSN>2</RSN>
                          </TtlSpcrRowProps>
                        </TtlSpcrRow>
                      </TtlCtg>
                    </Elmt>
                    <Elmt>
                      <ElmtProps>
                        <CPT>2</CPT>
                      </ElmtProps>
                      <TtlCtg>
                        <TtlCtgProps>
                          <R>4</R>
                        </TtlCtgProps>
                      </TtlCtg>
                    </Elmt>
                    <Elmt>
                      <ElmtProps>
                        <CPT>2</CPT>
                      </ElmtProps>
                      <TtlCtg>
                        <TtlCtgProps>
                          <R>4</R>
                        </TtlCtgProps>
                      </TtlCtg>
                    </Elmt>
                    <Elmt>
                      <ElmtProps>
                        <CPT>2</CPT>
                      </ElmtProps>
                      <TtlCtg>
                        <TtlCtgProps>
                          <R>4</R>
                        </TtlCtgProps>
                      </TtlCtg>
                    </Elmt>
                    <Elmt>
                      <ElmtProps>
                        <CPT>2</CPT>
                      </ElmtProps>
                      <ClmnBlks>
                        <ClmnBlk>
                          <ClmnBlkProps>
                            <FCPT>0</FCPT>
                            <FCN>3</FCN>
                            <LCPT>0</LCPT>
                            <LCN>3</LCN>
                          </ClmnBlkProps>
                          <ClmnBlkPts>
                            <ClmnBlkPt>
                              <ClmnBlkPtProps>
                                <CBPT>5</CBPT>
                                <ST>4</ST>
                                <VOFFF><![CDATA[Materials & Supplies]]></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CtgProps>
                          <R>4</R>
                        </TtlCtgProps>
                        <TtlSpcrRow>
                          <TtlSpcrRowProps>
                            <RSN>2</RSN>
                          </TtlSpcrRowProps>
                        </TtlSpcrRow>
                      </TtlCtg>
                    </Elmt>
                    <Elmt>
                      <ElmtProps>
                        <CPT>2</CPT>
                      </ElmtProps>
                      <TtlCtg>
                        <TtlCtgProps>
                          <R>4</R>
                        </TtlCtg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TtlCtgProps>
                          <R>4</R>
                        </TtlCtgProps>
                      </TtlCtg>
                    </Elmt>
                    <Elmt>
                      <ElmtProps>
                        <CPT>2</CPT>
                      </ElmtProps>
                      <TtlCtg>
                        <TtlCtgProps>
                          <R>4</R>
                        </TtlCtgProps>
                      </TtlCtg>
                    </Elmt>
                    <Elmt>
                      <ElmtProps>
                        <CPT>2</CPT>
                      </ElmtProps>
                      <ClmnBlks>
                        <ClmnBlk>
                          <ClmnBlkProps>
                            <FCPT>0</FCPT>
                            <FCN>3</FCN>
                            <LCPT>0</LCPT>
                            <LCN>3</LCN>
                          </ClmnBlkProps>
                          <ClmnBlkPts>
                            <ClmnBlkPt>
                              <ClmnBlkPtProps>
                                <CBPT>5</CBPT>
                                <ST>4</ST>
                                <VOFFF><![CDATA[Other Direct Costs]]></VOFFF>
                              </ClmnBlkPtProps>
                            </ClmnBlkPt>
                          </ClmnBlkPts>
                        </ClmnBlk>
                      </ClmnBlks>
                      <TtlCtg>
                        <TtlCtgProps>
                          <R>4</R>
                        </TtlCtg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TtlCtgProps>
                          <R>4</R>
                        </TtlCtgProp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22</FCN>
                            <LCPT>0</LCPT>
                            <LCN>22</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4</ST>
                                <VOFFF><![CDATA[="Total Estimated Costs -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A¿1,1,1,1,5,0,2,1,1§Z¿=2,§A¿0,1,0,1,30,2,1,-1,0,0,FALSE,TRUE§Z¿/§A¿0,1,0,1,34,2,1,2,0,0,TRUE,TRUE§Z¿,§A¿0,1,0,1,30,2,1,-1,0,0,FALSE,TRUE§Z¿*§A¿0,1,0,1,34,2,1,2,0,0,TRUE,TRUE§Z¿)]]></VOFFF>
                              </ClmnBlkPtProps>
                            </ClmnBlkPt>
                          </ClmnBlkPts>
                        </ClmnBlk>
                        <ClmnBlk>
                          <ClmnBlkProps>
                            <FCPT>0</FCPT>
                            <FCN>22</FCN>
                            <LCPT>0</LCPT>
                            <LCN>22</LCN>
                          </ClmnBlkProps>
                          <ClmnBlkPts>
                            <ClmnBlkPt>
                              <ClmnBlkPtProps>
                                <CBPT>5</CBPT>
                                <ST>18</ST>
                                <SON>6</SON>
                                <VOFFF><![CDATA[=IF(§A¿1,1,1,1,5,0,2,1,1§Z¿=2,§A¿0,1,0,1,30,3,1,-1,0,0,FALSE,TRUE§Z¿/§A¿0,1,0,1,34,2,1,2,0,0,TRUE,TRUE§Z¿,§A¿0,1,0,1,30,3,1,-1,0,0,FALSE,TRUE§Z¿*§A¿0,1,0,1,34,2,1,2,0,0,TRUE,TRUE§Z¿)]]></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d Links (Developer Use Only.  User Can Change in Step 1.d)]]></VOFFF>
                              </ClmnBlkPtProps>
                            </ClmnBlkPt>
                          </ClmnBlkPts>
                        </ClmnBlk>
                      </ClmnBlks>
                      <TtlCtg/>
                    </Elmt>
                    <Elmt>
                      <ElmtProps>
                        <CPT>2</CPT>
                      </ElmtProps>
                      <TtlCtg>
                        <TtlCtgProps>
                          <R>5</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1,1,34,False,1</CLI>
                                  <ELN>1</ELN>
                                  <LOOT>0</LOOT>
                                  <LOMN>3</LOMN>
                                  <LOMCN>2</LOMCN>
                                  <LOSN>1</LOSN>
                                  <LOEN>4</LOEN>
                                  <LOCN>1</LOCN>
                                </LnkInProps>
                              </LnkIn>
                            </Ctg>
                            <Ctg>
                              <CtgProps>
                                <R>6</R>
                              </CtgProps>
                              <LnkIn>
                                <LnkInProps>
                                  <MN>14</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d Links (Developer Use Only.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1,1,39,False,1</CLI>
                                  <ELN>1</ELN>
                                  <LOOT>0</LOOT>
                                  <LOMN>3</LOMN>
                                  <LOMCN>1</LOMCN>
                                  <LOSN>1</LOSN>
                                  <LOEN>10</LOEN>
                                  <LOCN>1</LOCN>
                                </LnkInProps>
                              </LnkIn>
                            </Ctg>
                            <Ctg>
                              <CtgProps>
                                <R>5</R>
                              </CtgProps>
                              <LnkIn>
                                <LnkInProps>
                                  <MN>14</MN>
                                  <CLI>1,1,39,False,2</CLI>
                                  <ELN>1</ELN>
                                  <LOOT>0</LOOT>
                                  <LOMN>3</LOMN>
                                  <LOMCN>1</LOMCN>
                                  <LOSN>1</LOSN>
                                  <LOEN>10</LOEN>
                                  <LOCN>2</LOCN>
                                </LnkInProps>
                              </LnkIn>
                            </Ctg>
                            <Ctg>
                              <CtgProps>
                                <R>5</R>
                              </CtgProps>
                              <LnkIn>
                                <LnkInProps>
                                  <MN>14</MN>
                                  <CLI>1,1,39,False,3</CLI>
                                  <ELN>1</ELN>
                                  <LOOT>0</LOOT>
                                  <LOMN>3</LOMN>
                                  <LOMCN>1</LOMCN>
                                  <LOSN>1</LOSN>
                                  <LOEN>10</LOEN>
                                  <LOCN>3</LOCN>
                                </LnkInProps>
                              </LnkIn>
                            </Ctg>
                            <Ctg>
                              <CtgProps>
                                <R>5</R>
                              </CtgProps>
                              <LnkIn>
                                <LnkInProps>
                                  <MN>14</MN>
                                  <CLI>1,1,39,False,4</CLI>
                                  <ELN>1</ELN>
                                  <LOOT>0</LOOT>
                                  <LOMN>3</LOMN>
                                  <LOMCN>1</LOMCN>
                                  <LOSN>1</LOSN>
                                  <LOEN>10</LOEN>
                                  <LOCN>4</LOCN>
                                </LnkInProps>
                              </LnkIn>
                            </Ctg>
                            <Ctg>
                              <CtgProps>
                                <R>5</R>
                              </CtgProps>
                              <LnkIn>
                                <LnkInProps>
                                  <MN>14</MN>
                                  <CLI>1,1,39,False,5</CLI>
                                  <ELN>1</ELN>
                                  <LOOT>0</LOOT>
                                  <LOMN>3</LOMN>
                                  <LOMCN>1</LOMCN>
                                  <LOSN>1</LOSN>
                                  <LOEN>10</LOEN>
                                  <LOCN>5</LOCN>
                                </LnkInProps>
                              </LnkIn>
                            </Ctg>
                            <Ctg>
                              <CtgProps>
                                <R>5</R>
                              </CtgProps>
                              <LnkIn>
                                <LnkInProps>
                                  <MN>14</MN>
                                  <CLI>1,1,39,False,6</CLI>
                                  <ELN>1</ELN>
                                  <LOOT>0</LOOT>
                                  <LOMN>3</LOMN>
                                  <LOMCN>1</LOMCN>
                                  <LOSN>1</LOSN>
                                  <LOEN>10</LOEN>
                                  <LOCN>6</LOCN>
                                </LnkInProps>
                              </LnkIn>
                            </Ctg>
                            <Ctg>
                              <CtgProps>
                                <R>5</R>
                              </CtgProps>
                              <LnkIn>
                                <LnkInProps>
                                  <MN>14</MN>
                                  <CLI>1,1,39,False,7</CLI>
                                  <ELN>1</ELN>
                                  <LOOT>0</LOOT>
                                  <LOMN>3</LOMN>
                                  <LOMCN>1</LOMCN>
                                  <LOSN>1</LOSN>
                                  <LOEN>10</LOEN>
                                  <LOCN>7</LOCN>
                                </LnkInProps>
                              </LnkIn>
                            </Ctg>
                            <Ctg>
                              <CtgProps>
                                <R>5</R>
                              </CtgProps>
                              <LnkIn>
                                <LnkInProps>
                                  <MN>14</MN>
                                  <CLI>1,1,39,False,8</CLI>
                                  <ELN>1</ELN>
                                  <LOOT>0</LOOT>
                                  <LOMN>3</LOMN>
                                  <LOMCN>1</LOMCN>
                                  <LOSN>1</LOSN>
                                  <LOEN>10</LOEN>
                                  <LOCN>8</LOCN>
                                </LnkInProps>
                              </LnkIn>
                            </Ctg>
                            <Ctg>
                              <CtgProps>
                                <R>5</R>
                              </CtgProps>
                              <LnkIn>
                                <LnkInProps>
                                  <MN>14</MN>
                                  <CLI>1,1,39,False,9</CLI>
                                  <ELN>1</ELN>
                                  <LOOT>0</LOOT>
                                  <LOMN>3</LOMN>
                                  <LOMCN>1</LOMCN>
                                  <LOSN>1</LOSN>
                                  <LOEN>10</LOEN>
                                  <LOCN>9</LOCN>
                                </LnkInProps>
                              </LnkIn>
                            </Ctg>
                            <Ctg>
                              <CtgProps>
                                <R>5</R>
                              </CtgProps>
                              <LnkIn>
                                <LnkInProps>
                                  <MN>14</MN>
                                  <CLI>1,1,39,False,10</CLI>
                                  <ELN>1</ELN>
                                  <LOOT>0</LOOT>
                                  <LOMN>3</LOMN>
                                  <LOMCN>1</LOMCN>
                                  <LOSN>1</LOSN>
                                  <LOEN>10</LOEN>
                                  <LOCN>10</LOCN>
                                </LnkInProps>
                              </LnkIn>
                            </Ctg>
                            <Ctg>
                              <CtgProps>
                                <R>5</R>
                              </CtgProps>
                              <LnkIn>
                                <LnkInProps>
                                  <MN>14</MN>
                                  <CLI>1,1,39,False,11</CLI>
                                  <ELN>1</ELN>
                                  <LOOT>0</LOOT>
                                  <LOMN>3</LOMN>
                                  <LOMCN>1</LOMCN>
                                  <LOSN>1</LOSN>
                                  <LOEN>10</LOEN>
                                  <LOCN>11</LOCN>
                                </LnkInProps>
                              </LnkIn>
                            </Ctg>
                            <Ctg>
                              <CtgProps>
                                <R>5</R>
                              </CtgProps>
                              <LnkIn>
                                <LnkInProps>
                                  <MN>14</MN>
                                  <CLI>1,1,39,False,12</CLI>
                                  <ELN>1</ELN>
                                  <LOOT>0</LOOT>
                                  <LOMN>3</LOMN>
                                  <LOMCN>1</LOMCN>
                                  <LOSN>1</LOSN>
                                  <LOEN>10</LOEN>
                                  <LOCN>12</LOCN>
                                </LnkInProps>
                              </LnkIn>
                            </Ctg>
                            <Ctg>
                              <CtgProps>
                                <R>5</R>
                              </CtgProps>
                              <LnkIn>
                                <LnkInProps>
                                  <MN>14</MN>
                                  <CLI>1,1,39,False,13</CLI>
                                  <ELN>1</ELN>
                                  <LOOT>0</LOOT>
                                  <LOMN>3</LOMN>
                                  <LOMCN>1</LOMCN>
                                  <LOSN>1</LOSN>
                                  <LOEN>10</LOEN>
                                  <LOCN>13</LOCN>
                                </LnkInProps>
                              </LnkIn>
                            </Ctg>
                            <Ctg>
                              <CtgProps>
                                <R>5</R>
                              </CtgProps>
                              <LnkIn>
                                <LnkInProps>
                                  <MN>14</MN>
                                  <CLI>1,1,39,False,14</CLI>
                                  <ELN>1</ELN>
                                  <LOOT>0</LOOT>
                                  <LOMN>3</LOMN>
                                  <LOMCN>1</LOMCN>
                                  <LOSN>1</LOSN>
                                  <LOEN>10</LOEN>
                                  <LOCN>14</LOCN>
                                </LnkInProps>
                              </LnkIn>
                            </Ctg>
                            <Ctg>
                              <CtgProps>
                                <R>6</R>
                              </CtgProps>
                              <LnkIn>
                                <LnkInProps>
                                  <MN>14</MN>
                                  <CLI>1,1,39,False,15</CLI>
                                  <ELN>1</ELN>
                                  <LOOT>0</LOOT>
                                  <LOMN>3</LOMN>
                                  <LOMCN>1</LOMCN>
                                  <LOSN>1</LOSN>
                                  <LOEN>10</LOEN>
                                  <LOCN>15</LOCN>
                                </LnkInProps>
                              </LnkIn>
                            </Ctg>
                            <Ctg>
                              <CtgProps>
                                <R>6</R>
                              </CtgProps>
                              <LnkIn>
                                <LnkInProps>
                                  <MN>14</MN>
                                  <CLI>1,1,39,False,16</CLI>
                                  <ELN>1</ELN>
                                  <LOOT>0</LOOT>
                                  <LOMN>3</LOMN>
                                  <LOMCN>1</LOMCN>
                                  <LOSN>1</LOSN>
                                  <LOEN>10</LOEN>
                                  <LOCN>16</LOCN>
                                </LnkInProps>
                              </LnkIn>
                            </Ctg>
                            <Ctg>
                              <CtgProps>
                                <R>6</R>
                              </CtgProps>
                              <LnkIn>
                                <LnkInProps>
                                  <MN>14</MN>
                                  <CLI>1,1,39,False,17</CLI>
                                  <ELN>1</ELN>
                                  <LOOT>0</LOOT>
                                  <LOMN>3</LOMN>
                                  <LOMCN>1</LOMCN>
                                  <LOSN>1</LOSN>
                                  <LOEN>10</LOEN>
                                  <LOCN>17</LOCN>
                                </LnkInProps>
                              </LnkIn>
                            </Ctg>
                            <Ctg>
                              <CtgProps>
                                <R>6</R>
                              </CtgProps>
                              <LnkIn>
                                <LnkInProps>
                                  <MN>14</MN>
                                  <CLI>1,1,39,False,18</CLI>
                                  <ELN>1</ELN>
                                  <LOOT>0</LOOT>
                                  <LOMN>3</LOMN>
                                  <LOMCN>1</LOMCN>
                                  <LOSN>1</LOSN>
                                  <LOEN>10</LOEN>
                                  <LOCN>18</LOCN>
                                </LnkInProps>
                              </LnkIn>
                            </Ctg>
                            <Ctg>
                              <CtgProps>
                                <R>6</R>
                              </CtgProps>
                              <LnkIn>
                                <LnkInProps>
                                  <MN>14</MN>
                                  <CLI>1,1,39,False,19</CLI>
                                  <ELN>1</ELN>
                                  <LOOT>0</LOOT>
                                  <LOMN>3</LOMN>
                                  <LOMCN>1</LOMCN>
                                  <LOSN>1</LOSN>
                                  <LOEN>10</LOEN>
                                  <LOCN>19</LOCN>
                                </LnkInProps>
                              </LnkIn>
                            </Ctg>
                            <Ctg>
                              <CtgProps>
                                <R>6</R>
                              </CtgProps>
                              <LnkIn>
                                <LnkInProps>
                                  <MN>14</MN>
                                  <CLI>1,1,39,False,20</CLI>
                                  <ELN>1</ELN>
                                  <LOOT>0</LOOT>
                                  <LOMN>3</LOMN>
                                  <LOMCN>1</LOMCN>
                                  <LOSN>1</LOSN>
                                  <LOEN>10</LOEN>
                                  <LOCN>20</LOCN>
                                </LnkInProps>
                              </LnkIn>
                            </Ctg>
                            <Ctg>
                              <CtgProps>
                                <R>6</R>
                              </CtgProps>
                              <LnkIn>
                                <LnkInProps>
                                  <MN>14</MN>
                                  <CLI>1,1,39,False,21</CLI>
                                  <ELN>1</ELN>
                                  <LOOT>0</LOOT>
                                  <LOMN>3</LOMN>
                                  <LOMCN>1</LOMCN>
                                  <LOSN>1</LOSN>
                                  <LOEN>10</LOEN>
                                  <LOCN>21</LOCN>
                                </LnkInProps>
                              </LnkIn>
                            </Ctg>
                            <Ctg>
                              <CtgProps>
                                <R>6</R>
                              </CtgProps>
                              <LnkIn>
                                <LnkInProps>
                                  <MN>14</MN>
                                  <CLI>1,1,39,False,22</CLI>
                                  <ELN>1</ELN>
                                  <LOOT>0</LOOT>
                                  <LOMN>3</LOMN>
                                  <LOMCN>1</LOMCN>
                                  <LOSN>1</LOSN>
                                  <LOEN>10</LOEN>
                                  <LOCN>22</LOCN>
                                </LnkInProps>
                              </LnkIn>
                            </Ctg>
                            <Ctg>
                              <CtgProps>
                                <R>6</R>
                              </CtgProps>
                              <LnkIn>
                                <LnkInProps>
                                  <MN>14</MN>
                                  <CLI>1,1,39,False,23</CLI>
                                  <ELN>1</ELN>
                                  <LOOT>0</LOOT>
                                  <LOMN>3</LOMN>
                                  <LOMCN>1</LOMCN>
                                  <LOSN>1</LOSN>
                                  <LOEN>10</LOEN>
                                  <LOCN>23</LOCN>
                                </LnkInProps>
                              </LnkIn>
                            </Ctg>
                            <Ctg>
                              <CtgProps>
                                <R>6</R>
                              </CtgProps>
                              <LnkIn>
                                <LnkInProps>
                                  <MN>14</MN>
                                  <CLI>1,1,39,False,24</CLI>
                                  <ELN>1</ELN>
                                  <LOOT>0</LOOT>
                                  <LOMN>3</LOMN>
                                  <LOMCN>1</LOMCN>
                                  <LOSN>1</LOSN>
                                  <LOEN>10</LOEN>
                                  <LOCN>24</LOCN>
                                </LnkInProps>
                              </LnkIn>
                            </Ctg>
                            <Ctg>
                              <CtgProps>
                                <R>6</R>
                              </CtgProps>
                              <LnkIn>
                                <LnkInProps>
                                  <MN>14</MN>
                                  <CLI>1,1,39,False,25</CLI>
                                  <ELN>1</ELN>
                                  <LOOT>0</LOOT>
                                  <LOMN>3</LOMN>
                                  <LOMCN>1</LOMCN>
                                  <LOSN>1</LOSN>
                                  <LOEN>10</LOEN>
                                  <LOCN>25</LOCN>
                                </LnkInProps>
                              </LnkIn>
                            </Ctg>
                            <Ctg>
                              <CtgProps>
                                <R>6</R>
                              </CtgProps>
                              <LnkIn>
                                <LnkInProps>
                                  <MN>14</MN>
                                  <CLI>1,1,39,False,26</CLI>
                                  <ELN>1</ELN>
                                  <LOOT>0</LOOT>
                                  <LOMN>3</LOMN>
                                  <LOMCN>1</LOMCN>
                                  <LOSN>1</LOSN>
                                  <LOEN>10</LOEN>
                                  <LOCN>26</LOCN>
                                </LnkInProps>
                              </LnkIn>
                            </Ctg>
                            <Ctg>
                              <CtgProps>
                                <R>6</R>
                              </CtgProps>
                              <LnkIn>
                                <LnkInProps>
                                  <MN>14</MN>
                                  <CLI>1,1,39,False,27</CLI>
                                  <ELN>1</ELN>
                                  <LOOT>0</LOOT>
                                  <LOMN>3</LOMN>
                                  <LOMCN>1</LOMCN>
                                  <LOSN>1</LOSN>
                                  <LOEN>10</LOEN>
                                  <LOCN>27</LOCN>
                                </LnkInProps>
                              </LnkIn>
                            </Ctg>
                            <Ctg>
                              <CtgProps>
                                <R>6</R>
                              </CtgProps>
                              <LnkIn>
                                <LnkInProps>
                                  <MN>14</MN>
                                  <CLI>1,1,39,False,28</CLI>
                                  <ELN>1</ELN>
                                  <LOOT>0</LOOT>
                                  <LOMN>3</LOMN>
                                  <LOMCN>1</LOMCN>
                                  <LOSN>1</LOSN>
                                  <LOEN>10</LOEN>
                                  <LOCN>28</LOCN>
                                </LnkInProps>
                              </LnkIn>
                            </Ctg>
                            <Ctg>
                              <CtgProps>
                                <R>6</R>
                              </CtgProps>
                              <LnkIn>
                                <LnkInProps>
                                  <MN>14</MN>
                                  <CLI>1,1,39,False,29</CLI>
                                  <ELN>1</ELN>
                                  <LOOT>0</LOOT>
                                  <LOMN>3</LOMN>
                                  <LOMCN>1</LOMCN>
                                  <LOSN>1</LOSN>
                                  <LOEN>10</LOEN>
                                  <LOCN>29</LOCN>
                                </LnkInProps>
                              </LnkIn>
                            </Ctg>
                            <Ctg>
                              <CtgProps>
                                <R>6</R>
                              </CtgProps>
                              <LnkIn>
                                <LnkInProps>
                                  <MN>14</MN>
                                  <CLI>1,1,39,False,30</CLI>
                                  <ELN>1</ELN>
                                  <LOOT>0</LOOT>
                                  <LOMN>3</LOMN>
                                  <LOMCN>1</LOMCN>
                                  <LOSN>1</LOSN>
                                  <LOEN>10</LOEN>
                                  <LOCN>30</LOCN>
                                </LnkInProps>
                              </LnkIn>
                            </Ctg>
                            <Ctg>
                              <CtgProps>
                                <R>6</R>
                              </CtgProps>
                              <LnkIn>
                                <LnkInProps>
                                  <MN>14</MN>
                                  <CLI>1,1,39,False,31</CLI>
                                  <ELN>1</ELN>
                                  <LOOT>0</LOOT>
                                  <LOMN>3</LOMN>
                                  <LOMCN>1</LOMCN>
                                  <LOSN>1</LOSN>
                                  <LOEN>10</LOEN>
                                  <LOCN>31</LOCN>
                                </LnkInProps>
                              </LnkIn>
                            </Ctg>
                            <Ctg>
                              <CtgProps>
                                <R>6</R>
                              </CtgProps>
                              <LnkIn>
                                <LnkInProps>
                                  <MN>14</MN>
                                  <CLI>1,1,39,False,32</CLI>
                                  <ELN>1</ELN>
                                  <LOOT>0</LOOT>
                                  <LOMN>3</LOMN>
                                  <LOMCN>1</LOMCN>
                                  <LOSN>1</LOSN>
                                  <LOEN>10</LOEN>
                                  <LOCN>32</LOCN>
                                </LnkInProps>
                              </LnkIn>
                            </Ctg>
                            <Ctg>
                              <CtgProps>
                                <R>6</R>
                              </CtgProps>
                              <LnkIn>
                                <LnkInProps>
                                  <MN>14</MN>
                                  <CLI>1,1,39,False,33</CLI>
                                  <ELN>1</ELN>
                                  <LOOT>0</LOOT>
                                  <LOMN>3</LOMN>
                                  <LOMCN>1</LOMCN>
                                  <LOSN>1</LOSN>
                                  <LOEN>10</LOEN>
                                  <LOCN>33</LOCN>
                                </LnkInProps>
                              </LnkIn>
                            </Ctg>
                            <Ctg>
                              <CtgProps>
                                <R>6</R>
                              </CtgProps>
                              <LnkIn>
                                <LnkInProps>
                                  <MN>14</MN>
                                  <CLI>1,1,39,False,34</CLI>
                                  <ELN>1</ELN>
                                  <LOOT>0</LOOT>
                                  <LOMN>3</LOMN>
                                  <LOMCN>1</LOMCN>
                                  <LOSN>1</LOSN>
                                  <LOEN>10</LOEN>
                                  <LOCN>34</LOCN>
                                </LnkInProps>
                              </LnkIn>
                            </Ctg>
                            <Ctg>
                              <CtgProps>
                                <R>6</R>
                              </CtgProps>
                              <LnkIn>
                                <LnkInProps>
                                  <MN>14</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1,1,42,False,1</CLI>
                                  <ELN>1</ELN>
                                  <LOOT>0</LOOT>
                                  <LOMN>3</LOMN>
                                  <LOMCN>1</LOMCN>
                                  <LOSN>1</LOSN>
                                  <LOEN>15</LOEN>
                                  <LOCN>1</LOCN>
                                </LnkInProps>
                              </LnkIn>
                            </Ctg>
                            <Ctg>
                              <CtgProps>
                                <R>5</R>
                              </CtgProps>
                              <LnkIn>
                                <LnkInProps>
                                  <MN>14</MN>
                                  <CLI>1,1,42,False,2</CLI>
                                  <ELN>1</ELN>
                                  <LOOT>0</LOOT>
                                  <LOMN>3</LOMN>
                                  <LOMCN>1</LOMCN>
                                  <LOSN>1</LOSN>
                                  <LOEN>15</LOEN>
                                  <LOCN>2</LOCN>
                                </LnkInProps>
                              </LnkIn>
                            </Ctg>
                            <Ctg>
                              <CtgProps>
                                <R>5</R>
                              </CtgProps>
                              <LnkIn>
                                <LnkInProps>
                                  <MN>14</MN>
                                  <CLI>1,1,42,False,3</CLI>
                                  <ELN>1</ELN>
                                  <LOOT>0</LOOT>
                                  <LOMN>3</LOMN>
                                  <LOMCN>1</LOMCN>
                                  <LOSN>1</LOSN>
                                  <LOEN>15</LOEN>
                                  <LOCN>3</LOCN>
                                </LnkInProps>
                              </LnkIn>
                            </Ctg>
                            <Ctg>
                              <CtgProps>
                                <R>5</R>
                              </CtgProps>
                              <LnkIn>
                                <LnkInProps>
                                  <MN>14</MN>
                                  <CLI>1,1,42,False,4</CLI>
                                  <ELN>1</ELN>
                                  <LOOT>0</LOOT>
                                  <LOMN>3</LOMN>
                                  <LOMCN>1</LOMCN>
                                  <LOSN>1</LOSN>
                                  <LOEN>15</LOEN>
                                  <LOCN>4</LOCN>
                                </LnkInProps>
                              </LnkIn>
                            </Ctg>
                            <Ctg>
                              <CtgProps>
                                <R>6</R>
                              </CtgProps>
                              <LnkIn>
                                <LnkInProps>
                                  <MN>14</MN>
                                  <CLI>1,1,42,False,5</CLI>
                                  <ELN>1</ELN>
                                  <LOOT>0</LOOT>
                                  <LOMN>3</LOMN>
                                  <LOMCN>1</LOMCN>
                                  <LOSN>1</LOSN>
                                  <LOEN>15</LOEN>
                                  <LOCN>5</LOCN>
                                </LnkInProps>
                              </LnkIn>
                            </Ctg>
                            <Ctg>
                              <CtgProps>
                                <R>6</R>
                              </CtgProps>
                              <LnkIn>
                                <LnkInProps>
                                  <MN>14</MN>
                                  <CLI>1,1,42,False,6</CLI>
                                  <ELN>1</ELN>
                                  <LOOT>0</LOOT>
                                  <LOMN>3</LOMN>
                                  <LOMCN>1</LOMCN>
                                  <LOSN>1</LOSN>
                                  <LOEN>15</LOEN>
                                  <LOCN>6</LOCN>
                                </LnkInProps>
                              </LnkIn>
                            </Ctg>
                            <Ctg>
                              <CtgProps>
                                <R>6</R>
                              </CtgProps>
                              <LnkIn>
                                <LnkInProps>
                                  <MN>14</MN>
                                  <CLI>1,1,42,False,7</CLI>
                                  <ELN>1</ELN>
                                  <LOOT>0</LOOT>
                                  <LOMN>3</LOMN>
                                  <LOMCN>1</LOMCN>
                                  <LOSN>1</LOSN>
                                  <LOEN>15</LOEN>
                                  <LOCN>7</LOCN>
                                </LnkInProps>
                              </LnkIn>
                            </Ctg>
                            <Ctg>
                              <CtgProps>
                                <R>6</R>
                              </CtgProps>
                              <LnkIn>
                                <LnkInProps>
                                  <MN>14</MN>
                                  <CLI>1,1,42,False,8</CLI>
                                  <ELN>1</ELN>
                                  <LOOT>0</LOOT>
                                  <LOMN>3</LOMN>
                                  <LOMCN>1</LOMCN>
                                  <LOSN>1</LOSN>
                                  <LOEN>15</LOEN>
                                  <LOCN>8</LOCN>
                                </LnkInProps>
                              </LnkIn>
                            </Ctg>
                            <Ctg>
                              <CtgProps>
                                <R>6</R>
                              </CtgProps>
                              <LnkIn>
                                <LnkInProps>
                                  <MN>14</MN>
                                  <CLI>1,1,42,False,9</CLI>
                                  <ELN>1</ELN>
                                  <LOOT>0</LOOT>
                                  <LOMN>3</LOMN>
                                  <LOMCN>1</LOMCN>
                                  <LOSN>1</LOSN>
                                  <LOEN>15</LOEN>
                                  <LOCN>9</LOCN>
                                </LnkInProps>
                              </LnkIn>
                            </Ctg>
                            <Ctg>
                              <CtgProps>
                                <R>6</R>
                              </CtgProps>
                              <LnkIn>
                                <LnkInProps>
                                  <MN>14</MN>
                                  <CLI>1,1,42,False,10</CLI>
                                  <ELN>1</ELN>
                                  <LOOT>0</LOOT>
                                  <LOMN>3</LOMN>
                                  <LOMCN>1</LOMCN>
                                  <LOSN>1</LOSN>
                                  <LOEN>15</LOEN>
                                  <LOCN>10</LOCN>
                                </LnkInProps>
                              </LnkIn>
                            </Ctg>
                            <Ctg>
                              <CtgProps>
                                <R>6</R>
                              </CtgProps>
                              <LnkIn>
                                <LnkInProps>
                                  <MN>14</MN>
                                  <CLI>1,1,42,False,11</CLI>
                                  <ELN>1</ELN>
                                  <LOOT>0</LOOT>
                                  <LOMN>3</LOMN>
                                  <LOMCN>1</LOMCN>
                                  <LOSN>1</LOSN>
                                  <LOEN>15</LOEN>
                                  <LOCN>11</LOCN>
                                </LnkInProps>
                              </LnkIn>
                            </Ctg>
                            <Ctg>
                              <CtgProps>
                                <R>6</R>
                              </CtgProps>
                              <LnkIn>
                                <LnkInProps>
                                  <MN>14</MN>
                                  <CLI>1,1,42,False,12</CLI>
                                  <ELN>1</ELN>
                                  <LOOT>0</LOOT>
                                  <LOMN>3</LOMN>
                                  <LOMCN>1</LOMCN>
                                  <LOSN>1</LOSN>
                                  <LOEN>15</LOEN>
                                  <LOCN>12</LOCN>
                                </LnkInProps>
                              </LnkIn>
                            </Ctg>
                            <Ctg>
                              <CtgProps>
                                <R>6</R>
                              </CtgProps>
                              <LnkIn>
                                <LnkInProps>
                                  <MN>14</MN>
                                  <CLI>1,1,42,False,13</CLI>
                                  <ELN>1</ELN>
                                  <LOOT>0</LOOT>
                                  <LOMN>3</LOMN>
                                  <LOMCN>1</LOMCN>
                                  <LOSN>1</LOSN>
                                  <LOEN>15</LOEN>
                                  <LOCN>13</LOCN>
                                </LnkInProps>
                              </LnkIn>
                            </Ctg>
                            <Ctg>
                              <CtgProps>
                                <R>6</R>
                              </CtgProps>
                              <LnkIn>
                                <LnkInProps>
                                  <MN>14</MN>
                                  <CLI>1,1,42,False,14</CLI>
                                  <ELN>1</ELN>
                                  <LOOT>0</LOOT>
                                  <LOMN>3</LOMN>
                                  <LOMCN>1</LOMCN>
                                  <LOSN>1</LOSN>
                                  <LOEN>15</LOEN>
                                  <LOCN>14</LOCN>
                                </LnkInProps>
                              </LnkIn>
                            </Ctg>
                            <Ctg>
                              <CtgProps>
                                <R>6</R>
                              </CtgProps>
                              <LnkIn>
                                <LnkInProps>
                                  <MN>14</MN>
                                  <CLI>1,1,42,False,15</CLI>
                                  <ELN>1</ELN>
                                  <LOOT>0</LOOT>
                                  <LOMN>3</LOMN>
                                  <LOMCN>1</LOMCN>
                                  <LOSN>1</LOSN>
                                  <LOEN>15</LOEN>
                                  <LOCN>15</LOCN>
                                </LnkInProps>
                              </LnkIn>
                            </Ctg>
                            <Ctg>
                              <CtgProps>
                                <R>6</R>
                              </CtgProps>
                              <LnkIn>
                                <LnkInProps>
                                  <MN>14</MN>
                                  <CLI>1,1,42,False,16</CLI>
                                  <ELN>1</ELN>
                                  <LOOT>0</LOOT>
                                  <LOMN>3</LOMN>
                                  <LOMCN>1</LOMCN>
                                  <LOSN>1</LOSN>
                                  <LOEN>15</LOEN>
                                  <LOCN>16</LOCN>
                                </LnkInProps>
                              </LnkIn>
                            </Ctg>
                            <Ctg>
                              <CtgProps>
                                <R>5</R>
                              </CtgProps>
                              <LnkIn>
                                <LnkInProps>
                                  <MN>14</MN>
                                  <CLI>1,1,42,False,17</CLI>
                                  <ELN>1</ELN>
                                  <LOOT>0</LOOT>
                                  <LOMN>3</LOMN>
                                  <LOMCN>1</LOMCN>
                                  <LOSN>1</LOSN>
                                  <LOEN>15</LOEN>
                                  <LOCN>17</LOCN>
                                </LnkInProps>
                              </LnkIn>
                            </Ctg>
                            <Ctg>
                              <CtgProps>
                                <R>5</R>
                              </CtgProps>
                              <LnkIn>
                                <LnkInProps>
                                  <MN>14</MN>
                                  <CLI>1,1,42,False,18</CLI>
                                  <ELN>1</ELN>
                                  <LOOT>0</LOOT>
                                  <LOMN>3</LOMN>
                                  <LOMCN>1</LOMCN>
                                  <LOSN>1</LOSN>
                                  <LOEN>15</LOEN>
                                  <LOCN>18</LOCN>
                                </LnkInProps>
                              </LnkIn>
                            </Ctg>
                            <Ctg>
                              <CtgProps>
                                <R>5</R>
                              </CtgProps>
                              <LnkIn>
                                <LnkInProps>
                                  <MN>14</MN>
                                  <CLI>1,1,42,False,19</CLI>
                                  <ELN>1</ELN>
                                  <LOOT>0</LOOT>
                                  <LOMN>3</LOMN>
                                  <LOMCN>1</LOMCN>
                                  <LOSN>1</LOSN>
                                  <LOEN>15</LOEN>
                                  <LOCN>19</LOCN>
                                </LnkInProps>
                              </LnkIn>
                            </Ctg>
                            <Ctg>
                              <CtgProps>
                                <R>5</R>
                              </CtgProps>
                              <LnkIn>
                                <LnkInProps>
                                  <MN>14</MN>
                                  <CLI>1,1,42,False,20</CLI>
                                  <ELN>1</ELN>
                                  <LOOT>0</LOOT>
                                  <LOMN>3</LOMN>
                                  <LOMCN>1</LOMCN>
                                  <LOSN>1</LOSN>
                                  <LOEN>15</LOEN>
                                  <LOCN>20</LOCN>
                                </LnkInProps>
                              </LnkIn>
                            </Ctg>
                            <Ctg>
                              <CtgProps>
                                <R>5</R>
                              </CtgProps>
                              <LnkIn>
                                <LnkInProps>
                                  <MN>14</MN>
                                  <CLI>1,1,42,False,21</CLI>
                                  <ELN>1</ELN>
                                  <LOOT>0</LOOT>
                                  <LOMN>3</LOMN>
                                  <LOMCN>1</LOMCN>
                                  <LOSN>1</LOSN>
                                  <LOEN>15</LOEN>
                                  <LOCN>21</LOCN>
                                </LnkInProps>
                              </LnkIn>
                            </Ctg>
                            <Ctg>
                              <CtgProps>
                                <R>5</R>
                              </CtgProps>
                              <LnkIn>
                                <LnkInProps>
                                  <MN>14</MN>
                                  <CLI>1,1,42,False,22</CLI>
                                  <ELN>1</ELN>
                                  <LOOT>0</LOOT>
                                  <LOMN>3</LOMN>
                                  <LOMCN>1</LOMCN>
                                  <LOSN>1</LOSN>
                                  <LOEN>15</LOEN>
                                  <LOCN>22</LOCN>
                                </LnkInProps>
                              </LnkIn>
                            </Ctg>
                            <Ctg>
                              <CtgProps>
                                <R>6</R>
                              </CtgProps>
                              <LnkIn>
                                <LnkInProps>
                                  <MN>14</MN>
                                  <CLI>1,1,42,False,23</CLI>
                                  <ELN>1</ELN>
                                  <LOOT>0</LOOT>
                                  <LOMN>3</LOMN>
                                  <LOMCN>1</LOMCN>
                                  <LOSN>1</LOSN>
                                  <LOEN>15</LOEN>
                                  <LOCN>23</LOCN>
                                </LnkInProps>
                              </LnkIn>
                            </Ctg>
                            <Ctg>
                              <CtgProps>
                                <R>6</R>
                              </CtgProps>
                              <LnkIn>
                                <LnkInProps>
                                  <MN>14</MN>
                                  <CLI>1,1,42,False,24</CLI>
                                  <ELN>1</ELN>
                                  <LOOT>0</LOOT>
                                  <LOMN>3</LOMN>
                                  <LOMCN>1</LOMCN>
                                  <LOSN>1</LOSN>
                                  <LOEN>15</LOEN>
                                  <LOCN>24</LOCN>
                                </LnkInProps>
                              </LnkIn>
                            </Ctg>
                            <Ctg>
                              <CtgProps>
                                <R>6</R>
                              </CtgProps>
                              <LnkIn>
                                <LnkInProps>
                                  <MN>14</MN>
                                  <CLI>1,1,42,False,25</CLI>
                                  <ELN>1</ELN>
                                  <LOOT>0</LOOT>
                                  <LOMN>3</LOMN>
                                  <LOMCN>1</LOMCN>
                                  <LOSN>1</LOSN>
                                  <LOEN>15</LOEN>
                                  <LOCN>25</LOCN>
                                </LnkInProps>
                              </LnkIn>
                            </Ctg>
                            <Ctg>
                              <CtgProps>
                                <R>6</R>
                              </CtgProps>
                              <LnkIn>
                                <LnkInProps>
                                  <MN>14</MN>
                                  <CLI>1,1,42,False,26</CLI>
                                  <ELN>1</ELN>
                                  <LOOT>0</LOOT>
                                  <LOMN>3</LOMN>
                                  <LOMCN>1</LOMCN>
                                  <LOSN>1</LOSN>
                                  <LOEN>15</LOEN>
                                  <LOCN>26</LOCN>
                                </LnkInProps>
                              </LnkIn>
                            </Ctg>
                            <Ctg>
                              <CtgProps>
                                <R>6</R>
                              </CtgProps>
                              <LnkIn>
                                <LnkInProps>
                                  <MN>14</MN>
                                  <CLI>1,1,42,False,27</CLI>
                                  <ELN>1</ELN>
                                  <LOOT>0</LOOT>
                                  <LOMN>3</LOMN>
                                  <LOMCN>1</LOMCN>
                                  <LOSN>1</LOSN>
                                  <LOEN>15</LOEN>
                                  <LOCN>27</LOCN>
                                </LnkInProps>
                              </LnkIn>
                            </Ctg>
                            <Ctg>
                              <CtgProps>
                                <R>6</R>
                              </CtgProps>
                              <LnkIn>
                                <LnkInProps>
                                  <MN>14</MN>
                                  <CLI>1,1,42,False,28</CLI>
                                  <ELN>1</ELN>
                                  <LOOT>0</LOOT>
                                  <LOMN>3</LOMN>
                                  <LOMCN>1</LOMCN>
                                  <LOSN>1</LOSN>
                                  <LOEN>15</LOEN>
                                  <LOCN>28</LOCN>
                                </LnkInProps>
                              </LnkIn>
                            </Ctg>
                            <Ctg>
                              <CtgProps>
                                <R>6</R>
                              </CtgProps>
                              <LnkIn>
                                <LnkInProps>
                                  <MN>14</MN>
                                  <CLI>1,1,42,False,29</CLI>
                                  <ELN>1</ELN>
                                  <LOOT>0</LOOT>
                                  <LOMN>3</LOMN>
                                  <LOMCN>1</LOMCN>
                                  <LOSN>1</LOSN>
                                  <LOEN>15</LOEN>
                                  <LOCN>29</LOCN>
                                </LnkInProps>
                              </LnkIn>
                            </Ctg>
                            <Ctg>
                              <CtgProps>
                                <R>6</R>
                              </CtgProps>
                              <LnkIn>
                                <LnkInProps>
                                  <MN>14</MN>
                                  <CLI>1,1,42,False,30</CLI>
                                  <ELN>1</ELN>
                                  <LOOT>0</LOOT>
                                  <LOMN>3</LOMN>
                                  <LOMCN>1</LOMCN>
                                  <LOSN>1</LOSN>
                                  <LOEN>15</LOEN>
                                  <LOCN>30</LOCN>
                                </LnkInProps>
                              </LnkIn>
                            </Ctg>
                            <Ctg>
                              <CtgProps>
                                <R>5</R>
                              </CtgProps>
                              <LnkIn>
                                <LnkInProps>
                                  <MN>14</MN>
                                  <CLI>1,1,42,False,31</CLI>
                                  <ELN>1</ELN>
                                  <LOOT>0</LOOT>
                                  <LOMN>3</LOMN>
                                  <LOMCN>1</LOMCN>
                                  <LOSN>1</LOSN>
                                  <LOEN>15</LOEN>
                                  <LOCN>31</LOCN>
                                </LnkInProps>
                              </LnkIn>
                            </Ctg>
                            <Ctg>
                              <CtgProps>
                                <R>5</R>
                              </CtgProps>
                              <LnkIn>
                                <LnkInProps>
                                  <MN>14</MN>
                                  <CLI>1,1,42,False,32</CLI>
                                  <ELN>1</ELN>
                                  <LOOT>0</LOOT>
                                  <LOMN>3</LOMN>
                                  <LOMCN>1</LOMCN>
                                  <LOSN>1</LOSN>
                                  <LOEN>15</LOEN>
                                  <LOCN>32</LOCN>
                                </LnkInProps>
                              </LnkIn>
                            </Ctg>
                            <Ctg>
                              <CtgProps>
                                <R>5</R>
                              </CtgProps>
                              <LnkIn>
                                <LnkInProps>
                                  <MN>14</MN>
                                  <CLI>1,1,42,False,33</CLI>
                                  <ELN>1</ELN>
                                  <LOOT>0</LOOT>
                                  <LOMN>3</LOMN>
                                  <LOMCN>1</LOMCN>
                                  <LOSN>1</LOSN>
                                  <LOEN>15</LOEN>
                                  <LOCN>33</LOCN>
                                </LnkInProps>
                              </LnkIn>
                            </Ctg>
                            <Ctg>
                              <CtgProps>
                                <R>5</R>
                              </CtgProps>
                              <LnkIn>
                                <LnkInProps>
                                  <MN>14</MN>
                                  <CLI>1,1,42,False,34</CLI>
                                  <ELN>1</ELN>
                                  <LOOT>0</LOOT>
                                  <LOMN>3</LOMN>
                                  <LOMCN>1</LOMCN>
                                  <LOSN>1</LOSN>
                                  <LOEN>15</LOEN>
                                  <LOCN>34</LOCN>
                                </LnkInProps>
                              </LnkIn>
                            </Ctg>
                            <Ctg>
                              <CtgProps>
                                <R>5</R>
                              </CtgProps>
                              <LnkIn>
                                <LnkInProps>
                                  <MN>14</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1,1,46,False,1</CLI>
                                  <ELN>1</ELN>
                                  <LOOT>0</LOOT>
                                  <LOMN>3</LOMN>
                                  <LOMCN>1</LOMCN>
                                  <LOSN>1</LOSN>
                                  <LOEN>19</LOEN>
                                  <LOCN>1</LOCN>
                                </LnkInProps>
                              </LnkIn>
                            </Ctg>
                            <Ctg>
                              <CtgProps>
                                <R>5</R>
                              </CtgProps>
                              <LnkIn>
                                <LnkInProps>
                                  <MN>14</MN>
                                  <CLI>1,1,46,False,2</CLI>
                                  <ELN>1</ELN>
                                  <LOOT>0</LOOT>
                                  <LOMN>3</LOMN>
                                  <LOMCN>1</LOMCN>
                                  <LOSN>1</LOSN>
                                  <LOEN>19</LOEN>
                                  <LOCN>2</LOCN>
                                </LnkInProps>
                              </LnkIn>
                            </Ctg>
                            <Ctg>
                              <CtgProps>
                                <R>5</R>
                              </CtgProps>
                              <LnkIn>
                                <LnkInProps>
                                  <MN>14</MN>
                                  <CLI>1,1,46,False,3</CLI>
                                  <ELN>1</ELN>
                                  <LOOT>0</LOOT>
                                  <LOMN>3</LOMN>
                                  <LOMCN>1</LOMCN>
                                  <LOSN>1</LOSN>
                                  <LOEN>19</LOEN>
                                  <LOCN>3</LOCN>
                                </LnkInProps>
                              </LnkIn>
                            </Ctg>
                            <Ctg>
                              <CtgProps>
                                <R>5</R>
                              </CtgProps>
                              <LnkIn>
                                <LnkInProps>
                                  <MN>14</MN>
                                  <CLI>1,1,46,False,4</CLI>
                                  <ELN>1</ELN>
                                  <LOOT>0</LOOT>
                                  <LOMN>3</LOMN>
                                  <LOMCN>1</LOMCN>
                                  <LOSN>1</LOSN>
                                  <LOEN>19</LOEN>
                                  <LOCN>4</LOCN>
                                </LnkInProps>
                              </LnkIn>
                            </Ctg>
                            <Ctg>
                              <CtgProps>
                                <R>5</R>
                              </CtgProps>
                              <LnkIn>
                                <LnkInProps>
                                  <MN>14</MN>
                                  <CLI>1,1,46,False,5</CLI>
                                  <ELN>1</ELN>
                                  <LOOT>0</LOOT>
                                  <LOMN>3</LOMN>
                                  <LOMCN>1</LOMCN>
                                  <LOSN>1</LOSN>
                                  <LOEN>19</LOEN>
                                  <LOCN>5</LOCN>
                                </LnkInProps>
                              </LnkIn>
                            </Ctg>
                            <Ctg>
                              <CtgProps>
                                <R>5</R>
                              </CtgProps>
                              <LnkIn>
                                <LnkInProps>
                                  <MN>14</MN>
                                  <CLI>1,1,46,False,6</CLI>
                                  <ELN>1</ELN>
                                  <LOOT>0</LOOT>
                                  <LOMN>3</LOMN>
                                  <LOMCN>1</LOMCN>
                                  <LOSN>1</LOSN>
                                  <LOEN>19</LOEN>
                                  <LOCN>6</LOCN>
                                </LnkInProps>
                              </LnkIn>
                            </Ctg>
                            <Ctg>
                              <CtgProps>
                                <R>5</R>
                              </CtgProps>
                              <LnkIn>
                                <LnkInProps>
                                  <MN>14</MN>
                                  <CLI>1,1,46,False,7</CLI>
                                  <ELN>1</ELN>
                                  <LOOT>0</LOOT>
                                  <LOMN>3</LOMN>
                                  <LOMCN>1</LOMCN>
                                  <LOSN>1</LOSN>
                                  <LOEN>19</LOEN>
                                  <LOCN>7</LOCN>
                                </LnkInProps>
                              </LnkIn>
                            </Ctg>
                            <Ctg>
                              <CtgProps>
                                <R>5</R>
                              </CtgProps>
                              <LnkIn>
                                <LnkInProps>
                                  <MN>14</MN>
                                  <CLI>1,1,46,False,8</CLI>
                                  <ELN>1</ELN>
                                  <LOOT>0</LOOT>
                                  <LOMN>3</LOMN>
                                  <LOMCN>1</LOMCN>
                                  <LOSN>1</LOSN>
                                  <LOEN>19</LOEN>
                                  <LOCN>8</LOCN>
                                </LnkInProps>
                              </LnkIn>
                            </Ctg>
                            <Ctg>
                              <CtgProps>
                                <R>5</R>
                              </CtgProps>
                              <LnkIn>
                                <LnkInProps>
                                  <MN>14</MN>
                                  <CLI>1,1,46,False,9</CLI>
                                  <ELN>1</ELN>
                                  <LOOT>0</LOOT>
                                  <LOMN>3</LOMN>
                                  <LOMCN>1</LOMCN>
                                  <LOSN>1</LOSN>
                                  <LOEN>19</LOEN>
                                  <LOCN>9</LOCN>
                                </LnkInProps>
                              </LnkIn>
                            </Ctg>
                            <Ctg>
                              <CtgProps>
                                <R>5</R>
                              </CtgProps>
                              <LnkIn>
                                <LnkInProps>
                                  <MN>14</MN>
                                  <CLI>1,1,46,False,10</CLI>
                                  <ELN>1</ELN>
                                  <LOOT>0</LOOT>
                                  <LOMN>3</LOMN>
                                  <LOMCN>1</LOMCN>
                                  <LOSN>1</LOSN>
                                  <LOEN>19</LOEN>
                                  <LOCN>10</LOCN>
                                </LnkInProps>
                              </LnkIn>
                            </Ctg>
                            <Ctg>
                              <CtgProps>
                                <R>5</R>
                              </CtgProps>
                              <LnkIn>
                                <LnkInProps>
                                  <MN>14</MN>
                                  <CLI>1,1,46,False,11</CLI>
                                  <ELN>1</ELN>
                                  <LOOT>0</LOOT>
                                  <LOMN>3</LOMN>
                                  <LOMCN>1</LOMCN>
                                  <LOSN>1</LOSN>
                                  <LOEN>19</LOEN>
                                  <LOCN>11</LOCN>
                                </LnkInProps>
                              </LnkIn>
                            </Ctg>
                            <Ctg>
                              <CtgProps>
                                <R>5</R>
                              </CtgProps>
                              <LnkIn>
                                <LnkInProps>
                                  <MN>14</MN>
                                  <CLI>1,1,46,False,12</CLI>
                                  <ELN>1</ELN>
                                  <LOOT>0</LOOT>
                                  <LOMN>3</LOMN>
                                  <LOMCN>1</LOMCN>
                                  <LOSN>1</LOSN>
                                  <LOEN>19</LOEN>
                                  <LOCN>12</LOCN>
                                </LnkInProps>
                              </LnkIn>
                            </Ctg>
                            <Ctg>
                              <CtgProps>
                                <R>5</R>
                              </CtgProps>
                              <LnkIn>
                                <LnkInProps>
                                  <MN>14</MN>
                                  <CLI>1,1,46,False,13</CLI>
                                  <ELN>1</ELN>
                                  <LOOT>0</LOOT>
                                  <LOMN>3</LOMN>
                                  <LOMCN>1</LOMCN>
                                  <LOSN>1</LOSN>
                                  <LOEN>19</LOEN>
                                  <LOCN>13</LOCN>
                                </LnkInProps>
                              </LnkIn>
                            </Ctg>
                            <Ctg>
                              <CtgProps>
                                <R>5</R>
                              </CtgProps>
                              <LnkIn>
                                <LnkInProps>
                                  <MN>14</MN>
                                  <CLI>1,1,46,False,14</CLI>
                                  <ELN>1</ELN>
                                  <LOOT>0</LOOT>
                                  <LOMN>3</LOMN>
                                  <LOMCN>1</LOMCN>
                                  <LOSN>1</LOSN>
                                  <LOEN>19</LOEN>
                                  <LOCN>14</LOCN>
                                </LnkInProps>
                              </LnkIn>
                            </Ctg>
                            <Ctg>
                              <CtgProps>
                                <R>5</R>
                              </CtgProps>
                              <LnkIn>
                                <LnkInProps>
                                  <MN>14</MN>
                                  <CLI>1,1,46,False,15</CLI>
                                  <ELN>1</ELN>
                                  <LOOT>0</LOOT>
                                  <LOMN>3</LOMN>
                                  <LOMCN>1</LOMCN>
                                  <LOSN>1</LOSN>
                                  <LOEN>19</LOEN>
                                  <LOCN>15</LOCN>
                                </LnkInProps>
                              </LnkIn>
                            </Ctg>
                            <Ctg>
                              <CtgProps>
                                <R>6</R>
                              </CtgProps>
                              <LnkIn>
                                <LnkInProps>
                                  <MN>14</MN>
                                  <CLI>1,1,46,False,16</CLI>
                                  <ELN>1</ELN>
                                  <LOOT>0</LOOT>
                                  <LOMN>3</LOMN>
                                  <LOMCN>1</LOMCN>
                                  <LOSN>1</LOSN>
                                  <LOEN>19</LOEN>
                                  <LOCN>16</LOCN>
                                </LnkInProps>
                              </LnkIn>
                            </Ctg>
                            <Ctg>
                              <CtgProps>
                                <R>6</R>
                              </CtgProps>
                              <LnkIn>
                                <LnkInProps>
                                  <MN>14</MN>
                                  <CLI>1,1,46,False,17</CLI>
                                  <ELN>1</ELN>
                                  <LOOT>0</LOOT>
                                  <LOMN>3</LOMN>
                                  <LOMCN>1</LOMCN>
                                  <LOSN>1</LOSN>
                                  <LOEN>19</LOEN>
                                  <LOCN>17</LOCN>
                                </LnkInProps>
                              </LnkIn>
                            </Ctg>
                            <Ctg>
                              <CtgProps>
                                <R>6</R>
                              </CtgProps>
                              <LnkIn>
                                <LnkInProps>
                                  <MN>14</MN>
                                  <CLI>1,1,46,False,18</CLI>
                                  <ELN>1</ELN>
                                  <LOOT>0</LOOT>
                                  <LOMN>3</LOMN>
                                  <LOMCN>1</LOMCN>
                                  <LOSN>1</LOSN>
                                  <LOEN>19</LOEN>
                                  <LOCN>18</LOCN>
                                </LnkInProps>
                              </LnkIn>
                            </Ctg>
                            <Ctg>
                              <CtgProps>
                                <R>6</R>
                              </CtgProps>
                              <LnkIn>
                                <LnkInProps>
                                  <MN>14</MN>
                                  <CLI>1,1,46,False,19</CLI>
                                  <ELN>1</ELN>
                                  <LOOT>0</LOOT>
                                  <LOMN>3</LOMN>
                                  <LOMCN>1</LOMCN>
                                  <LOSN>1</LOSN>
                                  <LOEN>19</LOEN>
                                  <LOCN>19</LOCN>
                                </LnkInProps>
                              </LnkIn>
                            </Ctg>
                            <Ctg>
                              <CtgProps>
                                <R>6</R>
                              </CtgProps>
                              <LnkIn>
                                <LnkInProps>
                                  <MN>14</MN>
                                  <CLI>1,1,46,False,20</CLI>
                                  <ELN>1</ELN>
                                  <LOOT>0</LOOT>
                                  <LOMN>3</LOMN>
                                  <LOMCN>1</LOMCN>
                                  <LOSN>1</LOSN>
                                  <LOEN>19</LOEN>
                                  <LOCN>20</LOCN>
                                </LnkInProps>
                              </LnkIn>
                            </Ctg>
                            <Ctg>
                              <CtgProps>
                                <R>6</R>
                              </CtgProps>
                              <LnkIn>
                                <LnkInProps>
                                  <MN>14</MN>
                                  <CLI>1,1,46,False,21</CLI>
                                  <ELN>1</ELN>
                                  <LOOT>0</LOOT>
                                  <LOMN>3</LOMN>
                                  <LOMCN>1</LOMCN>
                                  <LOSN>1</LOSN>
                                  <LOEN>19</LOEN>
                                  <LOCN>21</LOCN>
                                </LnkInProps>
                              </LnkIn>
                            </Ctg>
                            <Ctg>
                              <CtgProps>
                                <R>6</R>
                              </CtgProps>
                              <LnkIn>
                                <LnkInProps>
                                  <MN>14</MN>
                                  <CLI>1,1,46,False,22</CLI>
                                  <ELN>1</ELN>
                                  <LOOT>0</LOOT>
                                  <LOMN>3</LOMN>
                                  <LOMCN>1</LOMCN>
                                  <LOSN>1</LOSN>
                                  <LOEN>19</LOEN>
                                  <LOCN>22</LOCN>
                                </LnkInProps>
                              </LnkIn>
                            </Ctg>
                            <Ctg>
                              <CtgProps>
                                <R>6</R>
                              </CtgProps>
                              <LnkIn>
                                <LnkInProps>
                                  <MN>14</MN>
                                  <CLI>1,1,46,False,23</CLI>
                                  <ELN>1</ELN>
                                  <LOOT>0</LOOT>
                                  <LOMN>3</LOMN>
                                  <LOMCN>1</LOMCN>
                                  <LOSN>1</LOSN>
                                  <LOEN>19</LOEN>
                                  <LOCN>23</LOCN>
                                </LnkInProps>
                              </LnkIn>
                            </Ctg>
                            <Ctg>
                              <CtgProps>
                                <R>6</R>
                              </CtgProps>
                              <LnkIn>
                                <LnkInProps>
                                  <MN>14</MN>
                                  <CLI>1,1,46,False,24</CLI>
                                  <ELN>1</ELN>
                                  <LOOT>0</LOOT>
                                  <LOMN>3</LOMN>
                                  <LOMCN>1</LOMCN>
                                  <LOSN>1</LOSN>
                                  <LOEN>19</LOEN>
                                  <LOCN>24</LOCN>
                                </LnkInProps>
                              </LnkIn>
                            </Ctg>
                            <Ctg>
                              <CtgProps>
                                <R>6</R>
                              </CtgProps>
                              <LnkIn>
                                <LnkInProps>
                                  <MN>14</MN>
                                  <CLI>1,1,46,False,25</CLI>
                                  <ELN>1</ELN>
                                  <LOOT>0</LOOT>
                                  <LOMN>3</LOMN>
                                  <LOMCN>1</LOMCN>
                                  <LOSN>1</LOSN>
                                  <LOEN>19</LOEN>
                                  <LOCN>25</LOCN>
                                </LnkInProps>
                              </LnkIn>
                            </Ctg>
                            <Ctg>
                              <CtgProps>
                                <R>6</R>
                              </CtgProps>
                              <LnkIn>
                                <LnkInProps>
                                  <MN>14</MN>
                                  <CLI>1,1,46,False,26</CLI>
                                  <ELN>1</ELN>
                                  <LOOT>0</LOOT>
                                  <LOMN>3</LOMN>
                                  <LOMCN>1</LOMCN>
                                  <LOSN>1</LOSN>
                                  <LOEN>19</LOEN>
                                  <LOCN>26</LOCN>
                                </LnkInProps>
                              </LnkIn>
                            </Ctg>
                            <Ctg>
                              <CtgProps>
                                <R>6</R>
                              </CtgProps>
                              <LnkIn>
                                <LnkInProps>
                                  <MN>14</MN>
                                  <CLI>1,1,46,False,27</CLI>
                                  <ELN>1</ELN>
                                  <LOOT>0</LOOT>
                                  <LOMN>3</LOMN>
                                  <LOMCN>1</LOMCN>
                                  <LOSN>1</LOSN>
                                  <LOEN>19</LOEN>
                                  <LOCN>27</LOCN>
                                </LnkInProps>
                              </LnkIn>
                            </Ctg>
                            <Ctg>
                              <CtgProps>
                                <R>6</R>
                              </CtgProps>
                              <LnkIn>
                                <LnkInProps>
                                  <MN>14</MN>
                                  <CLI>1,1,46,False,28</CLI>
                                  <ELN>1</ELN>
                                  <LOOT>0</LOOT>
                                  <LOMN>3</LOMN>
                                  <LOMCN>1</LOMCN>
                                  <LOSN>1</LOSN>
                                  <LOEN>19</LOEN>
                                  <LOCN>28</LOCN>
                                </LnkInProps>
                              </LnkIn>
                            </Ctg>
                            <Ctg>
                              <CtgProps>
                                <R>6</R>
                              </CtgProps>
                              <LnkIn>
                                <LnkInProps>
                                  <MN>14</MN>
                                  <CLI>1,1,46,False,29</CLI>
                                  <ELN>1</ELN>
                                  <LOOT>0</LOOT>
                                  <LOMN>3</LOMN>
                                  <LOMCN>1</LOMCN>
                                  <LOSN>1</LOSN>
                                  <LOEN>19</LOEN>
                                  <LOCN>29</LOCN>
                                </LnkInProps>
                              </LnkIn>
                            </Ctg>
                            <Ctg>
                              <CtgProps>
                                <R>6</R>
                              </CtgProps>
                              <LnkIn>
                                <LnkInProps>
                                  <MN>14</MN>
                                  <CLI>1,1,46,False,30</CLI>
                                  <ELN>1</ELN>
                                  <LOOT>0</LOOT>
                                  <LOMN>3</LOMN>
                                  <LOMCN>1</LOMCN>
                                  <LOSN>1</LOSN>
                                  <LOEN>19</LOEN>
                                  <LOCN>30</LOCN>
                                </LnkInProps>
                              </LnkIn>
                            </Ctg>
                            <Ctg>
                              <CtgProps>
                                <R>6</R>
                              </CtgProps>
                              <LnkIn>
                                <LnkInProps>
                                  <MN>14</MN>
                                  <CLI>1,1,46,False,31</CLI>
                                  <ELN>1</ELN>
                                  <LOOT>0</LOOT>
                                  <LOMN>3</LOMN>
                                  <LOMCN>1</LOMCN>
                                  <LOSN>1</LOSN>
                                  <LOEN>19</LOEN>
                                  <LOCN>31</LOCN>
                                </LnkInProps>
                              </LnkIn>
                            </Ctg>
                            <Ctg>
                              <CtgProps>
                                <R>6</R>
                              </CtgProps>
                              <LnkIn>
                                <LnkInProps>
                                  <MN>14</MN>
                                  <CLI>1,1,46,False,32</CLI>
                                  <ELN>1</ELN>
                                  <LOOT>0</LOOT>
                                  <LOMN>3</LOMN>
                                  <LOMCN>1</LOMCN>
                                  <LOSN>1</LOSN>
                                  <LOEN>19</LOEN>
                                  <LOCN>32</LOCN>
                                </LnkInProps>
                              </LnkIn>
                            </Ctg>
                            <Ctg>
                              <CtgProps>
                                <R>6</R>
                              </CtgProps>
                              <LnkIn>
                                <LnkInProps>
                                  <MN>14</MN>
                                  <CLI>1,1,46,False,33</CLI>
                                  <ELN>1</ELN>
                                  <LOOT>0</LOOT>
                                  <LOMN>3</LOMN>
                                  <LOMCN>1</LOMCN>
                                  <LOSN>1</LOSN>
                                  <LOEN>19</LOEN>
                                  <LOCN>33</LOCN>
                                </LnkInProps>
                              </LnkIn>
                            </Ctg>
                            <Ctg>
                              <CtgProps>
                                <R>6</R>
                              </CtgProps>
                              <LnkIn>
                                <LnkInProps>
                                  <MN>14</MN>
                                  <CLI>1,1,46,False,34</CLI>
                                  <ELN>1</ELN>
                                  <LOOT>0</LOOT>
                                  <LOMN>3</LOMN>
                                  <LOMCN>1</LOMCN>
                                  <LOSN>1</LOSN>
                                  <LOEN>19</LOEN>
                                  <LOCN>34</LOCN>
                                </LnkInProps>
                              </LnkIn>
                            </Ctg>
                            <Ctg>
                              <CtgProps>
                                <R>6</R>
                              </CtgProps>
                              <LnkIn>
                                <LnkInProps>
                                  <MN>14</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1,1,49,False,1</CLI>
                                  <ELN>1</ELN>
                                  <LOOT>0</LOOT>
                                  <LOMN>3</LOMN>
                                  <LOMCN>1</LOMCN>
                                  <LOSN>1</LOSN>
                                  <LOEN>24</LOEN>
                                  <LOCN>1</LOCN>
                                </LnkInProps>
                              </LnkIn>
                            </Ctg>
                            <Ctg>
                              <CtgProps>
                                <R>5</R>
                              </CtgProps>
                              <LnkIn>
                                <LnkInProps>
                                  <MN>14</MN>
                                  <CLI>1,1,49,False,2</CLI>
                                  <ELN>1</ELN>
                                  <LOOT>0</LOOT>
                                  <LOMN>3</LOMN>
                                  <LOMCN>1</LOMCN>
                                  <LOSN>1</LOSN>
                                  <LOEN>24</LOEN>
                                  <LOCN>2</LOCN>
                                </LnkInProps>
                              </LnkIn>
                            </Ctg>
                            <Ctg>
                              <CtgProps>
                                <R>5</R>
                              </CtgProps>
                              <LnkIn>
                                <LnkInProps>
                                  <MN>14</MN>
                                  <CLI>1,1,49,False,3</CLI>
                                  <ELN>1</ELN>
                                  <LOOT>0</LOOT>
                                  <LOMN>3</LOMN>
                                  <LOMCN>1</LOMCN>
                                  <LOSN>1</LOSN>
                                  <LOEN>24</LOEN>
                                  <LOCN>3</LOCN>
                                </LnkInProps>
                              </LnkIn>
                            </Ctg>
                            <Ctg>
                              <CtgProps>
                                <R>5</R>
                              </CtgProps>
                              <LnkIn>
                                <LnkInProps>
                                  <MN>14</MN>
                                  <CLI>1,1,49,False,4</CLI>
                                  <ELN>1</ELN>
                                  <LOOT>0</LOOT>
                                  <LOMN>3</LOMN>
                                  <LOMCN>1</LOMCN>
                                  <LOSN>1</LOSN>
                                  <LOEN>24</LOEN>
                                  <LOCN>4</LOCN>
                                </LnkInProps>
                              </LnkIn>
                            </Ctg>
                            <Ctg>
                              <CtgProps>
                                <R>5</R>
                              </CtgProps>
                              <LnkIn>
                                <LnkInProps>
                                  <MN>14</MN>
                                  <CLI>1,1,49,False,5</CLI>
                                  <ELN>1</ELN>
                                  <LOOT>0</LOOT>
                                  <LOMN>3</LOMN>
                                  <LOMCN>1</LOMCN>
                                  <LOSN>1</LOSN>
                                  <LOEN>24</LOEN>
                                  <LOCN>5</LOCN>
                                </LnkInProps>
                              </LnkIn>
                            </Ctg>
                            <Ctg>
                              <CtgProps>
                                <R>6</R>
                              </CtgProps>
                              <LnkIn>
                                <LnkInProps>
                                  <MN>14</MN>
                                  <CLI>1,1,49,False,6</CLI>
                                  <ELN>1</ELN>
                                  <LOOT>0</LOOT>
                                  <LOMN>3</LOMN>
                                  <LOMCN>1</LOMCN>
                                  <LOSN>1</LOSN>
                                  <LOEN>24</LOEN>
                                  <LOCN>6</LOCN>
                                </LnkInProps>
                              </LnkIn>
                            </Ctg>
                            <Ctg>
                              <CtgProps>
                                <R>6</R>
                              </CtgProps>
                              <LnkIn>
                                <LnkInProps>
                                  <MN>14</MN>
                                  <CLI>1,1,49,False,7</CLI>
                                  <ELN>1</ELN>
                                  <LOOT>0</LOOT>
                                  <LOMN>3</LOMN>
                                  <LOMCN>1</LOMCN>
                                  <LOSN>1</LOSN>
                                  <LOEN>24</LOEN>
                                  <LOCN>7</LOCN>
                                </LnkInProps>
                              </LnkIn>
                            </Ctg>
                            <Ctg>
                              <CtgProps>
                                <R>6</R>
                              </CtgProps>
                              <LnkIn>
                                <LnkInProps>
                                  <MN>14</MN>
                                  <CLI>1,1,49,False,8</CLI>
                                  <ELN>1</ELN>
                                  <LOOT>0</LOOT>
                                  <LOMN>3</LOMN>
                                  <LOMCN>1</LOMCN>
                                  <LOSN>1</LOSN>
                                  <LOEN>24</LOEN>
                                  <LOCN>8</LOCN>
                                </LnkInProps>
                              </LnkIn>
                            </Ctg>
                            <Ctg>
                              <CtgProps>
                                <R>6</R>
                              </CtgProps>
                              <LnkIn>
                                <LnkInProps>
                                  <MN>14</MN>
                                  <CLI>1,1,49,False,9</CLI>
                                  <ELN>1</ELN>
                                  <LOOT>0</LOOT>
                                  <LOMN>3</LOMN>
                                  <LOMCN>1</LOMCN>
                                  <LOSN>1</LOSN>
                                  <LOEN>24</LOEN>
                                  <LOCN>9</LOCN>
                                </LnkInProps>
                              </LnkIn>
                            </Ctg>
                            <Ctg>
                              <CtgProps>
                                <R>6</R>
                              </CtgProps>
                              <LnkIn>
                                <LnkInProps>
                                  <MN>14</MN>
                                  <CLI>1,1,49,False,10</CLI>
                                  <ELN>1</ELN>
                                  <LOOT>0</LOOT>
                                  <LOMN>3</LOMN>
                                  <LOMCN>1</LOMCN>
                                  <LOSN>1</LOSN>
                                  <LOEN>24</LOEN>
                                  <LOCN>10</LOCN>
                                </LnkInProps>
                              </LnkIn>
                            </Ctg>
                            <Ctg>
                              <CtgProps>
                                <R>6</R>
                              </CtgProps>
                              <LnkIn>
                                <LnkInProps>
                                  <MN>14</MN>
                                  <CLI>1,1,49,False,11</CLI>
                                  <ELN>1</ELN>
                                  <LOOT>0</LOOT>
                                  <LOMN>3</LOMN>
                                  <LOMCN>1</LOMCN>
                                  <LOSN>1</LOSN>
                                  <LOEN>24</LOEN>
                                  <LOCN>11</LOCN>
                                </LnkInProps>
                              </LnkIn>
                            </Ctg>
                            <Ctg>
                              <CtgProps>
                                <R>6</R>
                              </CtgProps>
                              <LnkIn>
                                <LnkInProps>
                                  <MN>14</MN>
                                  <CLI>1,1,49,False,12</CLI>
                                  <ELN>1</ELN>
                                  <LOOT>0</LOOT>
                                  <LOMN>3</LOMN>
                                  <LOMCN>1</LOMCN>
                                  <LOSN>1</LOSN>
                                  <LOEN>24</LOEN>
                                  <LOCN>12</LOCN>
                                </LnkInProps>
                              </LnkIn>
                            </Ctg>
                            <Ctg>
                              <CtgProps>
                                <R>6</R>
                              </CtgProps>
                              <LnkIn>
                                <LnkInProps>
                                  <MN>14</MN>
                                  <CLI>1,1,49,False,13</CLI>
                                  <ELN>1</ELN>
                                  <LOOT>0</LOOT>
                                  <LOMN>3</LOMN>
                                  <LOMCN>1</LOMCN>
                                  <LOSN>1</LOSN>
                                  <LOEN>24</LOEN>
                                  <LOCN>13</LOCN>
                                </LnkInProps>
                              </LnkIn>
                            </Ctg>
                            <Ctg>
                              <CtgProps>
                                <R>6</R>
                              </CtgProps>
                              <LnkIn>
                                <LnkInProps>
                                  <MN>14</MN>
                                  <CLI>1,1,49,False,14</CLI>
                                  <ELN>1</ELN>
                                  <LOOT>0</LOOT>
                                  <LOMN>3</LOMN>
                                  <LOMCN>1</LOMCN>
                                  <LOSN>1</LOSN>
                                  <LOEN>24</LOEN>
                                  <LOCN>14</LOCN>
                                </LnkInProps>
                              </LnkIn>
                            </Ctg>
                            <Ctg>
                              <CtgProps>
                                <R>6</R>
                              </CtgProps>
                              <LnkIn>
                                <LnkInProps>
                                  <MN>14</MN>
                                  <CLI>1,1,49,False,15</CLI>
                                  <ELN>1</ELN>
                                  <LOOT>0</LOOT>
                                  <LOMN>3</LOMN>
                                  <LOMCN>1</LOMCN>
                                  <LOSN>1</LOSN>
                                  <LOEN>24</LOEN>
                                  <LOCN>15</LOCN>
                                </LnkInProps>
                              </LnkIn>
                            </Ctg>
                            <Ctg>
                              <CtgProps>
                                <R>6</R>
                              </CtgProps>
                              <LnkIn>
                                <LnkInProps>
                                  <MN>14</MN>
                                  <CLI>1,1,49,False,16</CLI>
                                  <ELN>1</ELN>
                                  <LOOT>0</LOOT>
                                  <LOMN>3</LOMN>
                                  <LOMCN>1</LOMCN>
                                  <LOSN>1</LOSN>
                                  <LOEN>24</LOEN>
                                  <LOCN>16</LOCN>
                                </LnkInProps>
                              </LnkIn>
                            </Ctg>
                            <Ctg>
                              <CtgProps>
                                <R>6</R>
                              </CtgProps>
                              <LnkIn>
                                <LnkInProps>
                                  <MN>14</MN>
                                  <CLI>1,1,49,False,17</CLI>
                                  <ELN>1</ELN>
                                  <LOOT>0</LOOT>
                                  <LOMN>3</LOMN>
                                  <LOMCN>1</LOMCN>
                                  <LOSN>1</LOSN>
                                  <LOEN>24</LOEN>
                                  <LOCN>17</LOCN>
                                </LnkInProps>
                              </LnkIn>
                            </Ctg>
                            <Ctg>
                              <CtgProps>
                                <R>6</R>
                              </CtgProps>
                              <LnkIn>
                                <LnkInProps>
                                  <MN>14</MN>
                                  <CLI>1,1,49,False,18</CLI>
                                  <ELN>1</ELN>
                                  <LOOT>0</LOOT>
                                  <LOMN>3</LOMN>
                                  <LOMCN>1</LOMCN>
                                  <LOSN>1</LOSN>
                                  <LOEN>24</LOEN>
                                  <LOCN>18</LOCN>
                                </LnkInProps>
                              </LnkIn>
                            </Ctg>
                            <Ctg>
                              <CtgProps>
                                <R>6</R>
                              </CtgProps>
                              <LnkIn>
                                <LnkInProps>
                                  <MN>14</MN>
                                  <CLI>1,1,49,False,19</CLI>
                                  <ELN>1</ELN>
                                  <LOOT>0</LOOT>
                                  <LOMN>3</LOMN>
                                  <LOMCN>1</LOMCN>
                                  <LOSN>1</LOSN>
                                  <LOEN>24</LOEN>
                                  <LOCN>19</LOCN>
                                </LnkInProps>
                              </LnkIn>
                            </Ctg>
                            <Ctg>
                              <CtgProps>
                                <R>6</R>
                              </CtgProps>
                              <LnkIn>
                                <LnkInProps>
                                  <MN>14</MN>
                                  <CLI>1,1,49,False,20</CLI>
                                  <ELN>1</ELN>
                                  <LOOT>0</LOOT>
                                  <LOMN>3</LOMN>
                                  <LOMCN>1</LOMCN>
                                  <LOSN>1</LOSN>
                                  <LOEN>24</LOEN>
                                  <LOCN>20</LOCN>
                                </LnkInProps>
                              </LnkIn>
                            </Ctg>
                            <Ctg>
                              <CtgProps>
                                <R>6</R>
                              </CtgProps>
                              <LnkIn>
                                <LnkInProps>
                                  <MN>14</MN>
                                  <CLI>1,1,49,False,21</CLI>
                                  <ELN>1</ELN>
                                  <LOOT>0</LOOT>
                                  <LOMN>3</LOMN>
                                  <LOMCN>1</LOMCN>
                                  <LOSN>1</LOSN>
                                  <LOEN>24</LOEN>
                                  <LOCN>21</LOCN>
                                </LnkInProps>
                              </LnkIn>
                            </Ctg>
                            <Ctg>
                              <CtgProps>
                                <R>6</R>
                              </CtgProps>
                              <LnkIn>
                                <LnkInProps>
                                  <MN>14</MN>
                                  <CLI>1,1,49,False,22</CLI>
                                  <ELN>1</ELN>
                                  <LOOT>0</LOOT>
                                  <LOMN>3</LOMN>
                                  <LOMCN>1</LOMCN>
                                  <LOSN>1</LOSN>
                                  <LOEN>24</LOEN>
                                  <LOCN>22</LOCN>
                                </LnkInProps>
                              </LnkIn>
                            </Ctg>
                            <Ctg>
                              <CtgProps>
                                <R>6</R>
                              </CtgProps>
                              <LnkIn>
                                <LnkInProps>
                                  <MN>14</MN>
                                  <CLI>1,1,49,False,23</CLI>
                                  <ELN>1</ELN>
                                  <LOOT>0</LOOT>
                                  <LOMN>3</LOMN>
                                  <LOMCN>1</LOMCN>
                                  <LOSN>1</LOSN>
                                  <LOEN>24</LOEN>
                                  <LOCN>23</LOCN>
                                </LnkInProps>
                              </LnkIn>
                            </Ctg>
                            <Ctg>
                              <CtgProps>
                                <R>6</R>
                              </CtgProps>
                              <LnkIn>
                                <LnkInProps>
                                  <MN>14</MN>
                                  <CLI>1,1,49,False,24</CLI>
                                  <ELN>1</ELN>
                                  <LOOT>0</LOOT>
                                  <LOMN>3</LOMN>
                                  <LOMCN>1</LOMCN>
                                  <LOSN>1</LOSN>
                                  <LOEN>24</LOEN>
                                  <LOCN>24</LOCN>
                                </LnkInProps>
                              </LnkIn>
                            </Ctg>
                            <Ctg>
                              <CtgProps>
                                <R>6</R>
                              </CtgProps>
                              <LnkIn>
                                <LnkInProps>
                                  <MN>14</MN>
                                  <CLI>1,1,49,False,25</CLI>
                                  <ELN>1</ELN>
                                  <LOOT>0</LOOT>
                                  <LOMN>3</LOMN>
                                  <LOMCN>1</LOMCN>
                                  <LOSN>1</LOSN>
                                  <LOEN>24</LOEN>
                                  <LOCN>25</LOCN>
                                </LnkInProps>
                              </LnkIn>
                            </Ctg>
                            <Ctg>
                              <CtgProps>
                                <R>6</R>
                              </CtgProps>
                              <LnkIn>
                                <LnkInProps>
                                  <MN>14</MN>
                                  <CLI>1,1,49,False,26</CLI>
                                  <ELN>1</ELN>
                                  <LOOT>0</LOOT>
                                  <LOMN>3</LOMN>
                                  <LOMCN>1</LOMCN>
                                  <LOSN>1</LOSN>
                                  <LOEN>24</LOEN>
                                  <LOCN>26</LOCN>
                                </LnkInProps>
                              </LnkIn>
                            </Ctg>
                            <Ctg>
                              <CtgProps>
                                <R>6</R>
                              </CtgProps>
                              <LnkIn>
                                <LnkInProps>
                                  <MN>14</MN>
                                  <CLI>1,1,49,False,27</CLI>
                                  <ELN>1</ELN>
                                  <LOOT>0</LOOT>
                                  <LOMN>3</LOMN>
                                  <LOMCN>1</LOMCN>
                                  <LOSN>1</LOSN>
                                  <LOEN>24</LOEN>
                                  <LOCN>27</LOCN>
                                </LnkInProps>
                              </LnkIn>
                            </Ctg>
                            <Ctg>
                              <CtgProps>
                                <R>6</R>
                              </CtgProps>
                              <LnkIn>
                                <LnkInProps>
                                  <MN>14</MN>
                                  <CLI>1,1,49,False,28</CLI>
                                  <ELN>1</ELN>
                                  <LOOT>0</LOOT>
                                  <LOMN>3</LOMN>
                                  <LOMCN>1</LOMCN>
                                  <LOSN>1</LOSN>
                                  <LOEN>24</LOEN>
                                  <LOCN>28</LOCN>
                                </LnkInProps>
                              </LnkIn>
                            </Ctg>
                            <Ctg>
                              <CtgProps>
                                <R>6</R>
                              </CtgProps>
                              <LnkIn>
                                <LnkInProps>
                                  <MN>14</MN>
                                  <CLI>1,1,49,False,29</CLI>
                                  <ELN>1</ELN>
                                  <LOOT>0</LOOT>
                                  <LOMN>3</LOMN>
                                  <LOMCN>1</LOMCN>
                                  <LOSN>1</LOSN>
                                  <LOEN>24</LOEN>
                                  <LOCN>29</LOCN>
                                </LnkInProps>
                              </LnkIn>
                            </Ctg>
                            <Ctg>
                              <CtgProps>
                                <R>6</R>
                              </CtgProps>
                              <LnkIn>
                                <LnkInProps>
                                  <MN>14</MN>
                                  <CLI>1,1,49,False,30</CLI>
                                  <ELN>1</ELN>
                                  <LOOT>0</LOOT>
                                  <LOMN>3</LOMN>
                                  <LOMCN>1</LOMCN>
                                  <LOSN>1</LOSN>
                                  <LOEN>24</LOEN>
                                  <LOCN>30</LOCN>
                                </LnkInProps>
                              </LnkIn>
                            </Ctg>
                            <Ctg>
                              <CtgProps>
                                <R>6</R>
                              </CtgProps>
                              <LnkIn>
                                <LnkInProps>
                                  <MN>14</MN>
                                  <CLI>1,1,49,False,31</CLI>
                                  <ELN>1</ELN>
                                  <LOOT>0</LOOT>
                                  <LOMN>3</LOMN>
                                  <LOMCN>1</LOMCN>
                                  <LOSN>1</LOSN>
                                  <LOEN>24</LOEN>
                                  <LOCN>31</LOCN>
                                </LnkInProps>
                              </LnkIn>
                            </Ctg>
                            <Ctg>
                              <CtgProps>
                                <R>6</R>
                              </CtgProps>
                              <LnkIn>
                                <LnkInProps>
                                  <MN>14</MN>
                                  <CLI>1,1,49,False,32</CLI>
                                  <ELN>1</ELN>
                                  <LOOT>0</LOOT>
                                  <LOMN>3</LOMN>
                                  <LOMCN>1</LOMCN>
                                  <LOSN>1</LOSN>
                                  <LOEN>24</LOEN>
                                  <LOCN>32</LOCN>
                                </LnkInProps>
                              </LnkIn>
                            </Ctg>
                            <Ctg>
                              <CtgProps>
                                <R>6</R>
                              </CtgProps>
                              <LnkIn>
                                <LnkInProps>
                                  <MN>14</MN>
                                  <CLI>1,1,49,False,33</CLI>
                                  <ELN>1</ELN>
                                  <LOOT>0</LOOT>
                                  <LOMN>3</LOMN>
                                  <LOMCN>1</LOMCN>
                                  <LOSN>1</LOSN>
                                  <LOEN>24</LOEN>
                                  <LOCN>33</LOCN>
                                </LnkInProps>
                              </LnkIn>
                            </Ctg>
                            <Ctg>
                              <CtgProps>
                                <R>6</R>
                              </CtgProps>
                              <LnkIn>
                                <LnkInProps>
                                  <MN>14</MN>
                                  <CLI>1,1,49,False,34</CLI>
                                  <ELN>1</ELN>
                                  <LOOT>0</LOOT>
                                  <LOMN>3</LOMN>
                                  <LOMCN>1</LOMCN>
                                  <LOSN>1</LOSN>
                                  <LOEN>24</LOEN>
                                  <LOCN>34</LOCN>
                                </LnkInProps>
                              </LnkIn>
                            </Ctg>
                            <Ctg>
                              <CtgProps>
                                <R>6</R>
                              </CtgProps>
                              <LnkIn>
                                <LnkInProps>
                                  <MN>14</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5</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1,1,53,False,1</CLI>
                                  <ELN>1</ELN>
                                  <LOOT>0</LOOT>
                                  <LOMN>3</LOMN>
                                  <LOMCN>1</LOMCN>
                                  <LOSN>1</LOSN>
                                  <LOEN>29</LOEN>
                                  <LOCN>1</LOCN>
                                </LnkInProps>
                              </LnkIn>
                            </Ctg>
                            <Ctg>
                              <CtgProps>
                                <R>5</R>
                              </CtgProps>
                              <LnkIn>
                                <LnkInProps>
                                  <MN>14</MN>
                                  <CLI>1,1,53,False,2</CLI>
                                  <ELN>1</ELN>
                                  <LOOT>0</LOOT>
                                  <LOMN>3</LOMN>
                                  <LOMCN>1</LOMCN>
                                  <LOSN>1</LOSN>
                                  <LOEN>29</LOEN>
                                  <LOCN>2</LOCN>
                                </LnkInProps>
                              </LnkIn>
                            </Ctg>
                            <Ctg>
                              <CtgProps>
                                <R>6</R>
                              </CtgProps>
                              <LnkIn>
                                <LnkInProps>
                                  <MN>14</MN>
                                  <CLI>1,1,53,False,3</CLI>
                                  <ELN>1</ELN>
                                  <LOOT>0</LOOT>
                                  <LOMN>3</LOMN>
                                  <LOMCN>1</LOMCN>
                                  <LOSN>1</LOSN>
                                  <LOEN>29</LOEN>
                                  <LOCN>3</LOCN>
                                </LnkInProps>
                              </LnkIn>
                            </Ctg>
                            <Ctg>
                              <CtgProps>
                                <R>6</R>
                              </CtgProps>
                              <LnkIn>
                                <LnkInProps>
                                  <MN>14</MN>
                                  <CLI>1,1,53,False,4</CLI>
                                  <ELN>1</ELN>
                                  <LOOT>0</LOOT>
                                  <LOMN>3</LOMN>
                                  <LOMCN>1</LOMCN>
                                  <LOSN>1</LOSN>
                                  <LOEN>29</LOEN>
                                  <LOCN>4</LOCN>
                                </LnkInProps>
                              </LnkIn>
                            </Ctg>
                            <Ctg>
                              <CtgProps>
                                <R>6</R>
                              </CtgProps>
                              <LnkIn>
                                <LnkInProps>
                                  <MN>14</MN>
                                  <CLI>1,1,53,False,5</CLI>
                                  <ELN>1</ELN>
                                  <LOOT>0</LOOT>
                                  <LOMN>3</LOMN>
                                  <LOMCN>1</LOMCN>
                                  <LOSN>1</LOSN>
                                  <LOEN>29</LOEN>
                                  <LOCN>5</LOCN>
                                </LnkInProps>
                              </LnkIn>
                            </Ctg>
                            <Ctg>
                              <CtgProps>
                                <R>6</R>
                              </CtgProps>
                              <LnkIn>
                                <LnkInProps>
                                  <MN>14</MN>
                                  <CLI>1,1,53,False,6</CLI>
                                  <ELN>1</ELN>
                                  <LOOT>0</LOOT>
                                  <LOMN>3</LOMN>
                                  <LOMCN>1</LOMCN>
                                  <LOSN>1</LOSN>
                                  <LOEN>29</LOEN>
                                  <LOCN>6</LOCN>
                                </LnkInProps>
                              </LnkIn>
                            </Ctg>
                            <Ctg>
                              <CtgProps>
                                <R>6</R>
                              </CtgProps>
                              <LnkIn>
                                <LnkInProps>
                                  <MN>14</MN>
                                  <CLI>1,1,53,False,7</CLI>
                                  <ELN>1</ELN>
                                  <LOOT>0</LOOT>
                                  <LOMN>3</LOMN>
                                  <LOMCN>1</LOMCN>
                                  <LOSN>1</LOSN>
                                  <LOEN>29</LOEN>
                                  <LOCN>7</LOCN>
                                </LnkInProps>
                              </LnkIn>
                            </Ctg>
                            <Ctg>
                              <CtgProps>
                                <R>6</R>
                              </CtgProps>
                              <LnkIn>
                                <LnkInProps>
                                  <MN>14</MN>
                                  <CLI>1,1,53,False,8</CLI>
                                  <ELN>1</ELN>
                                  <LOOT>0</LOOT>
                                  <LOMN>3</LOMN>
                                  <LOMCN>1</LOMCN>
                                  <LOSN>1</LOSN>
                                  <LOEN>29</LOEN>
                                  <LOCN>8</LOCN>
                                </LnkInProps>
                              </LnkIn>
                            </Ctg>
                            <Ctg>
                              <CtgProps>
                                <R>6</R>
                              </CtgProps>
                              <LnkIn>
                                <LnkInProps>
                                  <MN>14</MN>
                                  <CLI>1,1,53,False,9</CLI>
                                  <ELN>1</ELN>
                                  <LOOT>0</LOOT>
                                  <LOMN>3</LOMN>
                                  <LOMCN>1</LOMCN>
                                  <LOSN>1</LOSN>
                                  <LOEN>29</LOEN>
                                  <LOCN>9</LOCN>
                                </LnkInProps>
                              </LnkIn>
                            </Ctg>
                            <Ctg>
                              <CtgProps>
                                <R>6</R>
                              </CtgProps>
                              <LnkIn>
                                <LnkInProps>
                                  <MN>14</MN>
                                  <CLI>1,1,53,False,10</CLI>
                                  <ELN>1</ELN>
                                  <LOOT>0</LOOT>
                                  <LOMN>3</LOMN>
                                  <LOMCN>1</LOMCN>
                                  <LOSN>1</LOSN>
                                  <LOEN>29</LOEN>
                                  <LOCN>10</LOCN>
                                </LnkInProps>
                              </LnkIn>
                            </Ctg>
                            <Ctg>
                              <CtgProps>
                                <R>6</R>
                              </CtgProps>
                              <LnkIn>
                                <LnkInProps>
                                  <MN>14</MN>
                                  <CLI>1,1,53,False,11</CLI>
                                  <ELN>1</ELN>
                                  <LOOT>0</LOOT>
                                  <LOMN>3</LOMN>
                                  <LOMCN>1</LOMCN>
                                  <LOSN>1</LOSN>
                                  <LOEN>29</LOEN>
                                  <LOCN>11</LOCN>
                                </LnkInProps>
                              </LnkIn>
                            </Ctg>
                            <Ctg>
                              <CtgProps>
                                <R>6</R>
                              </CtgProps>
                              <LnkIn>
                                <LnkInProps>
                                  <MN>14</MN>
                                  <CLI>1,1,53,False,12</CLI>
                                  <ELN>1</ELN>
                                  <LOOT>0</LOOT>
                                  <LOMN>3</LOMN>
                                  <LOMCN>1</LOMCN>
                                  <LOSN>1</LOSN>
                                  <LOEN>29</LOEN>
                                  <LOCN>12</LOCN>
                                </LnkInProps>
                              </LnkIn>
                            </Ctg>
                            <Ctg>
                              <CtgProps>
                                <R>6</R>
                              </CtgProps>
                              <LnkIn>
                                <LnkInProps>
                                  <MN>14</MN>
                                  <CLI>1,1,53,False,13</CLI>
                                  <ELN>1</ELN>
                                  <LOOT>0</LOOT>
                                  <LOMN>3</LOMN>
                                  <LOMCN>1</LOMCN>
                                  <LOSN>1</LOSN>
                                  <LOEN>29</LOEN>
                                  <LOCN>13</LOCN>
                                </LnkInProps>
                              </LnkIn>
                            </Ctg>
                            <Ctg>
                              <CtgProps>
                                <R>6</R>
                              </CtgProps>
                              <LnkIn>
                                <LnkInProps>
                                  <MN>14</MN>
                                  <CLI>1,1,53,False,14</CLI>
                                  <ELN>1</ELN>
                                  <LOOT>0</LOOT>
                                  <LOMN>3</LOMN>
                                  <LOMCN>1</LOMCN>
                                  <LOSN>1</LOSN>
                                  <LOEN>29</LOEN>
                                  <LOCN>14</LOCN>
                                </LnkInProps>
                              </LnkIn>
                            </Ctg>
                            <Ctg>
                              <CtgProps>
                                <R>6</R>
                              </CtgProps>
                              <LnkIn>
                                <LnkInProps>
                                  <MN>14</MN>
                                  <CLI>1,1,53,False,15</CLI>
                                  <ELN>1</ELN>
                                  <LOOT>0</LOOT>
                                  <LOMN>3</LOMN>
                                  <LOMCN>1</LOMCN>
                                  <LOSN>1</LOSN>
                                  <LOEN>29</LOEN>
                                  <LOCN>15</LOCN>
                                </LnkInProps>
                              </LnkIn>
                            </Ctg>
                            <Ctg>
                              <CtgProps>
                                <R>6</R>
                              </CtgProps>
                              <LnkIn>
                                <LnkInProps>
                                  <MN>14</MN>
                                  <CLI>1,1,53,False,16</CLI>
                                  <ELN>1</ELN>
                                  <LOOT>0</LOOT>
                                  <LOMN>3</LOMN>
                                  <LOMCN>1</LOMCN>
                                  <LOSN>1</LOSN>
                                  <LOEN>29</LOEN>
                                  <LOCN>16</LOCN>
                                </LnkInProps>
                              </LnkIn>
                            </Ctg>
                            <Ctg>
                              <CtgProps>
                                <R>6</R>
                              </CtgProps>
                              <LnkIn>
                                <LnkInProps>
                                  <MN>14</MN>
                                  <CLI>1,1,53,False,17</CLI>
                                  <ELN>1</ELN>
                                  <LOOT>0</LOOT>
                                  <LOMN>3</LOMN>
                                  <LOMCN>1</LOMCN>
                                  <LOSN>1</LOSN>
                                  <LOEN>29</LOEN>
                                  <LOCN>17</LOCN>
                                </LnkInProps>
                              </LnkIn>
                            </Ctg>
                            <Ctg>
                              <CtgProps>
                                <R>6</R>
                              </CtgProps>
                              <LnkIn>
                                <LnkInProps>
                                  <MN>14</MN>
                                  <CLI>1,1,53,False,18</CLI>
                                  <ELN>1</ELN>
                                  <LOOT>0</LOOT>
                                  <LOMN>3</LOMN>
                                  <LOMCN>1</LOMCN>
                                  <LOSN>1</LOSN>
                                  <LOEN>29</LOEN>
                                  <LOCN>18</LOCN>
                                </LnkInProps>
                              </LnkIn>
                            </Ctg>
                            <Ctg>
                              <CtgProps>
                                <R>6</R>
                              </CtgProps>
                              <LnkIn>
                                <LnkInProps>
                                  <MN>14</MN>
                                  <CLI>1,1,53,False,19</CLI>
                                  <ELN>1</ELN>
                                  <LOOT>0</LOOT>
                                  <LOMN>3</LOMN>
                                  <LOMCN>1</LOMCN>
                                  <LOSN>1</LOSN>
                                  <LOEN>29</LOEN>
                                  <LOCN>19</LOCN>
                                </LnkInProps>
                              </LnkIn>
                            </Ctg>
                            <Ctg>
                              <CtgProps>
                                <R>6</R>
                              </CtgProps>
                              <LnkIn>
                                <LnkInProps>
                                  <MN>14</MN>
                                  <CLI>1,1,53,False,20</CLI>
                                  <ELN>1</ELN>
                                  <LOOT>0</LOOT>
                                  <LOMN>3</LOMN>
                                  <LOMCN>1</LOMCN>
                                  <LOSN>1</LOSN>
                                  <LOEN>29</LOEN>
                                  <LOCN>20</LOCN>
                                </LnkInProps>
                              </LnkIn>
                            </Ctg>
                            <Ctg>
                              <CtgProps>
                                <R>6</R>
                              </CtgProps>
                              <LnkIn>
                                <LnkInProps>
                                  <MN>14</MN>
                                  <CLI>1,1,53,False,21</CLI>
                                  <ELN>1</ELN>
                                  <LOOT>0</LOOT>
                                  <LOMN>3</LOMN>
                                  <LOMCN>1</LOMCN>
                                  <LOSN>1</LOSN>
                                  <LOEN>29</LOEN>
                                  <LOCN>21</LOCN>
                                </LnkInProps>
                              </LnkIn>
                            </Ctg>
                            <Ctg>
                              <CtgProps>
                                <R>6</R>
                              </CtgProps>
                              <LnkIn>
                                <LnkInProps>
                                  <MN>14</MN>
                                  <CLI>1,1,53,False,22</CLI>
                                  <ELN>1</ELN>
                                  <LOOT>0</LOOT>
                                  <LOMN>3</LOMN>
                                  <LOMCN>1</LOMCN>
                                  <LOSN>1</LOSN>
                                  <LOEN>29</LOEN>
                                  <LOCN>22</LOCN>
                                </LnkInProps>
                              </LnkIn>
                            </Ctg>
                            <Ctg>
                              <CtgProps>
                                <R>6</R>
                              </CtgProps>
                              <LnkIn>
                                <LnkInProps>
                                  <MN>14</MN>
                                  <CLI>1,1,53,False,23</CLI>
                                  <ELN>1</ELN>
                                  <LOOT>0</LOOT>
                                  <LOMN>3</LOMN>
                                  <LOMCN>1</LOMCN>
                                  <LOSN>1</LOSN>
                                  <LOEN>29</LOEN>
                                  <LOCN>23</LOCN>
                                </LnkInProps>
                              </LnkIn>
                            </Ctg>
                            <Ctg>
                              <CtgProps>
                                <R>6</R>
                              </CtgProps>
                              <LnkIn>
                                <LnkInProps>
                                  <MN>14</MN>
                                  <CLI>1,1,53,False,24</CLI>
                                  <ELN>1</ELN>
                                  <LOOT>0</LOOT>
                                  <LOMN>3</LOMN>
                                  <LOMCN>1</LOMCN>
                                  <LOSN>1</LOSN>
                                  <LOEN>29</LOEN>
                                  <LOCN>24</LOCN>
                                </LnkInProps>
                              </LnkIn>
                            </Ctg>
                            <Ctg>
                              <CtgProps>
                                <R>6</R>
                              </CtgProps>
                              <LnkIn>
                                <LnkInProps>
                                  <MN>14</MN>
                                  <CLI>1,1,53,False,25</CLI>
                                  <ELN>1</ELN>
                                  <LOOT>0</LOOT>
                                  <LOMN>3</LOMN>
                                  <LOMCN>1</LOMCN>
                                  <LOSN>1</LOSN>
                                  <LOEN>29</LOEN>
                                  <LOCN>25</LOCN>
                                </LnkInProps>
                              </LnkIn>
                            </Ctg>
                            <Ctg>
                              <CtgProps>
                                <R>6</R>
                              </CtgProps>
                              <LnkIn>
                                <LnkInProps>
                                  <MN>14</MN>
                                  <CLI>1,1,53,False,26</CLI>
                                  <ELN>1</ELN>
                                  <LOOT>0</LOOT>
                                  <LOMN>3</LOMN>
                                  <LOMCN>1</LOMCN>
                                  <LOSN>1</LOSN>
                                  <LOEN>29</LOEN>
                                  <LOCN>26</LOCN>
                                </LnkInProps>
                              </LnkIn>
                            </Ctg>
                            <Ctg>
                              <CtgProps>
                                <R>6</R>
                              </CtgProps>
                              <LnkIn>
                                <LnkInProps>
                                  <MN>14</MN>
                                  <CLI>1,1,53,False,27</CLI>
                                  <ELN>1</ELN>
                                  <LOOT>0</LOOT>
                                  <LOMN>3</LOMN>
                                  <LOMCN>1</LOMCN>
                                  <LOSN>1</LOSN>
                                  <LOEN>29</LOEN>
                                  <LOCN>27</LOCN>
                                </LnkInProps>
                              </LnkIn>
                            </Ctg>
                            <Ctg>
                              <CtgProps>
                                <R>6</R>
                              </CtgProps>
                              <LnkIn>
                                <LnkInProps>
                                  <MN>14</MN>
                                  <CLI>1,1,53,False,28</CLI>
                                  <ELN>1</ELN>
                                  <LOOT>0</LOOT>
                                  <LOMN>3</LOMN>
                                  <LOMCN>1</LOMCN>
                                  <LOSN>1</LOSN>
                                  <LOEN>29</LOEN>
                                  <LOCN>28</LOCN>
                                </LnkInProps>
                              </LnkIn>
                            </Ctg>
                            <Ctg>
                              <CtgProps>
                                <R>6</R>
                              </CtgProps>
                              <LnkIn>
                                <LnkInProps>
                                  <MN>14</MN>
                                  <CLI>1,1,53,False,29</CLI>
                                  <ELN>1</ELN>
                                  <LOOT>0</LOOT>
                                  <LOMN>3</LOMN>
                                  <LOMCN>1</LOMCN>
                                  <LOSN>1</LOSN>
                                  <LOEN>29</LOEN>
                                  <LOCN>29</LOCN>
                                </LnkInProps>
                              </LnkIn>
                            </Ctg>
                            <Ctg>
                              <CtgProps>
                                <R>6</R>
                              </CtgProps>
                              <LnkIn>
                                <LnkInProps>
                                  <MN>14</MN>
                                  <CLI>1,1,53,False,30</CLI>
                                  <ELN>1</ELN>
                                  <LOOT>0</LOOT>
                                  <LOMN>3</LOMN>
                                  <LOMCN>1</LOMCN>
                                  <LOSN>1</LOSN>
                                  <LOEN>29</LOEN>
                                  <LOCN>30</LOCN>
                                </LnkInProps>
                              </LnkIn>
                            </Ctg>
                            <Ctg>
                              <CtgProps>
                                <R>6</R>
                              </CtgProps>
                              <LnkIn>
                                <LnkInProps>
                                  <MN>14</MN>
                                  <CLI>1,1,53,False,31</CLI>
                                  <ELN>1</ELN>
                                  <LOOT>0</LOOT>
                                  <LOMN>3</LOMN>
                                  <LOMCN>1</LOMCN>
                                  <LOSN>1</LOSN>
                                  <LOEN>29</LOEN>
                                  <LOCN>31</LOCN>
                                </LnkInProps>
                              </LnkIn>
                            </Ctg>
                            <Ctg>
                              <CtgProps>
                                <R>6</R>
                              </CtgProps>
                              <LnkIn>
                                <LnkInProps>
                                  <MN>14</MN>
                                  <CLI>1,1,53,False,32</CLI>
                                  <ELN>1</ELN>
                                  <LOOT>0</LOOT>
                                  <LOMN>3</LOMN>
                                  <LOMCN>1</LOMCN>
                                  <LOSN>1</LOSN>
                                  <LOEN>29</LOEN>
                                  <LOCN>32</LOCN>
                                </LnkInProps>
                              </LnkIn>
                            </Ctg>
                            <Ctg>
                              <CtgProps>
                                <R>6</R>
                              </CtgProps>
                              <LnkIn>
                                <LnkInProps>
                                  <MN>14</MN>
                                  <CLI>1,1,53,False,33</CLI>
                                  <ELN>1</ELN>
                                  <LOOT>0</LOOT>
                                  <LOMN>3</LOMN>
                                  <LOMCN>1</LOMCN>
                                  <LOSN>1</LOSN>
                                  <LOEN>29</LOEN>
                                  <LOCN>33</LOCN>
                                </LnkInProps>
                              </LnkIn>
                            </Ctg>
                            <Ctg>
                              <CtgProps>
                                <R>6</R>
                              </CtgProps>
                              <LnkIn>
                                <LnkInProps>
                                  <MN>14</MN>
                                  <CLI>1,1,53,False,34</CLI>
                                  <ELN>1</ELN>
                                  <LOOT>0</LOOT>
                                  <LOMN>3</LOMN>
                                  <LOMCN>1</LOMCN>
                                  <LOSN>1</LOSN>
                                  <LOEN>29</LOEN>
                                  <LOCN>34</LOCN>
                                </LnkInProps>
                              </LnkIn>
                            </Ctg>
                            <Ctg>
                              <CtgProps>
                                <R>6</R>
                              </CtgProps>
                              <LnkIn>
                                <LnkInProps>
                                  <MN>14</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14</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14</MN>
                <MCN>2</MCN>
                <MCTK>BaseCase</MCTK>
                <RT><![CDATA[<ModuleName> - Assumptions]]></RT>
                <ERN>BPMMC5</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29</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14</MN>
                <MCN>3</MCN>
                <MCTK>OP</MCTK>
                <RT><![CDATA[<ModuleName> - Outputs]]></RT>
                <ERN>BPMMC6</ERN>
                <MCST>0</MCST>
                <IPMC>False</IPMC>
                <SN>28</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A¿1,1,1,1,5,0,2,1,1§Z¿=2,§A¿0,3,0,1,3,2,1,-1,0,0,FALSE,FALSE§Z¿/§A¿0,1,0,1,34,2,1,2,0,0,TRUE,TRUE§Z¿,§A¿0,3,0,1,3,2,1,-1,0,0,FALSE,FALSE§Z¿*§A¿0,1,0,1,34,2,1,2,0,0,TRUE,TRUE§Z¿)]]></VOFFF>
                              </ClmnBlkPtProps>
                            </ClmnBlkPt>
                          </ClmnBlkPts>
                        </ClmnBlk>
                        <ClmnBlk>
                          <ClmnBlkProps>
                            <FCPT>0</FCPT>
                            <FCN>17</FCN>
                            <LCPT>0</LCPT>
                            <LCN>17</LCN>
                          </ClmnBlkProps>
                          <ClmnBlkPts>
                            <ClmnBlkPt>
                              <ClmnBlkPtProps>
                                <CBPT>5</CBPT>
                                <ST>18</ST>
                                <SON>14</SON>
                                <VOFFF><![CDATA[=IF(§A¿1,1,1,1,5,0,2,1,1§Z¿=2,§A¿0,3,0,1,3,3,1,-1,0,0,FALSE,FALSE§Z¿/§A¿0,1,0,1,34,2,1,2,0,0,TRUE,TRUE§Z¿,§A¿0,3,0,1,3,3,1,-1,0,0,FALSE,FALSE§Z¿*§A¿0,1,0,1,34,2,1,2,0,0,TRUE,TRUE§Z¿)]]></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A¿1,1,1,1,5,0,2,1,1§Z¿=2,§A¿0,3,0,1,4,2,1,-1,0,0,FALSE,FALSE§Z¿/§A¿0,1,0,1,34,2,1,2,0,0,TRUE,TRUE§Z¿,§A¿0,3,0,1,4,2,1,-1,0,0,FALSE,FALSE§Z¿*§A¿0,1,0,1,34,2,1,2,0,0,TRUE,TRUE§Z¿)]]></VOFFF>
                              </ClmnBlkPtProps>
                            </ClmnBlkPt>
                          </ClmnBlkPts>
                        </ClmnBlk>
                        <ClmnBlk>
                          <ClmnBlkProps>
                            <FCPT>0</FCPT>
                            <FCN>17</FCN>
                            <LCPT>0</LCPT>
                            <LCN>17</LCN>
                          </ClmnBlkProps>
                          <ClmnBlkPts>
                            <ClmnBlkPt>
                              <ClmnBlkPtProps>
                                <CBPT>5</CBPT>
                                <ST>18</ST>
                                <SON>14</SON>
                                <VOFFF><![CDATA[=IF(§A¿1,1,1,1,5,0,2,1,1§Z¿=2,§A¿0,3,0,1,4,3,1,-1,0,0,FALSE,FALSE§Z¿/§A¿0,1,0,1,34,2,1,2,0,0,TRUE,TRUE§Z¿,§A¿0,3,0,1,4,3,1,-1,0,0,FALSE,FALSE§Z¿*§A¿0,1,0,1,34,2,1,2,0,0,TRUE,TRUE§Z¿)]]></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A¿1,1,1,1,5,0,2,1,1§Z¿=2,§A¿0,3,0,1,5,2,1,-1,0,0,FALSE,FALSE§Z¿/§A¿0,1,0,1,34,2,1,2,0,0,TRUE,TRUE§Z¿,§A¿0,3,0,1,5,2,1,-1,0,0,FALSE,FALSE§Z¿*§A¿0,1,0,1,34,2,1,2,0,0,TRUE,TRUE§Z¿)]]></VOFFF>
                              </ClmnBlkPtProps>
                            </ClmnBlkPt>
                          </ClmnBlkPts>
                        </ClmnBlk>
                        <ClmnBlk>
                          <ClmnBlkProps>
                            <FCPT>0</FCPT>
                            <FCN>17</FCN>
                            <LCPT>0</LCPT>
                            <LCN>17</LCN>
                          </ClmnBlkProps>
                          <ClmnBlkPts>
                            <ClmnBlkPt>
                              <ClmnBlkPtProps>
                                <CBPT>5</CBPT>
                                <ST>18</ST>
                                <SON>14</SON>
                                <VOFFF><![CDATA[=IF(§A¿1,1,1,1,5,0,2,1,1§Z¿=2,§A¿0,3,0,1,5,3,1,-1,0,0,FALSE,FALSE§Z¿/§A¿0,1,0,1,34,2,1,2,0,0,TRUE,TRUE§Z¿,§A¿0,3,0,1,5,3,1,-1,0,0,FALSE,FALSE§Z¿*§A¿0,1,0,1,34,2,1,2,0,0,TRUE,TRUE§Z¿)]]></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A¿1,1,1,1,5,0,2,1,1§Z¿=2,§A¿0,3,0,1,6,2,1,-1,0,0,FALSE,FALSE§Z¿/§A¿0,1,0,1,34,2,1,2,0,0,TRUE,TRUE§Z¿,§A¿0,3,0,1,6,2,1,-1,0,0,FALSE,FALSE§Z¿*§A¿0,1,0,1,34,2,1,2,0,0,TRUE,TRUE§Z¿)]]></VOFFF>
                              </ClmnBlkPtProps>
                            </ClmnBlkPt>
                          </ClmnBlkPts>
                        </ClmnBlk>
                        <ClmnBlk>
                          <ClmnBlkProps>
                            <FCPT>0</FCPT>
                            <FCN>17</FCN>
                            <LCPT>0</LCPT>
                            <LCN>17</LCN>
                          </ClmnBlkProps>
                          <ClmnBlkPts>
                            <ClmnBlkPt>
                              <ClmnBlkPtProps>
                                <CBPT>5</CBPT>
                                <ST>18</ST>
                                <SON>14</SON>
                                <VOFFF><![CDATA[=IF(§A¿1,1,1,1,5,0,2,1,1§Z¿=2,§A¿0,3,0,1,6,3,1,-1,0,0,FALSE,FALSE§Z¿/§A¿0,1,0,1,34,2,1,2,0,0,TRUE,TRUE§Z¿,§A¿0,3,0,1,6,3,1,-1,0,0,FALSE,FALSE§Z¿*§A¿0,1,0,1,34,2,1,2,0,0,TRUE,TRUE§Z¿)]]></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A¿1,1,1,1,5,0,2,1,1§Z¿=2,§A¿0,3,0,1,7,2,1,-1,0,0,FALSE,FALSE§Z¿/§A¿0,1,0,1,34,2,1,2,0,0,TRUE,TRUE§Z¿,§A¿0,3,0,1,7,2,1,-1,0,0,FALSE,FALSE§Z¿*§A¿0,1,0,1,34,2,1,2,0,0,TRUE,TRUE§Z¿)]]></VOFFF>
                              </ClmnBlkPtProps>
                            </ClmnBlkPt>
                          </ClmnBlkPts>
                        </ClmnBlk>
                        <ClmnBlk>
                          <ClmnBlkProps>
                            <FCPT>0</FCPT>
                            <FCN>17</FCN>
                            <LCPT>0</LCPT>
                            <LCN>17</LCN>
                          </ClmnBlkProps>
                          <ClmnBlkPts>
                            <ClmnBlkPt>
                              <ClmnBlkPtProps>
                                <CBPT>5</CBPT>
                                <ST>18</ST>
                                <SON>14</SON>
                                <VOFFF><![CDATA[=IF(§A¿1,1,1,1,5,0,2,1,1§Z¿=2,§A¿0,3,0,1,7,3,1,-1,0,0,FALSE,FALSE§Z¿/§A¿0,1,0,1,34,2,1,2,0,0,TRUE,TRUE§Z¿,§A¿0,3,0,1,7,3,1,-1,0,0,FALSE,FALSE§Z¿*§A¿0,1,0,1,34,2,1,2,0,0,TRUE,TRUE§Z¿)]]></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17</SON>
                                <VOFFF><![CDATA[=SUM(§A¿0,3,1,1,3,2,1,-1,0,0,FALSE,FALSE,1,7,2,1,-1,0,0,FALSE,FALSE§Z¿)]]></VOFFF>
                              </ClmnBlkPtProps>
                            </ClmnBlkPt>
                          </ClmnBlkPts>
                        </ClmnBlk>
                        <ClmnBlk>
                          <ClmnBlkProps>
                            <FCPT>0</FCPT>
                            <FCN>12</FCN>
                            <LCPT>0</LCPT>
                            <LCN>12</LCN>
                          </ClmnBlkProps>
                          <ClmnBlkPts>
                            <ClmnBlkPt>
                              <ClmnBlkPtProps>
                                <CBPT>5</CBPT>
                                <ST>18</ST>
                                <SON>17</SON>
                                <VOFFF><![CDATA[=SUM(§A¿0,3,1,1,3,3,1,-1,0,0,FALSE,FALSE,1,7,3,1,-1,0,0,FALSE,FALSE§Z¿)]]></VOFFF>
                              </ClmnBlkPtProps>
                            </ClmnBlkPt>
                          </ClmnBlkPts>
                        </ClmnBlk>
                        <ClmnBlk>
                          <ClmnBlkProps>
                            <FCPT>0</FCPT>
                            <FCN>15</FCN>
                            <LCPT>0</LCPT>
                            <LCN>15</LCN>
                          </ClmnBlkProps>
                          <ClmnBlkPts>
                            <ClmnBlkPt>
                              <ClmnBlkPtProps>
                                <CBPT>5</CBPT>
                                <ST>18</ST>
                                <SON>18</SON>
                                <VOFFF><![CDATA[=SUM(§A¿0,3,1,1,3,4,1,-1,0,0,FALSE,FALSE,1,7,4,1,-1,0,0,FALSE,FALSE§Z¿)]]></VOFFF>
                              </ClmnBlkPtProps>
                            </ClmnBlkPt>
                          </ClmnBlkPts>
                        </ClmnBlk>
                        <ClmnBlk>
                          <ClmnBlkProps>
                            <FCPT>0</FCPT>
                            <FCN>17</FCN>
                            <LCPT>0</LCPT>
                            <LCN>17</LCN>
                          </ClmnBlkProps>
                          <ClmnBlkPts>
                            <ClmnBlkPt>
                              <ClmnBlkPtProps>
                                <CBPT>5</CBPT>
                                <ST>18</ST>
                                <SON>18</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 Trained per Training]]></VOFFF>
                              </ClmnBlkPtProps>
                            </ClmnBlkPt>
                          </ClmnBlkPts>
                        </ClmnBlk>
                        <ClmnBlk>
                          <ClmnBlkProps>
                            <FCPT>0</FCPT>
                            <FCN>10</FCN>
                            <LCPT>0</LCPT>
                            <LCN>10</LCN>
                          </ClmnBlkProps>
                          <ClmnBlkPts>
                            <ClmnBlkPt>
                              <ClmnBlkPtProps>
                                <CBPT>5</CBPT>
                                <ST>11</ST>
                                <VOFFF/>
                                <UDAV><![CDATA[0]]></UDAV>
                              </ClmnBlkPtProps>
                            </ClmnBlkPt>
                          </ClmnBlkPts>
                        </ClmnBlk>
                        <ClmnBlk>
                          <ClmnBlkProps>
                            <FCPT>0</FCPT>
                            <FCN>12</FCN>
                            <LCPT>0</LCPT>
                            <LCN>12</LCN>
                          </ClmnBlkProps>
                          <ClmnBlkPts>
                            <ClmnBlkPt>
                              <ClmnBlkPtProps>
                                <CBPT>5</CBPT>
                                <ST>11</ST>
                                <VOFFF/>
                                <UDAV><![CDATA[0]]></UDAV>
                              </ClmnBlkPtProps>
                            </ClmnBlkPt>
                          </ClmnBlkPts>
                        </ClmnBlk>
                        <ClmnBlk>
                          <ClmnBlkProps>
                            <FCPT>0</FCPT>
                            <FCN>15</FCN>
                            <LCPT>0</LCPT>
                            <LCN>15</LCN>
                          </ClmnBlkProps>
                          <ClmnBlkPts>
                            <ClmnBlkPt>
                              <ClmnBlkPtProps>
                                <CBPT>5</CBPT>
                                <ST>11</ST>
                                <VOFFF/>
                                <UDAV><![CDATA[0]]></UDAV>
                              </ClmnBlkPtProps>
                            </ClmnBlkPt>
                          </ClmnBlkPts>
                        </ClmnBlk>
                        <ClmnBlk>
                          <ClmnBlkProps>
                            <FCPT>0</FCPT>
                            <FCN>17</FCN>
                            <LCPT>0</LCPT>
                            <LCN>17</LCN>
                          </ClmnBlkProps>
                          <ClmnBlkPts>
                            <ClmnBlkPt>
                              <ClmnBlkPtProps>
                                <CBPT>5</CBPT>
                                <ST>11</ST>
                                <VOFFF/>
                                <UDAV><![CDATA[0]]></UDAV>
                              </ClmnBlkPtProps>
                            </ClmnBlkPt>
                          </ClmnBlkPts>
                        </ClmnBlk>
                      </ClmnBlks>
                      <TtlCtg/>
                    </Elmt>
                    <Elmt>
                      <ElmtProps>
                        <CPT>2</CPT>
                      </ElmtProps>
                      <ClmnBlks>
                        <ClmnBlk>
                          <ClmnBlkProps>
                            <FCPT>0</FCPT>
                            <FCN>3</FCN>
                            <LCPT>0</LCPT>
                            <LCN>3</LCN>
                          </ClmnBlkProps>
                          <ClmnBlkPts>
                            <ClmnBlkPt>
                              <ClmnBlkPtProps>
                                <CBPT>5</CBPT>
                                <ST>5</ST>
                                <VOFFF><![CDATA[Cost per Participant Trained]]></VOFFF>
                              </ClmnBlkPtProps>
                            </ClmnBlkPt>
                          </ClmnBlkPts>
                        </ClmnBlk>
                        <ClmnBlk>
                          <ClmnBlkProps>
                            <FCPT>0</FCPT>
                            <FCN>10</FCN>
                            <LCPT>0</LCPT>
                            <LCN>10</LCN>
                          </ClmnBlkProps>
                          <ClmnBlkPts>
                            <ClmnBlkPt>
                              <ClmnBlkPtProps>
                                <CBPT>5</CBPT>
                                <ST>18</ST>
                                <SON>14</SON>
                                <VOFFF><![CDATA[=IFERROR(§A¿0,3,0,1,8,2,1,-1,0,0,FALSE,FALSE§Z¿/§A¿0,3,0,1,13,2,1,-1,0,0,FALSE,FALSE§Z¿,0)]]></VOFFF>
                              </ClmnBlkPtProps>
                            </ClmnBlkPt>
                          </ClmnBlkPts>
                        </ClmnBlk>
                        <ClmnBlk>
                          <ClmnBlkProps>
                            <FCPT>0</FCPT>
                            <FCN>12</FCN>
                            <LCPT>0</LCPT>
                            <LCN>12</LCN>
                          </ClmnBlkProps>
                          <ClmnBlkPts>
                            <ClmnBlkPt>
                              <ClmnBlkPtProps>
                                <CBPT>5</CBPT>
                                <ST>18</ST>
                                <SON>14</SON>
                                <VOFFF><![CDATA[=IFERROR(§A¿0,3,0,1,8,3,1,-1,0,0,FALSE,FALSE§Z¿/§A¿0,3,0,1,13,3,1,-1,0,0,FALSE,FALSE§Z¿,0)]]></VOFFF>
                              </ClmnBlkPtProps>
                            </ClmnBlkPt>
                          </ClmnBlkPts>
                        </ClmnBlk>
                        <ClmnBlk>
                          <ClmnBlkProps>
                            <FCPT>0</FCPT>
                            <FCN>15</FCN>
                            <LCPT>0</LCPT>
                            <LCN>15</LCN>
                          </ClmnBlkProps>
                          <ClmnBlkPts>
                            <ClmnBlkPt>
                              <ClmnBlkPtProps>
                                <CBPT>5</CBPT>
                                <ST>18</ST>
                                <SON>14</SON>
                                <VOFFF><![CDATA[=IFERROR(§A¿0,3,0,1,8,4,1,-1,0,0,FALSE,FALSE§Z¿/§A¿0,3,0,1,13,4,1,-1,0,0,FALSE,FALSE§Z¿,0)]]></VOFFF>
                              </ClmnBlkPtProps>
                            </ClmnBlkPt>
                          </ClmnBlkPts>
                        </ClmnBlk>
                        <ClmnBlk>
                          <ClmnBlkProps>
                            <FCPT>0</FCPT>
                            <FCN>17</FCN>
                            <LCPT>0</LCPT>
                            <LCN>17</LCN>
                          </ClmnBlkProps>
                          <ClmnBlkPts>
                            <ClmnBlkPt>
                              <ClmnBlkPtProps>
                                <CBPT>5</CBPT>
                                <ST>18</ST>
                                <SON>14</SON>
                                <VOFFF><![CDATA[=IFERROR(§A¿0,3,0,1,8,5,1,-1,0,0,FALSE,FALSE§Z¿/§A¿0,3,0,1,13,5,1,-1,0,0,FALSE,FALSE§Z¿,0)]]></VOFFF>
                              </ClmnBlkPtProps>
                            </ClmnBlkPt>
                          </ClmnBlkPts>
                        </ClmnBlk>
                      </ClmnBlks>
                      <TtlCtg/>
                    </Elmt>
                    <Elmt>
                      <ElmtProps>
                        <CPT>2</CPT>
                      </ElmtProps>
                      <ClmnBlks>
                        <ClmnBlk>
                          <ClmnBlkProps>
                            <FCPT>0</FCPT>
                            <FCN>2</FCN>
                            <LCPT>0</LCPT>
                            <LCN>17</LCN>
                          </ClmnBlkProps>
                          <ClmnBlkPts>
                            <ClmnBlkPt>
                              <ClmnBlkPtProps>
                                <CBPT>5</CBPT>
                                <ST>-1</ST>
                                <SON>16</SON>
                                <VOFFF/>
                              </ClmnBlkPtProps>
                            </ClmnBlkPt>
                          </ClmnBlkPts>
                        </ClmnBlk>
                      </ClmnBlks>
                      <TtlCtg/>
                    </Elmt>
                    <Elmt>
                      <ElmtProps>
                        <CPT>2</CPT>
                      </ElmtProps>
                      <TtlCtg/>
                    </Elmt>
                    <Elmt>
                      <ElmtProps>
                        <CPT>2</CPT>
                      </ElmtProps>
                      <TtlCtg/>
                    </Elmt>
                    <Elmt>
                      <ElmtProps>
                        <CPT>2</CPT>
                      </ElmtProps>
                      <TtlCtg/>
                    </Elmt>
                    <Elmt>
                      <ElmtProps>
                        <CPT>2</CPT>
                      </ElmtProps>
                      <ClmnBlks>
                        <ClmnBlk>
                          <ClmnBlkProps>
                            <FCPT>0</FCPT>
                            <FCN>2</FCN>
                            <LCPT>0</LCPT>
                            <LCN>2</LCN>
                          </ClmnBlkProps>
                          <ClmnBlkPts>
                            <ClmnBlkPt>
                              <ClmnBlkPtProps>
                                <CBPT>5</CBPT>
                                <ST>6</ST>
                                <VOFFF><![CDATA[Currencies and Exchange Rates Referenced Links (Developer Use Only.  User Can Change in Step 1.d)]]></VOFFF>
                              </ClmnBlkPtProps>
                            </ClmnBlkPt>
                          </ClmnBlkPts>
                        </ClmnBlk>
                      </ClmnBlks>
                      <TtlCtg/>
                    </Elmt>
                    <Elmt>
                      <ElmtProps>
                        <CPT>2</CPT>
                      </ElmtProps>
                      <TtlCtg>
                        <TtlCtgProps>
                          <R>5</R>
                        </TtlCtgProps>
                      </TtlCtg>
                    </Elmt>
                    <Elmt>
                      <ElmtProps>
                        <CPT>1</CPT>
                        <TOT>False</TOT>
                        <EGN>5</EGN>
                      </ElmtProps>
                      <ClmnBlks>
                        <ClmnBlk>
                          <ClmnBlkProps>
                            <FCPT>0</FCPT>
                            <FCN>4</FCN>
                            <LCPT>0</LCPT>
                            <LCN>4</LCN>
                          </ClmnBlkProps>
                          <ClmnBlkPts>
                            <ClmnBlkPt>
                              <ClmnBlkPtProps>
                                <CBPT>0</CBPT>
                                <ST>6</ST>
                                <VOFFF><![CDATA[=§A¿0,1,0,1,34,1,1,0,0,0,FALSE,FALSE§Z¿]]></VOFFF>
                                <UDAV><![CDATA[<CategoriesGroupName> Category <CategoryNumber>]]></UDAV>
                              </ClmnBlkPtProps>
                              <LnkInForms>
                                <LnkInForm>
                                  <LnkInFormProps>
                                    <CBPLI>3,1,21,1,1</CBPLI>
                                    <ELN>1</ELN>
                                    <FFF><![CDATA[=§A¿10,FALSE,0,1,0,FALSE§Z¿]]></FFF>
                                  </LnkInFormProps>
                                </LnkInForm>
                              </LnkInForms>
                            </ClmnBlkPt>
                            <ClmnBlkPt>
                              <ClmnBlkPtProps>
                                <CBPT>1</CBPT>
                                <ST>6</ST>
                                <VOFFF><![CDATA[="Total "&§A¿0,3,0,1,21,1,3,0,0,0,FALSE,FALSE§Z¿]]></VOFFF>
                                <UDAV><![CDATA[<CategoriesGroupName> Sub-Total <SubTotalNumber>]]></UDAV>
                              </ClmnBlkPtProps>
                            </ClmnBlkPt>
                            <ClmnBlkPt>
                              <ClmnBlkPtProps>
                                <CBPT>2</CBPT>
                                <ST>5</ST>
                                <VOFFF><![CDATA[=§A¿0,1,0,1,34,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9</FCN>
                            <LCPT>0</LCPT>
                            <LCN>9</LCN>
                          </ClmnBlkProps>
                          <ClmnBlkPts>
                            <ClmnBlkPt>
                              <ClmnBlkPtProps>
                                <CBPT>0</CBPT>
                                <ST>18</ST>
                                <VOFFF><![CDATA[0]]></VOFFF>
                              </ClmnBlkPtProps>
                              <LnkInForms>
                                <LnkInForm>
                                  <LnkInFormProps>
                                    <CBPLI>3,1,21,2,1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14</MN>
                                  <CLI>3,1,21,False,1</CLI>
                                  <ELN>1</ELN>
                                  <LOOT>0</LOOT>
                                  <LOMN>3</LOMN>
                                  <LOMCN>2</LOMCN>
                                  <LOSN>1</LOSN>
                                  <LOEN>4</LOEN>
                                  <LOCN>1</LOCN>
                                </LnkInProps>
                              </LnkIn>
                            </Ctg>
                            <Ctg>
                              <CtgProps>
                                <R>6</R>
                              </CtgProps>
                              <LnkIn>
                                <LnkInProps>
                                  <MN>14</MN>
                                  <CLI>3,1,21,False,2</CLI>
                                  <ELN>1</ELN>
                                  <LOOT>0</LOOT>
                                  <LOMN>3</LOMN>
                                  <LOMCN>2</LOMCN>
                                  <LOSN>1</LOSN>
                                  <LOEN>4</LOEN>
                                  <LOCN>2</LOCN>
                                </LnkInProps>
                              </LnkIn>
                            </Ctg>
                          </Ctgs>
                        </SubTtl>
                      </SubTtls>
                      <TtlCtg/>
                      <ElmtLnksIn>
                        <ElmtLnk>
                          <ElmtLnkProps>
                            <ELI>3,1,21</ELI>
                            <ELN>1</ELN>
                            <ELGN>1</ELGN>
                            <MLG>1638744F-648F-4D87-8C2C-69B71D7C5AA6</MLG>
                            <ICBI>1,2</ICBI>
                            <ILBN/>
                            <LIBN>0</LIBN>
                          </ElmtLnkProps>
                        </ElmtLnk>
                      </ElmtLnksIn>
                    </Elmt>
                  </Elmts>
                </Sect>
              </Sects>
            </ModComp>
            <ModComp>
              <ModCompProps>
                <MN>14</MN>
                <MCN>4</MCN>
                <MCTK>LU</MCTK>
                <RT><![CDATA[<ModuleName> - Lookups]]></RT>
                <ERN>BPMMC7</ERN>
                <MCST>3</MCST>
                <IPMC>False</IPMC>
                <SN>63</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41</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5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5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5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5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5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5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6</MN>
            <MAG>608162F4-E730-403E-9DB1-20B06C6C3C25</MAG>
            <BN><![CDATA[PLUG_ACTIVITY]]></BN>
            <N><![CDATA[IEC-DESIGN]]></N>
            <TS><![CDATA[Annual]]></TS>
            <D><![CDATA[Assists with planning the cost of an activity. Should be used with Prices module.]]></D>
            <FS/>
            <R/>
            <GE/>
            <CA/>
            <VA/>
            <GST/>
            <DE/>
            <E/>
            <C/>
            <W/>
            <K/>
            <CO/>
            <V>1.0.0.0.</V>
            <AX/>
            <PMLO>False</PMLO>
            <IPMLO>False</IPMLO>
            <MACA>1</MACA>
            <RTSM>True</RTSM>
            <CC>True</CC>
            <X>False</X>
            <G>C080CCB0-F87C-4EFB-BF47-41305760E200</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1</OL>
                <RH>True</RH>
              </RowStgProps>
            </RowStg>
            <RowStg>
              <RowStgProps>
                <RSN>5</RSN>
                <RHST>0</RHST>
                <HS>0</HS>
                <OL>2</OL>
                <RH>False</RH>
              </RowStgProps>
            </RowStg>
            <RowStg>
              <RowStgProps>
                <RSN>6</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15</MN>
                <MCN>1</MCN>
                <MCTK>BaseCase</MCTK>
                <RT><![CDATA[<ModuleName> - Assumptions]]></RT>
                <ERN>BPMMC59</ERN>
                <MCST>0</MCST>
                <IPMC>False</IPMC>
                <SN>15</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31</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6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2,1,1,1,0,0,TRUE,TRUE§Z¿,§A¿0,1,0,1,32,1,1,2,0,0,TRUE,TRUE§Z¿)]]></VOFFF>
                              </ClmnBlkPtProps>
                            </ClmnBlkPt>
                          </ClmnBlkPts>
                        </ClmnBlk>
                        <ClmnBlk>
                          <ClmnBlkProps>
                            <FCPT>0</FCPT>
                            <FCN>15</FCN>
                            <LCPT>0</LCPT>
                            <LCN>15</LCN>
                          </ClmnBlkProps>
                          <ClmnBlkPts>
                            <ClmnBlkPt>
                              <ClmnBlkPtProps>
                                <CBPT>5</CBPT>
                                <ST>18</ST>
                                <VOFFF><![CDATA[=IF(§A¿1,1,1,1,5,0,2,1,1§Z¿=1,§A¿0,1,0,1,32,1,1,1,0,0,TRUE,TRUE§Z¿,§A¿0,1,0,1,32,1,1,2,0,0,TRUE,TRUE§Z¿)]]></VOFFF>
                              </ClmnBlkPtProps>
                            </ClmnBlkPt>
                          </ClmnBlkPts>
                        </ClmnBlk>
                        <ClmnBlk>
                          <ClmnBlkProps>
                            <FCPT>0</FCPT>
                            <FCN>17</FCN>
                            <LCPT>0</LCPT>
                            <LCN>17</LCN>
                          </ClmnBlkProps>
                          <ClmnBlkPts>
                            <ClmnBlkPt>
                              <ClmnBlkPtProps>
                                <CBPT>5</CBPT>
                                <ST>18</ST>
                                <VOFFF><![CDATA[=IF(§A¿1,1,1,1,5,0,2,1,1§Z¿=1,§A¿0,1,0,1,32,1,1,1,0,0,TRUE,TRUE§Z¿,§A¿0,1,0,1,32,1,1,2,0,0,TRUE,TRUE§Z¿)]]></VOFFF>
                              </ClmnBlkPtProps>
                            </ClmnBlkPt>
                          </ClmnBlkPts>
                        </ClmnBlk>
                        <ClmnBlk>
                          <ClmnBlkProps>
                            <FCPT>0</FCPT>
                            <FCN>19</FCN>
                            <LCPT>0</LCPT>
                            <LCN>19</LCN>
                          </ClmnBlkProps>
                          <ClmnBlkPts>
                            <ClmnBlkPt>
                              <ClmnBlkPtProps>
                                <CBPT>5</CBPT>
                                <ST>18</ST>
                                <VOFFF><![CDATA[=IF(§A¿1,1,1,1,5,0,2,1,1§Z¿=1,§A¿0,1,0,1,32,1,1,1,0,0,TRUE,TRUE§Z¿,§A¿0,1,0,1,32,1,1,2,0,0,TRUE,TRUE§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Day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7,2,1,1,0,0,TRUE,TRUE,1,37,2,1,2,0,0,TRUE,TRUE§Z¿,MATCH(§A¿0,1,0,1,8,1,1,0,0,0,FALSE,FALSE§Z¿,§A¿1,1,4,1,13,0,1,1,1§Z¿,0)),INDEX(§A¿0,1,1,1,37,4,1,1,0,0,TRUE,TRUE,1,37,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7,3,1,1,0,0,TRUE,TRUE,1,37,3,1,2,0,0,TRUE,TRUE§Z¿,MATCH(§A¿0,1,0,1,8,1,1,0,0,0,FALSE,FALSE§Z¿,§A¿1,1,4,1,13,0,1,1,1§Z¿,0)),INDEX(§A¿0,1,1,1,37,5,1,1,0,0,TRUE,TRUE,1,37,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CtgProps>
                          <R>4</R>
                        </TtlCtgProps>
                        <TtlSpcrRow>
                          <TtlSpcrRowProps>
                            <RSN>2</RSN>
                          </TtlSpcrRowProps>
                        </TtlSpcrRow>
                      </TtlCtg>
                    </Elmt>
                    <Elmt>
                      <ElmtProps>
                        <CPT>2</CPT>
                      </ElmtProps>
                      <TtlCtg>
                        <TtlCtgProps>
                          <R>4</R>
                        </TtlCtgProps>
                      </TtlCtg>
                    </Elmt>
                    <Elmt>
                      <ElmtProps>
                        <CPT>2</CPT>
                      </ElmtProps>
                      <ClmnBlks>
                        <ClmnBlk>
                          <ClmnBlkProps>
                            <FCPT>0</FCPT>
                            <FCN>3</FCN>
                            <LCPT>0</LCPT>
                            <LCN>3</LCN>
                          </ClmnBlkProps>
                          <ClmnBlkPts>
                            <ClmnBlkPt>
                              <ClmnBlkPtProps>
                                <CBPT>5</CBPT>
                                <ST>4</ST>
                                <VOFFF><![CDATA[Allowances]]></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Day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0,2,1,1,0,0,TRUE,TRUE,1,40,2,1,2,0,0,TRUE,TRUE§Z¿,MATCH(§A¿0,1,0,1,12,1,1,0,0,0,FALSE,FALSE§Z¿,§A¿1,1,4,1,17,0,1,1,1§Z¿,0)),INDEX(§A¿0,1,1,1,40,4,1,1,0,0,TRUE,TRUE,1,40,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0,3,1,1,0,0,TRUE,TRUE,1,40,3,1,2,0,0,TRUE,TRUE§Z¿,MATCH(§A¿0,1,0,1,12,1,1,0,0,0,FALSE,FALSE§Z¿,§A¿1,1,4,1,17,0,1,1,1§Z¿,0)),INDEX(§A¿0,1,1,1,40,5,1,1,0,0,TRUE,TRUE,1,40,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CtgProps>
                          <R>4</R>
                        </TtlCtgProps>
                        <TtlSpcrRow>
                          <TtlSpcrRowProps>
                            <RSN>2</RSN>
                          </TtlSpcrRowProps>
                        </TtlSpcrRow>
                      </TtlCtg>
                    </Elmt>
                    <Elmt>
                      <ElmtProps>
                        <CPT>2</CPT>
                      </ElmtProps>
                      <TtlCtg>
                        <TtlCtgProps>
                          <R>4</R>
                        </TtlCtgProps>
                      </TtlCtg>
                    </Elmt>
                    <Elmt>
                      <ElmtProps>
                        <CPT>2</CPT>
                      </ElmtProps>
                      <ClmnBlks>
                        <ClmnBlk>
                          <ClmnBlkProps>
                            <FCPT>0</FCPT>
                            <FCN>3</FCN>
                            <LCPT>0</LCPT>
                            <LCN>3</LCN>
                          </ClmnBlkProps>
                          <ClmnBlkPts>
                            <ClmnBlkPt>
                              <ClmnBlkPtProps>
                                <CBPT>5</CBPT>
                                <ST>4</ST>
                                <VOFFF><![CDATA[Materials & Supplies]]></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1,1,16,1,1</CBPLI>
                                  <ADVT>-1</ADVT>
                                  <VT>3</VT>
                                  <AS>1</AS>
                                  <O>1</O>
                                  <F1FFF><![CDATA[=§A¿1,1,4,1,22,0,1,1,1§Z¿]]></F1FFF>
                                  <F2FFF/>
                                  <IB>True</IB>
                                  <ICDD>True</ICDD>
                                  <SI>True</SI>
                                  <IT/>
                                  <IM/>
                                  <SE>True</SE>
                                  <ET/>
                                  <EM/>
                                  <IMO>0</IMO>
                                </VdtnProps>
                              </Vdtn>
                            </ClmnBlkPt>
                            <ClmnBlkPt>
                              <ClmnBlkPtProps>
                                <CBPT>1</CBPT>
                                <ST>6</ST>
                                <MC>True</MC>
                                <VOFFF><![CDATA[="Total "&§A¿0,1,0,1,16,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4,2,1,1,0,0,TRUE,TRUE,1,44,2,1,2,0,0,TRUE,TRUE§Z¿,MATCH(§A¿0,1,0,1,16,1,1,0,0,0,FALSE,FALSE§Z¿,§A¿1,1,4,1,22,0,1,1,1§Z¿,0)),INDEX(§A¿0,1,1,1,44,4,1,1,0,0,TRUE,TRUE,1,44,4,1,2,0,0,TRUE,TRUE§Z¿,MATCH(§A¿0,1,0,1,16,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4,3,1,1,0,0,TRUE,TRUE,1,44,3,1,2,0,0,TRUE,TRUE§Z¿,MATCH(§A¿0,1,0,1,16,1,1,0,0,0,FALSE,FALSE§Z¿,§A¿1,1,4,1,22,0,1,1,1§Z¿,0)),INDEX(§A¿0,1,1,1,44,5,1,1,0,0,TRUE,TRUE,1,44,5,1,2,0,0,TRUE,TRUE§Z¿,MATCH(§A¿0,1,0,1,16,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6,2,1,0,0,0,FALSE,FALSE§Z¿*§A¿0,1,0,1,16,3,1,0,0,0,FALSE,FALSE§Z¿*§A¿0,1,0,1,16,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6,2,1,0,0,0,FALSE,FALSE§Z¿*§A¿0,1,0,1,16,3,1,0,0,0,FALSE,FALSE§Z¿*§A¿0,1,0,1,16,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1,1,16,1</STLI>
                              <R>1</R>
                            </SubTtlHdgRowProps>
                          </SubTtlHdgRow>
                          <TtlSpcrRow>
                            <TtlSpcrRowProps>
                              <RSN>2</RSN>
                            </TtlSpcrRowProps>
                          </TtlSpcrRow>
                          <CatSpan>
                            <CatSpanProps>
                              <CC>25</CC>
                              <R>0</R>
                            </CatSpanProps>
                          </CatSpan>
                        </SubTtl>
                      </SubTtls>
                      <TtlCtg>
                        <TtlCtgProps>
                          <R>4</R>
                        </TtlCtgProps>
                        <TtlSpcrRow>
                          <TtlSpcrRowProps>
                            <RSN>2</RSN>
                          </TtlSpcrRowProps>
                        </TtlSpcrRow>
                      </TtlCtg>
                    </Elmt>
                    <Elmt>
                      <ElmtProps>
                        <CPT>2</CPT>
                      </ElmtProps>
                      <TtlCtg>
                        <TtlCtgProps>
                          <R>4</R>
                        </TtlCtg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TtlCtgProps>
                          <R>4</R>
                        </TtlCtgProp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1,1,20,1,1</CBPLI>
                                  <ADVT>-1</ADVT>
                                  <VT>3</VT>
                                  <AS>1</AS>
                                  <O>1</O>
                                  <F1FFF><![CDATA[=§A¿1,1,4,1,27,0,1,1,1§Z¿]]></F1FFF>
                                  <F2FFF/>
                                  <IB>True</IB>
                                  <ICDD>True</ICDD>
                                  <SI>True</SI>
                                  <IT/>
                                  <IM/>
                                  <SE>True</SE>
                                  <ET/>
                                  <EM/>
                                  <IMO>0</IMO>
                                </VdtnProps>
                              </Vdtn>
                            </ClmnBlkPt>
                            <ClmnBlkPt>
                              <ClmnBlkPtProps>
                                <CBPT>1</CBPT>
                                <ST>6</ST>
                                <MC>True</MC>
                                <VOFFF><![CDATA[="Total "&§A¿0,1,0,1,20,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7,2,1,1,0,0,TRUE,TRUE,1,47,2,1,2,0,0,TRUE,TRUE§Z¿,MATCH(§A¿0,1,0,1,20,1,1,0,0,0,FALSE,FALSE§Z¿,§A¿1,1,4,1,27,0,1,1,1§Z¿,0)),INDEX(§A¿0,1,1,1,47,4,1,1,0,0,TRUE,TRUE,1,47,4,1,2,0,0,TRUE,TRUE§Z¿,MATCH(§A¿0,1,0,1,20,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7,3,1,1,0,0,TRUE,TRUE,1,47,3,1,2,0,0,TRUE,TRUE§Z¿,MATCH(§A¿0,1,0,1,20,1,1,0,0,0,FALSE,FALSE§Z¿,§A¿1,1,4,1,27,0,1,1,1§Z¿,0)),INDEX(§A¿0,1,1,1,47,5,1,1,0,0,TRUE,TRUE,1,47,5,1,2,0,0,TRUE,TRUE§Z¿,MATCH(§A¿0,1,0,1,20,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0,2,1,0,0,0,FALSE,FALSE§Z¿*§A¿0,1,0,1,20,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0,2,1,0,0,0,FALSE,FALSE§Z¿*§A¿0,1,0,1,20,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TtlCtgProps>
                          <R>4</R>
                        </TtlCtgProps>
                      </TtlCtg>
                    </Elmt>
                    <Elmt>
                      <ElmtProps>
                        <CPT>2</CPT>
                      </ElmtProps>
                      <TtlCtg>
                        <TtlCtgProps>
                          <R>4</R>
                        </TtlCtgProps>
                      </TtlCtg>
                    </Elmt>
                    <Elmt>
                      <ElmtProps>
                        <CPT>2</CPT>
                      </ElmtProps>
                      <ClmnBlks>
                        <ClmnBlk>
                          <ClmnBlkProps>
                            <FCPT>0</FCPT>
                            <FCN>3</FCN>
                            <LCPT>0</LCPT>
                            <LCN>3</LCN>
                          </ClmnBlkProps>
                          <ClmnBlkPts>
                            <ClmnBlkPt>
                              <ClmnBlkPtProps>
                                <CBPT>5</CBPT>
                                <ST>4</ST>
                                <VOFFF><![CDATA[Other Direct Costs]]></VOFFF>
                              </ClmnBlkPtProps>
                            </ClmnBlkPt>
                          </ClmnBlkPts>
                        </ClmnBlk>
                      </ClmnBlks>
                      <TtlCtg>
                        <TtlCtgProps>
                          <R>4</R>
                        </TtlCtg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1,1,25,1,1</CBPLI>
                                  <ADVT>-1</ADVT>
                                  <VT>3</VT>
                                  <AS>1</AS>
                                  <O>1</O>
                                  <F1FFF><![CDATA[=§A¿1,1,4,1,31,0,1,1,1§Z¿]]></F1FFF>
                                  <F2FFF/>
                                  <IB>True</IB>
                                  <ICDD>True</ICDD>
                                  <SI>True</SI>
                                  <IT/>
                                  <IM/>
                                  <SE>True</SE>
                                  <ET/>
                                  <EM/>
                                  <IMO>0</IMO>
                                </VdtnProps>
                              </Vdtn>
                            </ClmnBlkPt>
                            <ClmnBlkPt>
                              <ClmnBlkPtProps>
                                <CBPT>1</CBPT>
                                <ST>6</ST>
                                <MC>True</MC>
                                <VOFFF><![CDATA[="Total "&§A¿0,1,0,1,25,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51,2,1,1,0,0,TRUE,TRUE,1,51,2,1,2,0,0,TRUE,TRUE§Z¿,MATCH(§A¿0,1,0,1,25,1,1,0,0,0,FALSE,FALSE§Z¿,§A¿1,1,4,1,31,0,1,1,1§Z¿,0)),INDEX(§A¿0,1,1,1,51,4,1,1,0,0,TRUE,TRUE,1,51,4,1,2,0,0,TRUE,TRUE§Z¿,MATCH(§A¿0,1,0,1,25,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1,3,1,1,0,0,TRUE,TRUE,1,51,3,1,2,0,0,TRUE,TRUE§Z¿,MATCH(§A¿0,1,0,1,25,1,1,0,0,0,FALSE,FALSE§Z¿,§A¿1,1,4,1,31,0,1,1,1§Z¿,0)),INDEX(§A¿0,1,1,1,51,5,1,1,0,0,TRUE,TRUE,1,51,5,1,2,0,0,TRUE,TRUE§Z¿,MATCH(§A¿0,1,0,1,25,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5,2,1,0,0,0,FALSE,FALSE§Z¿*§A¿0,1,0,1,25,3,1,0,0,0,FALSE,FALSE§Z¿*§A¿0,1,0,1,25,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5,2,1,0,0,0,FALSE,FALSE§Z¿*§A¿0,1,0,1,25,3,1,0,0,0,FALSE,FALSE§Z¿*§A¿0,1,0,1,25,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TtlCtgProps>
                          <R>4</R>
                        </TtlCtgProp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2,1,1,1,0,0,TRUE,TRUE§Z¿,§A¿0,1,0,1,32,1,1,2,0,0,TRUE,TRUE§Z¿)&")"]]></VOFFF>
                              </ClmnBlkPtProps>
                            </ClmnBlkPt>
                          </ClmnBlkPts>
                        </ClmnBlk>
                        <ClmnBlk>
                          <ClmnBlkProps>
                            <FCPT>0</FCPT>
                            <FCN>23</FCN>
                            <LCPT>0</LCPT>
                            <LCN>23</LCN>
                          </ClmnBlkProps>
                          <ClmnBlkPts>
                            <ClmnBlkPt>
                              <ClmnBlkPtProps>
                                <CBPT>5</CBPT>
                                <ST>6</ST>
                                <SON>2</SON>
                                <VOFFF><![CDATA[="ECONOMIC COST ("&IF(§A¿1,1,1,1,5,0,2,1,1§Z¿=2,§A¿0,1,0,1,32,1,1,1,0,0,TRUE,TRUE§Z¿,§A¿0,1,0,1,32,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6,6,6,-1,0,0,FALSE,FALSE§Z¿,§A¿0,1,0,1,20,5,6,-1,0,0,FALSE,FALSE§Z¿,§A¿0,1,0,1,25,6,6,-1,0,0,FALSE,FALSE§Z¿)]]></VOFFF>
                              </ClmnBlkPtProps>
                            </ClmnBlkPt>
                          </ClmnBlkPts>
                        </ClmnBlk>
                        <ClmnBlk>
                          <ClmnBlkProps>
                            <FCPT>0</FCPT>
                            <FCN>19</FCN>
                            <LCPT>0</LCPT>
                            <LCN>19</LCN>
                          </ClmnBlkProps>
                          <ClmnBlkPts>
                            <ClmnBlkPt>
                              <ClmnBlkPtProps>
                                <CBPT>5</CBPT>
                                <ST>18</ST>
                                <SON>11</SON>
                                <VOFFF><![CDATA[=SUM(§A¿0,1,0,1,8,7,6,-1,0,0,FALSE,FALSE§Z¿,§A¿0,1,0,1,12,7,6,-1,0,0,FALSE,FALSE§Z¿,§A¿0,1,0,1,16,7,6,-1,0,0,FALSE,FALSE§Z¿,§A¿0,1,0,1,20,6,6,-1,0,0,FALSE,FALSE§Z¿,§A¿0,1,0,1,25,7,6,-1,0,0,FALSE,FALSE§Z¿)]]></VOFFF>
                              </ClmnBlkPtProps>
                            </ClmnBlkPt>
                          </ClmnBlkPts>
                        </ClmnBlk>
                        <ClmnBlk>
                          <ClmnBlkProps>
                            <FCPT>0</FCPT>
                            <FCN>21</FCN>
                            <LCPT>0</LCPT>
                            <LCN>21</LCN>
                          </ClmnBlkProps>
                          <ClmnBlkPts>
                            <ClmnBlkPt>
                              <ClmnBlkPtProps>
                                <CBPT>5</CBPT>
                                <ST>18</ST>
                                <SON>6</SON>
                                <VOFFF><![CDATA[=IFERROR(IF(§A¿1,1,1,1,5,0,2,1,1§Z¿=2,§A¿0,1,0,1,28,2,1,-1,0,0,FALSE,TRUE§Z¿/§A¿0,1,0,1,32,2,1,2,0,0,TRUE,TRUE§Z¿,§A¿0,1,0,1,28,2,1,-1,0,0,FALSE,TRUE§Z¿*§A¿0,1,0,1,32,2,1,2,0,0,TRUE,TRUE§Z¿), 0)]]></VOFFF>
                              </ClmnBlkPtProps>
                            </ClmnBlkPt>
                          </ClmnBlkPts>
                        </ClmnBlk>
                        <ClmnBlk>
                          <ClmnBlkProps>
                            <FCPT>0</FCPT>
                            <FCN>23</FCN>
                            <LCPT>0</LCPT>
                            <LCN>23</LCN>
                          </ClmnBlkProps>
                          <ClmnBlkPts>
                            <ClmnBlkPt>
                              <ClmnBlkPtProps>
                                <CBPT>5</CBPT>
                                <ST>18</ST>
                                <SON>6</SON>
                                <VOFFF><![CDATA[=IFERROR(IF(§A¿1,1,1,1,5,0,2,1,1§Z¿=2,§A¿0,1,0,1,28,3,1,-1,0,0,FALSE,TRUE§Z¿/§A¿0,1,0,1,32,2,1,2,0,0,TRUE,TRUE§Z¿,§A¿0,1,0,1,28,3,1,-1,0,0,FALSE,TRUE§Z¿*§A¿0,1,0,1,32,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5</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1,1,32,1,1</CBPLI>
                                    <ELN>1</ELN>
                                    <FFF><![CDATA[=§A¿10,FALSE,0,1,0,FALSE§Z¿]]></FFF>
                                  </LnkInFormProps>
                                </LnkInForm>
                              </LnkInForms>
                            </ClmnBlkPt>
                            <ClmnBlkPt>
                              <ClmnBlkPtProps>
                                <CBPT>1</CBPT>
                                <ST>6</ST>
                                <MC>True</MC>
                                <VOFFF><![CDATA[="Total "&§A¿0,1,0,1,3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15</MN>
                                  <CLI>1,1,32,False,1</CLI>
                                  <ELN>1</ELN>
                                  <LOOT>0</LOOT>
                                  <LOMN>3</LOMN>
                                  <LOMCN>2</LOMCN>
                                  <LOSN>1</LOSN>
                                  <LOEN>4</LOEN>
                                  <LOCN>1</LOCN>
                                </LnkInProps>
                              </LnkIn>
                            </Ctg>
                            <Ctg>
                              <CtgProps>
                                <R>6</R>
                              </CtgProps>
                              <LnkIn>
                                <LnkInProps>
                                  <MN>15</MN>
                                  <CLI>1,1,32,False,2</CLI>
                                  <ELN>1</ELN>
                                  <LOOT>0</LOOT>
                                  <LOMN>3</LOMN>
                                  <LOMCN>2</LOMCN>
                                  <LOSN>1</LOSN>
                                  <LOEN>4</LOEN>
                                  <LOCN>2</LOCN>
                                </LnkInProps>
                              </LnkIn>
                            </Ctg>
                          </Ctgs>
                        </SubTtl>
                      </SubTtls>
                      <TtlCtg/>
                      <ElmtLnksIn>
                        <ElmtLnk>
                          <ElmtLnkProps>
                            <ELI>1,1,32</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 References (Developer Only. User May Change in Step 1.e)]]></VOFFF>
                              </ClmnBlkPtProps>
                            </ClmnBlkPt>
                          </ClmnBlkPts>
                        </ClmnBlk>
                      </ClmnBlk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5</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1,1,37,1,1</CBPLI>
                                    <ELN>1</ELN>
                                    <FFF><![CDATA[=§A¿10,FALSE,0,1,0,FALSE§Z¿]]></FFF>
                                  </LnkInFormProps>
                                </LnkInForm>
                              </LnkInForms>
                            </ClmnBlkPt>
                            <ClmnBlkPt>
                              <ClmnBlkPtProps>
                                <CBPT>1</CBPT>
                                <ST>6</ST>
                                <VOFFF><![CDATA[="Total "&§A¿0,1,0,1,37,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1,1,37,3,1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1,1,37,4,1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1,1,37,5,1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15</MN>
                                  <CLI>1,1,37,False,1</CLI>
                                  <ELN>1</ELN>
                                  <LOOT>0</LOOT>
                                  <LOMN>3</LOMN>
                                  <LOMCN>1</LOMCN>
                                  <LOSN>1</LOSN>
                                  <LOEN>10</LOEN>
                                  <LOCN>1</LOCN>
                                </LnkInProps>
                              </LnkIn>
                            </Ctg>
                            <Ctg>
                              <CtgProps>
                                <R>5</R>
                              </CtgProps>
                              <LnkIn>
                                <LnkInProps>
                                  <MN>15</MN>
                                  <CLI>1,1,37,False,2</CLI>
                                  <ELN>1</ELN>
                                  <LOOT>0</LOOT>
                                  <LOMN>3</LOMN>
                                  <LOMCN>1</LOMCN>
                                  <LOSN>1</LOSN>
                                  <LOEN>10</LOEN>
                                  <LOCN>2</LOCN>
                                </LnkInProps>
                              </LnkIn>
                            </Ctg>
                            <Ctg>
                              <CtgProps>
                                <R>5</R>
                              </CtgProps>
                              <LnkIn>
                                <LnkInProps>
                                  <MN>15</MN>
                                  <CLI>1,1,37,False,3</CLI>
                                  <ELN>1</ELN>
                                  <LOOT>0</LOOT>
                                  <LOMN>3</LOMN>
                                  <LOMCN>1</LOMCN>
                                  <LOSN>1</LOSN>
                                  <LOEN>10</LOEN>
                                  <LOCN>3</LOCN>
                                </LnkInProps>
                              </LnkIn>
                            </Ctg>
                            <Ctg>
                              <CtgProps>
                                <R>5</R>
                              </CtgProps>
                              <LnkIn>
                                <LnkInProps>
                                  <MN>15</MN>
                                  <CLI>1,1,37,False,4</CLI>
                                  <ELN>1</ELN>
                                  <LOOT>0</LOOT>
                                  <LOMN>3</LOMN>
                                  <LOMCN>1</LOMCN>
                                  <LOSN>1</LOSN>
                                  <LOEN>10</LOEN>
                                  <LOCN>4</LOCN>
                                </LnkInProps>
                              </LnkIn>
                            </Ctg>
                            <Ctg>
                              <CtgProps>
                                <R>5</R>
                              </CtgProps>
                              <LnkIn>
                                <LnkInProps>
                                  <MN>15</MN>
                                  <CLI>1,1,37,False,5</CLI>
                                  <ELN>1</ELN>
                                  <LOOT>0</LOOT>
                                  <LOMN>3</LOMN>
                                  <LOMCN>1</LOMCN>
                                  <LOSN>1</LOSN>
                                  <LOEN>10</LOEN>
                                  <LOCN>5</LOCN>
                                </LnkInProps>
                              </LnkIn>
                            </Ctg>
                            <Ctg>
                              <CtgProps>
                                <R>5</R>
                              </CtgProps>
                              <LnkIn>
                                <LnkInProps>
                                  <MN>15</MN>
                                  <CLI>1,1,37,False,6</CLI>
                                  <ELN>1</ELN>
                                  <LOOT>0</LOOT>
                                  <LOMN>3</LOMN>
                                  <LOMCN>1</LOMCN>
                                  <LOSN>1</LOSN>
                                  <LOEN>10</LOEN>
                                  <LOCN>6</LOCN>
                                </LnkInProps>
                              </LnkIn>
                            </Ctg>
                            <Ctg>
                              <CtgProps>
                                <R>5</R>
                              </CtgProps>
                              <LnkIn>
                                <LnkInProps>
                                  <MN>15</MN>
                                  <CLI>1,1,37,False,7</CLI>
                                  <ELN>1</ELN>
                                  <LOOT>0</LOOT>
                                  <LOMN>3</LOMN>
                                  <LOMCN>1</LOMCN>
                                  <LOSN>1</LOSN>
                                  <LOEN>10</LOEN>
                                  <LOCN>7</LOCN>
                                </LnkInProps>
                              </LnkIn>
                            </Ctg>
                            <Ctg>
                              <CtgProps>
                                <R>5</R>
                              </CtgProps>
                              <LnkIn>
                                <LnkInProps>
                                  <MN>15</MN>
                                  <CLI>1,1,37,False,8</CLI>
                                  <ELN>1</ELN>
                                  <LOOT>0</LOOT>
                                  <LOMN>3</LOMN>
                                  <LOMCN>1</LOMCN>
                                  <LOSN>1</LOSN>
                                  <LOEN>10</LOEN>
                                  <LOCN>8</LOCN>
                                </LnkInProps>
                              </LnkIn>
                            </Ctg>
                            <Ctg>
                              <CtgProps>
                                <R>5</R>
                              </CtgProps>
                              <LnkIn>
                                <LnkInProps>
                                  <MN>15</MN>
                                  <CLI>1,1,37,False,9</CLI>
                                  <ELN>1</ELN>
                                  <LOOT>0</LOOT>
                                  <LOMN>3</LOMN>
                                  <LOMCN>1</LOMCN>
                                  <LOSN>1</LOSN>
                                  <LOEN>10</LOEN>
                                  <LOCN>9</LOCN>
                                </LnkInProps>
                              </LnkIn>
                            </Ctg>
                            <Ctg>
                              <CtgProps>
                                <R>5</R>
                              </CtgProps>
                              <LnkIn>
                                <LnkInProps>
                                  <MN>15</MN>
                                  <CLI>1,1,37,False,10</CLI>
                                  <ELN>1</ELN>
                                  <LOOT>0</LOOT>
                                  <LOMN>3</LOMN>
                                  <LOMCN>1</LOMCN>
                                  <LOSN>1</LOSN>
                                  <LOEN>10</LOEN>
                                  <LOCN>10</LOCN>
                                </LnkInProps>
                              </LnkIn>
                            </Ctg>
                            <Ctg>
                              <CtgProps>
                                <R>5</R>
                              </CtgProps>
                              <LnkIn>
                                <LnkInProps>
                                  <MN>15</MN>
                                  <CLI>1,1,37,False,11</CLI>
                                  <ELN>1</ELN>
                                  <LOOT>0</LOOT>
                                  <LOMN>3</LOMN>
                                  <LOMCN>1</LOMCN>
                                  <LOSN>1</LOSN>
                                  <LOEN>10</LOEN>
                                  <LOCN>11</LOCN>
                                </LnkInProps>
                              </LnkIn>
                            </Ctg>
                            <Ctg>
                              <CtgProps>
                                <R>5</R>
                              </CtgProps>
                              <LnkIn>
                                <LnkInProps>
                                  <MN>15</MN>
                                  <CLI>1,1,37,False,12</CLI>
                                  <ELN>1</ELN>
                                  <LOOT>0</LOOT>
                                  <LOMN>3</LOMN>
                                  <LOMCN>1</LOMCN>
                                  <LOSN>1</LOSN>
                                  <LOEN>10</LOEN>
                                  <LOCN>12</LOCN>
                                </LnkInProps>
                              </LnkIn>
                            </Ctg>
                            <Ctg>
                              <CtgProps>
                                <R>5</R>
                              </CtgProps>
                              <LnkIn>
                                <LnkInProps>
                                  <MN>15</MN>
                                  <CLI>1,1,37,False,13</CLI>
                                  <ELN>1</ELN>
                                  <LOOT>0</LOOT>
                                  <LOMN>3</LOMN>
                                  <LOMCN>1</LOMCN>
                                  <LOSN>1</LOSN>
                                  <LOEN>10</LOEN>
                                  <LOCN>13</LOCN>
                                </LnkInProps>
                              </LnkIn>
                            </Ctg>
                            <Ctg>
                              <CtgProps>
                                <R>5</R>
                              </CtgProps>
                              <LnkIn>
                                <LnkInProps>
                                  <MN>15</MN>
                                  <CLI>1,1,37,False,14</CLI>
                                  <ELN>1</ELN>
                                  <LOOT>0</LOOT>
                                  <LOMN>3</LOMN>
                                  <LOMCN>1</LOMCN>
                                  <LOSN>1</LOSN>
                                  <LOEN>10</LOEN>
                                  <LOCN>14</LOCN>
                                </LnkInProps>
                              </LnkIn>
                            </Ctg>
                            <Ctg>
                              <CtgProps>
                                <R>6</R>
                              </CtgProps>
                              <LnkIn>
                                <LnkInProps>
                                  <MN>15</MN>
                                  <CLI>1,1,37,False,15</CLI>
                                  <ELN>1</ELN>
                                  <LOOT>0</LOOT>
                                  <LOMN>3</LOMN>
                                  <LOMCN>1</LOMCN>
                                  <LOSN>1</LOSN>
                                  <LOEN>10</LOEN>
                                  <LOCN>15</LOCN>
                                </LnkInProps>
                              </LnkIn>
                            </Ctg>
                            <Ctg>
                              <CtgProps>
                                <R>6</R>
                              </CtgProps>
                              <LnkIn>
                                <LnkInProps>
                                  <MN>15</MN>
                                  <CLI>1,1,37,False,16</CLI>
                                  <ELN>1</ELN>
                                  <LOOT>0</LOOT>
                                  <LOMN>3</LOMN>
                                  <LOMCN>1</LOMCN>
                                  <LOSN>1</LOSN>
                                  <LOEN>10</LOEN>
                                  <LOCN>16</LOCN>
                                </LnkInProps>
                              </LnkIn>
                            </Ctg>
                            <Ctg>
                              <CtgProps>
                                <R>6</R>
                              </CtgProps>
                              <LnkIn>
                                <LnkInProps>
                                  <MN>15</MN>
                                  <CLI>1,1,37,False,17</CLI>
                                  <ELN>1</ELN>
                                  <LOOT>0</LOOT>
                                  <LOMN>3</LOMN>
                                  <LOMCN>1</LOMCN>
                                  <LOSN>1</LOSN>
                                  <LOEN>10</LOEN>
                                  <LOCN>17</LOCN>
                                </LnkInProps>
                              </LnkIn>
                            </Ctg>
                            <Ctg>
                              <CtgProps>
                                <R>6</R>
                              </CtgProps>
                              <LnkIn>
                                <LnkInProps>
                                  <MN>15</MN>
                                  <CLI>1,1,37,False,18</CLI>
                                  <ELN>1</ELN>
                                  <LOOT>0</LOOT>
                                  <LOMN>3</LOMN>
                                  <LOMCN>1</LOMCN>
                                  <LOSN>1</LOSN>
                                  <LOEN>10</LOEN>
                                  <LOCN>18</LOCN>
                                </LnkInProps>
                              </LnkIn>
                            </Ctg>
                            <Ctg>
                              <CtgProps>
                                <R>6</R>
                              </CtgProps>
                              <LnkIn>
                                <LnkInProps>
                                  <MN>15</MN>
                                  <CLI>1,1,37,False,19</CLI>
                                  <ELN>1</ELN>
                                  <LOOT>0</LOOT>
                                  <LOMN>3</LOMN>
                                  <LOMCN>1</LOMCN>
                                  <LOSN>1</LOSN>
                                  <LOEN>10</LOEN>
                                  <LOCN>19</LOCN>
                                </LnkInProps>
                              </LnkIn>
                            </Ctg>
                            <Ctg>
                              <CtgProps>
                                <R>6</R>
                              </CtgProps>
                              <LnkIn>
                                <LnkInProps>
                                  <MN>15</MN>
                                  <CLI>1,1,37,False,20</CLI>
                                  <ELN>1</ELN>
                                  <LOOT>0</LOOT>
                                  <LOMN>3</LOMN>
                                  <LOMCN>1</LOMCN>
                                  <LOSN>1</LOSN>
                                  <LOEN>10</LOEN>
                                  <LOCN>20</LOCN>
                                </LnkInProps>
                              </LnkIn>
                            </Ctg>
                            <Ctg>
                              <CtgProps>
                                <R>6</R>
                              </CtgProps>
                              <LnkIn>
                                <LnkInProps>
                                  <MN>15</MN>
                                  <CLI>1,1,37,False,21</CLI>
                                  <ELN>1</ELN>
                                  <LOOT>0</LOOT>
                                  <LOMN>3</LOMN>
                                  <LOMCN>1</LOMCN>
                                  <LOSN>1</LOSN>
                                  <LOEN>10</LOEN>
                                  <LOCN>21</LOCN>
                                </LnkInProps>
                              </LnkIn>
                            </Ctg>
                            <Ctg>
                              <CtgProps>
                                <R>6</R>
                              </CtgProps>
                              <LnkIn>
                                <LnkInProps>
                                  <MN>15</MN>
                                  <CLI>1,1,37,False,22</CLI>
                                  <ELN>1</ELN>
                                  <LOOT>0</LOOT>
                                  <LOMN>3</LOMN>
                                  <LOMCN>1</LOMCN>
                                  <LOSN>1</LOSN>
                                  <LOEN>10</LOEN>
                                  <LOCN>22</LOCN>
                                </LnkInProps>
                              </LnkIn>
                            </Ctg>
                            <Ctg>
                              <CtgProps>
                                <R>6</R>
                              </CtgProps>
                              <LnkIn>
                                <LnkInProps>
                                  <MN>15</MN>
                                  <CLI>1,1,37,False,23</CLI>
                                  <ELN>1</ELN>
                                  <LOOT>0</LOOT>
                                  <LOMN>3</LOMN>
                                  <LOMCN>1</LOMCN>
                                  <LOSN>1</LOSN>
                                  <LOEN>10</LOEN>
                                  <LOCN>23</LOCN>
                                </LnkInProps>
                              </LnkIn>
                            </Ctg>
                            <Ctg>
                              <CtgProps>
                                <R>6</R>
                              </CtgProps>
                              <LnkIn>
                                <LnkInProps>
                                  <MN>15</MN>
                                  <CLI>1,1,37,False,24</CLI>
                                  <ELN>1</ELN>
                                  <LOOT>0</LOOT>
                                  <LOMN>3</LOMN>
                                  <LOMCN>1</LOMCN>
                                  <LOSN>1</LOSN>
                                  <LOEN>10</LOEN>
                                  <LOCN>24</LOCN>
                                </LnkInProps>
                              </LnkIn>
                            </Ctg>
                            <Ctg>
                              <CtgProps>
                                <R>6</R>
                              </CtgProps>
                              <LnkIn>
                                <LnkInProps>
                                  <MN>15</MN>
                                  <CLI>1,1,37,False,25</CLI>
                                  <ELN>1</ELN>
                                  <LOOT>0</LOOT>
                                  <LOMN>3</LOMN>
                                  <LOMCN>1</LOMCN>
                                  <LOSN>1</LOSN>
                                  <LOEN>10</LOEN>
                                  <LOCN>25</LOCN>
                                </LnkInProps>
                              </LnkIn>
                            </Ctg>
                            <Ctg>
                              <CtgProps>
                                <R>6</R>
                              </CtgProps>
                              <LnkIn>
                                <LnkInProps>
                                  <MN>15</MN>
                                  <CLI>1,1,37,False,26</CLI>
                                  <ELN>1</ELN>
                                  <LOOT>0</LOOT>
                                  <LOMN>3</LOMN>
                                  <LOMCN>1</LOMCN>
                                  <LOSN>1</LOSN>
                                  <LOEN>10</LOEN>
                                  <LOCN>26</LOCN>
                                </LnkInProps>
                              </LnkIn>
                            </Ctg>
                            <Ctg>
                              <CtgProps>
                                <R>6</R>
                              </CtgProps>
                              <LnkIn>
                                <LnkInProps>
                                  <MN>15</MN>
                                  <CLI>1,1,37,False,27</CLI>
                                  <ELN>1</ELN>
                                  <LOOT>0</LOOT>
                                  <LOMN>3</LOMN>
                                  <LOMCN>1</LOMCN>
                                  <LOSN>1</LOSN>
                                  <LOEN>10</LOEN>
                                  <LOCN>27</LOCN>
                                </LnkInProps>
                              </LnkIn>
                            </Ctg>
                            <Ctg>
                              <CtgProps>
                                <R>6</R>
                              </CtgProps>
                              <LnkIn>
                                <LnkInProps>
                                  <MN>15</MN>
                                  <CLI>1,1,37,False,28</CLI>
                                  <ELN>1</ELN>
                                  <LOOT>0</LOOT>
                                  <LOMN>3</LOMN>
                                  <LOMCN>1</LOMCN>
                                  <LOSN>1</LOSN>
                                  <LOEN>10</LOEN>
                                  <LOCN>28</LOCN>
                                </LnkInProps>
                              </LnkIn>
                            </Ctg>
                            <Ctg>
                              <CtgProps>
                                <R>6</R>
                              </CtgProps>
                              <LnkIn>
                                <LnkInProps>
                                  <MN>15</MN>
                                  <CLI>1,1,37,False,29</CLI>
                                  <ELN>1</ELN>
                                  <LOOT>0</LOOT>
                                  <LOMN>3</LOMN>
                                  <LOMCN>1</LOMCN>
                                  <LOSN>1</LOSN>
                                  <LOEN>10</LOEN>
                                  <LOCN>29</LOCN>
                                </LnkInProps>
                              </LnkIn>
                            </Ctg>
                            <Ctg>
                              <CtgProps>
                                <R>6</R>
                              </CtgProps>
                              <LnkIn>
                                <LnkInProps>
                                  <MN>15</MN>
                                  <CLI>1,1,37,False,30</CLI>
                                  <ELN>1</ELN>
                                  <LOOT>0</LOOT>
                                  <LOMN>3</LOMN>
                                  <LOMCN>1</LOMCN>
                                  <LOSN>1</LOSN>
                                  <LOEN>10</LOEN>
                                  <LOCN>30</LOCN>
                                </LnkInProps>
                              </LnkIn>
                            </Ctg>
                            <Ctg>
                              <CtgProps>
                                <R>6</R>
                              </CtgProps>
                              <LnkIn>
                                <LnkInProps>
                                  <MN>15</MN>
                                  <CLI>1,1,37,False,31</CLI>
                                  <ELN>1</ELN>
                                  <LOOT>0</LOOT>
                                  <LOMN>3</LOMN>
                                  <LOMCN>1</LOMCN>
                                  <LOSN>1</LOSN>
                                  <LOEN>10</LOEN>
                                  <LOCN>31</LOCN>
                                </LnkInProps>
                              </LnkIn>
                            </Ctg>
                            <Ctg>
                              <CtgProps>
                                <R>6</R>
                              </CtgProps>
                              <LnkIn>
                                <LnkInProps>
                                  <MN>15</MN>
                                  <CLI>1,1,37,False,32</CLI>
                                  <ELN>1</ELN>
                                  <LOOT>0</LOOT>
                                  <LOMN>3</LOMN>
                                  <LOMCN>1</LOMCN>
                                  <LOSN>1</LOSN>
                                  <LOEN>10</LOEN>
                                  <LOCN>32</LOCN>
                                </LnkInProps>
                              </LnkIn>
                            </Ctg>
                            <Ctg>
                              <CtgProps>
                                <R>6</R>
                              </CtgProps>
                              <LnkIn>
                                <LnkInProps>
                                  <MN>15</MN>
                                  <CLI>1,1,37,False,33</CLI>
                                  <ELN>1</ELN>
                                  <LOOT>0</LOOT>
                                  <LOMN>3</LOMN>
                                  <LOMCN>1</LOMCN>
                                  <LOSN>1</LOSN>
                                  <LOEN>10</LOEN>
                                  <LOCN>33</LOCN>
                                </LnkInProps>
                              </LnkIn>
                            </Ctg>
                            <Ctg>
                              <CtgProps>
                                <R>6</R>
                              </CtgProps>
                              <LnkIn>
                                <LnkInProps>
                                  <MN>15</MN>
                                  <CLI>1,1,37,False,34</CLI>
                                  <ELN>1</ELN>
                                  <LOOT>0</LOOT>
                                  <LOMN>3</LOMN>
                                  <LOMCN>1</LOMCN>
                                  <LOSN>1</LOSN>
                                  <LOEN>10</LOEN>
                                  <LOCN>34</LOCN>
                                </LnkInProps>
                              </LnkIn>
                            </Ctg>
                            <Ctg>
                              <CtgProps>
                                <R>6</R>
                              </CtgProps>
                              <LnkIn>
                                <LnkInProps>
                                  <MN>15</MN>
                                  <CLI>1,1,37,False,35</CLI>
                                  <ELN>1</ELN>
                                  <LOOT>0</LOOT>
                                  <LOMN>3</LOMN>
                                  <LOMCN>1</LOMCN>
                                  <LOSN>1</LOSN>
                                  <LOEN>10</LOEN>
                                  <LOCN>35</LOCN>
                                </LnkInProps>
                              </LnkIn>
                            </Ctg>
                          </Ctgs>
                        </SubTtl>
                      </SubTtls>
                      <TtlCtg/>
                      <ElmtLnksIn>
                        <ElmtLnk>
                          <ElmtLnkProps>
                            <ELI>1,1,37</ELI>
                            <ELN>1</ELN>
                            <ELGN>2</ELGN>
                            <MLG>CAC8B5C0-233F-4D13-BCDB-E76500A60063</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5</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1,1,40,1,1</CBPLI>
                                    <ELN>1</ELN>
                                    <FFF><![CDATA[=§A¿10,FALSE,0,1,0,FALSE§Z¿]]></FFF>
                                  </LnkInFormProps>
                                </LnkInForm>
                              </LnkInForms>
                            </ClmnBlkPt>
                            <ClmnBlkPt>
                              <ClmnBlkPtProps>
                                <CBPT>1</CBPT>
                                <ST>6</ST>
                                <VOFFF><![CDATA[="Total "&§A¿0,1,0,1,40,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1,1,40,3,1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1,1,40,4,1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1,1,40,5,1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15</MN>
                                  <CLI>1,1,40,False,1</CLI>
                                  <ELN>1</ELN>
                                  <LOOT>0</LOOT>
                                  <LOMN>3</LOMN>
                                  <LOMCN>1</LOMCN>
                                  <LOSN>1</LOSN>
                                  <LOEN>15</LOEN>
                                  <LOCN>1</LOCN>
                                </LnkInProps>
                              </LnkIn>
                            </Ctg>
                            <Ctg>
                              <CtgProps>
                                <R>5</R>
                              </CtgProps>
                              <LnkIn>
                                <LnkInProps>
                                  <MN>15</MN>
                                  <CLI>1,1,40,False,2</CLI>
                                  <ELN>1</ELN>
                                  <LOOT>0</LOOT>
                                  <LOMN>3</LOMN>
                                  <LOMCN>1</LOMCN>
                                  <LOSN>1</LOSN>
                                  <LOEN>15</LOEN>
                                  <LOCN>2</LOCN>
                                </LnkInProps>
                              </LnkIn>
                            </Ctg>
                            <Ctg>
                              <CtgProps>
                                <R>5</R>
                              </CtgProps>
                              <LnkIn>
                                <LnkInProps>
                                  <MN>15</MN>
                                  <CLI>1,1,40,False,3</CLI>
                                  <ELN>1</ELN>
                                  <LOOT>0</LOOT>
                                  <LOMN>3</LOMN>
                                  <LOMCN>1</LOMCN>
                                  <LOSN>1</LOSN>
                                  <LOEN>15</LOEN>
                                  <LOCN>3</LOCN>
                                </LnkInProps>
                              </LnkIn>
                            </Ctg>
                            <Ctg>
                              <CtgProps>
                                <R>5</R>
                              </CtgProps>
                              <LnkIn>
                                <LnkInProps>
                                  <MN>15</MN>
                                  <CLI>1,1,40,False,4</CLI>
                                  <ELN>1</ELN>
                                  <LOOT>0</LOOT>
                                  <LOMN>3</LOMN>
                                  <LOMCN>1</LOMCN>
                                  <LOSN>1</LOSN>
                                  <LOEN>15</LOEN>
                                  <LOCN>4</LOCN>
                                </LnkInProps>
                              </LnkIn>
                            </Ctg>
                            <Ctg>
                              <CtgProps>
                                <R>6</R>
                              </CtgProps>
                              <LnkIn>
                                <LnkInProps>
                                  <MN>15</MN>
                                  <CLI>1,1,40,False,5</CLI>
                                  <ELN>1</ELN>
                                  <LOOT>0</LOOT>
                                  <LOMN>3</LOMN>
                                  <LOMCN>1</LOMCN>
                                  <LOSN>1</LOSN>
                                  <LOEN>15</LOEN>
                                  <LOCN>5</LOCN>
                                </LnkInProps>
                              </LnkIn>
                            </Ctg>
                            <Ctg>
                              <CtgProps>
                                <R>6</R>
                              </CtgProps>
                              <LnkIn>
                                <LnkInProps>
                                  <MN>15</MN>
                                  <CLI>1,1,40,False,6</CLI>
                                  <ELN>1</ELN>
                                  <LOOT>0</LOOT>
                                  <LOMN>3</LOMN>
                                  <LOMCN>1</LOMCN>
                                  <LOSN>1</LOSN>
                                  <LOEN>15</LOEN>
                                  <LOCN>6</LOCN>
                                </LnkInProps>
                              </LnkIn>
                            </Ctg>
                            <Ctg>
                              <CtgProps>
                                <R>6</R>
                              </CtgProps>
                              <LnkIn>
                                <LnkInProps>
                                  <MN>15</MN>
                                  <CLI>1,1,40,False,7</CLI>
                                  <ELN>1</ELN>
                                  <LOOT>0</LOOT>
                                  <LOMN>3</LOMN>
                                  <LOMCN>1</LOMCN>
                                  <LOSN>1</LOSN>
                                  <LOEN>15</LOEN>
                                  <LOCN>7</LOCN>
                                </LnkInProps>
                              </LnkIn>
                            </Ctg>
                            <Ctg>
                              <CtgProps>
                                <R>6</R>
                              </CtgProps>
                              <LnkIn>
                                <LnkInProps>
                                  <MN>15</MN>
                                  <CLI>1,1,40,False,8</CLI>
                                  <ELN>1</ELN>
                                  <LOOT>0</LOOT>
                                  <LOMN>3</LOMN>
                                  <LOMCN>1</LOMCN>
                                  <LOSN>1</LOSN>
                                  <LOEN>15</LOEN>
                                  <LOCN>8</LOCN>
                                </LnkInProps>
                              </LnkIn>
                            </Ctg>
                            <Ctg>
                              <CtgProps>
                                <R>6</R>
                              </CtgProps>
                              <LnkIn>
                                <LnkInProps>
                                  <MN>15</MN>
                                  <CLI>1,1,40,False,9</CLI>
                                  <ELN>1</ELN>
                                  <LOOT>0</LOOT>
                                  <LOMN>3</LOMN>
                                  <LOMCN>1</LOMCN>
                                  <LOSN>1</LOSN>
                                  <LOEN>15</LOEN>
                                  <LOCN>9</LOCN>
                                </LnkInProps>
                              </LnkIn>
                            </Ctg>
                            <Ctg>
                              <CtgProps>
                                <R>6</R>
                              </CtgProps>
                              <LnkIn>
                                <LnkInProps>
                                  <MN>15</MN>
                                  <CLI>1,1,40,False,10</CLI>
                                  <ELN>1</ELN>
                                  <LOOT>0</LOOT>
                                  <LOMN>3</LOMN>
                                  <LOMCN>1</LOMCN>
                                  <LOSN>1</LOSN>
                                  <LOEN>15</LOEN>
                                  <LOCN>10</LOCN>
                                </LnkInProps>
                              </LnkIn>
                            </Ctg>
                            <Ctg>
                              <CtgProps>
                                <R>6</R>
                              </CtgProps>
                              <LnkIn>
                                <LnkInProps>
                                  <MN>15</MN>
                                  <CLI>1,1,40,False,11</CLI>
                                  <ELN>1</ELN>
                                  <LOOT>0</LOOT>
                                  <LOMN>3</LOMN>
                                  <LOMCN>1</LOMCN>
                                  <LOSN>1</LOSN>
                                  <LOEN>15</LOEN>
                                  <LOCN>11</LOCN>
                                </LnkInProps>
                              </LnkIn>
                            </Ctg>
                            <Ctg>
                              <CtgProps>
                                <R>6</R>
                              </CtgProps>
                              <LnkIn>
                                <LnkInProps>
                                  <MN>15</MN>
                                  <CLI>1,1,40,False,12</CLI>
                                  <ELN>1</ELN>
                                  <LOOT>0</LOOT>
                                  <LOMN>3</LOMN>
                                  <LOMCN>1</LOMCN>
                                  <LOSN>1</LOSN>
                                  <LOEN>15</LOEN>
                                  <LOCN>12</LOCN>
                                </LnkInProps>
                              </LnkIn>
                            </Ctg>
                            <Ctg>
                              <CtgProps>
                                <R>6</R>
                              </CtgProps>
                              <LnkIn>
                                <LnkInProps>
                                  <MN>15</MN>
                                  <CLI>1,1,40,False,13</CLI>
                                  <ELN>1</ELN>
                                  <LOOT>0</LOOT>
                                  <LOMN>3</LOMN>
                                  <LOMCN>1</LOMCN>
                                  <LOSN>1</LOSN>
                                  <LOEN>15</LOEN>
                                  <LOCN>13</LOCN>
                                </LnkInProps>
                              </LnkIn>
                            </Ctg>
                            <Ctg>
                              <CtgProps>
                                <R>6</R>
                              </CtgProps>
                              <LnkIn>
                                <LnkInProps>
                                  <MN>15</MN>
                                  <CLI>1,1,40,False,14</CLI>
                                  <ELN>1</ELN>
                                  <LOOT>0</LOOT>
                                  <LOMN>3</LOMN>
                                  <LOMCN>1</LOMCN>
                                  <LOSN>1</LOSN>
                                  <LOEN>15</LOEN>
                                  <LOCN>14</LOCN>
                                </LnkInProps>
                              </LnkIn>
                            </Ctg>
                            <Ctg>
                              <CtgProps>
                                <R>6</R>
                              </CtgProps>
                              <LnkIn>
                                <LnkInProps>
                                  <MN>15</MN>
                                  <CLI>1,1,40,False,15</CLI>
                                  <ELN>1</ELN>
                                  <LOOT>0</LOOT>
                                  <LOMN>3</LOMN>
                                  <LOMCN>1</LOMCN>
                                  <LOSN>1</LOSN>
                                  <LOEN>15</LOEN>
                                  <LOCN>15</LOCN>
                                </LnkInProps>
                              </LnkIn>
                            </Ctg>
                            <Ctg>
                              <CtgProps>
                                <R>6</R>
                              </CtgProps>
                              <LnkIn>
                                <LnkInProps>
                                  <MN>15</MN>
                                  <CLI>1,1,40,False,16</CLI>
                                  <ELN>1</ELN>
                                  <LOOT>0</LOOT>
                                  <LOMN>3</LOMN>
                                  <LOMCN>1</LOMCN>
                                  <LOSN>1</LOSN>
                                  <LOEN>15</LOEN>
                                  <LOCN>16</LOCN>
                                </LnkInProps>
                              </LnkIn>
                            </Ctg>
                            <Ctg>
                              <CtgProps>
                                <R>5</R>
                              </CtgProps>
                              <LnkIn>
                                <LnkInProps>
                                  <MN>15</MN>
                                  <CLI>1,1,40,False,17</CLI>
                                  <ELN>1</ELN>
                                  <LOOT>0</LOOT>
                                  <LOMN>3</LOMN>
                                  <LOMCN>1</LOMCN>
                                  <LOSN>1</LOSN>
                                  <LOEN>15</LOEN>
                                  <LOCN>17</LOCN>
                                </LnkInProps>
                              </LnkIn>
                            </Ctg>
                            <Ctg>
                              <CtgProps>
                                <R>5</R>
                              </CtgProps>
                              <LnkIn>
                                <LnkInProps>
                                  <MN>15</MN>
                                  <CLI>1,1,40,False,18</CLI>
                                  <ELN>1</ELN>
                                  <LOOT>0</LOOT>
                                  <LOMN>3</LOMN>
                                  <LOMCN>1</LOMCN>
                                  <LOSN>1</LOSN>
                                  <LOEN>15</LOEN>
                                  <LOCN>18</LOCN>
                                </LnkInProps>
                              </LnkIn>
                            </Ctg>
                            <Ctg>
                              <CtgProps>
                                <R>5</R>
                              </CtgProps>
                              <LnkIn>
                                <LnkInProps>
                                  <MN>15</MN>
                                  <CLI>1,1,40,False,19</CLI>
                                  <ELN>1</ELN>
                                  <LOOT>0</LOOT>
                                  <LOMN>3</LOMN>
                                  <LOMCN>1</LOMCN>
                                  <LOSN>1</LOSN>
                                  <LOEN>15</LOEN>
                                  <LOCN>19</LOCN>
                                </LnkInProps>
                              </LnkIn>
                            </Ctg>
                            <Ctg>
                              <CtgProps>
                                <R>5</R>
                              </CtgProps>
                              <LnkIn>
                                <LnkInProps>
                                  <MN>15</MN>
                                  <CLI>1,1,40,False,20</CLI>
                                  <ELN>1</ELN>
                                  <LOOT>0</LOOT>
                                  <LOMN>3</LOMN>
                                  <LOMCN>1</LOMCN>
                                  <LOSN>1</LOSN>
                                  <LOEN>15</LOEN>
                                  <LOCN>20</LOCN>
                                </LnkInProps>
                              </LnkIn>
                            </Ctg>
                            <Ctg>
                              <CtgProps>
                                <R>5</R>
                              </CtgProps>
                              <LnkIn>
                                <LnkInProps>
                                  <MN>15</MN>
                                  <CLI>1,1,40,False,21</CLI>
                                  <ELN>1</ELN>
                                  <LOOT>0</LOOT>
                                  <LOMN>3</LOMN>
                                  <LOMCN>1</LOMCN>
                                  <LOSN>1</LOSN>
                                  <LOEN>15</LOEN>
                                  <LOCN>21</LOCN>
                                </LnkInProps>
                              </LnkIn>
                            </Ctg>
                            <Ctg>
                              <CtgProps>
                                <R>5</R>
                              </CtgProps>
                              <LnkIn>
                                <LnkInProps>
                                  <MN>15</MN>
                                  <CLI>1,1,40,False,22</CLI>
                                  <ELN>1</ELN>
                                  <LOOT>0</LOOT>
                                  <LOMN>3</LOMN>
                                  <LOMCN>1</LOMCN>
                                  <LOSN>1</LOSN>
                                  <LOEN>15</LOEN>
                                  <LOCN>22</LOCN>
                                </LnkInProps>
                              </LnkIn>
                            </Ctg>
                            <Ctg>
                              <CtgProps>
                                <R>6</R>
                              </CtgProps>
                              <LnkIn>
                                <LnkInProps>
                                  <MN>15</MN>
                                  <CLI>1,1,40,False,23</CLI>
                                  <ELN>1</ELN>
                                  <LOOT>0</LOOT>
                                  <LOMN>3</LOMN>
                                  <LOMCN>1</LOMCN>
                                  <LOSN>1</LOSN>
                                  <LOEN>15</LOEN>
                                  <LOCN>23</LOCN>
                                </LnkInProps>
                              </LnkIn>
                            </Ctg>
                            <Ctg>
                              <CtgProps>
                                <R>6</R>
                              </CtgProps>
                              <LnkIn>
                                <LnkInProps>
                                  <MN>15</MN>
                                  <CLI>1,1,40,False,24</CLI>
                                  <ELN>1</ELN>
                                  <LOOT>0</LOOT>
                                  <LOMN>3</LOMN>
                                  <LOMCN>1</LOMCN>
                                  <LOSN>1</LOSN>
                                  <LOEN>15</LOEN>
                                  <LOCN>24</LOCN>
                                </LnkInProps>
                              </LnkIn>
                            </Ctg>
                            <Ctg>
                              <CtgProps>
                                <R>6</R>
                              </CtgProps>
                              <LnkIn>
                                <LnkInProps>
                                  <MN>15</MN>
                                  <CLI>1,1,40,False,25</CLI>
                                  <ELN>1</ELN>
                                  <LOOT>0</LOOT>
                                  <LOMN>3</LOMN>
                                  <LOMCN>1</LOMCN>
                                  <LOSN>1</LOSN>
                                  <LOEN>15</LOEN>
                                  <LOCN>25</LOCN>
                                </LnkInProps>
                              </LnkIn>
                            </Ctg>
                            <Ctg>
                              <CtgProps>
                                <R>6</R>
                              </CtgProps>
                              <LnkIn>
                                <LnkInProps>
                                  <MN>15</MN>
                                  <CLI>1,1,40,False,26</CLI>
                                  <ELN>1</ELN>
                                  <LOOT>0</LOOT>
                                  <LOMN>3</LOMN>
                                  <LOMCN>1</LOMCN>
                                  <LOSN>1</LOSN>
                                  <LOEN>15</LOEN>
                                  <LOCN>26</LOCN>
                                </LnkInProps>
                              </LnkIn>
                            </Ctg>
                            <Ctg>
                              <CtgProps>
                                <R>6</R>
                              </CtgProps>
                              <LnkIn>
                                <LnkInProps>
                                  <MN>15</MN>
                                  <CLI>1,1,40,False,27</CLI>
                                  <ELN>1</ELN>
                                  <LOOT>0</LOOT>
                                  <LOMN>3</LOMN>
                                  <LOMCN>1</LOMCN>
                                  <LOSN>1</LOSN>
                                  <LOEN>15</LOEN>
                                  <LOCN>27</LOCN>
                                </LnkInProps>
                              </LnkIn>
                            </Ctg>
                            <Ctg>
                              <CtgProps>
                                <R>6</R>
                              </CtgProps>
                              <LnkIn>
                                <LnkInProps>
                                  <MN>15</MN>
                                  <CLI>1,1,40,False,28</CLI>
                                  <ELN>1</ELN>
                                  <LOOT>0</LOOT>
                                  <LOMN>3</LOMN>
                                  <LOMCN>1</LOMCN>
                                  <LOSN>1</LOSN>
                                  <LOEN>15</LOEN>
                                  <LOCN>28</LOCN>
                                </LnkInProps>
                              </LnkIn>
                            </Ctg>
                            <Ctg>
                              <CtgProps>
                                <R>6</R>
                              </CtgProps>
                              <LnkIn>
                                <LnkInProps>
                                  <MN>15</MN>
                                  <CLI>1,1,40,False,29</CLI>
                                  <ELN>1</ELN>
                                  <LOOT>0</LOOT>
                                  <LOMN>3</LOMN>
                                  <LOMCN>1</LOMCN>
                                  <LOSN>1</LOSN>
                                  <LOEN>15</LOEN>
                                  <LOCN>29</LOCN>
                                </LnkInProps>
                              </LnkIn>
                            </Ctg>
                            <Ctg>
                              <CtgProps>
                                <R>6</R>
                              </CtgProps>
                              <LnkIn>
                                <LnkInProps>
                                  <MN>15</MN>
                                  <CLI>1,1,40,False,30</CLI>
                                  <ELN>1</ELN>
                                  <LOOT>0</LOOT>
                                  <LOMN>3</LOMN>
                                  <LOMCN>1</LOMCN>
                                  <LOSN>1</LOSN>
                                  <LOEN>15</LOEN>
                                  <LOCN>30</LOCN>
                                </LnkInProps>
                              </LnkIn>
                            </Ctg>
                            <Ctg>
                              <CtgProps>
                                <R>5</R>
                              </CtgProps>
                              <LnkIn>
                                <LnkInProps>
                                  <MN>15</MN>
                                  <CLI>1,1,40,False,31</CLI>
                                  <ELN>1</ELN>
                                  <LOOT>0</LOOT>
                                  <LOMN>3</LOMN>
                                  <LOMCN>1</LOMCN>
                                  <LOSN>1</LOSN>
                                  <LOEN>15</LOEN>
                                  <LOCN>31</LOCN>
                                </LnkInProps>
                              </LnkIn>
                            </Ctg>
                            <Ctg>
                              <CtgProps>
                                <R>5</R>
                              </CtgProps>
                              <LnkIn>
                                <LnkInProps>
                                  <MN>15</MN>
                                  <CLI>1,1,40,False,32</CLI>
                                  <ELN>1</ELN>
                                  <LOOT>0</LOOT>
                                  <LOMN>3</LOMN>
                                  <LOMCN>1</LOMCN>
                                  <LOSN>1</LOSN>
                                  <LOEN>15</LOEN>
                                  <LOCN>32</LOCN>
                                </LnkInProps>
                              </LnkIn>
                            </Ctg>
                            <Ctg>
                              <CtgProps>
                                <R>5</R>
                              </CtgProps>
                              <LnkIn>
                                <LnkInProps>
                                  <MN>15</MN>
                                  <CLI>1,1,40,False,33</CLI>
                                  <ELN>1</ELN>
                                  <LOOT>0</LOOT>
                                  <LOMN>3</LOMN>
                                  <LOMCN>1</LOMCN>
                                  <LOSN>1</LOSN>
                                  <LOEN>15</LOEN>
                                  <LOCN>33</LOCN>
                                </LnkInProps>
                              </LnkIn>
                            </Ctg>
                            <Ctg>
                              <CtgProps>
                                <R>5</R>
                              </CtgProps>
                              <LnkIn>
                                <LnkInProps>
                                  <MN>15</MN>
                                  <CLI>1,1,40,False,34</CLI>
                                  <ELN>1</ELN>
                                  <LOOT>0</LOOT>
                                  <LOMN>3</LOMN>
                                  <LOMCN>1</LOMCN>
                                  <LOSN>1</LOSN>
                                  <LOEN>15</LOEN>
                                  <LOCN>34</LOCN>
                                </LnkInProps>
                              </LnkIn>
                            </Ctg>
                            <Ctg>
                              <CtgProps>
                                <R>5</R>
                              </CtgProps>
                              <LnkIn>
                                <LnkInProps>
                                  <MN>15</MN>
                                  <CLI>1,1,40,False,35</CLI>
                                  <ELN>1</ELN>
                                  <LOOT>0</LOOT>
                                  <LOMN>3</LOMN>
                                  <LOMCN>1</LOMCN>
                                  <LOSN>1</LOSN>
                                  <LOEN>15</LOEN>
                                  <LOCN>35</LOCN>
                                </LnkInProps>
                              </LnkIn>
                            </Ctg>
                          </Ctgs>
                        </SubTtl>
                      </SubTtls>
                      <TtlCtg/>
                      <ElmtLnksIn>
                        <ElmtLnk>
                          <ElmtLnkProps>
                            <ELI>1,1,40</ELI>
                            <ELN>1</ELN>
                            <ELGN>3</ELGN>
                            <MLG>9954C197-DC59-49F2-BACE-BDAFCC88813C</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5</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1,1,44,1,1</CBPLI>
                                    <ELN>1</ELN>
                                    <FFF><![CDATA[=§A¿10,FALSE,0,1,0,FALSE§Z¿]]></FFF>
                                  </LnkInFormProps>
                                </LnkInForm>
                              </LnkInForms>
                            </ClmnBlkPt>
                            <ClmnBlkPt>
                              <ClmnBlkPtProps>
                                <CBPT>1</CBPT>
                                <ST>6</ST>
                                <VOFFF><![CDATA[="Total "&§A¿0,1,0,1,44,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1,1,44,3,1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1,1,44,4,1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1,1,44,5,1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15</MN>
                                  <CLI>1,1,44,False,1</CLI>
                                  <ELN>1</ELN>
                                  <LOOT>0</LOOT>
                                  <LOMN>3</LOMN>
                                  <LOMCN>1</LOMCN>
                                  <LOSN>1</LOSN>
                                  <LOEN>19</LOEN>
                                  <LOCN>1</LOCN>
                                </LnkInProps>
                              </LnkIn>
                            </Ctg>
                            <Ctg>
                              <CtgProps>
                                <R>5</R>
                              </CtgProps>
                              <LnkIn>
                                <LnkInProps>
                                  <MN>15</MN>
                                  <CLI>1,1,44,False,2</CLI>
                                  <ELN>1</ELN>
                                  <LOOT>0</LOOT>
                                  <LOMN>3</LOMN>
                                  <LOMCN>1</LOMCN>
                                  <LOSN>1</LOSN>
                                  <LOEN>19</LOEN>
                                  <LOCN>2</LOCN>
                                </LnkInProps>
                              </LnkIn>
                            </Ctg>
                            <Ctg>
                              <CtgProps>
                                <R>5</R>
                              </CtgProps>
                              <LnkIn>
                                <LnkInProps>
                                  <MN>15</MN>
                                  <CLI>1,1,44,False,3</CLI>
                                  <ELN>1</ELN>
                                  <LOOT>0</LOOT>
                                  <LOMN>3</LOMN>
                                  <LOMCN>1</LOMCN>
                                  <LOSN>1</LOSN>
                                  <LOEN>19</LOEN>
                                  <LOCN>3</LOCN>
                                </LnkInProps>
                              </LnkIn>
                            </Ctg>
                            <Ctg>
                              <CtgProps>
                                <R>5</R>
                              </CtgProps>
                              <LnkIn>
                                <LnkInProps>
                                  <MN>15</MN>
                                  <CLI>1,1,44,False,4</CLI>
                                  <ELN>1</ELN>
                                  <LOOT>0</LOOT>
                                  <LOMN>3</LOMN>
                                  <LOMCN>1</LOMCN>
                                  <LOSN>1</LOSN>
                                  <LOEN>19</LOEN>
                                  <LOCN>4</LOCN>
                                </LnkInProps>
                              </LnkIn>
                            </Ctg>
                            <Ctg>
                              <CtgProps>
                                <R>5</R>
                              </CtgProps>
                              <LnkIn>
                                <LnkInProps>
                                  <MN>15</MN>
                                  <CLI>1,1,44,False,5</CLI>
                                  <ELN>1</ELN>
                                  <LOOT>0</LOOT>
                                  <LOMN>3</LOMN>
                                  <LOMCN>1</LOMCN>
                                  <LOSN>1</LOSN>
                                  <LOEN>19</LOEN>
                                  <LOCN>5</LOCN>
                                </LnkInProps>
                              </LnkIn>
                            </Ctg>
                            <Ctg>
                              <CtgProps>
                                <R>5</R>
                              </CtgProps>
                              <LnkIn>
                                <LnkInProps>
                                  <MN>15</MN>
                                  <CLI>1,1,44,False,6</CLI>
                                  <ELN>1</ELN>
                                  <LOOT>0</LOOT>
                                  <LOMN>3</LOMN>
                                  <LOMCN>1</LOMCN>
                                  <LOSN>1</LOSN>
                                  <LOEN>19</LOEN>
                                  <LOCN>6</LOCN>
                                </LnkInProps>
                              </LnkIn>
                            </Ctg>
                            <Ctg>
                              <CtgProps>
                                <R>5</R>
                              </CtgProps>
                              <LnkIn>
                                <LnkInProps>
                                  <MN>15</MN>
                                  <CLI>1,1,44,False,7</CLI>
                                  <ELN>1</ELN>
                                  <LOOT>0</LOOT>
                                  <LOMN>3</LOMN>
                                  <LOMCN>1</LOMCN>
                                  <LOSN>1</LOSN>
                                  <LOEN>19</LOEN>
                                  <LOCN>7</LOCN>
                                </LnkInProps>
                              </LnkIn>
                            </Ctg>
                            <Ctg>
                              <CtgProps>
                                <R>5</R>
                              </CtgProps>
                              <LnkIn>
                                <LnkInProps>
                                  <MN>15</MN>
                                  <CLI>1,1,44,False,8</CLI>
                                  <ELN>1</ELN>
                                  <LOOT>0</LOOT>
                                  <LOMN>3</LOMN>
                                  <LOMCN>1</LOMCN>
                                  <LOSN>1</LOSN>
                                  <LOEN>19</LOEN>
                                  <LOCN>8</LOCN>
                                </LnkInProps>
                              </LnkIn>
                            </Ctg>
                            <Ctg>
                              <CtgProps>
                                <R>5</R>
                              </CtgProps>
                              <LnkIn>
                                <LnkInProps>
                                  <MN>15</MN>
                                  <CLI>1,1,44,False,9</CLI>
                                  <ELN>1</ELN>
                                  <LOOT>0</LOOT>
                                  <LOMN>3</LOMN>
                                  <LOMCN>1</LOMCN>
                                  <LOSN>1</LOSN>
                                  <LOEN>19</LOEN>
                                  <LOCN>9</LOCN>
                                </LnkInProps>
                              </LnkIn>
                            </Ctg>
                            <Ctg>
                              <CtgProps>
                                <R>5</R>
                              </CtgProps>
                              <LnkIn>
                                <LnkInProps>
                                  <MN>15</MN>
                                  <CLI>1,1,44,False,10</CLI>
                                  <ELN>1</ELN>
                                  <LOOT>0</LOOT>
                                  <LOMN>3</LOMN>
                                  <LOMCN>1</LOMCN>
                                  <LOSN>1</LOSN>
                                  <LOEN>19</LOEN>
                                  <LOCN>10</LOCN>
                                </LnkInProps>
                              </LnkIn>
                            </Ctg>
                            <Ctg>
                              <CtgProps>
                                <R>5</R>
                              </CtgProps>
                              <LnkIn>
                                <LnkInProps>
                                  <MN>15</MN>
                                  <CLI>1,1,44,False,11</CLI>
                                  <ELN>1</ELN>
                                  <LOOT>0</LOOT>
                                  <LOMN>3</LOMN>
                                  <LOMCN>1</LOMCN>
                                  <LOSN>1</LOSN>
                                  <LOEN>19</LOEN>
                                  <LOCN>11</LOCN>
                                </LnkInProps>
                              </LnkIn>
                            </Ctg>
                            <Ctg>
                              <CtgProps>
                                <R>5</R>
                              </CtgProps>
                              <LnkIn>
                                <LnkInProps>
                                  <MN>15</MN>
                                  <CLI>1,1,44,False,12</CLI>
                                  <ELN>1</ELN>
                                  <LOOT>0</LOOT>
                                  <LOMN>3</LOMN>
                                  <LOMCN>1</LOMCN>
                                  <LOSN>1</LOSN>
                                  <LOEN>19</LOEN>
                                  <LOCN>12</LOCN>
                                </LnkInProps>
                              </LnkIn>
                            </Ctg>
                            <Ctg>
                              <CtgProps>
                                <R>5</R>
                              </CtgProps>
                              <LnkIn>
                                <LnkInProps>
                                  <MN>15</MN>
                                  <CLI>1,1,44,False,13</CLI>
                                  <ELN>1</ELN>
                                  <LOOT>0</LOOT>
                                  <LOMN>3</LOMN>
                                  <LOMCN>1</LOMCN>
                                  <LOSN>1</LOSN>
                                  <LOEN>19</LOEN>
                                  <LOCN>13</LOCN>
                                </LnkInProps>
                              </LnkIn>
                            </Ctg>
                            <Ctg>
                              <CtgProps>
                                <R>5</R>
                              </CtgProps>
                              <LnkIn>
                                <LnkInProps>
                                  <MN>15</MN>
                                  <CLI>1,1,44,False,14</CLI>
                                  <ELN>1</ELN>
                                  <LOOT>0</LOOT>
                                  <LOMN>3</LOMN>
                                  <LOMCN>1</LOMCN>
                                  <LOSN>1</LOSN>
                                  <LOEN>19</LOEN>
                                  <LOCN>14</LOCN>
                                </LnkInProps>
                              </LnkIn>
                            </Ctg>
                            <Ctg>
                              <CtgProps>
                                <R>5</R>
                              </CtgProps>
                              <LnkIn>
                                <LnkInProps>
                                  <MN>15</MN>
                                  <CLI>1,1,44,False,15</CLI>
                                  <ELN>1</ELN>
                                  <LOOT>0</LOOT>
                                  <LOMN>3</LOMN>
                                  <LOMCN>1</LOMCN>
                                  <LOSN>1</LOSN>
                                  <LOEN>19</LOEN>
                                  <LOCN>15</LOCN>
                                </LnkInProps>
                              </LnkIn>
                            </Ctg>
                            <Ctg>
                              <CtgProps>
                                <R>6</R>
                              </CtgProps>
                              <LnkIn>
                                <LnkInProps>
                                  <MN>15</MN>
                                  <CLI>1,1,44,False,16</CLI>
                                  <ELN>1</ELN>
                                  <LOOT>0</LOOT>
                                  <LOMN>3</LOMN>
                                  <LOMCN>1</LOMCN>
                                  <LOSN>1</LOSN>
                                  <LOEN>19</LOEN>
                                  <LOCN>16</LOCN>
                                </LnkInProps>
                              </LnkIn>
                            </Ctg>
                            <Ctg>
                              <CtgProps>
                                <R>6</R>
                              </CtgProps>
                              <LnkIn>
                                <LnkInProps>
                                  <MN>15</MN>
                                  <CLI>1,1,44,False,17</CLI>
                                  <ELN>1</ELN>
                                  <LOOT>0</LOOT>
                                  <LOMN>3</LOMN>
                                  <LOMCN>1</LOMCN>
                                  <LOSN>1</LOSN>
                                  <LOEN>19</LOEN>
                                  <LOCN>17</LOCN>
                                </LnkInProps>
                              </LnkIn>
                            </Ctg>
                            <Ctg>
                              <CtgProps>
                                <R>6</R>
                              </CtgProps>
                              <LnkIn>
                                <LnkInProps>
                                  <MN>15</MN>
                                  <CLI>1,1,44,False,18</CLI>
                                  <ELN>1</ELN>
                                  <LOOT>0</LOOT>
                                  <LOMN>3</LOMN>
                                  <LOMCN>1</LOMCN>
                                  <LOSN>1</LOSN>
                                  <LOEN>19</LOEN>
                                  <LOCN>18</LOCN>
                                </LnkInProps>
                              </LnkIn>
                            </Ctg>
                            <Ctg>
                              <CtgProps>
                                <R>6</R>
                              </CtgProps>
                              <LnkIn>
                                <LnkInProps>
                                  <MN>15</MN>
                                  <CLI>1,1,44,False,19</CLI>
                                  <ELN>1</ELN>
                                  <LOOT>0</LOOT>
                                  <LOMN>3</LOMN>
                                  <LOMCN>1</LOMCN>
                                  <LOSN>1</LOSN>
                                  <LOEN>19</LOEN>
                                  <LOCN>19</LOCN>
                                </LnkInProps>
                              </LnkIn>
                            </Ctg>
                            <Ctg>
                              <CtgProps>
                                <R>6</R>
                              </CtgProps>
                              <LnkIn>
                                <LnkInProps>
                                  <MN>15</MN>
                                  <CLI>1,1,44,False,20</CLI>
                                  <ELN>1</ELN>
                                  <LOOT>0</LOOT>
                                  <LOMN>3</LOMN>
                                  <LOMCN>1</LOMCN>
                                  <LOSN>1</LOSN>
                                  <LOEN>19</LOEN>
                                  <LOCN>20</LOCN>
                                </LnkInProps>
                              </LnkIn>
                            </Ctg>
                            <Ctg>
                              <CtgProps>
                                <R>6</R>
                              </CtgProps>
                              <LnkIn>
                                <LnkInProps>
                                  <MN>15</MN>
                                  <CLI>1,1,44,False,21</CLI>
                                  <ELN>1</ELN>
                                  <LOOT>0</LOOT>
                                  <LOMN>3</LOMN>
                                  <LOMCN>1</LOMCN>
                                  <LOSN>1</LOSN>
                                  <LOEN>19</LOEN>
                                  <LOCN>21</LOCN>
                                </LnkInProps>
                              </LnkIn>
                            </Ctg>
                            <Ctg>
                              <CtgProps>
                                <R>6</R>
                              </CtgProps>
                              <LnkIn>
                                <LnkInProps>
                                  <MN>15</MN>
                                  <CLI>1,1,44,False,22</CLI>
                                  <ELN>1</ELN>
                                  <LOOT>0</LOOT>
                                  <LOMN>3</LOMN>
                                  <LOMCN>1</LOMCN>
                                  <LOSN>1</LOSN>
                                  <LOEN>19</LOEN>
                                  <LOCN>22</LOCN>
                                </LnkInProps>
                              </LnkIn>
                            </Ctg>
                            <Ctg>
                              <CtgProps>
                                <R>6</R>
                              </CtgProps>
                              <LnkIn>
                                <LnkInProps>
                                  <MN>15</MN>
                                  <CLI>1,1,44,False,23</CLI>
                                  <ELN>1</ELN>
                                  <LOOT>0</LOOT>
                                  <LOMN>3</LOMN>
                                  <LOMCN>1</LOMCN>
                                  <LOSN>1</LOSN>
                                  <LOEN>19</LOEN>
                                  <LOCN>23</LOCN>
                                </LnkInProps>
                              </LnkIn>
                            </Ctg>
                            <Ctg>
                              <CtgProps>
                                <R>6</R>
                              </CtgProps>
                              <LnkIn>
                                <LnkInProps>
                                  <MN>15</MN>
                                  <CLI>1,1,44,False,24</CLI>
                                  <ELN>1</ELN>
                                  <LOOT>0</LOOT>
                                  <LOMN>3</LOMN>
                                  <LOMCN>1</LOMCN>
                                  <LOSN>1</LOSN>
                                  <LOEN>19</LOEN>
                                  <LOCN>24</LOCN>
                                </LnkInProps>
                              </LnkIn>
                            </Ctg>
                            <Ctg>
                              <CtgProps>
                                <R>6</R>
                              </CtgProps>
                              <LnkIn>
                                <LnkInProps>
                                  <MN>15</MN>
                                  <CLI>1,1,44,False,25</CLI>
                                  <ELN>1</ELN>
                                  <LOOT>0</LOOT>
                                  <LOMN>3</LOMN>
                                  <LOMCN>1</LOMCN>
                                  <LOSN>1</LOSN>
                                  <LOEN>19</LOEN>
                                  <LOCN>25</LOCN>
                                </LnkInProps>
                              </LnkIn>
                            </Ctg>
                            <Ctg>
                              <CtgProps>
                                <R>6</R>
                              </CtgProps>
                              <LnkIn>
                                <LnkInProps>
                                  <MN>15</MN>
                                  <CLI>1,1,44,False,26</CLI>
                                  <ELN>1</ELN>
                                  <LOOT>0</LOOT>
                                  <LOMN>3</LOMN>
                                  <LOMCN>1</LOMCN>
                                  <LOSN>1</LOSN>
                                  <LOEN>19</LOEN>
                                  <LOCN>26</LOCN>
                                </LnkInProps>
                              </LnkIn>
                            </Ctg>
                            <Ctg>
                              <CtgProps>
                                <R>6</R>
                              </CtgProps>
                              <LnkIn>
                                <LnkInProps>
                                  <MN>15</MN>
                                  <CLI>1,1,44,False,27</CLI>
                                  <ELN>1</ELN>
                                  <LOOT>0</LOOT>
                                  <LOMN>3</LOMN>
                                  <LOMCN>1</LOMCN>
                                  <LOSN>1</LOSN>
                                  <LOEN>19</LOEN>
                                  <LOCN>27</LOCN>
                                </LnkInProps>
                              </LnkIn>
                            </Ctg>
                            <Ctg>
                              <CtgProps>
                                <R>6</R>
                              </CtgProps>
                              <LnkIn>
                                <LnkInProps>
                                  <MN>15</MN>
                                  <CLI>1,1,44,False,28</CLI>
                                  <ELN>1</ELN>
                                  <LOOT>0</LOOT>
                                  <LOMN>3</LOMN>
                                  <LOMCN>1</LOMCN>
                                  <LOSN>1</LOSN>
                                  <LOEN>19</LOEN>
                                  <LOCN>28</LOCN>
                                </LnkInProps>
                              </LnkIn>
                            </Ctg>
                            <Ctg>
                              <CtgProps>
                                <R>6</R>
                              </CtgProps>
                              <LnkIn>
                                <LnkInProps>
                                  <MN>15</MN>
                                  <CLI>1,1,44,False,29</CLI>
                                  <ELN>1</ELN>
                                  <LOOT>0</LOOT>
                                  <LOMN>3</LOMN>
                                  <LOMCN>1</LOMCN>
                                  <LOSN>1</LOSN>
                                  <LOEN>19</LOEN>
                                  <LOCN>29</LOCN>
                                </LnkInProps>
                              </LnkIn>
                            </Ctg>
                            <Ctg>
                              <CtgProps>
                                <R>6</R>
                              </CtgProps>
                              <LnkIn>
                                <LnkInProps>
                                  <MN>15</MN>
                                  <CLI>1,1,44,False,30</CLI>
                                  <ELN>1</ELN>
                                  <LOOT>0</LOOT>
                                  <LOMN>3</LOMN>
                                  <LOMCN>1</LOMCN>
                                  <LOSN>1</LOSN>
                                  <LOEN>19</LOEN>
                                  <LOCN>30</LOCN>
                                </LnkInProps>
                              </LnkIn>
                            </Ctg>
                            <Ctg>
                              <CtgProps>
                                <R>6</R>
                              </CtgProps>
                              <LnkIn>
                                <LnkInProps>
                                  <MN>15</MN>
                                  <CLI>1,1,44,False,31</CLI>
                                  <ELN>1</ELN>
                                  <LOOT>0</LOOT>
                                  <LOMN>3</LOMN>
                                  <LOMCN>1</LOMCN>
                                  <LOSN>1</LOSN>
                                  <LOEN>19</LOEN>
                                  <LOCN>31</LOCN>
                                </LnkInProps>
                              </LnkIn>
                            </Ctg>
                            <Ctg>
                              <CtgProps>
                                <R>6</R>
                              </CtgProps>
                              <LnkIn>
                                <LnkInProps>
                                  <MN>15</MN>
                                  <CLI>1,1,44,False,32</CLI>
                                  <ELN>1</ELN>
                                  <LOOT>0</LOOT>
                                  <LOMN>3</LOMN>
                                  <LOMCN>1</LOMCN>
                                  <LOSN>1</LOSN>
                                  <LOEN>19</LOEN>
                                  <LOCN>32</LOCN>
                                </LnkInProps>
                              </LnkIn>
                            </Ctg>
                            <Ctg>
                              <CtgProps>
                                <R>6</R>
                              </CtgProps>
                              <LnkIn>
                                <LnkInProps>
                                  <MN>15</MN>
                                  <CLI>1,1,44,False,33</CLI>
                                  <ELN>1</ELN>
                                  <LOOT>0</LOOT>
                                  <LOMN>3</LOMN>
                                  <LOMCN>1</LOMCN>
                                  <LOSN>1</LOSN>
                                  <LOEN>19</LOEN>
                                  <LOCN>33</LOCN>
                                </LnkInProps>
                              </LnkIn>
                            </Ctg>
                            <Ctg>
                              <CtgProps>
                                <R>6</R>
                              </CtgProps>
                              <LnkIn>
                                <LnkInProps>
                                  <MN>15</MN>
                                  <CLI>1,1,44,False,34</CLI>
                                  <ELN>1</ELN>
                                  <LOOT>0</LOOT>
                                  <LOMN>3</LOMN>
                                  <LOMCN>1</LOMCN>
                                  <LOSN>1</LOSN>
                                  <LOEN>19</LOEN>
                                  <LOCN>34</LOCN>
                                </LnkInProps>
                              </LnkIn>
                            </Ctg>
                            <Ctg>
                              <CtgProps>
                                <R>6</R>
                              </CtgProps>
                              <LnkIn>
                                <LnkInProps>
                                  <MN>15</MN>
                                  <CLI>1,1,44,False,35</CLI>
                                  <ELN>1</ELN>
                                  <LOOT>0</LOOT>
                                  <LOMN>3</LOMN>
                                  <LOMCN>1</LOMCN>
                                  <LOSN>1</LOSN>
                                  <LOEN>19</LOEN>
                                  <LOCN>35</LOCN>
                                </LnkInProps>
                              </LnkIn>
                            </Ctg>
                          </Ctgs>
                        </SubTtl>
                      </SubTtls>
                      <TtlCtg/>
                      <ElmtLnksIn>
                        <ElmtLnk>
                          <ElmtLnkProps>
                            <ELI>1,1,44</ELI>
                            <ELN>1</ELN>
                            <ELGN>4</ELGN>
                            <MLG>FC884D76-0FF7-48B7-B658-EABC523ECBF4</MLG>
                            <ICBI>1,2,3,4,5</ICBI>
                            <ILBN/>
                            <LIBN>0</LIBN>
                          </ElmtLnkProps>
                        </ElmtLnk>
                      </ElmtLnksIn>
                    </Elmt>
                    <Elmt>
                      <ElmtProps>
                        <CPT>2</CPT>
                      </ElmtProps>
                      <TtlCtg>
                        <TtlCtgProps>
                          <R>5</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5</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1,1,47,1,1</CBPLI>
                                    <ELN>1</ELN>
                                    <FFF><![CDATA[=§A¿10,FALSE,0,1,0,FALSE§Z¿]]></FFF>
                                  </LnkInFormProps>
                                </LnkInForm>
                              </LnkInForms>
                            </ClmnBlkPt>
                            <ClmnBlkPt>
                              <ClmnBlkPtProps>
                                <CBPT>1</CBPT>
                                <ST>6</ST>
                                <VOFFF><![CDATA[="Total "&§A¿0,1,0,1,47,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1,1,47,3,1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1,1,47,4,1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1,1,47,5,1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15</MN>
                                  <CLI>1,1,47,False,1</CLI>
                                  <ELN>1</ELN>
                                  <LOOT>0</LOOT>
                                  <LOMN>3</LOMN>
                                  <LOMCN>1</LOMCN>
                                  <LOSN>1</LOSN>
                                  <LOEN>24</LOEN>
                                  <LOCN>1</LOCN>
                                </LnkInProps>
                              </LnkIn>
                            </Ctg>
                            <Ctg>
                              <CtgProps>
                                <R>5</R>
                              </CtgProps>
                              <LnkIn>
                                <LnkInProps>
                                  <MN>15</MN>
                                  <CLI>1,1,47,False,2</CLI>
                                  <ELN>1</ELN>
                                  <LOOT>0</LOOT>
                                  <LOMN>3</LOMN>
                                  <LOMCN>1</LOMCN>
                                  <LOSN>1</LOSN>
                                  <LOEN>24</LOEN>
                                  <LOCN>2</LOCN>
                                </LnkInProps>
                              </LnkIn>
                            </Ctg>
                            <Ctg>
                              <CtgProps>
                                <R>5</R>
                              </CtgProps>
                              <LnkIn>
                                <LnkInProps>
                                  <MN>15</MN>
                                  <CLI>1,1,47,False,3</CLI>
                                  <ELN>1</ELN>
                                  <LOOT>0</LOOT>
                                  <LOMN>3</LOMN>
                                  <LOMCN>1</LOMCN>
                                  <LOSN>1</LOSN>
                                  <LOEN>24</LOEN>
                                  <LOCN>3</LOCN>
                                </LnkInProps>
                              </LnkIn>
                            </Ctg>
                            <Ctg>
                              <CtgProps>
                                <R>5</R>
                              </CtgProps>
                              <LnkIn>
                                <LnkInProps>
                                  <MN>15</MN>
                                  <CLI>1,1,47,False,4</CLI>
                                  <ELN>1</ELN>
                                  <LOOT>0</LOOT>
                                  <LOMN>3</LOMN>
                                  <LOMCN>1</LOMCN>
                                  <LOSN>1</LOSN>
                                  <LOEN>24</LOEN>
                                  <LOCN>4</LOCN>
                                </LnkInProps>
                              </LnkIn>
                            </Ctg>
                            <Ctg>
                              <CtgProps>
                                <R>5</R>
                              </CtgProps>
                              <LnkIn>
                                <LnkInProps>
                                  <MN>15</MN>
                                  <CLI>1,1,47,False,5</CLI>
                                  <ELN>1</ELN>
                                  <LOOT>0</LOOT>
                                  <LOMN>3</LOMN>
                                  <LOMCN>1</LOMCN>
                                  <LOSN>1</LOSN>
                                  <LOEN>24</LOEN>
                                  <LOCN>5</LOCN>
                                </LnkInProps>
                              </LnkIn>
                            </Ctg>
                            <Ctg>
                              <CtgProps>
                                <R>6</R>
                              </CtgProps>
                              <LnkIn>
                                <LnkInProps>
                                  <MN>15</MN>
                                  <CLI>1,1,47,False,6</CLI>
                                  <ELN>1</ELN>
                                  <LOOT>0</LOOT>
                                  <LOMN>3</LOMN>
                                  <LOMCN>1</LOMCN>
                                  <LOSN>1</LOSN>
                                  <LOEN>24</LOEN>
                                  <LOCN>6</LOCN>
                                </LnkInProps>
                              </LnkIn>
                            </Ctg>
                            <Ctg>
                              <CtgProps>
                                <R>6</R>
                              </CtgProps>
                              <LnkIn>
                                <LnkInProps>
                                  <MN>15</MN>
                                  <CLI>1,1,47,False,7</CLI>
                                  <ELN>1</ELN>
                                  <LOOT>0</LOOT>
                                  <LOMN>3</LOMN>
                                  <LOMCN>1</LOMCN>
                                  <LOSN>1</LOSN>
                                  <LOEN>24</LOEN>
                                  <LOCN>7</LOCN>
                                </LnkInProps>
                              </LnkIn>
                            </Ctg>
                            <Ctg>
                              <CtgProps>
                                <R>6</R>
                              </CtgProps>
                              <LnkIn>
                                <LnkInProps>
                                  <MN>15</MN>
                                  <CLI>1,1,47,False,8</CLI>
                                  <ELN>1</ELN>
                                  <LOOT>0</LOOT>
                                  <LOMN>3</LOMN>
                                  <LOMCN>1</LOMCN>
                                  <LOSN>1</LOSN>
                                  <LOEN>24</LOEN>
                                  <LOCN>8</LOCN>
                                </LnkInProps>
                              </LnkIn>
                            </Ctg>
                            <Ctg>
                              <CtgProps>
                                <R>6</R>
                              </CtgProps>
                              <LnkIn>
                                <LnkInProps>
                                  <MN>15</MN>
                                  <CLI>1,1,47,False,9</CLI>
                                  <ELN>1</ELN>
                                  <LOOT>0</LOOT>
                                  <LOMN>3</LOMN>
                                  <LOMCN>1</LOMCN>
                                  <LOSN>1</LOSN>
                                  <LOEN>24</LOEN>
                                  <LOCN>9</LOCN>
                                </LnkInProps>
                              </LnkIn>
                            </Ctg>
                            <Ctg>
                              <CtgProps>
                                <R>6</R>
                              </CtgProps>
                              <LnkIn>
                                <LnkInProps>
                                  <MN>15</MN>
                                  <CLI>1,1,47,False,10</CLI>
                                  <ELN>1</ELN>
                                  <LOOT>0</LOOT>
                                  <LOMN>3</LOMN>
                                  <LOMCN>1</LOMCN>
                                  <LOSN>1</LOSN>
                                  <LOEN>24</LOEN>
                                  <LOCN>10</LOCN>
                                </LnkInProps>
                              </LnkIn>
                            </Ctg>
                            <Ctg>
                              <CtgProps>
                                <R>6</R>
                              </CtgProps>
                              <LnkIn>
                                <LnkInProps>
                                  <MN>15</MN>
                                  <CLI>1,1,47,False,11</CLI>
                                  <ELN>1</ELN>
                                  <LOOT>0</LOOT>
                                  <LOMN>3</LOMN>
                                  <LOMCN>1</LOMCN>
                                  <LOSN>1</LOSN>
                                  <LOEN>24</LOEN>
                                  <LOCN>11</LOCN>
                                </LnkInProps>
                              </LnkIn>
                            </Ctg>
                            <Ctg>
                              <CtgProps>
                                <R>6</R>
                              </CtgProps>
                              <LnkIn>
                                <LnkInProps>
                                  <MN>15</MN>
                                  <CLI>1,1,47,False,12</CLI>
                                  <ELN>1</ELN>
                                  <LOOT>0</LOOT>
                                  <LOMN>3</LOMN>
                                  <LOMCN>1</LOMCN>
                                  <LOSN>1</LOSN>
                                  <LOEN>24</LOEN>
                                  <LOCN>12</LOCN>
                                </LnkInProps>
                              </LnkIn>
                            </Ctg>
                            <Ctg>
                              <CtgProps>
                                <R>6</R>
                              </CtgProps>
                              <LnkIn>
                                <LnkInProps>
                                  <MN>15</MN>
                                  <CLI>1,1,47,False,13</CLI>
                                  <ELN>1</ELN>
                                  <LOOT>0</LOOT>
                                  <LOMN>3</LOMN>
                                  <LOMCN>1</LOMCN>
                                  <LOSN>1</LOSN>
                                  <LOEN>24</LOEN>
                                  <LOCN>13</LOCN>
                                </LnkInProps>
                              </LnkIn>
                            </Ctg>
                            <Ctg>
                              <CtgProps>
                                <R>6</R>
                              </CtgProps>
                              <LnkIn>
                                <LnkInProps>
                                  <MN>15</MN>
                                  <CLI>1,1,47,False,14</CLI>
                                  <ELN>1</ELN>
                                  <LOOT>0</LOOT>
                                  <LOMN>3</LOMN>
                                  <LOMCN>1</LOMCN>
                                  <LOSN>1</LOSN>
                                  <LOEN>24</LOEN>
                                  <LOCN>14</LOCN>
                                </LnkInProps>
                              </LnkIn>
                            </Ctg>
                            <Ctg>
                              <CtgProps>
                                <R>6</R>
                              </CtgProps>
                              <LnkIn>
                                <LnkInProps>
                                  <MN>15</MN>
                                  <CLI>1,1,47,False,15</CLI>
                                  <ELN>1</ELN>
                                  <LOOT>0</LOOT>
                                  <LOMN>3</LOMN>
                                  <LOMCN>1</LOMCN>
                                  <LOSN>1</LOSN>
                                  <LOEN>24</LOEN>
                                  <LOCN>15</LOCN>
                                </LnkInProps>
                              </LnkIn>
                            </Ctg>
                            <Ctg>
                              <CtgProps>
                                <R>6</R>
                              </CtgProps>
                              <LnkIn>
                                <LnkInProps>
                                  <MN>15</MN>
                                  <CLI>1,1,47,False,16</CLI>
                                  <ELN>1</ELN>
                                  <LOOT>0</LOOT>
                                  <LOMN>3</LOMN>
                                  <LOMCN>1</LOMCN>
                                  <LOSN>1</LOSN>
                                  <LOEN>24</LOEN>
                                  <LOCN>16</LOCN>
                                </LnkInProps>
                              </LnkIn>
                            </Ctg>
                            <Ctg>
                              <CtgProps>
                                <R>6</R>
                              </CtgProps>
                              <LnkIn>
                                <LnkInProps>
                                  <MN>15</MN>
                                  <CLI>1,1,47,False,17</CLI>
                                  <ELN>1</ELN>
                                  <LOOT>0</LOOT>
                                  <LOMN>3</LOMN>
                                  <LOMCN>1</LOMCN>
                                  <LOSN>1</LOSN>
                                  <LOEN>24</LOEN>
                                  <LOCN>17</LOCN>
                                </LnkInProps>
                              </LnkIn>
                            </Ctg>
                            <Ctg>
                              <CtgProps>
                                <R>6</R>
                              </CtgProps>
                              <LnkIn>
                                <LnkInProps>
                                  <MN>15</MN>
                                  <CLI>1,1,47,False,18</CLI>
                                  <ELN>1</ELN>
                                  <LOOT>0</LOOT>
                                  <LOMN>3</LOMN>
                                  <LOMCN>1</LOMCN>
                                  <LOSN>1</LOSN>
                                  <LOEN>24</LOEN>
                                  <LOCN>18</LOCN>
                                </LnkInProps>
                              </LnkIn>
                            </Ctg>
                            <Ctg>
                              <CtgProps>
                                <R>6</R>
                              </CtgProps>
                              <LnkIn>
                                <LnkInProps>
                                  <MN>15</MN>
                                  <CLI>1,1,47,False,19</CLI>
                                  <ELN>1</ELN>
                                  <LOOT>0</LOOT>
                                  <LOMN>3</LOMN>
                                  <LOMCN>1</LOMCN>
                                  <LOSN>1</LOSN>
                                  <LOEN>24</LOEN>
                                  <LOCN>19</LOCN>
                                </LnkInProps>
                              </LnkIn>
                            </Ctg>
                            <Ctg>
                              <CtgProps>
                                <R>6</R>
                              </CtgProps>
                              <LnkIn>
                                <LnkInProps>
                                  <MN>15</MN>
                                  <CLI>1,1,47,False,20</CLI>
                                  <ELN>1</ELN>
                                  <LOOT>0</LOOT>
                                  <LOMN>3</LOMN>
                                  <LOMCN>1</LOMCN>
                                  <LOSN>1</LOSN>
                                  <LOEN>24</LOEN>
                                  <LOCN>20</LOCN>
                                </LnkInProps>
                              </LnkIn>
                            </Ctg>
                            <Ctg>
                              <CtgProps>
                                <R>6</R>
                              </CtgProps>
                              <LnkIn>
                                <LnkInProps>
                                  <MN>15</MN>
                                  <CLI>1,1,47,False,21</CLI>
                                  <ELN>1</ELN>
                                  <LOOT>0</LOOT>
                                  <LOMN>3</LOMN>
                                  <LOMCN>1</LOMCN>
                                  <LOSN>1</LOSN>
                                  <LOEN>24</LOEN>
                                  <LOCN>21</LOCN>
                                </LnkInProps>
                              </LnkIn>
                            </Ctg>
                            <Ctg>
                              <CtgProps>
                                <R>6</R>
                              </CtgProps>
                              <LnkIn>
                                <LnkInProps>
                                  <MN>15</MN>
                                  <CLI>1,1,47,False,22</CLI>
                                  <ELN>1</ELN>
                                  <LOOT>0</LOOT>
                                  <LOMN>3</LOMN>
                                  <LOMCN>1</LOMCN>
                                  <LOSN>1</LOSN>
                                  <LOEN>24</LOEN>
                                  <LOCN>22</LOCN>
                                </LnkInProps>
                              </LnkIn>
                            </Ctg>
                            <Ctg>
                              <CtgProps>
                                <R>6</R>
                              </CtgProps>
                              <LnkIn>
                                <LnkInProps>
                                  <MN>15</MN>
                                  <CLI>1,1,47,False,23</CLI>
                                  <ELN>1</ELN>
                                  <LOOT>0</LOOT>
                                  <LOMN>3</LOMN>
                                  <LOMCN>1</LOMCN>
                                  <LOSN>1</LOSN>
                                  <LOEN>24</LOEN>
                                  <LOCN>23</LOCN>
                                </LnkInProps>
                              </LnkIn>
                            </Ctg>
                            <Ctg>
                              <CtgProps>
                                <R>6</R>
                              </CtgProps>
                              <LnkIn>
                                <LnkInProps>
                                  <MN>15</MN>
                                  <CLI>1,1,47,False,24</CLI>
                                  <ELN>1</ELN>
                                  <LOOT>0</LOOT>
                                  <LOMN>3</LOMN>
                                  <LOMCN>1</LOMCN>
                                  <LOSN>1</LOSN>
                                  <LOEN>24</LOEN>
                                  <LOCN>24</LOCN>
                                </LnkInProps>
                              </LnkIn>
                            </Ctg>
                            <Ctg>
                              <CtgProps>
                                <R>6</R>
                              </CtgProps>
                              <LnkIn>
                                <LnkInProps>
                                  <MN>15</MN>
                                  <CLI>1,1,47,False,25</CLI>
                                  <ELN>1</ELN>
                                  <LOOT>0</LOOT>
                                  <LOMN>3</LOMN>
                                  <LOMCN>1</LOMCN>
                                  <LOSN>1</LOSN>
                                  <LOEN>24</LOEN>
                                  <LOCN>25</LOCN>
                                </LnkInProps>
                              </LnkIn>
                            </Ctg>
                            <Ctg>
                              <CtgProps>
                                <R>6</R>
                              </CtgProps>
                              <LnkIn>
                                <LnkInProps>
                                  <MN>15</MN>
                                  <CLI>1,1,47,False,26</CLI>
                                  <ELN>1</ELN>
                                  <LOOT>0</LOOT>
                                  <LOMN>3</LOMN>
                                  <LOMCN>1</LOMCN>
                                  <LOSN>1</LOSN>
                                  <LOEN>24</LOEN>
                                  <LOCN>26</LOCN>
                                </LnkInProps>
                              </LnkIn>
                            </Ctg>
                            <Ctg>
                              <CtgProps>
                                <R>6</R>
                              </CtgProps>
                              <LnkIn>
                                <LnkInProps>
                                  <MN>15</MN>
                                  <CLI>1,1,47,False,27</CLI>
                                  <ELN>1</ELN>
                                  <LOOT>0</LOOT>
                                  <LOMN>3</LOMN>
                                  <LOMCN>1</LOMCN>
                                  <LOSN>1</LOSN>
                                  <LOEN>24</LOEN>
                                  <LOCN>27</LOCN>
                                </LnkInProps>
                              </LnkIn>
                            </Ctg>
                            <Ctg>
                              <CtgProps>
                                <R>6</R>
                              </CtgProps>
                              <LnkIn>
                                <LnkInProps>
                                  <MN>15</MN>
                                  <CLI>1,1,47,False,28</CLI>
                                  <ELN>1</ELN>
                                  <LOOT>0</LOOT>
                                  <LOMN>3</LOMN>
                                  <LOMCN>1</LOMCN>
                                  <LOSN>1</LOSN>
                                  <LOEN>24</LOEN>
                                  <LOCN>28</LOCN>
                                </LnkInProps>
                              </LnkIn>
                            </Ctg>
                            <Ctg>
                              <CtgProps>
                                <R>6</R>
                              </CtgProps>
                              <LnkIn>
                                <LnkInProps>
                                  <MN>15</MN>
                                  <CLI>1,1,47,False,29</CLI>
                                  <ELN>1</ELN>
                                  <LOOT>0</LOOT>
                                  <LOMN>3</LOMN>
                                  <LOMCN>1</LOMCN>
                                  <LOSN>1</LOSN>
                                  <LOEN>24</LOEN>
                                  <LOCN>29</LOCN>
                                </LnkInProps>
                              </LnkIn>
                            </Ctg>
                            <Ctg>
                              <CtgProps>
                                <R>6</R>
                              </CtgProps>
                              <LnkIn>
                                <LnkInProps>
                                  <MN>15</MN>
                                  <CLI>1,1,47,False,30</CLI>
                                  <ELN>1</ELN>
                                  <LOOT>0</LOOT>
                                  <LOMN>3</LOMN>
                                  <LOMCN>1</LOMCN>
                                  <LOSN>1</LOSN>
                                  <LOEN>24</LOEN>
                                  <LOCN>30</LOCN>
                                </LnkInProps>
                              </LnkIn>
                            </Ctg>
                            <Ctg>
                              <CtgProps>
                                <R>6</R>
                              </CtgProps>
                              <LnkIn>
                                <LnkInProps>
                                  <MN>15</MN>
                                  <CLI>1,1,47,False,31</CLI>
                                  <ELN>1</ELN>
                                  <LOOT>0</LOOT>
                                  <LOMN>3</LOMN>
                                  <LOMCN>1</LOMCN>
                                  <LOSN>1</LOSN>
                                  <LOEN>24</LOEN>
                                  <LOCN>31</LOCN>
                                </LnkInProps>
                              </LnkIn>
                            </Ctg>
                            <Ctg>
                              <CtgProps>
                                <R>6</R>
                              </CtgProps>
                              <LnkIn>
                                <LnkInProps>
                                  <MN>15</MN>
                                  <CLI>1,1,47,False,32</CLI>
                                  <ELN>1</ELN>
                                  <LOOT>0</LOOT>
                                  <LOMN>3</LOMN>
                                  <LOMCN>1</LOMCN>
                                  <LOSN>1</LOSN>
                                  <LOEN>24</LOEN>
                                  <LOCN>32</LOCN>
                                </LnkInProps>
                              </LnkIn>
                            </Ctg>
                            <Ctg>
                              <CtgProps>
                                <R>6</R>
                              </CtgProps>
                              <LnkIn>
                                <LnkInProps>
                                  <MN>15</MN>
                                  <CLI>1,1,47,False,33</CLI>
                                  <ELN>1</ELN>
                                  <LOOT>0</LOOT>
                                  <LOMN>3</LOMN>
                                  <LOMCN>1</LOMCN>
                                  <LOSN>1</LOSN>
                                  <LOEN>24</LOEN>
                                  <LOCN>33</LOCN>
                                </LnkInProps>
                              </LnkIn>
                            </Ctg>
                            <Ctg>
                              <CtgProps>
                                <R>6</R>
                              </CtgProps>
                              <LnkIn>
                                <LnkInProps>
                                  <MN>15</MN>
                                  <CLI>1,1,47,False,34</CLI>
                                  <ELN>1</ELN>
                                  <LOOT>0</LOOT>
                                  <LOMN>3</LOMN>
                                  <LOMCN>1</LOMCN>
                                  <LOSN>1</LOSN>
                                  <LOEN>24</LOEN>
                                  <LOCN>34</LOCN>
                                </LnkInProps>
                              </LnkIn>
                            </Ctg>
                            <Ctg>
                              <CtgProps>
                                <R>6</R>
                              </CtgProps>
                              <LnkIn>
                                <LnkInProps>
                                  <MN>15</MN>
                                  <CLI>1,1,47,False,35</CLI>
                                  <ELN>1</ELN>
                                  <LOOT>0</LOOT>
                                  <LOMN>3</LOMN>
                                  <LOMCN>1</LOMCN>
                                  <LOSN>1</LOSN>
                                  <LOEN>24</LOEN>
                                  <LOCN>35</LOCN>
                                </LnkInProps>
                              </LnkIn>
                            </Ctg>
                          </Ctgs>
                        </SubTtl>
                      </SubTtls>
                      <TtlCtg/>
                      <ElmtLnksIn>
                        <ElmtLnk>
                          <ElmtLnkProps>
                            <ELI>1,1,47</ELI>
                            <ELN>1</ELN>
                            <ELGN>5</ELGN>
                            <MLG>1EE39398-735E-4BBF-B774-6358567F00C1</MLG>
                            <ICBI>1,2,3,4,5</ICBI>
                            <ILBN/>
                            <LIBN>0</LIBN>
                          </ElmtLnkProps>
                        </ElmtLnk>
                      </ElmtLnksIn>
                    </Elmt>
                    <Elmt>
                      <ElmtProps>
                        <CPT>2</CPT>
                      </ElmtProps>
                      <TtlCtg>
                        <TtlCtgProps>
                          <R>5</R>
                        </TtlCtgProps>
                      </TtlCtg>
                    </Elmt>
                    <Elmt>
                      <ElmtProps>
                        <CPT>2</CPT>
                      </ElmtProps>
                      <TtlCtg>
                        <TtlCtgProps>
                          <R>5</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5</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1,1,51,1,1</CBPLI>
                                    <ELN>1</ELN>
                                    <FFF><![CDATA[=§A¿10,FALSE,0,1,0,FALSE§Z¿]]></FFF>
                                  </LnkInFormProps>
                                </LnkInForm>
                              </LnkInForms>
                            </ClmnBlkPt>
                            <ClmnBlkPt>
                              <ClmnBlkPtProps>
                                <CBPT>1</CBPT>
                                <ST>6</ST>
                                <VOFFF><![CDATA[="Total "&§A¿0,1,0,1,5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5</R>
                              </CtgProps>
                              <LnkIn>
                                <LnkInProps>
                                  <MN>15</MN>
                                  <CLI>1,1,51,False,1</CLI>
                                  <ELN>1</ELN>
                                  <LOOT>0</LOOT>
                                  <LOMN>3</LOMN>
                                  <LOMCN>1</LOMCN>
                                  <LOSN>1</LOSN>
                                  <LOEN>29</LOEN>
                                  <LOCN>1</LOCN>
                                </LnkInProps>
                              </LnkIn>
                            </Ctg>
                            <Ctg>
                              <CtgProps>
                                <R>5</R>
                              </CtgProps>
                              <LnkIn>
                                <LnkInProps>
                                  <MN>15</MN>
                                  <CLI>1,1,51,False,2</CLI>
                                  <ELN>1</ELN>
                                  <LOOT>0</LOOT>
                                  <LOMN>3</LOMN>
                                  <LOMCN>1</LOMCN>
                                  <LOSN>1</LOSN>
                                  <LOEN>29</LOEN>
                                  <LOCN>2</LOCN>
                                </LnkInProps>
                              </LnkIn>
                            </Ctg>
                            <Ctg>
                              <CtgProps>
                                <R>6</R>
                              </CtgProps>
                              <LnkIn>
                                <LnkInProps>
                                  <MN>15</MN>
                                  <CLI>1,1,51,False,3</CLI>
                                  <ELN>1</ELN>
                                  <LOOT>0</LOOT>
                                  <LOMN>3</LOMN>
                                  <LOMCN>1</LOMCN>
                                  <LOSN>1</LOSN>
                                  <LOEN>29</LOEN>
                                  <LOCN>3</LOCN>
                                </LnkInProps>
                              </LnkIn>
                            </Ctg>
                            <Ctg>
                              <CtgProps>
                                <R>6</R>
                              </CtgProps>
                              <LnkIn>
                                <LnkInProps>
                                  <MN>15</MN>
                                  <CLI>1,1,51,False,4</CLI>
                                  <ELN>1</ELN>
                                  <LOOT>0</LOOT>
                                  <LOMN>3</LOMN>
                                  <LOMCN>1</LOMCN>
                                  <LOSN>1</LOSN>
                                  <LOEN>29</LOEN>
                                  <LOCN>4</LOCN>
                                </LnkInProps>
                              </LnkIn>
                            </Ctg>
                            <Ctg>
                              <CtgProps>
                                <R>6</R>
                              </CtgProps>
                              <LnkIn>
                                <LnkInProps>
                                  <MN>15</MN>
                                  <CLI>1,1,51,False,5</CLI>
                                  <ELN>1</ELN>
                                  <LOOT>0</LOOT>
                                  <LOMN>3</LOMN>
                                  <LOMCN>1</LOMCN>
                                  <LOSN>1</LOSN>
                                  <LOEN>29</LOEN>
                                  <LOCN>5</LOCN>
                                </LnkInProps>
                              </LnkIn>
                            </Ctg>
                            <Ctg>
                              <CtgProps>
                                <R>6</R>
                              </CtgProps>
                              <LnkIn>
                                <LnkInProps>
                                  <MN>15</MN>
                                  <CLI>1,1,51,False,6</CLI>
                                  <ELN>1</ELN>
                                  <LOOT>0</LOOT>
                                  <LOMN>3</LOMN>
                                  <LOMCN>1</LOMCN>
                                  <LOSN>1</LOSN>
                                  <LOEN>29</LOEN>
                                  <LOCN>6</LOCN>
                                </LnkInProps>
                              </LnkIn>
                            </Ctg>
                            <Ctg>
                              <CtgProps>
                                <R>6</R>
                              </CtgProps>
                              <LnkIn>
                                <LnkInProps>
                                  <MN>15</MN>
                                  <CLI>1,1,51,False,7</CLI>
                                  <ELN>1</ELN>
                                  <LOOT>0</LOOT>
                                  <LOMN>3</LOMN>
                                  <LOMCN>1</LOMCN>
                                  <LOSN>1</LOSN>
                                  <LOEN>29</LOEN>
                                  <LOCN>7</LOCN>
                                </LnkInProps>
                              </LnkIn>
                            </Ctg>
                            <Ctg>
                              <CtgProps>
                                <R>6</R>
                              </CtgProps>
                              <LnkIn>
                                <LnkInProps>
                                  <MN>15</MN>
                                  <CLI>1,1,51,False,8</CLI>
                                  <ELN>1</ELN>
                                  <LOOT>0</LOOT>
                                  <LOMN>3</LOMN>
                                  <LOMCN>1</LOMCN>
                                  <LOSN>1</LOSN>
                                  <LOEN>29</LOEN>
                                  <LOCN>8</LOCN>
                                </LnkInProps>
                              </LnkIn>
                            </Ctg>
                            <Ctg>
                              <CtgProps>
                                <R>6</R>
                              </CtgProps>
                              <LnkIn>
                                <LnkInProps>
                                  <MN>15</MN>
                                  <CLI>1,1,51,False,9</CLI>
                                  <ELN>1</ELN>
                                  <LOOT>0</LOOT>
                                  <LOMN>3</LOMN>
                                  <LOMCN>1</LOMCN>
                                  <LOSN>1</LOSN>
                                  <LOEN>29</LOEN>
                                  <LOCN>9</LOCN>
                                </LnkInProps>
                              </LnkIn>
                            </Ctg>
                            <Ctg>
                              <CtgProps>
                                <R>6</R>
                              </CtgProps>
                              <LnkIn>
                                <LnkInProps>
                                  <MN>15</MN>
                                  <CLI>1,1,51,False,10</CLI>
                                  <ELN>1</ELN>
                                  <LOOT>0</LOOT>
                                  <LOMN>3</LOMN>
                                  <LOMCN>1</LOMCN>
                                  <LOSN>1</LOSN>
                                  <LOEN>29</LOEN>
                                  <LOCN>10</LOCN>
                                </LnkInProps>
                              </LnkIn>
                            </Ctg>
                            <Ctg>
                              <CtgProps>
                                <R>6</R>
                              </CtgProps>
                              <LnkIn>
                                <LnkInProps>
                                  <MN>15</MN>
                                  <CLI>1,1,51,False,11</CLI>
                                  <ELN>1</ELN>
                                  <LOOT>0</LOOT>
                                  <LOMN>3</LOMN>
                                  <LOMCN>1</LOMCN>
                                  <LOSN>1</LOSN>
                                  <LOEN>29</LOEN>
                                  <LOCN>11</LOCN>
                                </LnkInProps>
                              </LnkIn>
                            </Ctg>
                            <Ctg>
                              <CtgProps>
                                <R>6</R>
                              </CtgProps>
                              <LnkIn>
                                <LnkInProps>
                                  <MN>15</MN>
                                  <CLI>1,1,51,False,12</CLI>
                                  <ELN>1</ELN>
                                  <LOOT>0</LOOT>
                                  <LOMN>3</LOMN>
                                  <LOMCN>1</LOMCN>
                                  <LOSN>1</LOSN>
                                  <LOEN>29</LOEN>
                                  <LOCN>12</LOCN>
                                </LnkInProps>
                              </LnkIn>
                            </Ctg>
                            <Ctg>
                              <CtgProps>
                                <R>6</R>
                              </CtgProps>
                              <LnkIn>
                                <LnkInProps>
                                  <MN>15</MN>
                                  <CLI>1,1,51,False,13</CLI>
                                  <ELN>1</ELN>
                                  <LOOT>0</LOOT>
                                  <LOMN>3</LOMN>
                                  <LOMCN>1</LOMCN>
                                  <LOSN>1</LOSN>
                                  <LOEN>29</LOEN>
                                  <LOCN>13</LOCN>
                                </LnkInProps>
                              </LnkIn>
                            </Ctg>
                            <Ctg>
                              <CtgProps>
                                <R>6</R>
                              </CtgProps>
                              <LnkIn>
                                <LnkInProps>
                                  <MN>15</MN>
                                  <CLI>1,1,51,False,14</CLI>
                                  <ELN>1</ELN>
                                  <LOOT>0</LOOT>
                                  <LOMN>3</LOMN>
                                  <LOMCN>1</LOMCN>
                                  <LOSN>1</LOSN>
                                  <LOEN>29</LOEN>
                                  <LOCN>14</LOCN>
                                </LnkInProps>
                              </LnkIn>
                            </Ctg>
                            <Ctg>
                              <CtgProps>
                                <R>6</R>
                              </CtgProps>
                              <LnkIn>
                                <LnkInProps>
                                  <MN>15</MN>
                                  <CLI>1,1,51,False,15</CLI>
                                  <ELN>1</ELN>
                                  <LOOT>0</LOOT>
                                  <LOMN>3</LOMN>
                                  <LOMCN>1</LOMCN>
                                  <LOSN>1</LOSN>
                                  <LOEN>29</LOEN>
                                  <LOCN>15</LOCN>
                                </LnkInProps>
                              </LnkIn>
                            </Ctg>
                            <Ctg>
                              <CtgProps>
                                <R>6</R>
                              </CtgProps>
                              <LnkIn>
                                <LnkInProps>
                                  <MN>15</MN>
                                  <CLI>1,1,51,False,16</CLI>
                                  <ELN>1</ELN>
                                  <LOOT>0</LOOT>
                                  <LOMN>3</LOMN>
                                  <LOMCN>1</LOMCN>
                                  <LOSN>1</LOSN>
                                  <LOEN>29</LOEN>
                                  <LOCN>16</LOCN>
                                </LnkInProps>
                              </LnkIn>
                            </Ctg>
                            <Ctg>
                              <CtgProps>
                                <R>6</R>
                              </CtgProps>
                              <LnkIn>
                                <LnkInProps>
                                  <MN>15</MN>
                                  <CLI>1,1,51,False,17</CLI>
                                  <ELN>1</ELN>
                                  <LOOT>0</LOOT>
                                  <LOMN>3</LOMN>
                                  <LOMCN>1</LOMCN>
                                  <LOSN>1</LOSN>
                                  <LOEN>29</LOEN>
                                  <LOCN>17</LOCN>
                                </LnkInProps>
                              </LnkIn>
                            </Ctg>
                            <Ctg>
                              <CtgProps>
                                <R>6</R>
                              </CtgProps>
                              <LnkIn>
                                <LnkInProps>
                                  <MN>15</MN>
                                  <CLI>1,1,51,False,18</CLI>
                                  <ELN>1</ELN>
                                  <LOOT>0</LOOT>
                                  <LOMN>3</LOMN>
                                  <LOMCN>1</LOMCN>
                                  <LOSN>1</LOSN>
                                  <LOEN>29</LOEN>
                                  <LOCN>18</LOCN>
                                </LnkInProps>
                              </LnkIn>
                            </Ctg>
                            <Ctg>
                              <CtgProps>
                                <R>6</R>
                              </CtgProps>
                              <LnkIn>
                                <LnkInProps>
                                  <MN>15</MN>
                                  <CLI>1,1,51,False,19</CLI>
                                  <ELN>1</ELN>
                                  <LOOT>0</LOOT>
                                  <LOMN>3</LOMN>
                                  <LOMCN>1</LOMCN>
                                  <LOSN>1</LOSN>
                                  <LOEN>29</LOEN>
                                  <LOCN>19</LOCN>
                                </LnkInProps>
                              </LnkIn>
                            </Ctg>
                            <Ctg>
                              <CtgProps>
                                <R>6</R>
                              </CtgProps>
                              <LnkIn>
                                <LnkInProps>
                                  <MN>15</MN>
                                  <CLI>1,1,51,False,20</CLI>
                                  <ELN>1</ELN>
                                  <LOOT>0</LOOT>
                                  <LOMN>3</LOMN>
                                  <LOMCN>1</LOMCN>
                                  <LOSN>1</LOSN>
                                  <LOEN>29</LOEN>
                                  <LOCN>20</LOCN>
                                </LnkInProps>
                              </LnkIn>
                            </Ctg>
                            <Ctg>
                              <CtgProps>
                                <R>6</R>
                              </CtgProps>
                              <LnkIn>
                                <LnkInProps>
                                  <MN>15</MN>
                                  <CLI>1,1,51,False,21</CLI>
                                  <ELN>1</ELN>
                                  <LOOT>0</LOOT>
                                  <LOMN>3</LOMN>
                                  <LOMCN>1</LOMCN>
                                  <LOSN>1</LOSN>
                                  <LOEN>29</LOEN>
                                  <LOCN>21</LOCN>
                                </LnkInProps>
                              </LnkIn>
                            </Ctg>
                            <Ctg>
                              <CtgProps>
                                <R>6</R>
                              </CtgProps>
                              <LnkIn>
                                <LnkInProps>
                                  <MN>15</MN>
                                  <CLI>1,1,51,False,22</CLI>
                                  <ELN>1</ELN>
                                  <LOOT>0</LOOT>
                                  <LOMN>3</LOMN>
                                  <LOMCN>1</LOMCN>
                                  <LOSN>1</LOSN>
                                  <LOEN>29</LOEN>
                                  <LOCN>22</LOCN>
                                </LnkInProps>
                              </LnkIn>
                            </Ctg>
                            <Ctg>
                              <CtgProps>
                                <R>6</R>
                              </CtgProps>
                              <LnkIn>
                                <LnkInProps>
                                  <MN>15</MN>
                                  <CLI>1,1,51,False,23</CLI>
                                  <ELN>1</ELN>
                                  <LOOT>0</LOOT>
                                  <LOMN>3</LOMN>
                                  <LOMCN>1</LOMCN>
                                  <LOSN>1</LOSN>
                                  <LOEN>29</LOEN>
                                  <LOCN>23</LOCN>
                                </LnkInProps>
                              </LnkIn>
                            </Ctg>
                            <Ctg>
                              <CtgProps>
                                <R>6</R>
                              </CtgProps>
                              <LnkIn>
                                <LnkInProps>
                                  <MN>15</MN>
                                  <CLI>1,1,51,False,24</CLI>
                                  <ELN>1</ELN>
                                  <LOOT>0</LOOT>
                                  <LOMN>3</LOMN>
                                  <LOMCN>1</LOMCN>
                                  <LOSN>1</LOSN>
                                  <LOEN>29</LOEN>
                                  <LOCN>24</LOCN>
                                </LnkInProps>
                              </LnkIn>
                            </Ctg>
                            <Ctg>
                              <CtgProps>
                                <R>6</R>
                              </CtgProps>
                              <LnkIn>
                                <LnkInProps>
                                  <MN>15</MN>
                                  <CLI>1,1,51,False,25</CLI>
                                  <ELN>1</ELN>
                                  <LOOT>0</LOOT>
                                  <LOMN>3</LOMN>
                                  <LOMCN>1</LOMCN>
                                  <LOSN>1</LOSN>
                                  <LOEN>29</LOEN>
                                  <LOCN>25</LOCN>
                                </LnkInProps>
                              </LnkIn>
                            </Ctg>
                            <Ctg>
                              <CtgProps>
                                <R>6</R>
                              </CtgProps>
                              <LnkIn>
                                <LnkInProps>
                                  <MN>15</MN>
                                  <CLI>1,1,51,False,26</CLI>
                                  <ELN>1</ELN>
                                  <LOOT>0</LOOT>
                                  <LOMN>3</LOMN>
                                  <LOMCN>1</LOMCN>
                                  <LOSN>1</LOSN>
                                  <LOEN>29</LOEN>
                                  <LOCN>26</LOCN>
                                </LnkInProps>
                              </LnkIn>
                            </Ctg>
                            <Ctg>
                              <CtgProps>
                                <R>6</R>
                              </CtgProps>
                              <LnkIn>
                                <LnkInProps>
                                  <MN>15</MN>
                                  <CLI>1,1,51,False,27</CLI>
                                  <ELN>1</ELN>
                                  <LOOT>0</LOOT>
                                  <LOMN>3</LOMN>
                                  <LOMCN>1</LOMCN>
                                  <LOSN>1</LOSN>
                                  <LOEN>29</LOEN>
                                  <LOCN>27</LOCN>
                                </LnkInProps>
                              </LnkIn>
                            </Ctg>
                            <Ctg>
                              <CtgProps>
                                <R>6</R>
                              </CtgProps>
                              <LnkIn>
                                <LnkInProps>
                                  <MN>15</MN>
                                  <CLI>1,1,51,False,28</CLI>
                                  <ELN>1</ELN>
                                  <LOOT>0</LOOT>
                                  <LOMN>3</LOMN>
                                  <LOMCN>1</LOMCN>
                                  <LOSN>1</LOSN>
                                  <LOEN>29</LOEN>
                                  <LOCN>28</LOCN>
                                </LnkInProps>
                              </LnkIn>
                            </Ctg>
                            <Ctg>
                              <CtgProps>
                                <R>6</R>
                              </CtgProps>
                              <LnkIn>
                                <LnkInProps>
                                  <MN>15</MN>
                                  <CLI>1,1,51,False,29</CLI>
                                  <ELN>1</ELN>
                                  <LOOT>0</LOOT>
                                  <LOMN>3</LOMN>
                                  <LOMCN>1</LOMCN>
                                  <LOSN>1</LOSN>
                                  <LOEN>29</LOEN>
                                  <LOCN>29</LOCN>
                                </LnkInProps>
                              </LnkIn>
                            </Ctg>
                            <Ctg>
                              <CtgProps>
                                <R>6</R>
                              </CtgProps>
                              <LnkIn>
                                <LnkInProps>
                                  <MN>15</MN>
                                  <CLI>1,1,51,False,30</CLI>
                                  <ELN>1</ELN>
                                  <LOOT>0</LOOT>
                                  <LOMN>3</LOMN>
                                  <LOMCN>1</LOMCN>
                                  <LOSN>1</LOSN>
                                  <LOEN>29</LOEN>
                                  <LOCN>30</LOCN>
                                </LnkInProps>
                              </LnkIn>
                            </Ctg>
                            <Ctg>
                              <CtgProps>
                                <R>6</R>
                              </CtgProps>
                              <LnkIn>
                                <LnkInProps>
                                  <MN>15</MN>
                                  <CLI>1,1,51,False,31</CLI>
                                  <ELN>1</ELN>
                                  <LOOT>0</LOOT>
                                  <LOMN>3</LOMN>
                                  <LOMCN>1</LOMCN>
                                  <LOSN>1</LOSN>
                                  <LOEN>29</LOEN>
                                  <LOCN>31</LOCN>
                                </LnkInProps>
                              </LnkIn>
                            </Ctg>
                            <Ctg>
                              <CtgProps>
                                <R>6</R>
                              </CtgProps>
                              <LnkIn>
                                <LnkInProps>
                                  <MN>15</MN>
                                  <CLI>1,1,51,False,32</CLI>
                                  <ELN>1</ELN>
                                  <LOOT>0</LOOT>
                                  <LOMN>3</LOMN>
                                  <LOMCN>1</LOMCN>
                                  <LOSN>1</LOSN>
                                  <LOEN>29</LOEN>
                                  <LOCN>32</LOCN>
                                </LnkInProps>
                              </LnkIn>
                            </Ctg>
                            <Ctg>
                              <CtgProps>
                                <R>6</R>
                              </CtgProps>
                              <LnkIn>
                                <LnkInProps>
                                  <MN>15</MN>
                                  <CLI>1,1,51,False,33</CLI>
                                  <ELN>1</ELN>
                                  <LOOT>0</LOOT>
                                  <LOMN>3</LOMN>
                                  <LOMCN>1</LOMCN>
                                  <LOSN>1</LOSN>
                                  <LOEN>29</LOEN>
                                  <LOCN>33</LOCN>
                                </LnkInProps>
                              </LnkIn>
                            </Ctg>
                            <Ctg>
                              <CtgProps>
                                <R>6</R>
                              </CtgProps>
                              <LnkIn>
                                <LnkInProps>
                                  <MN>15</MN>
                                  <CLI>1,1,51,False,34</CLI>
                                  <ELN>1</ELN>
                                  <LOOT>0</LOOT>
                                  <LOMN>3</LOMN>
                                  <LOMCN>1</LOMCN>
                                  <LOSN>1</LOSN>
                                  <LOEN>29</LOEN>
                                  <LOCN>34</LOCN>
                                </LnkInProps>
                              </LnkIn>
                            </Ctg>
                            <Ctg>
                              <CtgProps>
                                <R>6</R>
                              </CtgProps>
                              <LnkIn>
                                <LnkInProps>
                                  <MN>15</MN>
                                  <CLI>1,1,51,False,35</CLI>
                                  <ELN>1</ELN>
                                  <LOOT>0</LOOT>
                                  <LOMN>3</LOMN>
                                  <LOMCN>1</LOMCN>
                                  <LOSN>1</LOSN>
                                  <LOEN>29</LOEN>
                                  <LOCN>35</LOCN>
                                </LnkInProps>
                              </LnkIn>
                            </Ctg>
                          </Ctgs>
                        </SubTtl>
                      </SubTtls>
                      <TtlCtg/>
                      <ElmtLnksIn>
                        <ElmtLnk>
                          <ElmtLnkProps>
                            <ELI>1,1,51</ELI>
                            <ELN>1</ELN>
                            <ELGN>6</ELGN>
                            <MLG>A4172745-D85C-404E-8029-461F8AE9358B</MLG>
                            <ICBI>1,2,3,4,5</ICBI>
                            <ILBN/>
                            <LIBN>0</LIBN>
                          </ElmtLnkProps>
                        </ElmtLnk>
                      </ElmtLnksIn>
                    </Elmt>
                  </Elmts>
                </Sect>
              </Sects>
              <Ctrls>
                <Ctrl>
                  <CtrlProps>
                    <MN>15</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15</MN>
                <MCN>2</MCN>
                <MCTK>BaseCase</MCTK>
                <RT><![CDATA[<ModuleName> - Assumptions]]></RT>
                <ERN>BPMMC60</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32</CTHN>
                                <ST>5</ST>
                                <VOFFF><![CDATA[Communication Materials]]></VOFFF>
                              </ClmnBlkPtProps>
                            </ClmnBlkPt>
                          </ClmnBlkPts>
                        </ClmnBlk>
                      </ClmnBlks>
                      <TtlCtg/>
                    </Elmt>
                    <Elmt>
                      <ElmtProps>
                        <CPT>2</CPT>
                      </ElmtProps>
                      <ClmnBlks>
                        <ClmnBlk>
                          <ClmnBlkProps>
                            <FCPT>3</FCPT>
                            <FCN>3</FCN>
                            <FCOT>0</FCOT>
                            <FCOC>0</FCOC>
                            <FCPTBMCN>3</FCPTBMCN>
                            <FCPTBN>2</FCPTBN>
                            <LCPT>3</LCPT>
                            <LCN>3</LCN>
                            <LCOT>0</LCOT>
                            <LCOC>0</LCOC>
                            <LCPTBMCN>3</LCPTBMCN>
                            <LCPTBN>2</LCPTBN>
                          </ClmnBlkProps>
                          <ClmnBlkPts>
                            <ClmnBlkPt>
                              <ClmnBlkPtProps>
                                <CBPT>5</CBPT>
                                <ST>6</ST>
                                <VOFFF><![CDATA[Number of IEC Design & Development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
                                <UDAV><![CDATA[0]]></UDAV>
                              </ClmnBlkPtProps>
                            </ClmnBlkPt>
                          </ClmnBlkPts>
                        </ClmnBlk>
                      </ClmnBlks>
                      <TtlCtg/>
                    </Elmt>
                  </Elmts>
                </Sect>
              </Sects>
            </ModComp>
            <ModComp>
              <ModCompProps>
                <MN>15</MN>
                <MCN>3</MCN>
                <MCTK>OP</MCTK>
                <RT><![CDATA[<ModuleName> - Outputs]]></RT>
                <ERN>BPMMC61</ERN>
                <MCST>0</MCST>
                <IPMC>False</IPMC>
                <SN>27</SN>
                <LODS>False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33</CTHN>
                                <ST>3</ST>
                                <VOFFF><![CDATA[Communication Materials]]></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2,1,1,1,0,0,TRUE,TRUE§Z¿,§A¿0,1,0,1,32,1,1,2,0,0,TRUE,TRUE§Z¿)&")"]]></VOFFF>
                              </ClmnBlkPtProps>
                            </ClmnBlkPt>
                          </ClmnBlkPts>
                        </ClmnBlk>
                        <ClmnBlk>
                          <ClmnBlkProps>
                            <FCPT>0</FCPT>
                            <FCN>17</FCN>
                            <LCPT>0</LCPT>
                            <LCN>17</LCN>
                          </ClmnBlkProps>
                          <ClmnBlkPts>
                            <ClmnBlkPt>
                              <ClmnBlkPtProps>
                                <CBPT>5</CBPT>
                                <ST>6</ST>
                                <SON>2</SON>
                                <VOFFF><![CDATA[="FINANCIAL COST ("&IF(§A¿1,1,1,1,5,0,2,1,1§Z¿=2,§A¿0,1,0,1,32,1,1,1,0,0,TRUE,TRUE§Z¿,§A¿0,1,0,1,32,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7,2,1,-1,0,0,FALSE,FALSE§Z¿/§A¿0,1,0,1,32,2,1,2,0,0,TRUE,TRUE§Z¿,§A¿0,3,0,1,7,2,1,-1,0,0,FALSE,FALSE§Z¿*§A¿0,1,0,1,32,2,1,2,0,0,TRUE,TRUE§Z¿), 0)]]></VOFFF>
                              </ClmnBlkPtProps>
                            </ClmnBlkPt>
                          </ClmnBlkPts>
                        </ClmnBlk>
                        <ClmnBlk>
                          <ClmnBlkProps>
                            <FCPT>0</FCPT>
                            <FCN>17</FCN>
                            <LCPT>0</LCPT>
                            <LCN>17</LCN>
                          </ClmnBlkProps>
                          <ClmnBlkPts>
                            <ClmnBlkPt>
                              <ClmnBlkPtProps>
                                <CBPT>5</CBPT>
                                <ST>18</ST>
                                <SON>14</SON>
                                <VOFFF><![CDATA[=IFERROR(IF(§A¿1,1,1,1,5,0,2,1,1§Z¿=2,§A¿0,3,0,1,7,3,1,-1,0,0,FALSE,FALSE§Z¿/§A¿0,1,0,1,32,2,1,2,0,0,TRUE,TRUE§Z¿,§A¿0,3,0,1,7,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8,2,1,-1,0,0,FALSE,FALSE§Z¿/§A¿0,1,0,1,32,2,1,2,0,0,TRUE,TRUE§Z¿,§A¿0,3,0,1,8,2,1,-1,0,0,FALSE,FALSE§Z¿*§A¿0,1,0,1,32,2,1,2,0,0,TRUE,TRUE§Z¿), 0)]]></VOFFF>
                              </ClmnBlkPtProps>
                            </ClmnBlkPt>
                          </ClmnBlkPts>
                        </ClmnBlk>
                        <ClmnBlk>
                          <ClmnBlkProps>
                            <FCPT>0</FCPT>
                            <FCN>17</FCN>
                            <LCPT>0</LCPT>
                            <LCN>17</LCN>
                          </ClmnBlkProps>
                          <ClmnBlkPts>
                            <ClmnBlkPt>
                              <ClmnBlkPtProps>
                                <CBPT>5</CBPT>
                                <ST>18</ST>
                                <SON>14</SON>
                                <VOFFF><![CDATA[=IFERROR(IF(§A¿1,1,1,1,5,0,2,1,1§Z¿=2,§A¿0,3,0,1,8,3,1,-1,0,0,FALSE,FALSE§Z¿/§A¿0,1,0,1,32,2,1,2,0,0,TRUE,TRUE§Z¿,§A¿0,3,0,1,8,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14,1,1,-1,0,0,FALSE,FALSE§Z¿]]></VOFFF>
                              </ClmnBlkPtProps>
                            </ClmnBlkPt>
                          </ClmnBlkPts>
                        </ClmnBlk>
                        <ClmnBlk>
                          <ClmnBlkProps>
                            <FCPT>0</FCPT>
                            <FCN>10</FCN>
                            <LCPT>0</LCPT>
                            <LCN>10</LCN>
                          </ClmnBlkProps>
                          <ClmnBlkPts>
                            <ClmnBlkPt>
                              <ClmnBlkPtProps>
                                <CBPT>5</CBPT>
                                <ST>18</ST>
                                <SON>14</SON>
                                <VOFFF><![CDATA[=§A¿0,1,0,1,16,6,6,-1,0,0,FALSE,FALSE§Z¿]]></VOFFF>
                              </ClmnBlkPtProps>
                            </ClmnBlkPt>
                          </ClmnBlkPts>
                        </ClmnBlk>
                        <ClmnBlk>
                          <ClmnBlkProps>
                            <FCPT>0</FCPT>
                            <FCN>12</FCN>
                            <LCPT>0</LCPT>
                            <LCN>12</LCN>
                          </ClmnBlkProps>
                          <ClmnBlkPts>
                            <ClmnBlkPt>
                              <ClmnBlkPtProps>
                                <CBPT>5</CBPT>
                                <ST>18</ST>
                                <SON>14</SON>
                                <VOFFF><![CDATA[=§A¿0,1,0,1,16,7,6,-1,0,0,FALSE,FALSE§Z¿]]></VOFFF>
                              </ClmnBlkPtProps>
                            </ClmnBlkPt>
                          </ClmnBlkPts>
                        </ClmnBlk>
                        <ClmnBlk>
                          <ClmnBlkProps>
                            <FCPT>0</FCPT>
                            <FCN>15</FCN>
                            <LCPT>0</LCPT>
                            <LCN>15</LCN>
                          </ClmnBlkProps>
                          <ClmnBlkPts>
                            <ClmnBlkPt>
                              <ClmnBlkPtProps>
                                <CBPT>5</CBPT>
                                <ST>18</ST>
                                <SON>14</SON>
                                <VOFFF><![CDATA[=IFERROR(IF(§A¿1,1,1,1,5,0,2,1,1§Z¿=2,§A¿0,3,0,1,9,2,1,-1,0,0,FALSE,FALSE§Z¿/§A¿0,1,0,1,32,2,1,2,0,0,TRUE,TRUE§Z¿,§A¿0,3,0,1,9,2,1,-1,0,0,FALSE,FALSE§Z¿*§A¿0,1,0,1,32,2,1,2,0,0,TRUE,TRUE§Z¿), 0)]]></VOFFF>
                              </ClmnBlkPtProps>
                            </ClmnBlkPt>
                          </ClmnBlkPts>
                        </ClmnBlk>
                        <ClmnBlk>
                          <ClmnBlkProps>
                            <FCPT>0</FCPT>
                            <FCN>17</FCN>
                            <LCPT>0</LCPT>
                            <LCN>17</LCN>
                          </ClmnBlkProps>
                          <ClmnBlkPts>
                            <ClmnBlkPt>
                              <ClmnBlkPtProps>
                                <CBPT>5</CBPT>
                                <ST>18</ST>
                                <SON>14</SON>
                                <VOFFF><![CDATA[=IFERROR(IF(§A¿1,1,1,1,5,0,2,1,1§Z¿=2,§A¿0,3,0,1,9,3,1,-1,0,0,FALSE,FALSE§Z¿/§A¿0,1,0,1,32,2,1,2,0,0,TRUE,TRUE§Z¿,§A¿0,3,0,1,9,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18,1,1,-1,0,0,FALSE,FALSE§Z¿]]></VOFFF>
                              </ClmnBlkPtProps>
                            </ClmnBlkPt>
                          </ClmnBlkPts>
                        </ClmnBlk>
                        <ClmnBlk>
                          <ClmnBlkProps>
                            <FCPT>0</FCPT>
                            <FCN>10</FCN>
                            <LCPT>0</LCPT>
                            <LCN>10</LCN>
                          </ClmnBlkProps>
                          <ClmnBlkPts>
                            <ClmnBlkPt>
                              <ClmnBlkPtProps>
                                <CBPT>5</CBPT>
                                <ST>18</ST>
                                <SON>14</SON>
                                <VOFFF><![CDATA[=§A¿0,1,0,1,20,5,6,-1,0,0,FALSE,FALSE§Z¿]]></VOFFF>
                              </ClmnBlkPtProps>
                            </ClmnBlkPt>
                          </ClmnBlkPts>
                        </ClmnBlk>
                        <ClmnBlk>
                          <ClmnBlkProps>
                            <FCPT>0</FCPT>
                            <FCN>12</FCN>
                            <LCPT>0</LCPT>
                            <LCN>12</LCN>
                          </ClmnBlkProps>
                          <ClmnBlkPts>
                            <ClmnBlkPt>
                              <ClmnBlkPtProps>
                                <CBPT>5</CBPT>
                                <ST>18</ST>
                                <SON>14</SON>
                                <VOFFF><![CDATA[=§A¿0,1,0,1,20,6,6,-1,0,0,FALSE,FALSE§Z¿]]></VOFFF>
                              </ClmnBlkPtProps>
                            </ClmnBlkPt>
                          </ClmnBlkPts>
                        </ClmnBlk>
                        <ClmnBlk>
                          <ClmnBlkProps>
                            <FCPT>0</FCPT>
                            <FCN>15</FCN>
                            <LCPT>0</LCPT>
                            <LCN>15</LCN>
                          </ClmnBlkProps>
                          <ClmnBlkPts>
                            <ClmnBlkPt>
                              <ClmnBlkPtProps>
                                <CBPT>5</CBPT>
                                <ST>18</ST>
                                <SON>14</SON>
                                <VOFFF><![CDATA[=IFERROR(IF(§A¿1,1,1,1,5,0,2,1,1§Z¿=2,§A¿0,3,0,1,10,2,1,-1,0,0,FALSE,FALSE§Z¿/§A¿0,1,0,1,32,2,1,2,0,0,TRUE,TRUE§Z¿,§A¿0,3,0,1,10,2,1,-1,0,0,FALSE,FALSE§Z¿*§A¿0,1,0,1,32,2,1,2,0,0,TRUE,TRUE§Z¿), 0)]]></VOFFF>
                              </ClmnBlkPtProps>
                            </ClmnBlkPt>
                          </ClmnBlkPts>
                        </ClmnBlk>
                        <ClmnBlk>
                          <ClmnBlkProps>
                            <FCPT>0</FCPT>
                            <FCN>17</FCN>
                            <LCPT>0</LCPT>
                            <LCN>17</LCN>
                          </ClmnBlkProps>
                          <ClmnBlkPts>
                            <ClmnBlkPt>
                              <ClmnBlkPtProps>
                                <CBPT>5</CBPT>
                                <ST>18</ST>
                                <SON>14</SON>
                                <VOFFF><![CDATA[=IFERROR(IF(§A¿1,1,1,1,5,0,2,1,1§Z¿=2,§A¿0,3,0,1,10,3,1,-1,0,0,FALSE,FALSE§Z¿/§A¿0,1,0,1,32,2,1,2,0,0,TRUE,TRUE§Z¿,§A¿0,3,0,1,10,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22,1,1,-1,0,0,FALSE,FALSE§Z¿]]></VOFFF>
                              </ClmnBlkPtProps>
                            </ClmnBlkPt>
                          </ClmnBlkPts>
                        </ClmnBlk>
                        <ClmnBlk>
                          <ClmnBlkProps>
                            <FCPT>0</FCPT>
                            <FCN>10</FCN>
                            <LCPT>0</LCPT>
                            <LCN>10</LCN>
                          </ClmnBlkProps>
                          <ClmnBlkPts>
                            <ClmnBlkPt>
                              <ClmnBlkPtProps>
                                <CBPT>5</CBPT>
                                <ST>18</ST>
                                <SON>14</SON>
                                <VOFFF><![CDATA[=§A¿0,1,0,1,25,6,6,-1,0,0,FALSE,FALSE§Z¿]]></VOFFF>
                              </ClmnBlkPtProps>
                            </ClmnBlkPt>
                          </ClmnBlkPts>
                        </ClmnBlk>
                        <ClmnBlk>
                          <ClmnBlkProps>
                            <FCPT>0</FCPT>
                            <FCN>12</FCN>
                            <LCPT>0</LCPT>
                            <LCN>12</LCN>
                          </ClmnBlkProps>
                          <ClmnBlkPts>
                            <ClmnBlkPt>
                              <ClmnBlkPtProps>
                                <CBPT>5</CBPT>
                                <ST>18</ST>
                                <SON>14</SON>
                                <VOFFF><![CDATA[=§A¿0,1,0,1,25,7,6,-1,0,0,FALSE,FALSE§Z¿]]></VOFFF>
                              </ClmnBlkPtProps>
                            </ClmnBlkPt>
                          </ClmnBlkPts>
                        </ClmnBlk>
                        <ClmnBlk>
                          <ClmnBlkProps>
                            <FCPT>0</FCPT>
                            <FCN>15</FCN>
                            <LCPT>0</LCPT>
                            <LCN>15</LCN>
                          </ClmnBlkProps>
                          <ClmnBlkPts>
                            <ClmnBlkPt>
                              <ClmnBlkPtProps>
                                <CBPT>5</CBPT>
                                <ST>18</ST>
                                <SON>14</SON>
                                <VOFFF><![CDATA[=IFERROR(IF(§A¿1,1,1,1,5,0,2,1,1§Z¿=2,§A¿0,3,0,1,11,2,1,-1,0,0,FALSE,FALSE§Z¿/§A¿0,1,0,1,32,2,1,2,0,0,TRUE,TRUE§Z¿,§A¿0,3,0,1,11,2,1,-1,0,0,FALSE,FALSE§Z¿*§A¿0,1,0,1,32,2,1,2,0,0,TRUE,TRUE§Z¿), 0)]]></VOFFF>
                              </ClmnBlkPtProps>
                            </ClmnBlkPt>
                          </ClmnBlkPts>
                        </ClmnBlk>
                        <ClmnBlk>
                          <ClmnBlkProps>
                            <FCPT>0</FCPT>
                            <FCN>17</FCN>
                            <LCPT>0</LCPT>
                            <LCN>17</LCN>
                          </ClmnBlkProps>
                          <ClmnBlkPts>
                            <ClmnBlkPt>
                              <ClmnBlkPtProps>
                                <CBPT>5</CBPT>
                                <ST>18</ST>
                                <SON>14</SON>
                                <VOFFF><![CDATA[=IFERROR(IF(§A¿1,1,1,1,5,0,2,1,1§Z¿=2,§A¿0,3,0,1,11,3,1,-1,0,0,FALSE,FALSE§Z¿/§A¿0,1,0,1,32,2,1,2,0,0,TRUE,TRUE§Z¿,§A¿0,3,0,1,11,3,1,-1,0,0,FALSE,FALSE§Z¿*§A¿0,1,0,1,32,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5,1,1,-1,0,0,FALSE,FALSE§Z¿&" Activity"]]></VOFFF>
                              </ClmnBlkPtProps>
                            </ClmnBlkPt>
                          </ClmnBlkPts>
                        </ClmnBlk>
                        <ClmnBlk>
                          <ClmnBlkProps>
                            <FCPT>0</FCPT>
                            <FCN>10</FCN>
                            <LCPT>0</LCPT>
                            <LCN>10</LCN>
                          </ClmnBlkProps>
                          <ClmnBlkPts>
                            <ClmnBlkPt>
                              <ClmnBlkPtProps>
                                <CBPT>5</CBPT>
                                <ST>18</ST>
                                <SON>16</SON>
                                <VOFFF><![CDATA[=SUM(§A¿0,3,1,1,7,2,1,-1,0,0,FALSE,FALSE,1,11,2,1,-1,0,0,FALSE,FALSE§Z¿)]]></VOFFF>
                              </ClmnBlkPtProps>
                            </ClmnBlkPt>
                          </ClmnBlkPts>
                        </ClmnBlk>
                        <ClmnBlk>
                          <ClmnBlkProps>
                            <FCPT>0</FCPT>
                            <FCN>12</FCN>
                            <LCPT>0</LCPT>
                            <LCN>12</LCN>
                          </ClmnBlkProps>
                          <ClmnBlkPts>
                            <ClmnBlkPt>
                              <ClmnBlkPtProps>
                                <CBPT>5</CBPT>
                                <ST>18</ST>
                                <SON>16</SON>
                                <VOFFF><![CDATA[=SUM(§A¿0,3,1,1,7,3,1,-1,0,0,FALSE,FALSE,1,11,3,1,-1,0,0,FALSE,FALSE§Z¿)]]></VOFFF>
                              </ClmnBlkPtProps>
                            </ClmnBlkPt>
                          </ClmnBlkPts>
                        </ClmnBlk>
                        <ClmnBlk>
                          <ClmnBlkProps>
                            <FCPT>0</FCPT>
                            <FCN>15</FCN>
                            <LCPT>0</LCPT>
                            <LCN>15</LCN>
                          </ClmnBlkProps>
                          <ClmnBlkPts>
                            <ClmnBlkPt>
                              <ClmnBlkPtProps>
                                <CBPT>5</CBPT>
                                <ST>18</ST>
                                <SON>17</SON>
                                <VOFFF><![CDATA[=SUM(§A¿0,3,1,1,7,4,1,-1,0,0,FALSE,FALSE,1,11,4,1,-1,0,0,FALSE,FALSE§Z¿)]]></VOFFF>
                              </ClmnBlkPtProps>
                            </ClmnBlkPt>
                          </ClmnBlkPts>
                        </ClmnBlk>
                        <ClmnBlk>
                          <ClmnBlkProps>
                            <FCPT>0</FCPT>
                            <FCN>17</FCN>
                            <LCPT>0</LCPT>
                            <LCN>17</LCN>
                          </ClmnBlkProps>
                          <ClmnBlkPts>
                            <ClmnBlkPt>
                              <ClmnBlkPtProps>
                                <CBPT>5</CBPT>
                                <ST>18</ST>
                                <SON>17</SON>
                                <VOFFF><![CDATA[=SUM(§A¿0,3,1,1,7,5,1,-1,0,0,FALSE,FALSE,1,11,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3,1,14,2,1</CBPLI>
                                    <MCN>3</MCN>
                                    <SN>1</SN>
                                    <EN>14</EN>
                                    <CN>0</CN>
                                    <CBN>2</CBN>
                                    <CBPN>1</CBPN>
                                    <PT>1</PT>
                                    <CBPRNT>6</CBPRNT>
                                    <NT>12</NT>
                                    <SP1><![CDATA[COMM_DESIGN]]></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5,1,1,-1,0,0,FALSE,FALSE§Z¿&" Activities"]]></VOFFF>
                              </ClmnBlkPtProps>
                            </ClmnBlkPt>
                          </ClmnBlkPts>
                        </ClmnBlk>
                        <ClmnBlk>
                          <ClmnBlkProps>
                            <FCPT>0</FCPT>
                            <FCN>10</FCN>
                            <LCPT>0</LCPT>
                            <LCN>10</LCN>
                          </ClmnBlkProps>
                          <ClmnBlkPts>
                            <ClmnBlkPt>
                              <ClmnBlkPtProps>
                                <CBPT>5</CBPT>
                                <ST>18</ST>
                                <SON>6</SON>
                                <VOFFF><![CDATA[=§A¿1,1,3,1,14,0,2,1,1§Z¿*§A¿0,3,0,1,12,2,1,-1,0,0,FALSE,FALSE§Z¿]]></VOFFF>
                              </ClmnBlkPtProps>
                            </ClmnBlkPt>
                          </ClmnBlkPts>
                        </ClmnBlk>
                        <ClmnBlk>
                          <ClmnBlkProps>
                            <FCPT>0</FCPT>
                            <FCN>12</FCN>
                            <LCPT>0</LCPT>
                            <LCN>12</LCN>
                          </ClmnBlkProps>
                          <ClmnBlkPts>
                            <ClmnBlkPt>
                              <ClmnBlkPtProps>
                                <CBPT>5</CBPT>
                                <ST>18</ST>
                                <SON>6</SON>
                                <VOFFF><![CDATA[=§A¿1,1,3,1,14,0,2,1,1§Z¿*§A¿0,3,0,1,12,3,1,-1,0,0,FALSE,FALSE§Z¿]]></VOFFF>
                              </ClmnBlkPtProps>
                            </ClmnBlkPt>
                          </ClmnBlkPts>
                        </ClmnBlk>
                        <ClmnBlk>
                          <ClmnBlkProps>
                            <FCPT>0</FCPT>
                            <FCN>15</FCN>
                            <LCPT>0</LCPT>
                            <LCN>15</LCN>
                          </ClmnBlkProps>
                          <ClmnBlkPts>
                            <ClmnBlkPt>
                              <ClmnBlkPtProps>
                                <CBPT>5</CBPT>
                                <ST>18</ST>
                                <SON>6</SON>
                                <VOFFF><![CDATA[=§A¿1,1,3,1,14,0,2,1,1§Z¿*§A¿0,3,0,1,12,4,1,-1,0,0,FALSE,FALSE§Z¿]]></VOFFF>
                              </ClmnBlkPtProps>
                            </ClmnBlkPt>
                          </ClmnBlkPts>
                        </ClmnBlk>
                        <ClmnBlk>
                          <ClmnBlkProps>
                            <FCPT>0</FCPT>
                            <FCN>17</FCN>
                            <LCPT>0</LCPT>
                            <LCN>17</LCN>
                          </ClmnBlkProps>
                          <ClmnBlkPts>
                            <ClmnBlkPt>
                              <ClmnBlkPtProps>
                                <CBPT>5</CBPT>
                                <ST>18</ST>
                                <SON>6</SON>
                                <VOFFF><![CDATA[=§A¿1,1,3,1,14,0,2,1,1§Z¿*§A¿0,3,0,1,12,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15</MN>
                <MCN>4</MCN>
                <MCTK>LU</MCTK>
                <RT><![CDATA[<ModuleName> - Lookups]]></RT>
                <ERN>BPMMC62</ERN>
                <MCST>3</MCST>
                <IPMC>False</IPMC>
                <SN>41</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34</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2,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6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7,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6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0,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6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4,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6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7,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6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1,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6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21</MN>
            <MAG>608162F4-E730-403E-9DB1-20B06C6C3C25</MAG>
            <BN><![CDATA[PLUG_ACTIVITY]]></BN>
            <N><![CDATA[IEC-PRETESTING]]></N>
            <TS><![CDATA[Annual]]></TS>
            <D><![CDATA[Assists with planning the cost of an activity. Should be used with Prices module.]]></D>
            <FS/>
            <R/>
            <GE/>
            <CA/>
            <VA/>
            <GST/>
            <DE/>
            <E/>
            <C/>
            <W/>
            <K/>
            <CO/>
            <V>1.0.0.0.</V>
            <AX/>
            <PMLO>False</PMLO>
            <IPMLO>False</IPMLO>
            <MACA>1</MACA>
            <RTSM>True</RTSM>
            <CC>True</CC>
            <X>False</X>
            <G>0F91C583-7779-47BE-A825-9BB799231055</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16</MN>
                <MCN>1</MCN>
                <MCTK>BaseCase</MCTK>
                <RT><![CDATA[<ModuleName> - Assumptions]]></RT>
                <ERN>BPMMC133</ERN>
                <MCST>0</MCST>
                <IPMC>False</IPMC>
                <SN>15</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101</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1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Day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Day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16</MN>
                                  <CLI>1,1,34,False,1</CLI>
                                  <ELN>1</ELN>
                                  <LOOT>0</LOOT>
                                  <LOMN>3</LOMN>
                                  <LOMCN>2</LOMCN>
                                  <LOSN>1</LOSN>
                                  <LOEN>4</LOEN>
                                  <LOCN>1</LOCN>
                                </LnkInProps>
                              </LnkIn>
                            </Ctg>
                            <Ctg>
                              <CtgProps>
                                <R>5</R>
                              </CtgProps>
                              <LnkIn>
                                <LnkInProps>
                                  <MN>16</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 References (Developer Only. User May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16</MN>
                                  <CLI>1,1,39,False,1</CLI>
                                  <ELN>1</ELN>
                                  <LOOT>0</LOOT>
                                  <LOMN>3</LOMN>
                                  <LOMCN>1</LOMCN>
                                  <LOSN>1</LOSN>
                                  <LOEN>10</LOEN>
                                  <LOCN>1</LOCN>
                                </LnkInProps>
                              </LnkIn>
                            </Ctg>
                            <Ctg>
                              <CtgProps>
                                <R>4</R>
                              </CtgProps>
                              <LnkIn>
                                <LnkInProps>
                                  <MN>16</MN>
                                  <CLI>1,1,39,False,2</CLI>
                                  <ELN>1</ELN>
                                  <LOOT>0</LOOT>
                                  <LOMN>3</LOMN>
                                  <LOMCN>1</LOMCN>
                                  <LOSN>1</LOSN>
                                  <LOEN>10</LOEN>
                                  <LOCN>2</LOCN>
                                </LnkInProps>
                              </LnkIn>
                            </Ctg>
                            <Ctg>
                              <CtgProps>
                                <R>4</R>
                              </CtgProps>
                              <LnkIn>
                                <LnkInProps>
                                  <MN>16</MN>
                                  <CLI>1,1,39,False,3</CLI>
                                  <ELN>1</ELN>
                                  <LOOT>0</LOOT>
                                  <LOMN>3</LOMN>
                                  <LOMCN>1</LOMCN>
                                  <LOSN>1</LOSN>
                                  <LOEN>10</LOEN>
                                  <LOCN>3</LOCN>
                                </LnkInProps>
                              </LnkIn>
                            </Ctg>
                            <Ctg>
                              <CtgProps>
                                <R>4</R>
                              </CtgProps>
                              <LnkIn>
                                <LnkInProps>
                                  <MN>16</MN>
                                  <CLI>1,1,39,False,4</CLI>
                                  <ELN>1</ELN>
                                  <LOOT>0</LOOT>
                                  <LOMN>3</LOMN>
                                  <LOMCN>1</LOMCN>
                                  <LOSN>1</LOSN>
                                  <LOEN>10</LOEN>
                                  <LOCN>4</LOCN>
                                </LnkInProps>
                              </LnkIn>
                            </Ctg>
                            <Ctg>
                              <CtgProps>
                                <R>4</R>
                              </CtgProps>
                              <LnkIn>
                                <LnkInProps>
                                  <MN>16</MN>
                                  <CLI>1,1,39,False,5</CLI>
                                  <ELN>1</ELN>
                                  <LOOT>0</LOOT>
                                  <LOMN>3</LOMN>
                                  <LOMCN>1</LOMCN>
                                  <LOSN>1</LOSN>
                                  <LOEN>10</LOEN>
                                  <LOCN>5</LOCN>
                                </LnkInProps>
                              </LnkIn>
                            </Ctg>
                            <Ctg>
                              <CtgProps>
                                <R>4</R>
                              </CtgProps>
                              <LnkIn>
                                <LnkInProps>
                                  <MN>16</MN>
                                  <CLI>1,1,39,False,6</CLI>
                                  <ELN>1</ELN>
                                  <LOOT>0</LOOT>
                                  <LOMN>3</LOMN>
                                  <LOMCN>1</LOMCN>
                                  <LOSN>1</LOSN>
                                  <LOEN>10</LOEN>
                                  <LOCN>6</LOCN>
                                </LnkInProps>
                              </LnkIn>
                            </Ctg>
                            <Ctg>
                              <CtgProps>
                                <R>4</R>
                              </CtgProps>
                              <LnkIn>
                                <LnkInProps>
                                  <MN>16</MN>
                                  <CLI>1,1,39,False,7</CLI>
                                  <ELN>1</ELN>
                                  <LOOT>0</LOOT>
                                  <LOMN>3</LOMN>
                                  <LOMCN>1</LOMCN>
                                  <LOSN>1</LOSN>
                                  <LOEN>10</LOEN>
                                  <LOCN>7</LOCN>
                                </LnkInProps>
                              </LnkIn>
                            </Ctg>
                            <Ctg>
                              <CtgProps>
                                <R>4</R>
                              </CtgProps>
                              <LnkIn>
                                <LnkInProps>
                                  <MN>16</MN>
                                  <CLI>1,1,39,False,8</CLI>
                                  <ELN>1</ELN>
                                  <LOOT>0</LOOT>
                                  <LOMN>3</LOMN>
                                  <LOMCN>1</LOMCN>
                                  <LOSN>1</LOSN>
                                  <LOEN>10</LOEN>
                                  <LOCN>8</LOCN>
                                </LnkInProps>
                              </LnkIn>
                            </Ctg>
                            <Ctg>
                              <CtgProps>
                                <R>4</R>
                              </CtgProps>
                              <LnkIn>
                                <LnkInProps>
                                  <MN>16</MN>
                                  <CLI>1,1,39,False,9</CLI>
                                  <ELN>1</ELN>
                                  <LOOT>0</LOOT>
                                  <LOMN>3</LOMN>
                                  <LOMCN>1</LOMCN>
                                  <LOSN>1</LOSN>
                                  <LOEN>10</LOEN>
                                  <LOCN>9</LOCN>
                                </LnkInProps>
                              </LnkIn>
                            </Ctg>
                            <Ctg>
                              <CtgProps>
                                <R>4</R>
                              </CtgProps>
                              <LnkIn>
                                <LnkInProps>
                                  <MN>16</MN>
                                  <CLI>1,1,39,False,10</CLI>
                                  <ELN>1</ELN>
                                  <LOOT>0</LOOT>
                                  <LOMN>3</LOMN>
                                  <LOMCN>1</LOMCN>
                                  <LOSN>1</LOSN>
                                  <LOEN>10</LOEN>
                                  <LOCN>10</LOCN>
                                </LnkInProps>
                              </LnkIn>
                            </Ctg>
                            <Ctg>
                              <CtgProps>
                                <R>4</R>
                              </CtgProps>
                              <LnkIn>
                                <LnkInProps>
                                  <MN>16</MN>
                                  <CLI>1,1,39,False,11</CLI>
                                  <ELN>1</ELN>
                                  <LOOT>0</LOOT>
                                  <LOMN>3</LOMN>
                                  <LOMCN>1</LOMCN>
                                  <LOSN>1</LOSN>
                                  <LOEN>10</LOEN>
                                  <LOCN>11</LOCN>
                                </LnkInProps>
                              </LnkIn>
                            </Ctg>
                            <Ctg>
                              <CtgProps>
                                <R>4</R>
                              </CtgProps>
                              <LnkIn>
                                <LnkInProps>
                                  <MN>16</MN>
                                  <CLI>1,1,39,False,12</CLI>
                                  <ELN>1</ELN>
                                  <LOOT>0</LOOT>
                                  <LOMN>3</LOMN>
                                  <LOMCN>1</LOMCN>
                                  <LOSN>1</LOSN>
                                  <LOEN>10</LOEN>
                                  <LOCN>12</LOCN>
                                </LnkInProps>
                              </LnkIn>
                            </Ctg>
                            <Ctg>
                              <CtgProps>
                                <R>4</R>
                              </CtgProps>
                              <LnkIn>
                                <LnkInProps>
                                  <MN>16</MN>
                                  <CLI>1,1,39,False,13</CLI>
                                  <ELN>1</ELN>
                                  <LOOT>0</LOOT>
                                  <LOMN>3</LOMN>
                                  <LOMCN>1</LOMCN>
                                  <LOSN>1</LOSN>
                                  <LOEN>10</LOEN>
                                  <LOCN>13</LOCN>
                                </LnkInProps>
                              </LnkIn>
                            </Ctg>
                            <Ctg>
                              <CtgProps>
                                <R>4</R>
                              </CtgProps>
                              <LnkIn>
                                <LnkInProps>
                                  <MN>16</MN>
                                  <CLI>1,1,39,False,14</CLI>
                                  <ELN>1</ELN>
                                  <LOOT>0</LOOT>
                                  <LOMN>3</LOMN>
                                  <LOMCN>1</LOMCN>
                                  <LOSN>1</LOSN>
                                  <LOEN>10</LOEN>
                                  <LOCN>14</LOCN>
                                </LnkInProps>
                              </LnkIn>
                            </Ctg>
                            <Ctg>
                              <CtgProps>
                                <R>5</R>
                              </CtgProps>
                              <LnkIn>
                                <LnkInProps>
                                  <MN>16</MN>
                                  <CLI>1,1,39,False,15</CLI>
                                  <ELN>1</ELN>
                                  <LOOT>0</LOOT>
                                  <LOMN>3</LOMN>
                                  <LOMCN>1</LOMCN>
                                  <LOSN>1</LOSN>
                                  <LOEN>10</LOEN>
                                  <LOCN>15</LOCN>
                                </LnkInProps>
                              </LnkIn>
                            </Ctg>
                            <Ctg>
                              <CtgProps>
                                <R>5</R>
                              </CtgProps>
                              <LnkIn>
                                <LnkInProps>
                                  <MN>16</MN>
                                  <CLI>1,1,39,False,16</CLI>
                                  <ELN>1</ELN>
                                  <LOOT>0</LOOT>
                                  <LOMN>3</LOMN>
                                  <LOMCN>1</LOMCN>
                                  <LOSN>1</LOSN>
                                  <LOEN>10</LOEN>
                                  <LOCN>16</LOCN>
                                </LnkInProps>
                              </LnkIn>
                            </Ctg>
                            <Ctg>
                              <CtgProps>
                                <R>5</R>
                              </CtgProps>
                              <LnkIn>
                                <LnkInProps>
                                  <MN>16</MN>
                                  <CLI>1,1,39,False,17</CLI>
                                  <ELN>1</ELN>
                                  <LOOT>0</LOOT>
                                  <LOMN>3</LOMN>
                                  <LOMCN>1</LOMCN>
                                  <LOSN>1</LOSN>
                                  <LOEN>10</LOEN>
                                  <LOCN>17</LOCN>
                                </LnkInProps>
                              </LnkIn>
                            </Ctg>
                            <Ctg>
                              <CtgProps>
                                <R>5</R>
                              </CtgProps>
                              <LnkIn>
                                <LnkInProps>
                                  <MN>16</MN>
                                  <CLI>1,1,39,False,18</CLI>
                                  <ELN>1</ELN>
                                  <LOOT>0</LOOT>
                                  <LOMN>3</LOMN>
                                  <LOMCN>1</LOMCN>
                                  <LOSN>1</LOSN>
                                  <LOEN>10</LOEN>
                                  <LOCN>18</LOCN>
                                </LnkInProps>
                              </LnkIn>
                            </Ctg>
                            <Ctg>
                              <CtgProps>
                                <R>5</R>
                              </CtgProps>
                              <LnkIn>
                                <LnkInProps>
                                  <MN>16</MN>
                                  <CLI>1,1,39,False,19</CLI>
                                  <ELN>1</ELN>
                                  <LOOT>0</LOOT>
                                  <LOMN>3</LOMN>
                                  <LOMCN>1</LOMCN>
                                  <LOSN>1</LOSN>
                                  <LOEN>10</LOEN>
                                  <LOCN>19</LOCN>
                                </LnkInProps>
                              </LnkIn>
                            </Ctg>
                            <Ctg>
                              <CtgProps>
                                <R>5</R>
                              </CtgProps>
                              <LnkIn>
                                <LnkInProps>
                                  <MN>16</MN>
                                  <CLI>1,1,39,False,20</CLI>
                                  <ELN>1</ELN>
                                  <LOOT>0</LOOT>
                                  <LOMN>3</LOMN>
                                  <LOMCN>1</LOMCN>
                                  <LOSN>1</LOSN>
                                  <LOEN>10</LOEN>
                                  <LOCN>20</LOCN>
                                </LnkInProps>
                              </LnkIn>
                            </Ctg>
                            <Ctg>
                              <CtgProps>
                                <R>5</R>
                              </CtgProps>
                              <LnkIn>
                                <LnkInProps>
                                  <MN>16</MN>
                                  <CLI>1,1,39,False,21</CLI>
                                  <ELN>1</ELN>
                                  <LOOT>0</LOOT>
                                  <LOMN>3</LOMN>
                                  <LOMCN>1</LOMCN>
                                  <LOSN>1</LOSN>
                                  <LOEN>10</LOEN>
                                  <LOCN>21</LOCN>
                                </LnkInProps>
                              </LnkIn>
                            </Ctg>
                            <Ctg>
                              <CtgProps>
                                <R>5</R>
                              </CtgProps>
                              <LnkIn>
                                <LnkInProps>
                                  <MN>16</MN>
                                  <CLI>1,1,39,False,22</CLI>
                                  <ELN>1</ELN>
                                  <LOOT>0</LOOT>
                                  <LOMN>3</LOMN>
                                  <LOMCN>1</LOMCN>
                                  <LOSN>1</LOSN>
                                  <LOEN>10</LOEN>
                                  <LOCN>22</LOCN>
                                </LnkInProps>
                              </LnkIn>
                            </Ctg>
                            <Ctg>
                              <CtgProps>
                                <R>5</R>
                              </CtgProps>
                              <LnkIn>
                                <LnkInProps>
                                  <MN>16</MN>
                                  <CLI>1,1,39,False,23</CLI>
                                  <ELN>1</ELN>
                                  <LOOT>0</LOOT>
                                  <LOMN>3</LOMN>
                                  <LOMCN>1</LOMCN>
                                  <LOSN>1</LOSN>
                                  <LOEN>10</LOEN>
                                  <LOCN>23</LOCN>
                                </LnkInProps>
                              </LnkIn>
                            </Ctg>
                            <Ctg>
                              <CtgProps>
                                <R>5</R>
                              </CtgProps>
                              <LnkIn>
                                <LnkInProps>
                                  <MN>16</MN>
                                  <CLI>1,1,39,False,24</CLI>
                                  <ELN>1</ELN>
                                  <LOOT>0</LOOT>
                                  <LOMN>3</LOMN>
                                  <LOMCN>1</LOMCN>
                                  <LOSN>1</LOSN>
                                  <LOEN>10</LOEN>
                                  <LOCN>24</LOCN>
                                </LnkInProps>
                              </LnkIn>
                            </Ctg>
                            <Ctg>
                              <CtgProps>
                                <R>5</R>
                              </CtgProps>
                              <LnkIn>
                                <LnkInProps>
                                  <MN>16</MN>
                                  <CLI>1,1,39,False,25</CLI>
                                  <ELN>1</ELN>
                                  <LOOT>0</LOOT>
                                  <LOMN>3</LOMN>
                                  <LOMCN>1</LOMCN>
                                  <LOSN>1</LOSN>
                                  <LOEN>10</LOEN>
                                  <LOCN>25</LOCN>
                                </LnkInProps>
                              </LnkIn>
                            </Ctg>
                            <Ctg>
                              <CtgProps>
                                <R>5</R>
                              </CtgProps>
                              <LnkIn>
                                <LnkInProps>
                                  <MN>16</MN>
                                  <CLI>1,1,39,False,26</CLI>
                                  <ELN>1</ELN>
                                  <LOOT>0</LOOT>
                                  <LOMN>3</LOMN>
                                  <LOMCN>1</LOMCN>
                                  <LOSN>1</LOSN>
                                  <LOEN>10</LOEN>
                                  <LOCN>26</LOCN>
                                </LnkInProps>
                              </LnkIn>
                            </Ctg>
                            <Ctg>
                              <CtgProps>
                                <R>5</R>
                              </CtgProps>
                              <LnkIn>
                                <LnkInProps>
                                  <MN>16</MN>
                                  <CLI>1,1,39,False,27</CLI>
                                  <ELN>1</ELN>
                                  <LOOT>0</LOOT>
                                  <LOMN>3</LOMN>
                                  <LOMCN>1</LOMCN>
                                  <LOSN>1</LOSN>
                                  <LOEN>10</LOEN>
                                  <LOCN>27</LOCN>
                                </LnkInProps>
                              </LnkIn>
                            </Ctg>
                            <Ctg>
                              <CtgProps>
                                <R>5</R>
                              </CtgProps>
                              <LnkIn>
                                <LnkInProps>
                                  <MN>16</MN>
                                  <CLI>1,1,39,False,28</CLI>
                                  <ELN>1</ELN>
                                  <LOOT>0</LOOT>
                                  <LOMN>3</LOMN>
                                  <LOMCN>1</LOMCN>
                                  <LOSN>1</LOSN>
                                  <LOEN>10</LOEN>
                                  <LOCN>28</LOCN>
                                </LnkInProps>
                              </LnkIn>
                            </Ctg>
                            <Ctg>
                              <CtgProps>
                                <R>5</R>
                              </CtgProps>
                              <LnkIn>
                                <LnkInProps>
                                  <MN>16</MN>
                                  <CLI>1,1,39,False,29</CLI>
                                  <ELN>1</ELN>
                                  <LOOT>0</LOOT>
                                  <LOMN>3</LOMN>
                                  <LOMCN>1</LOMCN>
                                  <LOSN>1</LOSN>
                                  <LOEN>10</LOEN>
                                  <LOCN>29</LOCN>
                                </LnkInProps>
                              </LnkIn>
                            </Ctg>
                            <Ctg>
                              <CtgProps>
                                <R>5</R>
                              </CtgProps>
                              <LnkIn>
                                <LnkInProps>
                                  <MN>16</MN>
                                  <CLI>1,1,39,False,30</CLI>
                                  <ELN>1</ELN>
                                  <LOOT>0</LOOT>
                                  <LOMN>3</LOMN>
                                  <LOMCN>1</LOMCN>
                                  <LOSN>1</LOSN>
                                  <LOEN>10</LOEN>
                                  <LOCN>30</LOCN>
                                </LnkInProps>
                              </LnkIn>
                            </Ctg>
                            <Ctg>
                              <CtgProps>
                                <R>5</R>
                              </CtgProps>
                              <LnkIn>
                                <LnkInProps>
                                  <MN>16</MN>
                                  <CLI>1,1,39,False,31</CLI>
                                  <ELN>1</ELN>
                                  <LOOT>0</LOOT>
                                  <LOMN>3</LOMN>
                                  <LOMCN>1</LOMCN>
                                  <LOSN>1</LOSN>
                                  <LOEN>10</LOEN>
                                  <LOCN>31</LOCN>
                                </LnkInProps>
                              </LnkIn>
                            </Ctg>
                            <Ctg>
                              <CtgProps>
                                <R>5</R>
                              </CtgProps>
                              <LnkIn>
                                <LnkInProps>
                                  <MN>16</MN>
                                  <CLI>1,1,39,False,32</CLI>
                                  <ELN>1</ELN>
                                  <LOOT>0</LOOT>
                                  <LOMN>3</LOMN>
                                  <LOMCN>1</LOMCN>
                                  <LOSN>1</LOSN>
                                  <LOEN>10</LOEN>
                                  <LOCN>32</LOCN>
                                </LnkInProps>
                              </LnkIn>
                            </Ctg>
                            <Ctg>
                              <CtgProps>
                                <R>5</R>
                              </CtgProps>
                              <LnkIn>
                                <LnkInProps>
                                  <MN>16</MN>
                                  <CLI>1,1,39,False,33</CLI>
                                  <ELN>1</ELN>
                                  <LOOT>0</LOOT>
                                  <LOMN>3</LOMN>
                                  <LOMCN>1</LOMCN>
                                  <LOSN>1</LOSN>
                                  <LOEN>10</LOEN>
                                  <LOCN>33</LOCN>
                                </LnkInProps>
                              </LnkIn>
                            </Ctg>
                            <Ctg>
                              <CtgProps>
                                <R>5</R>
                              </CtgProps>
                              <LnkIn>
                                <LnkInProps>
                                  <MN>16</MN>
                                  <CLI>1,1,39,False,34</CLI>
                                  <ELN>1</ELN>
                                  <LOOT>0</LOOT>
                                  <LOMN>3</LOMN>
                                  <LOMCN>1</LOMCN>
                                  <LOSN>1</LOSN>
                                  <LOEN>10</LOEN>
                                  <LOCN>34</LOCN>
                                </LnkInProps>
                              </LnkIn>
                            </Ctg>
                            <Ctg>
                              <CtgProps>
                                <R>5</R>
                              </CtgProps>
                              <LnkIn>
                                <LnkInProps>
                                  <MN>16</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16</MN>
                                  <CLI>1,1,42,False,1</CLI>
                                  <ELN>1</ELN>
                                  <LOOT>0</LOOT>
                                  <LOMN>3</LOMN>
                                  <LOMCN>1</LOMCN>
                                  <LOSN>1</LOSN>
                                  <LOEN>15</LOEN>
                                  <LOCN>1</LOCN>
                                </LnkInProps>
                              </LnkIn>
                            </Ctg>
                            <Ctg>
                              <CtgProps>
                                <R>4</R>
                              </CtgProps>
                              <LnkIn>
                                <LnkInProps>
                                  <MN>16</MN>
                                  <CLI>1,1,42,False,2</CLI>
                                  <ELN>1</ELN>
                                  <LOOT>0</LOOT>
                                  <LOMN>3</LOMN>
                                  <LOMCN>1</LOMCN>
                                  <LOSN>1</LOSN>
                                  <LOEN>15</LOEN>
                                  <LOCN>2</LOCN>
                                </LnkInProps>
                              </LnkIn>
                            </Ctg>
                            <Ctg>
                              <CtgProps>
                                <R>4</R>
                              </CtgProps>
                              <LnkIn>
                                <LnkInProps>
                                  <MN>16</MN>
                                  <CLI>1,1,42,False,3</CLI>
                                  <ELN>1</ELN>
                                  <LOOT>0</LOOT>
                                  <LOMN>3</LOMN>
                                  <LOMCN>1</LOMCN>
                                  <LOSN>1</LOSN>
                                  <LOEN>15</LOEN>
                                  <LOCN>3</LOCN>
                                </LnkInProps>
                              </LnkIn>
                            </Ctg>
                            <Ctg>
                              <CtgProps>
                                <R>4</R>
                              </CtgProps>
                              <LnkIn>
                                <LnkInProps>
                                  <MN>16</MN>
                                  <CLI>1,1,42,False,4</CLI>
                                  <ELN>1</ELN>
                                  <LOOT>0</LOOT>
                                  <LOMN>3</LOMN>
                                  <LOMCN>1</LOMCN>
                                  <LOSN>1</LOSN>
                                  <LOEN>15</LOEN>
                                  <LOCN>4</LOCN>
                                </LnkInProps>
                              </LnkIn>
                            </Ctg>
                            <Ctg>
                              <CtgProps>
                                <R>5</R>
                              </CtgProps>
                              <LnkIn>
                                <LnkInProps>
                                  <MN>16</MN>
                                  <CLI>1,1,42,False,5</CLI>
                                  <ELN>1</ELN>
                                  <LOOT>0</LOOT>
                                  <LOMN>3</LOMN>
                                  <LOMCN>1</LOMCN>
                                  <LOSN>1</LOSN>
                                  <LOEN>15</LOEN>
                                  <LOCN>5</LOCN>
                                </LnkInProps>
                              </LnkIn>
                            </Ctg>
                            <Ctg>
                              <CtgProps>
                                <R>5</R>
                              </CtgProps>
                              <LnkIn>
                                <LnkInProps>
                                  <MN>16</MN>
                                  <CLI>1,1,42,False,6</CLI>
                                  <ELN>1</ELN>
                                  <LOOT>0</LOOT>
                                  <LOMN>3</LOMN>
                                  <LOMCN>1</LOMCN>
                                  <LOSN>1</LOSN>
                                  <LOEN>15</LOEN>
                                  <LOCN>6</LOCN>
                                </LnkInProps>
                              </LnkIn>
                            </Ctg>
                            <Ctg>
                              <CtgProps>
                                <R>5</R>
                              </CtgProps>
                              <LnkIn>
                                <LnkInProps>
                                  <MN>16</MN>
                                  <CLI>1,1,42,False,7</CLI>
                                  <ELN>1</ELN>
                                  <LOOT>0</LOOT>
                                  <LOMN>3</LOMN>
                                  <LOMCN>1</LOMCN>
                                  <LOSN>1</LOSN>
                                  <LOEN>15</LOEN>
                                  <LOCN>7</LOCN>
                                </LnkInProps>
                              </LnkIn>
                            </Ctg>
                            <Ctg>
                              <CtgProps>
                                <R>5</R>
                              </CtgProps>
                              <LnkIn>
                                <LnkInProps>
                                  <MN>16</MN>
                                  <CLI>1,1,42,False,8</CLI>
                                  <ELN>1</ELN>
                                  <LOOT>0</LOOT>
                                  <LOMN>3</LOMN>
                                  <LOMCN>1</LOMCN>
                                  <LOSN>1</LOSN>
                                  <LOEN>15</LOEN>
                                  <LOCN>8</LOCN>
                                </LnkInProps>
                              </LnkIn>
                            </Ctg>
                            <Ctg>
                              <CtgProps>
                                <R>5</R>
                              </CtgProps>
                              <LnkIn>
                                <LnkInProps>
                                  <MN>16</MN>
                                  <CLI>1,1,42,False,9</CLI>
                                  <ELN>1</ELN>
                                  <LOOT>0</LOOT>
                                  <LOMN>3</LOMN>
                                  <LOMCN>1</LOMCN>
                                  <LOSN>1</LOSN>
                                  <LOEN>15</LOEN>
                                  <LOCN>9</LOCN>
                                </LnkInProps>
                              </LnkIn>
                            </Ctg>
                            <Ctg>
                              <CtgProps>
                                <R>5</R>
                              </CtgProps>
                              <LnkIn>
                                <LnkInProps>
                                  <MN>16</MN>
                                  <CLI>1,1,42,False,10</CLI>
                                  <ELN>1</ELN>
                                  <LOOT>0</LOOT>
                                  <LOMN>3</LOMN>
                                  <LOMCN>1</LOMCN>
                                  <LOSN>1</LOSN>
                                  <LOEN>15</LOEN>
                                  <LOCN>10</LOCN>
                                </LnkInProps>
                              </LnkIn>
                            </Ctg>
                            <Ctg>
                              <CtgProps>
                                <R>5</R>
                              </CtgProps>
                              <LnkIn>
                                <LnkInProps>
                                  <MN>16</MN>
                                  <CLI>1,1,42,False,11</CLI>
                                  <ELN>1</ELN>
                                  <LOOT>0</LOOT>
                                  <LOMN>3</LOMN>
                                  <LOMCN>1</LOMCN>
                                  <LOSN>1</LOSN>
                                  <LOEN>15</LOEN>
                                  <LOCN>11</LOCN>
                                </LnkInProps>
                              </LnkIn>
                            </Ctg>
                            <Ctg>
                              <CtgProps>
                                <R>5</R>
                              </CtgProps>
                              <LnkIn>
                                <LnkInProps>
                                  <MN>16</MN>
                                  <CLI>1,1,42,False,12</CLI>
                                  <ELN>1</ELN>
                                  <LOOT>0</LOOT>
                                  <LOMN>3</LOMN>
                                  <LOMCN>1</LOMCN>
                                  <LOSN>1</LOSN>
                                  <LOEN>15</LOEN>
                                  <LOCN>12</LOCN>
                                </LnkInProps>
                              </LnkIn>
                            </Ctg>
                            <Ctg>
                              <CtgProps>
                                <R>5</R>
                              </CtgProps>
                              <LnkIn>
                                <LnkInProps>
                                  <MN>16</MN>
                                  <CLI>1,1,42,False,13</CLI>
                                  <ELN>1</ELN>
                                  <LOOT>0</LOOT>
                                  <LOMN>3</LOMN>
                                  <LOMCN>1</LOMCN>
                                  <LOSN>1</LOSN>
                                  <LOEN>15</LOEN>
                                  <LOCN>13</LOCN>
                                </LnkInProps>
                              </LnkIn>
                            </Ctg>
                            <Ctg>
                              <CtgProps>
                                <R>5</R>
                              </CtgProps>
                              <LnkIn>
                                <LnkInProps>
                                  <MN>16</MN>
                                  <CLI>1,1,42,False,14</CLI>
                                  <ELN>1</ELN>
                                  <LOOT>0</LOOT>
                                  <LOMN>3</LOMN>
                                  <LOMCN>1</LOMCN>
                                  <LOSN>1</LOSN>
                                  <LOEN>15</LOEN>
                                  <LOCN>14</LOCN>
                                </LnkInProps>
                              </LnkIn>
                            </Ctg>
                            <Ctg>
                              <CtgProps>
                                <R>5</R>
                              </CtgProps>
                              <LnkIn>
                                <LnkInProps>
                                  <MN>16</MN>
                                  <CLI>1,1,42,False,15</CLI>
                                  <ELN>1</ELN>
                                  <LOOT>0</LOOT>
                                  <LOMN>3</LOMN>
                                  <LOMCN>1</LOMCN>
                                  <LOSN>1</LOSN>
                                  <LOEN>15</LOEN>
                                  <LOCN>15</LOCN>
                                </LnkInProps>
                              </LnkIn>
                            </Ctg>
                            <Ctg>
                              <CtgProps>
                                <R>5</R>
                              </CtgProps>
                              <LnkIn>
                                <LnkInProps>
                                  <MN>16</MN>
                                  <CLI>1,1,42,False,16</CLI>
                                  <ELN>1</ELN>
                                  <LOOT>0</LOOT>
                                  <LOMN>3</LOMN>
                                  <LOMCN>1</LOMCN>
                                  <LOSN>1</LOSN>
                                  <LOEN>15</LOEN>
                                  <LOCN>16</LOCN>
                                </LnkInProps>
                              </LnkIn>
                            </Ctg>
                            <Ctg>
                              <CtgProps>
                                <R>4</R>
                              </CtgProps>
                              <LnkIn>
                                <LnkInProps>
                                  <MN>16</MN>
                                  <CLI>1,1,42,False,17</CLI>
                                  <ELN>1</ELN>
                                  <LOOT>0</LOOT>
                                  <LOMN>3</LOMN>
                                  <LOMCN>1</LOMCN>
                                  <LOSN>1</LOSN>
                                  <LOEN>15</LOEN>
                                  <LOCN>17</LOCN>
                                </LnkInProps>
                              </LnkIn>
                            </Ctg>
                            <Ctg>
                              <CtgProps>
                                <R>4</R>
                              </CtgProps>
                              <LnkIn>
                                <LnkInProps>
                                  <MN>16</MN>
                                  <CLI>1,1,42,False,18</CLI>
                                  <ELN>1</ELN>
                                  <LOOT>0</LOOT>
                                  <LOMN>3</LOMN>
                                  <LOMCN>1</LOMCN>
                                  <LOSN>1</LOSN>
                                  <LOEN>15</LOEN>
                                  <LOCN>18</LOCN>
                                </LnkInProps>
                              </LnkIn>
                            </Ctg>
                            <Ctg>
                              <CtgProps>
                                <R>4</R>
                              </CtgProps>
                              <LnkIn>
                                <LnkInProps>
                                  <MN>16</MN>
                                  <CLI>1,1,42,False,19</CLI>
                                  <ELN>1</ELN>
                                  <LOOT>0</LOOT>
                                  <LOMN>3</LOMN>
                                  <LOMCN>1</LOMCN>
                                  <LOSN>1</LOSN>
                                  <LOEN>15</LOEN>
                                  <LOCN>19</LOCN>
                                </LnkInProps>
                              </LnkIn>
                            </Ctg>
                            <Ctg>
                              <CtgProps>
                                <R>4</R>
                              </CtgProps>
                              <LnkIn>
                                <LnkInProps>
                                  <MN>16</MN>
                                  <CLI>1,1,42,False,20</CLI>
                                  <ELN>1</ELN>
                                  <LOOT>0</LOOT>
                                  <LOMN>3</LOMN>
                                  <LOMCN>1</LOMCN>
                                  <LOSN>1</LOSN>
                                  <LOEN>15</LOEN>
                                  <LOCN>20</LOCN>
                                </LnkInProps>
                              </LnkIn>
                            </Ctg>
                            <Ctg>
                              <CtgProps>
                                <R>4</R>
                              </CtgProps>
                              <LnkIn>
                                <LnkInProps>
                                  <MN>16</MN>
                                  <CLI>1,1,42,False,21</CLI>
                                  <ELN>1</ELN>
                                  <LOOT>0</LOOT>
                                  <LOMN>3</LOMN>
                                  <LOMCN>1</LOMCN>
                                  <LOSN>1</LOSN>
                                  <LOEN>15</LOEN>
                                  <LOCN>21</LOCN>
                                </LnkInProps>
                              </LnkIn>
                            </Ctg>
                            <Ctg>
                              <CtgProps>
                                <R>4</R>
                              </CtgProps>
                              <LnkIn>
                                <LnkInProps>
                                  <MN>16</MN>
                                  <CLI>1,1,42,False,22</CLI>
                                  <ELN>1</ELN>
                                  <LOOT>0</LOOT>
                                  <LOMN>3</LOMN>
                                  <LOMCN>1</LOMCN>
                                  <LOSN>1</LOSN>
                                  <LOEN>15</LOEN>
                                  <LOCN>22</LOCN>
                                </LnkInProps>
                              </LnkIn>
                            </Ctg>
                            <Ctg>
                              <CtgProps>
                                <R>5</R>
                              </CtgProps>
                              <LnkIn>
                                <LnkInProps>
                                  <MN>16</MN>
                                  <CLI>1,1,42,False,23</CLI>
                                  <ELN>1</ELN>
                                  <LOOT>0</LOOT>
                                  <LOMN>3</LOMN>
                                  <LOMCN>1</LOMCN>
                                  <LOSN>1</LOSN>
                                  <LOEN>15</LOEN>
                                  <LOCN>23</LOCN>
                                </LnkInProps>
                              </LnkIn>
                            </Ctg>
                            <Ctg>
                              <CtgProps>
                                <R>5</R>
                              </CtgProps>
                              <LnkIn>
                                <LnkInProps>
                                  <MN>16</MN>
                                  <CLI>1,1,42,False,24</CLI>
                                  <ELN>1</ELN>
                                  <LOOT>0</LOOT>
                                  <LOMN>3</LOMN>
                                  <LOMCN>1</LOMCN>
                                  <LOSN>1</LOSN>
                                  <LOEN>15</LOEN>
                                  <LOCN>24</LOCN>
                                </LnkInProps>
                              </LnkIn>
                            </Ctg>
                            <Ctg>
                              <CtgProps>
                                <R>5</R>
                              </CtgProps>
                              <LnkIn>
                                <LnkInProps>
                                  <MN>16</MN>
                                  <CLI>1,1,42,False,25</CLI>
                                  <ELN>1</ELN>
                                  <LOOT>0</LOOT>
                                  <LOMN>3</LOMN>
                                  <LOMCN>1</LOMCN>
                                  <LOSN>1</LOSN>
                                  <LOEN>15</LOEN>
                                  <LOCN>25</LOCN>
                                </LnkInProps>
                              </LnkIn>
                            </Ctg>
                            <Ctg>
                              <CtgProps>
                                <R>5</R>
                              </CtgProps>
                              <LnkIn>
                                <LnkInProps>
                                  <MN>16</MN>
                                  <CLI>1,1,42,False,26</CLI>
                                  <ELN>1</ELN>
                                  <LOOT>0</LOOT>
                                  <LOMN>3</LOMN>
                                  <LOMCN>1</LOMCN>
                                  <LOSN>1</LOSN>
                                  <LOEN>15</LOEN>
                                  <LOCN>26</LOCN>
                                </LnkInProps>
                              </LnkIn>
                            </Ctg>
                            <Ctg>
                              <CtgProps>
                                <R>5</R>
                              </CtgProps>
                              <LnkIn>
                                <LnkInProps>
                                  <MN>16</MN>
                                  <CLI>1,1,42,False,27</CLI>
                                  <ELN>1</ELN>
                                  <LOOT>0</LOOT>
                                  <LOMN>3</LOMN>
                                  <LOMCN>1</LOMCN>
                                  <LOSN>1</LOSN>
                                  <LOEN>15</LOEN>
                                  <LOCN>27</LOCN>
                                </LnkInProps>
                              </LnkIn>
                            </Ctg>
                            <Ctg>
                              <CtgProps>
                                <R>5</R>
                              </CtgProps>
                              <LnkIn>
                                <LnkInProps>
                                  <MN>16</MN>
                                  <CLI>1,1,42,False,28</CLI>
                                  <ELN>1</ELN>
                                  <LOOT>0</LOOT>
                                  <LOMN>3</LOMN>
                                  <LOMCN>1</LOMCN>
                                  <LOSN>1</LOSN>
                                  <LOEN>15</LOEN>
                                  <LOCN>28</LOCN>
                                </LnkInProps>
                              </LnkIn>
                            </Ctg>
                            <Ctg>
                              <CtgProps>
                                <R>5</R>
                              </CtgProps>
                              <LnkIn>
                                <LnkInProps>
                                  <MN>16</MN>
                                  <CLI>1,1,42,False,29</CLI>
                                  <ELN>1</ELN>
                                  <LOOT>0</LOOT>
                                  <LOMN>3</LOMN>
                                  <LOMCN>1</LOMCN>
                                  <LOSN>1</LOSN>
                                  <LOEN>15</LOEN>
                                  <LOCN>29</LOCN>
                                </LnkInProps>
                              </LnkIn>
                            </Ctg>
                            <Ctg>
                              <CtgProps>
                                <R>5</R>
                              </CtgProps>
                              <LnkIn>
                                <LnkInProps>
                                  <MN>16</MN>
                                  <CLI>1,1,42,False,30</CLI>
                                  <ELN>1</ELN>
                                  <LOOT>0</LOOT>
                                  <LOMN>3</LOMN>
                                  <LOMCN>1</LOMCN>
                                  <LOSN>1</LOSN>
                                  <LOEN>15</LOEN>
                                  <LOCN>30</LOCN>
                                </LnkInProps>
                              </LnkIn>
                            </Ctg>
                            <Ctg>
                              <CtgProps>
                                <R>4</R>
                              </CtgProps>
                              <LnkIn>
                                <LnkInProps>
                                  <MN>16</MN>
                                  <CLI>1,1,42,False,31</CLI>
                                  <ELN>1</ELN>
                                  <LOOT>0</LOOT>
                                  <LOMN>3</LOMN>
                                  <LOMCN>1</LOMCN>
                                  <LOSN>1</LOSN>
                                  <LOEN>15</LOEN>
                                  <LOCN>31</LOCN>
                                </LnkInProps>
                              </LnkIn>
                            </Ctg>
                            <Ctg>
                              <CtgProps>
                                <R>4</R>
                              </CtgProps>
                              <LnkIn>
                                <LnkInProps>
                                  <MN>16</MN>
                                  <CLI>1,1,42,False,32</CLI>
                                  <ELN>1</ELN>
                                  <LOOT>0</LOOT>
                                  <LOMN>3</LOMN>
                                  <LOMCN>1</LOMCN>
                                  <LOSN>1</LOSN>
                                  <LOEN>15</LOEN>
                                  <LOCN>32</LOCN>
                                </LnkInProps>
                              </LnkIn>
                            </Ctg>
                            <Ctg>
                              <CtgProps>
                                <R>4</R>
                              </CtgProps>
                              <LnkIn>
                                <LnkInProps>
                                  <MN>16</MN>
                                  <CLI>1,1,42,False,33</CLI>
                                  <ELN>1</ELN>
                                  <LOOT>0</LOOT>
                                  <LOMN>3</LOMN>
                                  <LOMCN>1</LOMCN>
                                  <LOSN>1</LOSN>
                                  <LOEN>15</LOEN>
                                  <LOCN>33</LOCN>
                                </LnkInProps>
                              </LnkIn>
                            </Ctg>
                            <Ctg>
                              <CtgProps>
                                <R>4</R>
                              </CtgProps>
                              <LnkIn>
                                <LnkInProps>
                                  <MN>16</MN>
                                  <CLI>1,1,42,False,34</CLI>
                                  <ELN>1</ELN>
                                  <LOOT>0</LOOT>
                                  <LOMN>3</LOMN>
                                  <LOMCN>1</LOMCN>
                                  <LOSN>1</LOSN>
                                  <LOEN>15</LOEN>
                                  <LOCN>34</LOCN>
                                </LnkInProps>
                              </LnkIn>
                            </Ctg>
                            <Ctg>
                              <CtgProps>
                                <R>4</R>
                              </CtgProps>
                              <LnkIn>
                                <LnkInProps>
                                  <MN>16</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16</MN>
                                  <CLI>1,1,46,False,1</CLI>
                                  <ELN>1</ELN>
                                  <LOOT>0</LOOT>
                                  <LOMN>3</LOMN>
                                  <LOMCN>1</LOMCN>
                                  <LOSN>1</LOSN>
                                  <LOEN>19</LOEN>
                                  <LOCN>1</LOCN>
                                </LnkInProps>
                              </LnkIn>
                            </Ctg>
                            <Ctg>
                              <CtgProps>
                                <R>4</R>
                              </CtgProps>
                              <LnkIn>
                                <LnkInProps>
                                  <MN>16</MN>
                                  <CLI>1,1,46,False,2</CLI>
                                  <ELN>1</ELN>
                                  <LOOT>0</LOOT>
                                  <LOMN>3</LOMN>
                                  <LOMCN>1</LOMCN>
                                  <LOSN>1</LOSN>
                                  <LOEN>19</LOEN>
                                  <LOCN>2</LOCN>
                                </LnkInProps>
                              </LnkIn>
                            </Ctg>
                            <Ctg>
                              <CtgProps>
                                <R>4</R>
                              </CtgProps>
                              <LnkIn>
                                <LnkInProps>
                                  <MN>16</MN>
                                  <CLI>1,1,46,False,3</CLI>
                                  <ELN>1</ELN>
                                  <LOOT>0</LOOT>
                                  <LOMN>3</LOMN>
                                  <LOMCN>1</LOMCN>
                                  <LOSN>1</LOSN>
                                  <LOEN>19</LOEN>
                                  <LOCN>3</LOCN>
                                </LnkInProps>
                              </LnkIn>
                            </Ctg>
                            <Ctg>
                              <CtgProps>
                                <R>4</R>
                              </CtgProps>
                              <LnkIn>
                                <LnkInProps>
                                  <MN>16</MN>
                                  <CLI>1,1,46,False,4</CLI>
                                  <ELN>1</ELN>
                                  <LOOT>0</LOOT>
                                  <LOMN>3</LOMN>
                                  <LOMCN>1</LOMCN>
                                  <LOSN>1</LOSN>
                                  <LOEN>19</LOEN>
                                  <LOCN>4</LOCN>
                                </LnkInProps>
                              </LnkIn>
                            </Ctg>
                            <Ctg>
                              <CtgProps>
                                <R>4</R>
                              </CtgProps>
                              <LnkIn>
                                <LnkInProps>
                                  <MN>16</MN>
                                  <CLI>1,1,46,False,5</CLI>
                                  <ELN>1</ELN>
                                  <LOOT>0</LOOT>
                                  <LOMN>3</LOMN>
                                  <LOMCN>1</LOMCN>
                                  <LOSN>1</LOSN>
                                  <LOEN>19</LOEN>
                                  <LOCN>5</LOCN>
                                </LnkInProps>
                              </LnkIn>
                            </Ctg>
                            <Ctg>
                              <CtgProps>
                                <R>4</R>
                              </CtgProps>
                              <LnkIn>
                                <LnkInProps>
                                  <MN>16</MN>
                                  <CLI>1,1,46,False,6</CLI>
                                  <ELN>1</ELN>
                                  <LOOT>0</LOOT>
                                  <LOMN>3</LOMN>
                                  <LOMCN>1</LOMCN>
                                  <LOSN>1</LOSN>
                                  <LOEN>19</LOEN>
                                  <LOCN>6</LOCN>
                                </LnkInProps>
                              </LnkIn>
                            </Ctg>
                            <Ctg>
                              <CtgProps>
                                <R>4</R>
                              </CtgProps>
                              <LnkIn>
                                <LnkInProps>
                                  <MN>16</MN>
                                  <CLI>1,1,46,False,7</CLI>
                                  <ELN>1</ELN>
                                  <LOOT>0</LOOT>
                                  <LOMN>3</LOMN>
                                  <LOMCN>1</LOMCN>
                                  <LOSN>1</LOSN>
                                  <LOEN>19</LOEN>
                                  <LOCN>7</LOCN>
                                </LnkInProps>
                              </LnkIn>
                            </Ctg>
                            <Ctg>
                              <CtgProps>
                                <R>4</R>
                              </CtgProps>
                              <LnkIn>
                                <LnkInProps>
                                  <MN>16</MN>
                                  <CLI>1,1,46,False,8</CLI>
                                  <ELN>1</ELN>
                                  <LOOT>0</LOOT>
                                  <LOMN>3</LOMN>
                                  <LOMCN>1</LOMCN>
                                  <LOSN>1</LOSN>
                                  <LOEN>19</LOEN>
                                  <LOCN>8</LOCN>
                                </LnkInProps>
                              </LnkIn>
                            </Ctg>
                            <Ctg>
                              <CtgProps>
                                <R>4</R>
                              </CtgProps>
                              <LnkIn>
                                <LnkInProps>
                                  <MN>16</MN>
                                  <CLI>1,1,46,False,9</CLI>
                                  <ELN>1</ELN>
                                  <LOOT>0</LOOT>
                                  <LOMN>3</LOMN>
                                  <LOMCN>1</LOMCN>
                                  <LOSN>1</LOSN>
                                  <LOEN>19</LOEN>
                                  <LOCN>9</LOCN>
                                </LnkInProps>
                              </LnkIn>
                            </Ctg>
                            <Ctg>
                              <CtgProps>
                                <R>4</R>
                              </CtgProps>
                              <LnkIn>
                                <LnkInProps>
                                  <MN>16</MN>
                                  <CLI>1,1,46,False,10</CLI>
                                  <ELN>1</ELN>
                                  <LOOT>0</LOOT>
                                  <LOMN>3</LOMN>
                                  <LOMCN>1</LOMCN>
                                  <LOSN>1</LOSN>
                                  <LOEN>19</LOEN>
                                  <LOCN>10</LOCN>
                                </LnkInProps>
                              </LnkIn>
                            </Ctg>
                            <Ctg>
                              <CtgProps>
                                <R>4</R>
                              </CtgProps>
                              <LnkIn>
                                <LnkInProps>
                                  <MN>16</MN>
                                  <CLI>1,1,46,False,11</CLI>
                                  <ELN>1</ELN>
                                  <LOOT>0</LOOT>
                                  <LOMN>3</LOMN>
                                  <LOMCN>1</LOMCN>
                                  <LOSN>1</LOSN>
                                  <LOEN>19</LOEN>
                                  <LOCN>11</LOCN>
                                </LnkInProps>
                              </LnkIn>
                            </Ctg>
                            <Ctg>
                              <CtgProps>
                                <R>4</R>
                              </CtgProps>
                              <LnkIn>
                                <LnkInProps>
                                  <MN>16</MN>
                                  <CLI>1,1,46,False,12</CLI>
                                  <ELN>1</ELN>
                                  <LOOT>0</LOOT>
                                  <LOMN>3</LOMN>
                                  <LOMCN>1</LOMCN>
                                  <LOSN>1</LOSN>
                                  <LOEN>19</LOEN>
                                  <LOCN>12</LOCN>
                                </LnkInProps>
                              </LnkIn>
                            </Ctg>
                            <Ctg>
                              <CtgProps>
                                <R>4</R>
                              </CtgProps>
                              <LnkIn>
                                <LnkInProps>
                                  <MN>16</MN>
                                  <CLI>1,1,46,False,13</CLI>
                                  <ELN>1</ELN>
                                  <LOOT>0</LOOT>
                                  <LOMN>3</LOMN>
                                  <LOMCN>1</LOMCN>
                                  <LOSN>1</LOSN>
                                  <LOEN>19</LOEN>
                                  <LOCN>13</LOCN>
                                </LnkInProps>
                              </LnkIn>
                            </Ctg>
                            <Ctg>
                              <CtgProps>
                                <R>4</R>
                              </CtgProps>
                              <LnkIn>
                                <LnkInProps>
                                  <MN>16</MN>
                                  <CLI>1,1,46,False,14</CLI>
                                  <ELN>1</ELN>
                                  <LOOT>0</LOOT>
                                  <LOMN>3</LOMN>
                                  <LOMCN>1</LOMCN>
                                  <LOSN>1</LOSN>
                                  <LOEN>19</LOEN>
                                  <LOCN>14</LOCN>
                                </LnkInProps>
                              </LnkIn>
                            </Ctg>
                            <Ctg>
                              <CtgProps>
                                <R>4</R>
                              </CtgProps>
                              <LnkIn>
                                <LnkInProps>
                                  <MN>16</MN>
                                  <CLI>1,1,46,False,15</CLI>
                                  <ELN>1</ELN>
                                  <LOOT>0</LOOT>
                                  <LOMN>3</LOMN>
                                  <LOMCN>1</LOMCN>
                                  <LOSN>1</LOSN>
                                  <LOEN>19</LOEN>
                                  <LOCN>15</LOCN>
                                </LnkInProps>
                              </LnkIn>
                            </Ctg>
                            <Ctg>
                              <CtgProps>
                                <R>5</R>
                              </CtgProps>
                              <LnkIn>
                                <LnkInProps>
                                  <MN>16</MN>
                                  <CLI>1,1,46,False,16</CLI>
                                  <ELN>1</ELN>
                                  <LOOT>0</LOOT>
                                  <LOMN>3</LOMN>
                                  <LOMCN>1</LOMCN>
                                  <LOSN>1</LOSN>
                                  <LOEN>19</LOEN>
                                  <LOCN>16</LOCN>
                                </LnkInProps>
                              </LnkIn>
                            </Ctg>
                            <Ctg>
                              <CtgProps>
                                <R>5</R>
                              </CtgProps>
                              <LnkIn>
                                <LnkInProps>
                                  <MN>16</MN>
                                  <CLI>1,1,46,False,17</CLI>
                                  <ELN>1</ELN>
                                  <LOOT>0</LOOT>
                                  <LOMN>3</LOMN>
                                  <LOMCN>1</LOMCN>
                                  <LOSN>1</LOSN>
                                  <LOEN>19</LOEN>
                                  <LOCN>17</LOCN>
                                </LnkInProps>
                              </LnkIn>
                            </Ctg>
                            <Ctg>
                              <CtgProps>
                                <R>5</R>
                              </CtgProps>
                              <LnkIn>
                                <LnkInProps>
                                  <MN>16</MN>
                                  <CLI>1,1,46,False,18</CLI>
                                  <ELN>1</ELN>
                                  <LOOT>0</LOOT>
                                  <LOMN>3</LOMN>
                                  <LOMCN>1</LOMCN>
                                  <LOSN>1</LOSN>
                                  <LOEN>19</LOEN>
                                  <LOCN>18</LOCN>
                                </LnkInProps>
                              </LnkIn>
                            </Ctg>
                            <Ctg>
                              <CtgProps>
                                <R>5</R>
                              </CtgProps>
                              <LnkIn>
                                <LnkInProps>
                                  <MN>16</MN>
                                  <CLI>1,1,46,False,19</CLI>
                                  <ELN>1</ELN>
                                  <LOOT>0</LOOT>
                                  <LOMN>3</LOMN>
                                  <LOMCN>1</LOMCN>
                                  <LOSN>1</LOSN>
                                  <LOEN>19</LOEN>
                                  <LOCN>19</LOCN>
                                </LnkInProps>
                              </LnkIn>
                            </Ctg>
                            <Ctg>
                              <CtgProps>
                                <R>5</R>
                              </CtgProps>
                              <LnkIn>
                                <LnkInProps>
                                  <MN>16</MN>
                                  <CLI>1,1,46,False,20</CLI>
                                  <ELN>1</ELN>
                                  <LOOT>0</LOOT>
                                  <LOMN>3</LOMN>
                                  <LOMCN>1</LOMCN>
                                  <LOSN>1</LOSN>
                                  <LOEN>19</LOEN>
                                  <LOCN>20</LOCN>
                                </LnkInProps>
                              </LnkIn>
                            </Ctg>
                            <Ctg>
                              <CtgProps>
                                <R>5</R>
                              </CtgProps>
                              <LnkIn>
                                <LnkInProps>
                                  <MN>16</MN>
                                  <CLI>1,1,46,False,21</CLI>
                                  <ELN>1</ELN>
                                  <LOOT>0</LOOT>
                                  <LOMN>3</LOMN>
                                  <LOMCN>1</LOMCN>
                                  <LOSN>1</LOSN>
                                  <LOEN>19</LOEN>
                                  <LOCN>21</LOCN>
                                </LnkInProps>
                              </LnkIn>
                            </Ctg>
                            <Ctg>
                              <CtgProps>
                                <R>5</R>
                              </CtgProps>
                              <LnkIn>
                                <LnkInProps>
                                  <MN>16</MN>
                                  <CLI>1,1,46,False,22</CLI>
                                  <ELN>1</ELN>
                                  <LOOT>0</LOOT>
                                  <LOMN>3</LOMN>
                                  <LOMCN>1</LOMCN>
                                  <LOSN>1</LOSN>
                                  <LOEN>19</LOEN>
                                  <LOCN>22</LOCN>
                                </LnkInProps>
                              </LnkIn>
                            </Ctg>
                            <Ctg>
                              <CtgProps>
                                <R>5</R>
                              </CtgProps>
                              <LnkIn>
                                <LnkInProps>
                                  <MN>16</MN>
                                  <CLI>1,1,46,False,23</CLI>
                                  <ELN>1</ELN>
                                  <LOOT>0</LOOT>
                                  <LOMN>3</LOMN>
                                  <LOMCN>1</LOMCN>
                                  <LOSN>1</LOSN>
                                  <LOEN>19</LOEN>
                                  <LOCN>23</LOCN>
                                </LnkInProps>
                              </LnkIn>
                            </Ctg>
                            <Ctg>
                              <CtgProps>
                                <R>5</R>
                              </CtgProps>
                              <LnkIn>
                                <LnkInProps>
                                  <MN>16</MN>
                                  <CLI>1,1,46,False,24</CLI>
                                  <ELN>1</ELN>
                                  <LOOT>0</LOOT>
                                  <LOMN>3</LOMN>
                                  <LOMCN>1</LOMCN>
                                  <LOSN>1</LOSN>
                                  <LOEN>19</LOEN>
                                  <LOCN>24</LOCN>
                                </LnkInProps>
                              </LnkIn>
                            </Ctg>
                            <Ctg>
                              <CtgProps>
                                <R>5</R>
                              </CtgProps>
                              <LnkIn>
                                <LnkInProps>
                                  <MN>16</MN>
                                  <CLI>1,1,46,False,25</CLI>
                                  <ELN>1</ELN>
                                  <LOOT>0</LOOT>
                                  <LOMN>3</LOMN>
                                  <LOMCN>1</LOMCN>
                                  <LOSN>1</LOSN>
                                  <LOEN>19</LOEN>
                                  <LOCN>25</LOCN>
                                </LnkInProps>
                              </LnkIn>
                            </Ctg>
                            <Ctg>
                              <CtgProps>
                                <R>5</R>
                              </CtgProps>
                              <LnkIn>
                                <LnkInProps>
                                  <MN>16</MN>
                                  <CLI>1,1,46,False,26</CLI>
                                  <ELN>1</ELN>
                                  <LOOT>0</LOOT>
                                  <LOMN>3</LOMN>
                                  <LOMCN>1</LOMCN>
                                  <LOSN>1</LOSN>
                                  <LOEN>19</LOEN>
                                  <LOCN>26</LOCN>
                                </LnkInProps>
                              </LnkIn>
                            </Ctg>
                            <Ctg>
                              <CtgProps>
                                <R>5</R>
                              </CtgProps>
                              <LnkIn>
                                <LnkInProps>
                                  <MN>16</MN>
                                  <CLI>1,1,46,False,27</CLI>
                                  <ELN>1</ELN>
                                  <LOOT>0</LOOT>
                                  <LOMN>3</LOMN>
                                  <LOMCN>1</LOMCN>
                                  <LOSN>1</LOSN>
                                  <LOEN>19</LOEN>
                                  <LOCN>27</LOCN>
                                </LnkInProps>
                              </LnkIn>
                            </Ctg>
                            <Ctg>
                              <CtgProps>
                                <R>5</R>
                              </CtgProps>
                              <LnkIn>
                                <LnkInProps>
                                  <MN>16</MN>
                                  <CLI>1,1,46,False,28</CLI>
                                  <ELN>1</ELN>
                                  <LOOT>0</LOOT>
                                  <LOMN>3</LOMN>
                                  <LOMCN>1</LOMCN>
                                  <LOSN>1</LOSN>
                                  <LOEN>19</LOEN>
                                  <LOCN>28</LOCN>
                                </LnkInProps>
                              </LnkIn>
                            </Ctg>
                            <Ctg>
                              <CtgProps>
                                <R>5</R>
                              </CtgProps>
                              <LnkIn>
                                <LnkInProps>
                                  <MN>16</MN>
                                  <CLI>1,1,46,False,29</CLI>
                                  <ELN>1</ELN>
                                  <LOOT>0</LOOT>
                                  <LOMN>3</LOMN>
                                  <LOMCN>1</LOMCN>
                                  <LOSN>1</LOSN>
                                  <LOEN>19</LOEN>
                                  <LOCN>29</LOCN>
                                </LnkInProps>
                              </LnkIn>
                            </Ctg>
                            <Ctg>
                              <CtgProps>
                                <R>5</R>
                              </CtgProps>
                              <LnkIn>
                                <LnkInProps>
                                  <MN>16</MN>
                                  <CLI>1,1,46,False,30</CLI>
                                  <ELN>1</ELN>
                                  <LOOT>0</LOOT>
                                  <LOMN>3</LOMN>
                                  <LOMCN>1</LOMCN>
                                  <LOSN>1</LOSN>
                                  <LOEN>19</LOEN>
                                  <LOCN>30</LOCN>
                                </LnkInProps>
                              </LnkIn>
                            </Ctg>
                            <Ctg>
                              <CtgProps>
                                <R>5</R>
                              </CtgProps>
                              <LnkIn>
                                <LnkInProps>
                                  <MN>16</MN>
                                  <CLI>1,1,46,False,31</CLI>
                                  <ELN>1</ELN>
                                  <LOOT>0</LOOT>
                                  <LOMN>3</LOMN>
                                  <LOMCN>1</LOMCN>
                                  <LOSN>1</LOSN>
                                  <LOEN>19</LOEN>
                                  <LOCN>31</LOCN>
                                </LnkInProps>
                              </LnkIn>
                            </Ctg>
                            <Ctg>
                              <CtgProps>
                                <R>5</R>
                              </CtgProps>
                              <LnkIn>
                                <LnkInProps>
                                  <MN>16</MN>
                                  <CLI>1,1,46,False,32</CLI>
                                  <ELN>1</ELN>
                                  <LOOT>0</LOOT>
                                  <LOMN>3</LOMN>
                                  <LOMCN>1</LOMCN>
                                  <LOSN>1</LOSN>
                                  <LOEN>19</LOEN>
                                  <LOCN>32</LOCN>
                                </LnkInProps>
                              </LnkIn>
                            </Ctg>
                            <Ctg>
                              <CtgProps>
                                <R>5</R>
                              </CtgProps>
                              <LnkIn>
                                <LnkInProps>
                                  <MN>16</MN>
                                  <CLI>1,1,46,False,33</CLI>
                                  <ELN>1</ELN>
                                  <LOOT>0</LOOT>
                                  <LOMN>3</LOMN>
                                  <LOMCN>1</LOMCN>
                                  <LOSN>1</LOSN>
                                  <LOEN>19</LOEN>
                                  <LOCN>33</LOCN>
                                </LnkInProps>
                              </LnkIn>
                            </Ctg>
                            <Ctg>
                              <CtgProps>
                                <R>5</R>
                              </CtgProps>
                              <LnkIn>
                                <LnkInProps>
                                  <MN>16</MN>
                                  <CLI>1,1,46,False,34</CLI>
                                  <ELN>1</ELN>
                                  <LOOT>0</LOOT>
                                  <LOMN>3</LOMN>
                                  <LOMCN>1</LOMCN>
                                  <LOSN>1</LOSN>
                                  <LOEN>19</LOEN>
                                  <LOCN>34</LOCN>
                                </LnkInProps>
                              </LnkIn>
                            </Ctg>
                            <Ctg>
                              <CtgProps>
                                <R>5</R>
                              </CtgProps>
                              <LnkIn>
                                <LnkInProps>
                                  <MN>16</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16</MN>
                                  <CLI>1,1,49,False,1</CLI>
                                  <ELN>1</ELN>
                                  <LOOT>0</LOOT>
                                  <LOMN>3</LOMN>
                                  <LOMCN>1</LOMCN>
                                  <LOSN>1</LOSN>
                                  <LOEN>24</LOEN>
                                  <LOCN>1</LOCN>
                                </LnkInProps>
                              </LnkIn>
                            </Ctg>
                            <Ctg>
                              <CtgProps>
                                <R>4</R>
                              </CtgProps>
                              <LnkIn>
                                <LnkInProps>
                                  <MN>16</MN>
                                  <CLI>1,1,49,False,2</CLI>
                                  <ELN>1</ELN>
                                  <LOOT>0</LOOT>
                                  <LOMN>3</LOMN>
                                  <LOMCN>1</LOMCN>
                                  <LOSN>1</LOSN>
                                  <LOEN>24</LOEN>
                                  <LOCN>2</LOCN>
                                </LnkInProps>
                              </LnkIn>
                            </Ctg>
                            <Ctg>
                              <CtgProps>
                                <R>4</R>
                              </CtgProps>
                              <LnkIn>
                                <LnkInProps>
                                  <MN>16</MN>
                                  <CLI>1,1,49,False,3</CLI>
                                  <ELN>1</ELN>
                                  <LOOT>0</LOOT>
                                  <LOMN>3</LOMN>
                                  <LOMCN>1</LOMCN>
                                  <LOSN>1</LOSN>
                                  <LOEN>24</LOEN>
                                  <LOCN>3</LOCN>
                                </LnkInProps>
                              </LnkIn>
                            </Ctg>
                            <Ctg>
                              <CtgProps>
                                <R>4</R>
                              </CtgProps>
                              <LnkIn>
                                <LnkInProps>
                                  <MN>16</MN>
                                  <CLI>1,1,49,False,4</CLI>
                                  <ELN>1</ELN>
                                  <LOOT>0</LOOT>
                                  <LOMN>3</LOMN>
                                  <LOMCN>1</LOMCN>
                                  <LOSN>1</LOSN>
                                  <LOEN>24</LOEN>
                                  <LOCN>4</LOCN>
                                </LnkInProps>
                              </LnkIn>
                            </Ctg>
                            <Ctg>
                              <CtgProps>
                                <R>4</R>
                              </CtgProps>
                              <LnkIn>
                                <LnkInProps>
                                  <MN>16</MN>
                                  <CLI>1,1,49,False,5</CLI>
                                  <ELN>1</ELN>
                                  <LOOT>0</LOOT>
                                  <LOMN>3</LOMN>
                                  <LOMCN>1</LOMCN>
                                  <LOSN>1</LOSN>
                                  <LOEN>24</LOEN>
                                  <LOCN>5</LOCN>
                                </LnkInProps>
                              </LnkIn>
                            </Ctg>
                            <Ctg>
                              <CtgProps>
                                <R>5</R>
                              </CtgProps>
                              <LnkIn>
                                <LnkInProps>
                                  <MN>16</MN>
                                  <CLI>1,1,49,False,6</CLI>
                                  <ELN>1</ELN>
                                  <LOOT>0</LOOT>
                                  <LOMN>3</LOMN>
                                  <LOMCN>1</LOMCN>
                                  <LOSN>1</LOSN>
                                  <LOEN>24</LOEN>
                                  <LOCN>6</LOCN>
                                </LnkInProps>
                              </LnkIn>
                            </Ctg>
                            <Ctg>
                              <CtgProps>
                                <R>5</R>
                              </CtgProps>
                              <LnkIn>
                                <LnkInProps>
                                  <MN>16</MN>
                                  <CLI>1,1,49,False,7</CLI>
                                  <ELN>1</ELN>
                                  <LOOT>0</LOOT>
                                  <LOMN>3</LOMN>
                                  <LOMCN>1</LOMCN>
                                  <LOSN>1</LOSN>
                                  <LOEN>24</LOEN>
                                  <LOCN>7</LOCN>
                                </LnkInProps>
                              </LnkIn>
                            </Ctg>
                            <Ctg>
                              <CtgProps>
                                <R>5</R>
                              </CtgProps>
                              <LnkIn>
                                <LnkInProps>
                                  <MN>16</MN>
                                  <CLI>1,1,49,False,8</CLI>
                                  <ELN>1</ELN>
                                  <LOOT>0</LOOT>
                                  <LOMN>3</LOMN>
                                  <LOMCN>1</LOMCN>
                                  <LOSN>1</LOSN>
                                  <LOEN>24</LOEN>
                                  <LOCN>8</LOCN>
                                </LnkInProps>
                              </LnkIn>
                            </Ctg>
                            <Ctg>
                              <CtgProps>
                                <R>5</R>
                              </CtgProps>
                              <LnkIn>
                                <LnkInProps>
                                  <MN>16</MN>
                                  <CLI>1,1,49,False,9</CLI>
                                  <ELN>1</ELN>
                                  <LOOT>0</LOOT>
                                  <LOMN>3</LOMN>
                                  <LOMCN>1</LOMCN>
                                  <LOSN>1</LOSN>
                                  <LOEN>24</LOEN>
                                  <LOCN>9</LOCN>
                                </LnkInProps>
                              </LnkIn>
                            </Ctg>
                            <Ctg>
                              <CtgProps>
                                <R>5</R>
                              </CtgProps>
                              <LnkIn>
                                <LnkInProps>
                                  <MN>16</MN>
                                  <CLI>1,1,49,False,10</CLI>
                                  <ELN>1</ELN>
                                  <LOOT>0</LOOT>
                                  <LOMN>3</LOMN>
                                  <LOMCN>1</LOMCN>
                                  <LOSN>1</LOSN>
                                  <LOEN>24</LOEN>
                                  <LOCN>10</LOCN>
                                </LnkInProps>
                              </LnkIn>
                            </Ctg>
                            <Ctg>
                              <CtgProps>
                                <R>5</R>
                              </CtgProps>
                              <LnkIn>
                                <LnkInProps>
                                  <MN>16</MN>
                                  <CLI>1,1,49,False,11</CLI>
                                  <ELN>1</ELN>
                                  <LOOT>0</LOOT>
                                  <LOMN>3</LOMN>
                                  <LOMCN>1</LOMCN>
                                  <LOSN>1</LOSN>
                                  <LOEN>24</LOEN>
                                  <LOCN>11</LOCN>
                                </LnkInProps>
                              </LnkIn>
                            </Ctg>
                            <Ctg>
                              <CtgProps>
                                <R>5</R>
                              </CtgProps>
                              <LnkIn>
                                <LnkInProps>
                                  <MN>16</MN>
                                  <CLI>1,1,49,False,12</CLI>
                                  <ELN>1</ELN>
                                  <LOOT>0</LOOT>
                                  <LOMN>3</LOMN>
                                  <LOMCN>1</LOMCN>
                                  <LOSN>1</LOSN>
                                  <LOEN>24</LOEN>
                                  <LOCN>12</LOCN>
                                </LnkInProps>
                              </LnkIn>
                            </Ctg>
                            <Ctg>
                              <CtgProps>
                                <R>5</R>
                              </CtgProps>
                              <LnkIn>
                                <LnkInProps>
                                  <MN>16</MN>
                                  <CLI>1,1,49,False,13</CLI>
                                  <ELN>1</ELN>
                                  <LOOT>0</LOOT>
                                  <LOMN>3</LOMN>
                                  <LOMCN>1</LOMCN>
                                  <LOSN>1</LOSN>
                                  <LOEN>24</LOEN>
                                  <LOCN>13</LOCN>
                                </LnkInProps>
                              </LnkIn>
                            </Ctg>
                            <Ctg>
                              <CtgProps>
                                <R>5</R>
                              </CtgProps>
                              <LnkIn>
                                <LnkInProps>
                                  <MN>16</MN>
                                  <CLI>1,1,49,False,14</CLI>
                                  <ELN>1</ELN>
                                  <LOOT>0</LOOT>
                                  <LOMN>3</LOMN>
                                  <LOMCN>1</LOMCN>
                                  <LOSN>1</LOSN>
                                  <LOEN>24</LOEN>
                                  <LOCN>14</LOCN>
                                </LnkInProps>
                              </LnkIn>
                            </Ctg>
                            <Ctg>
                              <CtgProps>
                                <R>5</R>
                              </CtgProps>
                              <LnkIn>
                                <LnkInProps>
                                  <MN>16</MN>
                                  <CLI>1,1,49,False,15</CLI>
                                  <ELN>1</ELN>
                                  <LOOT>0</LOOT>
                                  <LOMN>3</LOMN>
                                  <LOMCN>1</LOMCN>
                                  <LOSN>1</LOSN>
                                  <LOEN>24</LOEN>
                                  <LOCN>15</LOCN>
                                </LnkInProps>
                              </LnkIn>
                            </Ctg>
                            <Ctg>
                              <CtgProps>
                                <R>5</R>
                              </CtgProps>
                              <LnkIn>
                                <LnkInProps>
                                  <MN>16</MN>
                                  <CLI>1,1,49,False,16</CLI>
                                  <ELN>1</ELN>
                                  <LOOT>0</LOOT>
                                  <LOMN>3</LOMN>
                                  <LOMCN>1</LOMCN>
                                  <LOSN>1</LOSN>
                                  <LOEN>24</LOEN>
                                  <LOCN>16</LOCN>
                                </LnkInProps>
                              </LnkIn>
                            </Ctg>
                            <Ctg>
                              <CtgProps>
                                <R>5</R>
                              </CtgProps>
                              <LnkIn>
                                <LnkInProps>
                                  <MN>16</MN>
                                  <CLI>1,1,49,False,17</CLI>
                                  <ELN>1</ELN>
                                  <LOOT>0</LOOT>
                                  <LOMN>3</LOMN>
                                  <LOMCN>1</LOMCN>
                                  <LOSN>1</LOSN>
                                  <LOEN>24</LOEN>
                                  <LOCN>17</LOCN>
                                </LnkInProps>
                              </LnkIn>
                            </Ctg>
                            <Ctg>
                              <CtgProps>
                                <R>5</R>
                              </CtgProps>
                              <LnkIn>
                                <LnkInProps>
                                  <MN>16</MN>
                                  <CLI>1,1,49,False,18</CLI>
                                  <ELN>1</ELN>
                                  <LOOT>0</LOOT>
                                  <LOMN>3</LOMN>
                                  <LOMCN>1</LOMCN>
                                  <LOSN>1</LOSN>
                                  <LOEN>24</LOEN>
                                  <LOCN>18</LOCN>
                                </LnkInProps>
                              </LnkIn>
                            </Ctg>
                            <Ctg>
                              <CtgProps>
                                <R>5</R>
                              </CtgProps>
                              <LnkIn>
                                <LnkInProps>
                                  <MN>16</MN>
                                  <CLI>1,1,49,False,19</CLI>
                                  <ELN>1</ELN>
                                  <LOOT>0</LOOT>
                                  <LOMN>3</LOMN>
                                  <LOMCN>1</LOMCN>
                                  <LOSN>1</LOSN>
                                  <LOEN>24</LOEN>
                                  <LOCN>19</LOCN>
                                </LnkInProps>
                              </LnkIn>
                            </Ctg>
                            <Ctg>
                              <CtgProps>
                                <R>5</R>
                              </CtgProps>
                              <LnkIn>
                                <LnkInProps>
                                  <MN>16</MN>
                                  <CLI>1,1,49,False,20</CLI>
                                  <ELN>1</ELN>
                                  <LOOT>0</LOOT>
                                  <LOMN>3</LOMN>
                                  <LOMCN>1</LOMCN>
                                  <LOSN>1</LOSN>
                                  <LOEN>24</LOEN>
                                  <LOCN>20</LOCN>
                                </LnkInProps>
                              </LnkIn>
                            </Ctg>
                            <Ctg>
                              <CtgProps>
                                <R>5</R>
                              </CtgProps>
                              <LnkIn>
                                <LnkInProps>
                                  <MN>16</MN>
                                  <CLI>1,1,49,False,21</CLI>
                                  <ELN>1</ELN>
                                  <LOOT>0</LOOT>
                                  <LOMN>3</LOMN>
                                  <LOMCN>1</LOMCN>
                                  <LOSN>1</LOSN>
                                  <LOEN>24</LOEN>
                                  <LOCN>21</LOCN>
                                </LnkInProps>
                              </LnkIn>
                            </Ctg>
                            <Ctg>
                              <CtgProps>
                                <R>5</R>
                              </CtgProps>
                              <LnkIn>
                                <LnkInProps>
                                  <MN>16</MN>
                                  <CLI>1,1,49,False,22</CLI>
                                  <ELN>1</ELN>
                                  <LOOT>0</LOOT>
                                  <LOMN>3</LOMN>
                                  <LOMCN>1</LOMCN>
                                  <LOSN>1</LOSN>
                                  <LOEN>24</LOEN>
                                  <LOCN>22</LOCN>
                                </LnkInProps>
                              </LnkIn>
                            </Ctg>
                            <Ctg>
                              <CtgProps>
                                <R>5</R>
                              </CtgProps>
                              <LnkIn>
                                <LnkInProps>
                                  <MN>16</MN>
                                  <CLI>1,1,49,False,23</CLI>
                                  <ELN>1</ELN>
                                  <LOOT>0</LOOT>
                                  <LOMN>3</LOMN>
                                  <LOMCN>1</LOMCN>
                                  <LOSN>1</LOSN>
                                  <LOEN>24</LOEN>
                                  <LOCN>23</LOCN>
                                </LnkInProps>
                              </LnkIn>
                            </Ctg>
                            <Ctg>
                              <CtgProps>
                                <R>5</R>
                              </CtgProps>
                              <LnkIn>
                                <LnkInProps>
                                  <MN>16</MN>
                                  <CLI>1,1,49,False,24</CLI>
                                  <ELN>1</ELN>
                                  <LOOT>0</LOOT>
                                  <LOMN>3</LOMN>
                                  <LOMCN>1</LOMCN>
                                  <LOSN>1</LOSN>
                                  <LOEN>24</LOEN>
                                  <LOCN>24</LOCN>
                                </LnkInProps>
                              </LnkIn>
                            </Ctg>
                            <Ctg>
                              <CtgProps>
                                <R>5</R>
                              </CtgProps>
                              <LnkIn>
                                <LnkInProps>
                                  <MN>16</MN>
                                  <CLI>1,1,49,False,25</CLI>
                                  <ELN>1</ELN>
                                  <LOOT>0</LOOT>
                                  <LOMN>3</LOMN>
                                  <LOMCN>1</LOMCN>
                                  <LOSN>1</LOSN>
                                  <LOEN>24</LOEN>
                                  <LOCN>25</LOCN>
                                </LnkInProps>
                              </LnkIn>
                            </Ctg>
                            <Ctg>
                              <CtgProps>
                                <R>5</R>
                              </CtgProps>
                              <LnkIn>
                                <LnkInProps>
                                  <MN>16</MN>
                                  <CLI>1,1,49,False,26</CLI>
                                  <ELN>1</ELN>
                                  <LOOT>0</LOOT>
                                  <LOMN>3</LOMN>
                                  <LOMCN>1</LOMCN>
                                  <LOSN>1</LOSN>
                                  <LOEN>24</LOEN>
                                  <LOCN>26</LOCN>
                                </LnkInProps>
                              </LnkIn>
                            </Ctg>
                            <Ctg>
                              <CtgProps>
                                <R>5</R>
                              </CtgProps>
                              <LnkIn>
                                <LnkInProps>
                                  <MN>16</MN>
                                  <CLI>1,1,49,False,27</CLI>
                                  <ELN>1</ELN>
                                  <LOOT>0</LOOT>
                                  <LOMN>3</LOMN>
                                  <LOMCN>1</LOMCN>
                                  <LOSN>1</LOSN>
                                  <LOEN>24</LOEN>
                                  <LOCN>27</LOCN>
                                </LnkInProps>
                              </LnkIn>
                            </Ctg>
                            <Ctg>
                              <CtgProps>
                                <R>5</R>
                              </CtgProps>
                              <LnkIn>
                                <LnkInProps>
                                  <MN>16</MN>
                                  <CLI>1,1,49,False,28</CLI>
                                  <ELN>1</ELN>
                                  <LOOT>0</LOOT>
                                  <LOMN>3</LOMN>
                                  <LOMCN>1</LOMCN>
                                  <LOSN>1</LOSN>
                                  <LOEN>24</LOEN>
                                  <LOCN>28</LOCN>
                                </LnkInProps>
                              </LnkIn>
                            </Ctg>
                            <Ctg>
                              <CtgProps>
                                <R>5</R>
                              </CtgProps>
                              <LnkIn>
                                <LnkInProps>
                                  <MN>16</MN>
                                  <CLI>1,1,49,False,29</CLI>
                                  <ELN>1</ELN>
                                  <LOOT>0</LOOT>
                                  <LOMN>3</LOMN>
                                  <LOMCN>1</LOMCN>
                                  <LOSN>1</LOSN>
                                  <LOEN>24</LOEN>
                                  <LOCN>29</LOCN>
                                </LnkInProps>
                              </LnkIn>
                            </Ctg>
                            <Ctg>
                              <CtgProps>
                                <R>5</R>
                              </CtgProps>
                              <LnkIn>
                                <LnkInProps>
                                  <MN>16</MN>
                                  <CLI>1,1,49,False,30</CLI>
                                  <ELN>1</ELN>
                                  <LOOT>0</LOOT>
                                  <LOMN>3</LOMN>
                                  <LOMCN>1</LOMCN>
                                  <LOSN>1</LOSN>
                                  <LOEN>24</LOEN>
                                  <LOCN>30</LOCN>
                                </LnkInProps>
                              </LnkIn>
                            </Ctg>
                            <Ctg>
                              <CtgProps>
                                <R>5</R>
                              </CtgProps>
                              <LnkIn>
                                <LnkInProps>
                                  <MN>16</MN>
                                  <CLI>1,1,49,False,31</CLI>
                                  <ELN>1</ELN>
                                  <LOOT>0</LOOT>
                                  <LOMN>3</LOMN>
                                  <LOMCN>1</LOMCN>
                                  <LOSN>1</LOSN>
                                  <LOEN>24</LOEN>
                                  <LOCN>31</LOCN>
                                </LnkInProps>
                              </LnkIn>
                            </Ctg>
                            <Ctg>
                              <CtgProps>
                                <R>5</R>
                              </CtgProps>
                              <LnkIn>
                                <LnkInProps>
                                  <MN>16</MN>
                                  <CLI>1,1,49,False,32</CLI>
                                  <ELN>1</ELN>
                                  <LOOT>0</LOOT>
                                  <LOMN>3</LOMN>
                                  <LOMCN>1</LOMCN>
                                  <LOSN>1</LOSN>
                                  <LOEN>24</LOEN>
                                  <LOCN>32</LOCN>
                                </LnkInProps>
                              </LnkIn>
                            </Ctg>
                            <Ctg>
                              <CtgProps>
                                <R>5</R>
                              </CtgProps>
                              <LnkIn>
                                <LnkInProps>
                                  <MN>16</MN>
                                  <CLI>1,1,49,False,33</CLI>
                                  <ELN>1</ELN>
                                  <LOOT>0</LOOT>
                                  <LOMN>3</LOMN>
                                  <LOMCN>1</LOMCN>
                                  <LOSN>1</LOSN>
                                  <LOEN>24</LOEN>
                                  <LOCN>33</LOCN>
                                </LnkInProps>
                              </LnkIn>
                            </Ctg>
                            <Ctg>
                              <CtgProps>
                                <R>5</R>
                              </CtgProps>
                              <LnkIn>
                                <LnkInProps>
                                  <MN>16</MN>
                                  <CLI>1,1,49,False,34</CLI>
                                  <ELN>1</ELN>
                                  <LOOT>0</LOOT>
                                  <LOMN>3</LOMN>
                                  <LOMCN>1</LOMCN>
                                  <LOSN>1</LOSN>
                                  <LOEN>24</LOEN>
                                  <LOCN>34</LOCN>
                                </LnkInProps>
                              </LnkIn>
                            </Ctg>
                            <Ctg>
                              <CtgProps>
                                <R>5</R>
                              </CtgProps>
                              <LnkIn>
                                <LnkInProps>
                                  <MN>16</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16</MN>
                                  <CLI>1,1,53,False,1</CLI>
                                  <ELN>1</ELN>
                                  <LOOT>0</LOOT>
                                  <LOMN>3</LOMN>
                                  <LOMCN>1</LOMCN>
                                  <LOSN>1</LOSN>
                                  <LOEN>29</LOEN>
                                  <LOCN>1</LOCN>
                                </LnkInProps>
                              </LnkIn>
                            </Ctg>
                            <Ctg>
                              <CtgProps>
                                <R>4</R>
                              </CtgProps>
                              <LnkIn>
                                <LnkInProps>
                                  <MN>16</MN>
                                  <CLI>1,1,53,False,2</CLI>
                                  <ELN>1</ELN>
                                  <LOOT>0</LOOT>
                                  <LOMN>3</LOMN>
                                  <LOMCN>1</LOMCN>
                                  <LOSN>1</LOSN>
                                  <LOEN>29</LOEN>
                                  <LOCN>2</LOCN>
                                </LnkInProps>
                              </LnkIn>
                            </Ctg>
                            <Ctg>
                              <CtgProps>
                                <R>5</R>
                              </CtgProps>
                              <LnkIn>
                                <LnkInProps>
                                  <MN>16</MN>
                                  <CLI>1,1,53,False,3</CLI>
                                  <ELN>1</ELN>
                                  <LOOT>0</LOOT>
                                  <LOMN>3</LOMN>
                                  <LOMCN>1</LOMCN>
                                  <LOSN>1</LOSN>
                                  <LOEN>29</LOEN>
                                  <LOCN>3</LOCN>
                                </LnkInProps>
                              </LnkIn>
                            </Ctg>
                            <Ctg>
                              <CtgProps>
                                <R>5</R>
                              </CtgProps>
                              <LnkIn>
                                <LnkInProps>
                                  <MN>16</MN>
                                  <CLI>1,1,53,False,4</CLI>
                                  <ELN>1</ELN>
                                  <LOOT>0</LOOT>
                                  <LOMN>3</LOMN>
                                  <LOMCN>1</LOMCN>
                                  <LOSN>1</LOSN>
                                  <LOEN>29</LOEN>
                                  <LOCN>4</LOCN>
                                </LnkInProps>
                              </LnkIn>
                            </Ctg>
                            <Ctg>
                              <CtgProps>
                                <R>5</R>
                              </CtgProps>
                              <LnkIn>
                                <LnkInProps>
                                  <MN>16</MN>
                                  <CLI>1,1,53,False,5</CLI>
                                  <ELN>1</ELN>
                                  <LOOT>0</LOOT>
                                  <LOMN>3</LOMN>
                                  <LOMCN>1</LOMCN>
                                  <LOSN>1</LOSN>
                                  <LOEN>29</LOEN>
                                  <LOCN>5</LOCN>
                                </LnkInProps>
                              </LnkIn>
                            </Ctg>
                            <Ctg>
                              <CtgProps>
                                <R>5</R>
                              </CtgProps>
                              <LnkIn>
                                <LnkInProps>
                                  <MN>16</MN>
                                  <CLI>1,1,53,False,6</CLI>
                                  <ELN>1</ELN>
                                  <LOOT>0</LOOT>
                                  <LOMN>3</LOMN>
                                  <LOMCN>1</LOMCN>
                                  <LOSN>1</LOSN>
                                  <LOEN>29</LOEN>
                                  <LOCN>6</LOCN>
                                </LnkInProps>
                              </LnkIn>
                            </Ctg>
                            <Ctg>
                              <CtgProps>
                                <R>5</R>
                              </CtgProps>
                              <LnkIn>
                                <LnkInProps>
                                  <MN>16</MN>
                                  <CLI>1,1,53,False,7</CLI>
                                  <ELN>1</ELN>
                                  <LOOT>0</LOOT>
                                  <LOMN>3</LOMN>
                                  <LOMCN>1</LOMCN>
                                  <LOSN>1</LOSN>
                                  <LOEN>29</LOEN>
                                  <LOCN>7</LOCN>
                                </LnkInProps>
                              </LnkIn>
                            </Ctg>
                            <Ctg>
                              <CtgProps>
                                <R>5</R>
                              </CtgProps>
                              <LnkIn>
                                <LnkInProps>
                                  <MN>16</MN>
                                  <CLI>1,1,53,False,8</CLI>
                                  <ELN>1</ELN>
                                  <LOOT>0</LOOT>
                                  <LOMN>3</LOMN>
                                  <LOMCN>1</LOMCN>
                                  <LOSN>1</LOSN>
                                  <LOEN>29</LOEN>
                                  <LOCN>8</LOCN>
                                </LnkInProps>
                              </LnkIn>
                            </Ctg>
                            <Ctg>
                              <CtgProps>
                                <R>5</R>
                              </CtgProps>
                              <LnkIn>
                                <LnkInProps>
                                  <MN>16</MN>
                                  <CLI>1,1,53,False,9</CLI>
                                  <ELN>1</ELN>
                                  <LOOT>0</LOOT>
                                  <LOMN>3</LOMN>
                                  <LOMCN>1</LOMCN>
                                  <LOSN>1</LOSN>
                                  <LOEN>29</LOEN>
                                  <LOCN>9</LOCN>
                                </LnkInProps>
                              </LnkIn>
                            </Ctg>
                            <Ctg>
                              <CtgProps>
                                <R>5</R>
                              </CtgProps>
                              <LnkIn>
                                <LnkInProps>
                                  <MN>16</MN>
                                  <CLI>1,1,53,False,10</CLI>
                                  <ELN>1</ELN>
                                  <LOOT>0</LOOT>
                                  <LOMN>3</LOMN>
                                  <LOMCN>1</LOMCN>
                                  <LOSN>1</LOSN>
                                  <LOEN>29</LOEN>
                                  <LOCN>10</LOCN>
                                </LnkInProps>
                              </LnkIn>
                            </Ctg>
                            <Ctg>
                              <CtgProps>
                                <R>5</R>
                              </CtgProps>
                              <LnkIn>
                                <LnkInProps>
                                  <MN>16</MN>
                                  <CLI>1,1,53,False,11</CLI>
                                  <ELN>1</ELN>
                                  <LOOT>0</LOOT>
                                  <LOMN>3</LOMN>
                                  <LOMCN>1</LOMCN>
                                  <LOSN>1</LOSN>
                                  <LOEN>29</LOEN>
                                  <LOCN>11</LOCN>
                                </LnkInProps>
                              </LnkIn>
                            </Ctg>
                            <Ctg>
                              <CtgProps>
                                <R>5</R>
                              </CtgProps>
                              <LnkIn>
                                <LnkInProps>
                                  <MN>16</MN>
                                  <CLI>1,1,53,False,12</CLI>
                                  <ELN>1</ELN>
                                  <LOOT>0</LOOT>
                                  <LOMN>3</LOMN>
                                  <LOMCN>1</LOMCN>
                                  <LOSN>1</LOSN>
                                  <LOEN>29</LOEN>
                                  <LOCN>12</LOCN>
                                </LnkInProps>
                              </LnkIn>
                            </Ctg>
                            <Ctg>
                              <CtgProps>
                                <R>5</R>
                              </CtgProps>
                              <LnkIn>
                                <LnkInProps>
                                  <MN>16</MN>
                                  <CLI>1,1,53,False,13</CLI>
                                  <ELN>1</ELN>
                                  <LOOT>0</LOOT>
                                  <LOMN>3</LOMN>
                                  <LOMCN>1</LOMCN>
                                  <LOSN>1</LOSN>
                                  <LOEN>29</LOEN>
                                  <LOCN>13</LOCN>
                                </LnkInProps>
                              </LnkIn>
                            </Ctg>
                            <Ctg>
                              <CtgProps>
                                <R>5</R>
                              </CtgProps>
                              <LnkIn>
                                <LnkInProps>
                                  <MN>16</MN>
                                  <CLI>1,1,53,False,14</CLI>
                                  <ELN>1</ELN>
                                  <LOOT>0</LOOT>
                                  <LOMN>3</LOMN>
                                  <LOMCN>1</LOMCN>
                                  <LOSN>1</LOSN>
                                  <LOEN>29</LOEN>
                                  <LOCN>14</LOCN>
                                </LnkInProps>
                              </LnkIn>
                            </Ctg>
                            <Ctg>
                              <CtgProps>
                                <R>5</R>
                              </CtgProps>
                              <LnkIn>
                                <LnkInProps>
                                  <MN>16</MN>
                                  <CLI>1,1,53,False,15</CLI>
                                  <ELN>1</ELN>
                                  <LOOT>0</LOOT>
                                  <LOMN>3</LOMN>
                                  <LOMCN>1</LOMCN>
                                  <LOSN>1</LOSN>
                                  <LOEN>29</LOEN>
                                  <LOCN>15</LOCN>
                                </LnkInProps>
                              </LnkIn>
                            </Ctg>
                            <Ctg>
                              <CtgProps>
                                <R>5</R>
                              </CtgProps>
                              <LnkIn>
                                <LnkInProps>
                                  <MN>16</MN>
                                  <CLI>1,1,53,False,16</CLI>
                                  <ELN>1</ELN>
                                  <LOOT>0</LOOT>
                                  <LOMN>3</LOMN>
                                  <LOMCN>1</LOMCN>
                                  <LOSN>1</LOSN>
                                  <LOEN>29</LOEN>
                                  <LOCN>16</LOCN>
                                </LnkInProps>
                              </LnkIn>
                            </Ctg>
                            <Ctg>
                              <CtgProps>
                                <R>5</R>
                              </CtgProps>
                              <LnkIn>
                                <LnkInProps>
                                  <MN>16</MN>
                                  <CLI>1,1,53,False,17</CLI>
                                  <ELN>1</ELN>
                                  <LOOT>0</LOOT>
                                  <LOMN>3</LOMN>
                                  <LOMCN>1</LOMCN>
                                  <LOSN>1</LOSN>
                                  <LOEN>29</LOEN>
                                  <LOCN>17</LOCN>
                                </LnkInProps>
                              </LnkIn>
                            </Ctg>
                            <Ctg>
                              <CtgProps>
                                <R>5</R>
                              </CtgProps>
                              <LnkIn>
                                <LnkInProps>
                                  <MN>16</MN>
                                  <CLI>1,1,53,False,18</CLI>
                                  <ELN>1</ELN>
                                  <LOOT>0</LOOT>
                                  <LOMN>3</LOMN>
                                  <LOMCN>1</LOMCN>
                                  <LOSN>1</LOSN>
                                  <LOEN>29</LOEN>
                                  <LOCN>18</LOCN>
                                </LnkInProps>
                              </LnkIn>
                            </Ctg>
                            <Ctg>
                              <CtgProps>
                                <R>5</R>
                              </CtgProps>
                              <LnkIn>
                                <LnkInProps>
                                  <MN>16</MN>
                                  <CLI>1,1,53,False,19</CLI>
                                  <ELN>1</ELN>
                                  <LOOT>0</LOOT>
                                  <LOMN>3</LOMN>
                                  <LOMCN>1</LOMCN>
                                  <LOSN>1</LOSN>
                                  <LOEN>29</LOEN>
                                  <LOCN>19</LOCN>
                                </LnkInProps>
                              </LnkIn>
                            </Ctg>
                            <Ctg>
                              <CtgProps>
                                <R>5</R>
                              </CtgProps>
                              <LnkIn>
                                <LnkInProps>
                                  <MN>16</MN>
                                  <CLI>1,1,53,False,20</CLI>
                                  <ELN>1</ELN>
                                  <LOOT>0</LOOT>
                                  <LOMN>3</LOMN>
                                  <LOMCN>1</LOMCN>
                                  <LOSN>1</LOSN>
                                  <LOEN>29</LOEN>
                                  <LOCN>20</LOCN>
                                </LnkInProps>
                              </LnkIn>
                            </Ctg>
                            <Ctg>
                              <CtgProps>
                                <R>5</R>
                              </CtgProps>
                              <LnkIn>
                                <LnkInProps>
                                  <MN>16</MN>
                                  <CLI>1,1,53,False,21</CLI>
                                  <ELN>1</ELN>
                                  <LOOT>0</LOOT>
                                  <LOMN>3</LOMN>
                                  <LOMCN>1</LOMCN>
                                  <LOSN>1</LOSN>
                                  <LOEN>29</LOEN>
                                  <LOCN>21</LOCN>
                                </LnkInProps>
                              </LnkIn>
                            </Ctg>
                            <Ctg>
                              <CtgProps>
                                <R>5</R>
                              </CtgProps>
                              <LnkIn>
                                <LnkInProps>
                                  <MN>16</MN>
                                  <CLI>1,1,53,False,22</CLI>
                                  <ELN>1</ELN>
                                  <LOOT>0</LOOT>
                                  <LOMN>3</LOMN>
                                  <LOMCN>1</LOMCN>
                                  <LOSN>1</LOSN>
                                  <LOEN>29</LOEN>
                                  <LOCN>22</LOCN>
                                </LnkInProps>
                              </LnkIn>
                            </Ctg>
                            <Ctg>
                              <CtgProps>
                                <R>5</R>
                              </CtgProps>
                              <LnkIn>
                                <LnkInProps>
                                  <MN>16</MN>
                                  <CLI>1,1,53,False,23</CLI>
                                  <ELN>1</ELN>
                                  <LOOT>0</LOOT>
                                  <LOMN>3</LOMN>
                                  <LOMCN>1</LOMCN>
                                  <LOSN>1</LOSN>
                                  <LOEN>29</LOEN>
                                  <LOCN>23</LOCN>
                                </LnkInProps>
                              </LnkIn>
                            </Ctg>
                            <Ctg>
                              <CtgProps>
                                <R>5</R>
                              </CtgProps>
                              <LnkIn>
                                <LnkInProps>
                                  <MN>16</MN>
                                  <CLI>1,1,53,False,24</CLI>
                                  <ELN>1</ELN>
                                  <LOOT>0</LOOT>
                                  <LOMN>3</LOMN>
                                  <LOMCN>1</LOMCN>
                                  <LOSN>1</LOSN>
                                  <LOEN>29</LOEN>
                                  <LOCN>24</LOCN>
                                </LnkInProps>
                              </LnkIn>
                            </Ctg>
                            <Ctg>
                              <CtgProps>
                                <R>5</R>
                              </CtgProps>
                              <LnkIn>
                                <LnkInProps>
                                  <MN>16</MN>
                                  <CLI>1,1,53,False,25</CLI>
                                  <ELN>1</ELN>
                                  <LOOT>0</LOOT>
                                  <LOMN>3</LOMN>
                                  <LOMCN>1</LOMCN>
                                  <LOSN>1</LOSN>
                                  <LOEN>29</LOEN>
                                  <LOCN>25</LOCN>
                                </LnkInProps>
                              </LnkIn>
                            </Ctg>
                            <Ctg>
                              <CtgProps>
                                <R>5</R>
                              </CtgProps>
                              <LnkIn>
                                <LnkInProps>
                                  <MN>16</MN>
                                  <CLI>1,1,53,False,26</CLI>
                                  <ELN>1</ELN>
                                  <LOOT>0</LOOT>
                                  <LOMN>3</LOMN>
                                  <LOMCN>1</LOMCN>
                                  <LOSN>1</LOSN>
                                  <LOEN>29</LOEN>
                                  <LOCN>26</LOCN>
                                </LnkInProps>
                              </LnkIn>
                            </Ctg>
                            <Ctg>
                              <CtgProps>
                                <R>5</R>
                              </CtgProps>
                              <LnkIn>
                                <LnkInProps>
                                  <MN>16</MN>
                                  <CLI>1,1,53,False,27</CLI>
                                  <ELN>1</ELN>
                                  <LOOT>0</LOOT>
                                  <LOMN>3</LOMN>
                                  <LOMCN>1</LOMCN>
                                  <LOSN>1</LOSN>
                                  <LOEN>29</LOEN>
                                  <LOCN>27</LOCN>
                                </LnkInProps>
                              </LnkIn>
                            </Ctg>
                            <Ctg>
                              <CtgProps>
                                <R>5</R>
                              </CtgProps>
                              <LnkIn>
                                <LnkInProps>
                                  <MN>16</MN>
                                  <CLI>1,1,53,False,28</CLI>
                                  <ELN>1</ELN>
                                  <LOOT>0</LOOT>
                                  <LOMN>3</LOMN>
                                  <LOMCN>1</LOMCN>
                                  <LOSN>1</LOSN>
                                  <LOEN>29</LOEN>
                                  <LOCN>28</LOCN>
                                </LnkInProps>
                              </LnkIn>
                            </Ctg>
                            <Ctg>
                              <CtgProps>
                                <R>5</R>
                              </CtgProps>
                              <LnkIn>
                                <LnkInProps>
                                  <MN>16</MN>
                                  <CLI>1,1,53,False,29</CLI>
                                  <ELN>1</ELN>
                                  <LOOT>0</LOOT>
                                  <LOMN>3</LOMN>
                                  <LOMCN>1</LOMCN>
                                  <LOSN>1</LOSN>
                                  <LOEN>29</LOEN>
                                  <LOCN>29</LOCN>
                                </LnkInProps>
                              </LnkIn>
                            </Ctg>
                            <Ctg>
                              <CtgProps>
                                <R>5</R>
                              </CtgProps>
                              <LnkIn>
                                <LnkInProps>
                                  <MN>16</MN>
                                  <CLI>1,1,53,False,30</CLI>
                                  <ELN>1</ELN>
                                  <LOOT>0</LOOT>
                                  <LOMN>3</LOMN>
                                  <LOMCN>1</LOMCN>
                                  <LOSN>1</LOSN>
                                  <LOEN>29</LOEN>
                                  <LOCN>30</LOCN>
                                </LnkInProps>
                              </LnkIn>
                            </Ctg>
                            <Ctg>
                              <CtgProps>
                                <R>5</R>
                              </CtgProps>
                              <LnkIn>
                                <LnkInProps>
                                  <MN>16</MN>
                                  <CLI>1,1,53,False,31</CLI>
                                  <ELN>1</ELN>
                                  <LOOT>0</LOOT>
                                  <LOMN>3</LOMN>
                                  <LOMCN>1</LOMCN>
                                  <LOSN>1</LOSN>
                                  <LOEN>29</LOEN>
                                  <LOCN>31</LOCN>
                                </LnkInProps>
                              </LnkIn>
                            </Ctg>
                            <Ctg>
                              <CtgProps>
                                <R>5</R>
                              </CtgProps>
                              <LnkIn>
                                <LnkInProps>
                                  <MN>16</MN>
                                  <CLI>1,1,53,False,32</CLI>
                                  <ELN>1</ELN>
                                  <LOOT>0</LOOT>
                                  <LOMN>3</LOMN>
                                  <LOMCN>1</LOMCN>
                                  <LOSN>1</LOSN>
                                  <LOEN>29</LOEN>
                                  <LOCN>32</LOCN>
                                </LnkInProps>
                              </LnkIn>
                            </Ctg>
                            <Ctg>
                              <CtgProps>
                                <R>5</R>
                              </CtgProps>
                              <LnkIn>
                                <LnkInProps>
                                  <MN>16</MN>
                                  <CLI>1,1,53,False,33</CLI>
                                  <ELN>1</ELN>
                                  <LOOT>0</LOOT>
                                  <LOMN>3</LOMN>
                                  <LOMCN>1</LOMCN>
                                  <LOSN>1</LOSN>
                                  <LOEN>29</LOEN>
                                  <LOCN>33</LOCN>
                                </LnkInProps>
                              </LnkIn>
                            </Ctg>
                            <Ctg>
                              <CtgProps>
                                <R>5</R>
                              </CtgProps>
                              <LnkIn>
                                <LnkInProps>
                                  <MN>16</MN>
                                  <CLI>1,1,53,False,34</CLI>
                                  <ELN>1</ELN>
                                  <LOOT>0</LOOT>
                                  <LOMN>3</LOMN>
                                  <LOMCN>1</LOMCN>
                                  <LOSN>1</LOSN>
                                  <LOEN>29</LOEN>
                                  <LOCN>34</LOCN>
                                </LnkInProps>
                              </LnkIn>
                            </Ctg>
                            <Ctg>
                              <CtgProps>
                                <R>5</R>
                              </CtgProps>
                              <LnkIn>
                                <LnkInProps>
                                  <MN>16</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16</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16</MN>
                <MCN>2</MCN>
                <MCTK>BaseCase</MCTK>
                <RT><![CDATA[<ModuleName> - Assumptions]]></RT>
                <ERN>BPMMC134</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ClmnBlks>
                        <ClmnBlk>
                          <ClmnBlkProps>
                            <FCPT>3</FCPT>
                            <FCN>3</FCN>
                            <FCOT>0</FCOT>
                            <FCOC>0</FCOC>
                            <FCPTBMCN>3</FCPTBMCN>
                            <FCPTBN>2</FCPTBN>
                            <LCPT>3</LCPT>
                            <LCN>3</LCN>
                            <LCOT>0</LCOT>
                            <LCOC>0</LCOC>
                            <LCPTBMCN>3</LCPTBMCN>
                            <LCPTBN>2</LCPTBN>
                          </ClmnBlkProps>
                          <ClmnBlkPts>
                            <ClmnBlkPt>
                              <ClmnBlkPtProps>
                                <CBPT>5</CBPT>
                                <ST>6</ST>
                                <VOFFF><![CDATA[Number IEC Pretesting Activities]]></VOFFF>
                              </ClmnBlkPtProps>
                            </ClmnBlkPt>
                          </ClmnBlkPts>
                        </ClmnBlk>
                        <ClmnBlk>
                          <ClmnBlkProps>
                            <FCPT>3</FCPT>
                            <FCN>11</FCN>
                            <FCOT>0</FCOT>
                            <FCOC>0</FCOC>
                            <FCPTBMCN>3</FCPTBMCN>
                            <FCPTBN>3</FCPTBN>
                            <LCPT>3</LCPT>
                            <LCN>11</LCN>
                            <LCOT>1</LCOT>
                            <LCOC>0</LCOC>
                            <LCPTBMCN>3</LCPTBMCN>
                            <LCPTBN>3</LCPTBN>
                          </ClmnBlkProps>
                          <ClmnBlkPts>
                            <ClmnBlkPt>
                              <ClmnBlkPtProps>
                                <CBPT>5</CBPT>
                                <ST>11</ST>
                                <VOFFF/>
                                <UDAV><![CDATA[0]]></UDAV>
                              </ClmnBlkPtProps>
                            </ClmnBlkPt>
                          </ClmnBlkPts>
                        </ClmnBlk>
                      </ClmnBlks>
                      <TtlCtg/>
                    </Elmt>
                  </Elmts>
                </Sect>
              </Sects>
            </ModComp>
            <ModComp>
              <ModCompProps>
                <MN>16</MN>
                <MCN>3</MCN>
                <MCTK>OP</MCTK>
                <RT><![CDATA[<ModuleName> - Outputs]]></RT>
                <ERN>BPMMC135</ERN>
                <MCST>0</MCST>
                <IPMC>False</IPMC>
                <SN>27</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COMM_PRETEST]]></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1,1,3,1,10,0,2,1,1§Z¿*§A¿0,3,0,1,8,2,1,-1,0,0,FALSE,FALSE§Z¿]]></VOFFF>
                              </ClmnBlkPtProps>
                            </ClmnBlkPt>
                          </ClmnBlkPts>
                        </ClmnBlk>
                        <ClmnBlk>
                          <ClmnBlkProps>
                            <FCPT>0</FCPT>
                            <FCN>12</FCN>
                            <LCPT>0</LCPT>
                            <LCN>12</LCN>
                          </ClmnBlkProps>
                          <ClmnBlkPts>
                            <ClmnBlkPt>
                              <ClmnBlkPtProps>
                                <CBPT>5</CBPT>
                                <ST>18</ST>
                                <SON>6</SON>
                                <VOFFF><![CDATA[=§A¿1,1,3,1,10,0,2,1,1§Z¿*§A¿0,3,0,1,8,3,1,-1,0,0,FALSE,FALSE§Z¿]]></VOFFF>
                              </ClmnBlkPtProps>
                            </ClmnBlkPt>
                          </ClmnBlkPts>
                        </ClmnBlk>
                        <ClmnBlk>
                          <ClmnBlkProps>
                            <FCPT>0</FCPT>
                            <FCN>15</FCN>
                            <LCPT>0</LCPT>
                            <LCN>15</LCN>
                          </ClmnBlkProps>
                          <ClmnBlkPts>
                            <ClmnBlkPt>
                              <ClmnBlkPtProps>
                                <CBPT>5</CBPT>
                                <ST>18</ST>
                                <SON>6</SON>
                                <VOFFF><![CDATA[=§A¿1,1,3,1,10,0,2,1,1§Z¿*§A¿0,3,0,1,8,4,1,-1,0,0,FALSE,FALSE§Z¿]]></VOFFF>
                              </ClmnBlkPtProps>
                            </ClmnBlkPt>
                          </ClmnBlkPts>
                        </ClmnBlk>
                        <ClmnBlk>
                          <ClmnBlkProps>
                            <FCPT>0</FCPT>
                            <FCN>17</FCN>
                            <LCPT>0</LCPT>
                            <LCN>17</LCN>
                          </ClmnBlkProps>
                          <ClmnBlkPts>
                            <ClmnBlkPt>
                              <ClmnBlkPtProps>
                                <CBPT>5</CBPT>
                                <ST>18</ST>
                                <SON>6</SON>
                                <VOFFF><![CDATA[=§A¿1,1,3,1,10,0,2,1,1§Z¿*§A¿0,3,0,1,8,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16</MN>
                <MCN>4</MCN>
                <MCTK>LU</MCTK>
                <RT><![CDATA[<ModuleName> - Lookups]]></RT>
                <ERN>BPMMC136</ERN>
                <MCST>3</MCST>
                <IPMC>False</IPMC>
                <SN>42</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104</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1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1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1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1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1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1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22</MN>
            <MAG>608162F4-E730-403E-9DB1-20B06C6C3C25</MAG>
            <BN><![CDATA[PLUG_ACTIVITY]]></BN>
            <N><![CDATA[IEC-PRODUCTION]]></N>
            <TS><![CDATA[Annual]]></TS>
            <D><![CDATA[Assists with planning the cost of an activity. Should be used with Prices module.]]></D>
            <FS/>
            <R/>
            <GE/>
            <CA/>
            <VA/>
            <GST/>
            <DE/>
            <E/>
            <C/>
            <W/>
            <K/>
            <CO/>
            <V>1.0.0.0.</V>
            <AX/>
            <PMLO>False</PMLO>
            <IPMLO>False</IPMLO>
            <MACA>1</MACA>
            <RTSM>True</RTSM>
            <CC>True</CC>
            <X>False</X>
            <G>A8406EEB-C0CF-4BC5-BA23-E09F61A59B33</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17</MN>
                <MCN>1</MCN>
                <MCTK>BaseCase</MCTK>
                <RT><![CDATA[<ModuleName> - Assumptions]]></RT>
                <ERN>BPMMC137</ERN>
                <MCST>0</MCST>
                <IPMC>False</IPMC>
                <SN>15</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105</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2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Day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Driver (Salaried)]]></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Day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Allowance - Meal (out-of-station)]]></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0]]></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Luncheon (incl. beverage) - National Level]]></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17</MN>
                                  <CLI>1,1,34,False,1</CLI>
                                  <ELN>1</ELN>
                                  <LOOT>0</LOOT>
                                  <LOMN>3</LOMN>
                                  <LOMCN>2</LOMCN>
                                  <LOSN>1</LOSN>
                                  <LOEN>4</LOEN>
                                  <LOCN>1</LOCN>
                                </LnkInProps>
                              </LnkIn>
                            </Ctg>
                            <Ctg>
                              <CtgProps>
                                <R>5</R>
                              </CtgProps>
                              <LnkIn>
                                <LnkInProps>
                                  <MN>17</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 References (Developer Only. User May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17</MN>
                                  <CLI>1,1,39,False,1</CLI>
                                  <ELN>1</ELN>
                                  <LOOT>0</LOOT>
                                  <LOMN>3</LOMN>
                                  <LOMCN>1</LOMCN>
                                  <LOSN>1</LOSN>
                                  <LOEN>10</LOEN>
                                  <LOCN>1</LOCN>
                                </LnkInProps>
                              </LnkIn>
                            </Ctg>
                            <Ctg>
                              <CtgProps>
                                <R>4</R>
                              </CtgProps>
                              <LnkIn>
                                <LnkInProps>
                                  <MN>17</MN>
                                  <CLI>1,1,39,False,2</CLI>
                                  <ELN>1</ELN>
                                  <LOOT>0</LOOT>
                                  <LOMN>3</LOMN>
                                  <LOMCN>1</LOMCN>
                                  <LOSN>1</LOSN>
                                  <LOEN>10</LOEN>
                                  <LOCN>2</LOCN>
                                </LnkInProps>
                              </LnkIn>
                            </Ctg>
                            <Ctg>
                              <CtgProps>
                                <R>4</R>
                              </CtgProps>
                              <LnkIn>
                                <LnkInProps>
                                  <MN>17</MN>
                                  <CLI>1,1,39,False,3</CLI>
                                  <ELN>1</ELN>
                                  <LOOT>0</LOOT>
                                  <LOMN>3</LOMN>
                                  <LOMCN>1</LOMCN>
                                  <LOSN>1</LOSN>
                                  <LOEN>10</LOEN>
                                  <LOCN>3</LOCN>
                                </LnkInProps>
                              </LnkIn>
                            </Ctg>
                            <Ctg>
                              <CtgProps>
                                <R>4</R>
                              </CtgProps>
                              <LnkIn>
                                <LnkInProps>
                                  <MN>17</MN>
                                  <CLI>1,1,39,False,4</CLI>
                                  <ELN>1</ELN>
                                  <LOOT>0</LOOT>
                                  <LOMN>3</LOMN>
                                  <LOMCN>1</LOMCN>
                                  <LOSN>1</LOSN>
                                  <LOEN>10</LOEN>
                                  <LOCN>4</LOCN>
                                </LnkInProps>
                              </LnkIn>
                            </Ctg>
                            <Ctg>
                              <CtgProps>
                                <R>4</R>
                              </CtgProps>
                              <LnkIn>
                                <LnkInProps>
                                  <MN>17</MN>
                                  <CLI>1,1,39,False,5</CLI>
                                  <ELN>1</ELN>
                                  <LOOT>0</LOOT>
                                  <LOMN>3</LOMN>
                                  <LOMCN>1</LOMCN>
                                  <LOSN>1</LOSN>
                                  <LOEN>10</LOEN>
                                  <LOCN>5</LOCN>
                                </LnkInProps>
                              </LnkIn>
                            </Ctg>
                            <Ctg>
                              <CtgProps>
                                <R>4</R>
                              </CtgProps>
                              <LnkIn>
                                <LnkInProps>
                                  <MN>17</MN>
                                  <CLI>1,1,39,False,6</CLI>
                                  <ELN>1</ELN>
                                  <LOOT>0</LOOT>
                                  <LOMN>3</LOMN>
                                  <LOMCN>1</LOMCN>
                                  <LOSN>1</LOSN>
                                  <LOEN>10</LOEN>
                                  <LOCN>6</LOCN>
                                </LnkInProps>
                              </LnkIn>
                            </Ctg>
                            <Ctg>
                              <CtgProps>
                                <R>4</R>
                              </CtgProps>
                              <LnkIn>
                                <LnkInProps>
                                  <MN>17</MN>
                                  <CLI>1,1,39,False,7</CLI>
                                  <ELN>1</ELN>
                                  <LOOT>0</LOOT>
                                  <LOMN>3</LOMN>
                                  <LOMCN>1</LOMCN>
                                  <LOSN>1</LOSN>
                                  <LOEN>10</LOEN>
                                  <LOCN>7</LOCN>
                                </LnkInProps>
                              </LnkIn>
                            </Ctg>
                            <Ctg>
                              <CtgProps>
                                <R>4</R>
                              </CtgProps>
                              <LnkIn>
                                <LnkInProps>
                                  <MN>17</MN>
                                  <CLI>1,1,39,False,8</CLI>
                                  <ELN>1</ELN>
                                  <LOOT>0</LOOT>
                                  <LOMN>3</LOMN>
                                  <LOMCN>1</LOMCN>
                                  <LOSN>1</LOSN>
                                  <LOEN>10</LOEN>
                                  <LOCN>8</LOCN>
                                </LnkInProps>
                              </LnkIn>
                            </Ctg>
                            <Ctg>
                              <CtgProps>
                                <R>4</R>
                              </CtgProps>
                              <LnkIn>
                                <LnkInProps>
                                  <MN>17</MN>
                                  <CLI>1,1,39,False,9</CLI>
                                  <ELN>1</ELN>
                                  <LOOT>0</LOOT>
                                  <LOMN>3</LOMN>
                                  <LOMCN>1</LOMCN>
                                  <LOSN>1</LOSN>
                                  <LOEN>10</LOEN>
                                  <LOCN>9</LOCN>
                                </LnkInProps>
                              </LnkIn>
                            </Ctg>
                            <Ctg>
                              <CtgProps>
                                <R>4</R>
                              </CtgProps>
                              <LnkIn>
                                <LnkInProps>
                                  <MN>17</MN>
                                  <CLI>1,1,39,False,10</CLI>
                                  <ELN>1</ELN>
                                  <LOOT>0</LOOT>
                                  <LOMN>3</LOMN>
                                  <LOMCN>1</LOMCN>
                                  <LOSN>1</LOSN>
                                  <LOEN>10</LOEN>
                                  <LOCN>10</LOCN>
                                </LnkInProps>
                              </LnkIn>
                            </Ctg>
                            <Ctg>
                              <CtgProps>
                                <R>4</R>
                              </CtgProps>
                              <LnkIn>
                                <LnkInProps>
                                  <MN>17</MN>
                                  <CLI>1,1,39,False,11</CLI>
                                  <ELN>1</ELN>
                                  <LOOT>0</LOOT>
                                  <LOMN>3</LOMN>
                                  <LOMCN>1</LOMCN>
                                  <LOSN>1</LOSN>
                                  <LOEN>10</LOEN>
                                  <LOCN>11</LOCN>
                                </LnkInProps>
                              </LnkIn>
                            </Ctg>
                            <Ctg>
                              <CtgProps>
                                <R>4</R>
                              </CtgProps>
                              <LnkIn>
                                <LnkInProps>
                                  <MN>17</MN>
                                  <CLI>1,1,39,False,12</CLI>
                                  <ELN>1</ELN>
                                  <LOOT>0</LOOT>
                                  <LOMN>3</LOMN>
                                  <LOMCN>1</LOMCN>
                                  <LOSN>1</LOSN>
                                  <LOEN>10</LOEN>
                                  <LOCN>12</LOCN>
                                </LnkInProps>
                              </LnkIn>
                            </Ctg>
                            <Ctg>
                              <CtgProps>
                                <R>4</R>
                              </CtgProps>
                              <LnkIn>
                                <LnkInProps>
                                  <MN>17</MN>
                                  <CLI>1,1,39,False,13</CLI>
                                  <ELN>1</ELN>
                                  <LOOT>0</LOOT>
                                  <LOMN>3</LOMN>
                                  <LOMCN>1</LOMCN>
                                  <LOSN>1</LOSN>
                                  <LOEN>10</LOEN>
                                  <LOCN>13</LOCN>
                                </LnkInProps>
                              </LnkIn>
                            </Ctg>
                            <Ctg>
                              <CtgProps>
                                <R>4</R>
                              </CtgProps>
                              <LnkIn>
                                <LnkInProps>
                                  <MN>17</MN>
                                  <CLI>1,1,39,False,14</CLI>
                                  <ELN>1</ELN>
                                  <LOOT>0</LOOT>
                                  <LOMN>3</LOMN>
                                  <LOMCN>1</LOMCN>
                                  <LOSN>1</LOSN>
                                  <LOEN>10</LOEN>
                                  <LOCN>14</LOCN>
                                </LnkInProps>
                              </LnkIn>
                            </Ctg>
                            <Ctg>
                              <CtgProps>
                                <R>5</R>
                              </CtgProps>
                              <LnkIn>
                                <LnkInProps>
                                  <MN>17</MN>
                                  <CLI>1,1,39,False,15</CLI>
                                  <ELN>1</ELN>
                                  <LOOT>0</LOOT>
                                  <LOMN>3</LOMN>
                                  <LOMCN>1</LOMCN>
                                  <LOSN>1</LOSN>
                                  <LOEN>10</LOEN>
                                  <LOCN>15</LOCN>
                                </LnkInProps>
                              </LnkIn>
                            </Ctg>
                            <Ctg>
                              <CtgProps>
                                <R>5</R>
                              </CtgProps>
                              <LnkIn>
                                <LnkInProps>
                                  <MN>17</MN>
                                  <CLI>1,1,39,False,16</CLI>
                                  <ELN>1</ELN>
                                  <LOOT>0</LOOT>
                                  <LOMN>3</LOMN>
                                  <LOMCN>1</LOMCN>
                                  <LOSN>1</LOSN>
                                  <LOEN>10</LOEN>
                                  <LOCN>16</LOCN>
                                </LnkInProps>
                              </LnkIn>
                            </Ctg>
                            <Ctg>
                              <CtgProps>
                                <R>5</R>
                              </CtgProps>
                              <LnkIn>
                                <LnkInProps>
                                  <MN>17</MN>
                                  <CLI>1,1,39,False,17</CLI>
                                  <ELN>1</ELN>
                                  <LOOT>0</LOOT>
                                  <LOMN>3</LOMN>
                                  <LOMCN>1</LOMCN>
                                  <LOSN>1</LOSN>
                                  <LOEN>10</LOEN>
                                  <LOCN>17</LOCN>
                                </LnkInProps>
                              </LnkIn>
                            </Ctg>
                            <Ctg>
                              <CtgProps>
                                <R>5</R>
                              </CtgProps>
                              <LnkIn>
                                <LnkInProps>
                                  <MN>17</MN>
                                  <CLI>1,1,39,False,18</CLI>
                                  <ELN>1</ELN>
                                  <LOOT>0</LOOT>
                                  <LOMN>3</LOMN>
                                  <LOMCN>1</LOMCN>
                                  <LOSN>1</LOSN>
                                  <LOEN>10</LOEN>
                                  <LOCN>18</LOCN>
                                </LnkInProps>
                              </LnkIn>
                            </Ctg>
                            <Ctg>
                              <CtgProps>
                                <R>5</R>
                              </CtgProps>
                              <LnkIn>
                                <LnkInProps>
                                  <MN>17</MN>
                                  <CLI>1,1,39,False,19</CLI>
                                  <ELN>1</ELN>
                                  <LOOT>0</LOOT>
                                  <LOMN>3</LOMN>
                                  <LOMCN>1</LOMCN>
                                  <LOSN>1</LOSN>
                                  <LOEN>10</LOEN>
                                  <LOCN>19</LOCN>
                                </LnkInProps>
                              </LnkIn>
                            </Ctg>
                            <Ctg>
                              <CtgProps>
                                <R>5</R>
                              </CtgProps>
                              <LnkIn>
                                <LnkInProps>
                                  <MN>17</MN>
                                  <CLI>1,1,39,False,20</CLI>
                                  <ELN>1</ELN>
                                  <LOOT>0</LOOT>
                                  <LOMN>3</LOMN>
                                  <LOMCN>1</LOMCN>
                                  <LOSN>1</LOSN>
                                  <LOEN>10</LOEN>
                                  <LOCN>20</LOCN>
                                </LnkInProps>
                              </LnkIn>
                            </Ctg>
                            <Ctg>
                              <CtgProps>
                                <R>5</R>
                              </CtgProps>
                              <LnkIn>
                                <LnkInProps>
                                  <MN>17</MN>
                                  <CLI>1,1,39,False,21</CLI>
                                  <ELN>1</ELN>
                                  <LOOT>0</LOOT>
                                  <LOMN>3</LOMN>
                                  <LOMCN>1</LOMCN>
                                  <LOSN>1</LOSN>
                                  <LOEN>10</LOEN>
                                  <LOCN>21</LOCN>
                                </LnkInProps>
                              </LnkIn>
                            </Ctg>
                            <Ctg>
                              <CtgProps>
                                <R>5</R>
                              </CtgProps>
                              <LnkIn>
                                <LnkInProps>
                                  <MN>17</MN>
                                  <CLI>1,1,39,False,22</CLI>
                                  <ELN>1</ELN>
                                  <LOOT>0</LOOT>
                                  <LOMN>3</LOMN>
                                  <LOMCN>1</LOMCN>
                                  <LOSN>1</LOSN>
                                  <LOEN>10</LOEN>
                                  <LOCN>22</LOCN>
                                </LnkInProps>
                              </LnkIn>
                            </Ctg>
                            <Ctg>
                              <CtgProps>
                                <R>5</R>
                              </CtgProps>
                              <LnkIn>
                                <LnkInProps>
                                  <MN>17</MN>
                                  <CLI>1,1,39,False,23</CLI>
                                  <ELN>1</ELN>
                                  <LOOT>0</LOOT>
                                  <LOMN>3</LOMN>
                                  <LOMCN>1</LOMCN>
                                  <LOSN>1</LOSN>
                                  <LOEN>10</LOEN>
                                  <LOCN>23</LOCN>
                                </LnkInProps>
                              </LnkIn>
                            </Ctg>
                            <Ctg>
                              <CtgProps>
                                <R>5</R>
                              </CtgProps>
                              <LnkIn>
                                <LnkInProps>
                                  <MN>17</MN>
                                  <CLI>1,1,39,False,24</CLI>
                                  <ELN>1</ELN>
                                  <LOOT>0</LOOT>
                                  <LOMN>3</LOMN>
                                  <LOMCN>1</LOMCN>
                                  <LOSN>1</LOSN>
                                  <LOEN>10</LOEN>
                                  <LOCN>24</LOCN>
                                </LnkInProps>
                              </LnkIn>
                            </Ctg>
                            <Ctg>
                              <CtgProps>
                                <R>5</R>
                              </CtgProps>
                              <LnkIn>
                                <LnkInProps>
                                  <MN>17</MN>
                                  <CLI>1,1,39,False,25</CLI>
                                  <ELN>1</ELN>
                                  <LOOT>0</LOOT>
                                  <LOMN>3</LOMN>
                                  <LOMCN>1</LOMCN>
                                  <LOSN>1</LOSN>
                                  <LOEN>10</LOEN>
                                  <LOCN>25</LOCN>
                                </LnkInProps>
                              </LnkIn>
                            </Ctg>
                            <Ctg>
                              <CtgProps>
                                <R>5</R>
                              </CtgProps>
                              <LnkIn>
                                <LnkInProps>
                                  <MN>17</MN>
                                  <CLI>1,1,39,False,26</CLI>
                                  <ELN>1</ELN>
                                  <LOOT>0</LOOT>
                                  <LOMN>3</LOMN>
                                  <LOMCN>1</LOMCN>
                                  <LOSN>1</LOSN>
                                  <LOEN>10</LOEN>
                                  <LOCN>26</LOCN>
                                </LnkInProps>
                              </LnkIn>
                            </Ctg>
                            <Ctg>
                              <CtgProps>
                                <R>5</R>
                              </CtgProps>
                              <LnkIn>
                                <LnkInProps>
                                  <MN>17</MN>
                                  <CLI>1,1,39,False,27</CLI>
                                  <ELN>1</ELN>
                                  <LOOT>0</LOOT>
                                  <LOMN>3</LOMN>
                                  <LOMCN>1</LOMCN>
                                  <LOSN>1</LOSN>
                                  <LOEN>10</LOEN>
                                  <LOCN>27</LOCN>
                                </LnkInProps>
                              </LnkIn>
                            </Ctg>
                            <Ctg>
                              <CtgProps>
                                <R>5</R>
                              </CtgProps>
                              <LnkIn>
                                <LnkInProps>
                                  <MN>17</MN>
                                  <CLI>1,1,39,False,28</CLI>
                                  <ELN>1</ELN>
                                  <LOOT>0</LOOT>
                                  <LOMN>3</LOMN>
                                  <LOMCN>1</LOMCN>
                                  <LOSN>1</LOSN>
                                  <LOEN>10</LOEN>
                                  <LOCN>28</LOCN>
                                </LnkInProps>
                              </LnkIn>
                            </Ctg>
                            <Ctg>
                              <CtgProps>
                                <R>5</R>
                              </CtgProps>
                              <LnkIn>
                                <LnkInProps>
                                  <MN>17</MN>
                                  <CLI>1,1,39,False,29</CLI>
                                  <ELN>1</ELN>
                                  <LOOT>0</LOOT>
                                  <LOMN>3</LOMN>
                                  <LOMCN>1</LOMCN>
                                  <LOSN>1</LOSN>
                                  <LOEN>10</LOEN>
                                  <LOCN>29</LOCN>
                                </LnkInProps>
                              </LnkIn>
                            </Ctg>
                            <Ctg>
                              <CtgProps>
                                <R>5</R>
                              </CtgProps>
                              <LnkIn>
                                <LnkInProps>
                                  <MN>17</MN>
                                  <CLI>1,1,39,False,30</CLI>
                                  <ELN>1</ELN>
                                  <LOOT>0</LOOT>
                                  <LOMN>3</LOMN>
                                  <LOMCN>1</LOMCN>
                                  <LOSN>1</LOSN>
                                  <LOEN>10</LOEN>
                                  <LOCN>30</LOCN>
                                </LnkInProps>
                              </LnkIn>
                            </Ctg>
                            <Ctg>
                              <CtgProps>
                                <R>5</R>
                              </CtgProps>
                              <LnkIn>
                                <LnkInProps>
                                  <MN>17</MN>
                                  <CLI>1,1,39,False,31</CLI>
                                  <ELN>1</ELN>
                                  <LOOT>0</LOOT>
                                  <LOMN>3</LOMN>
                                  <LOMCN>1</LOMCN>
                                  <LOSN>1</LOSN>
                                  <LOEN>10</LOEN>
                                  <LOCN>31</LOCN>
                                </LnkInProps>
                              </LnkIn>
                            </Ctg>
                            <Ctg>
                              <CtgProps>
                                <R>5</R>
                              </CtgProps>
                              <LnkIn>
                                <LnkInProps>
                                  <MN>17</MN>
                                  <CLI>1,1,39,False,32</CLI>
                                  <ELN>1</ELN>
                                  <LOOT>0</LOOT>
                                  <LOMN>3</LOMN>
                                  <LOMCN>1</LOMCN>
                                  <LOSN>1</LOSN>
                                  <LOEN>10</LOEN>
                                  <LOCN>32</LOCN>
                                </LnkInProps>
                              </LnkIn>
                            </Ctg>
                            <Ctg>
                              <CtgProps>
                                <R>5</R>
                              </CtgProps>
                              <LnkIn>
                                <LnkInProps>
                                  <MN>17</MN>
                                  <CLI>1,1,39,False,33</CLI>
                                  <ELN>1</ELN>
                                  <LOOT>0</LOOT>
                                  <LOMN>3</LOMN>
                                  <LOMCN>1</LOMCN>
                                  <LOSN>1</LOSN>
                                  <LOEN>10</LOEN>
                                  <LOCN>33</LOCN>
                                </LnkInProps>
                              </LnkIn>
                            </Ctg>
                            <Ctg>
                              <CtgProps>
                                <R>5</R>
                              </CtgProps>
                              <LnkIn>
                                <LnkInProps>
                                  <MN>17</MN>
                                  <CLI>1,1,39,False,34</CLI>
                                  <ELN>1</ELN>
                                  <LOOT>0</LOOT>
                                  <LOMN>3</LOMN>
                                  <LOMCN>1</LOMCN>
                                  <LOSN>1</LOSN>
                                  <LOEN>10</LOEN>
                                  <LOCN>34</LOCN>
                                </LnkInProps>
                              </LnkIn>
                            </Ctg>
                            <Ctg>
                              <CtgProps>
                                <R>5</R>
                              </CtgProps>
                              <LnkIn>
                                <LnkInProps>
                                  <MN>17</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17</MN>
                                  <CLI>1,1,42,False,1</CLI>
                                  <ELN>1</ELN>
                                  <LOOT>0</LOOT>
                                  <LOMN>3</LOMN>
                                  <LOMCN>1</LOMCN>
                                  <LOSN>1</LOSN>
                                  <LOEN>15</LOEN>
                                  <LOCN>1</LOCN>
                                </LnkInProps>
                              </LnkIn>
                            </Ctg>
                            <Ctg>
                              <CtgProps>
                                <R>4</R>
                              </CtgProps>
                              <LnkIn>
                                <LnkInProps>
                                  <MN>17</MN>
                                  <CLI>1,1,42,False,2</CLI>
                                  <ELN>1</ELN>
                                  <LOOT>0</LOOT>
                                  <LOMN>3</LOMN>
                                  <LOMCN>1</LOMCN>
                                  <LOSN>1</LOSN>
                                  <LOEN>15</LOEN>
                                  <LOCN>2</LOCN>
                                </LnkInProps>
                              </LnkIn>
                            </Ctg>
                            <Ctg>
                              <CtgProps>
                                <R>4</R>
                              </CtgProps>
                              <LnkIn>
                                <LnkInProps>
                                  <MN>17</MN>
                                  <CLI>1,1,42,False,3</CLI>
                                  <ELN>1</ELN>
                                  <LOOT>0</LOOT>
                                  <LOMN>3</LOMN>
                                  <LOMCN>1</LOMCN>
                                  <LOSN>1</LOSN>
                                  <LOEN>15</LOEN>
                                  <LOCN>3</LOCN>
                                </LnkInProps>
                              </LnkIn>
                            </Ctg>
                            <Ctg>
                              <CtgProps>
                                <R>4</R>
                              </CtgProps>
                              <LnkIn>
                                <LnkInProps>
                                  <MN>17</MN>
                                  <CLI>1,1,42,False,4</CLI>
                                  <ELN>1</ELN>
                                  <LOOT>0</LOOT>
                                  <LOMN>3</LOMN>
                                  <LOMCN>1</LOMCN>
                                  <LOSN>1</LOSN>
                                  <LOEN>15</LOEN>
                                  <LOCN>4</LOCN>
                                </LnkInProps>
                              </LnkIn>
                            </Ctg>
                            <Ctg>
                              <CtgProps>
                                <R>5</R>
                              </CtgProps>
                              <LnkIn>
                                <LnkInProps>
                                  <MN>17</MN>
                                  <CLI>1,1,42,False,5</CLI>
                                  <ELN>1</ELN>
                                  <LOOT>0</LOOT>
                                  <LOMN>3</LOMN>
                                  <LOMCN>1</LOMCN>
                                  <LOSN>1</LOSN>
                                  <LOEN>15</LOEN>
                                  <LOCN>5</LOCN>
                                </LnkInProps>
                              </LnkIn>
                            </Ctg>
                            <Ctg>
                              <CtgProps>
                                <R>5</R>
                              </CtgProps>
                              <LnkIn>
                                <LnkInProps>
                                  <MN>17</MN>
                                  <CLI>1,1,42,False,6</CLI>
                                  <ELN>1</ELN>
                                  <LOOT>0</LOOT>
                                  <LOMN>3</LOMN>
                                  <LOMCN>1</LOMCN>
                                  <LOSN>1</LOSN>
                                  <LOEN>15</LOEN>
                                  <LOCN>6</LOCN>
                                </LnkInProps>
                              </LnkIn>
                            </Ctg>
                            <Ctg>
                              <CtgProps>
                                <R>5</R>
                              </CtgProps>
                              <LnkIn>
                                <LnkInProps>
                                  <MN>17</MN>
                                  <CLI>1,1,42,False,7</CLI>
                                  <ELN>1</ELN>
                                  <LOOT>0</LOOT>
                                  <LOMN>3</LOMN>
                                  <LOMCN>1</LOMCN>
                                  <LOSN>1</LOSN>
                                  <LOEN>15</LOEN>
                                  <LOCN>7</LOCN>
                                </LnkInProps>
                              </LnkIn>
                            </Ctg>
                            <Ctg>
                              <CtgProps>
                                <R>5</R>
                              </CtgProps>
                              <LnkIn>
                                <LnkInProps>
                                  <MN>17</MN>
                                  <CLI>1,1,42,False,8</CLI>
                                  <ELN>1</ELN>
                                  <LOOT>0</LOOT>
                                  <LOMN>3</LOMN>
                                  <LOMCN>1</LOMCN>
                                  <LOSN>1</LOSN>
                                  <LOEN>15</LOEN>
                                  <LOCN>8</LOCN>
                                </LnkInProps>
                              </LnkIn>
                            </Ctg>
                            <Ctg>
                              <CtgProps>
                                <R>5</R>
                              </CtgProps>
                              <LnkIn>
                                <LnkInProps>
                                  <MN>17</MN>
                                  <CLI>1,1,42,False,9</CLI>
                                  <ELN>1</ELN>
                                  <LOOT>0</LOOT>
                                  <LOMN>3</LOMN>
                                  <LOMCN>1</LOMCN>
                                  <LOSN>1</LOSN>
                                  <LOEN>15</LOEN>
                                  <LOCN>9</LOCN>
                                </LnkInProps>
                              </LnkIn>
                            </Ctg>
                            <Ctg>
                              <CtgProps>
                                <R>5</R>
                              </CtgProps>
                              <LnkIn>
                                <LnkInProps>
                                  <MN>17</MN>
                                  <CLI>1,1,42,False,10</CLI>
                                  <ELN>1</ELN>
                                  <LOOT>0</LOOT>
                                  <LOMN>3</LOMN>
                                  <LOMCN>1</LOMCN>
                                  <LOSN>1</LOSN>
                                  <LOEN>15</LOEN>
                                  <LOCN>10</LOCN>
                                </LnkInProps>
                              </LnkIn>
                            </Ctg>
                            <Ctg>
                              <CtgProps>
                                <R>5</R>
                              </CtgProps>
                              <LnkIn>
                                <LnkInProps>
                                  <MN>17</MN>
                                  <CLI>1,1,42,False,11</CLI>
                                  <ELN>1</ELN>
                                  <LOOT>0</LOOT>
                                  <LOMN>3</LOMN>
                                  <LOMCN>1</LOMCN>
                                  <LOSN>1</LOSN>
                                  <LOEN>15</LOEN>
                                  <LOCN>11</LOCN>
                                </LnkInProps>
                              </LnkIn>
                            </Ctg>
                            <Ctg>
                              <CtgProps>
                                <R>5</R>
                              </CtgProps>
                              <LnkIn>
                                <LnkInProps>
                                  <MN>17</MN>
                                  <CLI>1,1,42,False,12</CLI>
                                  <ELN>1</ELN>
                                  <LOOT>0</LOOT>
                                  <LOMN>3</LOMN>
                                  <LOMCN>1</LOMCN>
                                  <LOSN>1</LOSN>
                                  <LOEN>15</LOEN>
                                  <LOCN>12</LOCN>
                                </LnkInProps>
                              </LnkIn>
                            </Ctg>
                            <Ctg>
                              <CtgProps>
                                <R>5</R>
                              </CtgProps>
                              <LnkIn>
                                <LnkInProps>
                                  <MN>17</MN>
                                  <CLI>1,1,42,False,13</CLI>
                                  <ELN>1</ELN>
                                  <LOOT>0</LOOT>
                                  <LOMN>3</LOMN>
                                  <LOMCN>1</LOMCN>
                                  <LOSN>1</LOSN>
                                  <LOEN>15</LOEN>
                                  <LOCN>13</LOCN>
                                </LnkInProps>
                              </LnkIn>
                            </Ctg>
                            <Ctg>
                              <CtgProps>
                                <R>5</R>
                              </CtgProps>
                              <LnkIn>
                                <LnkInProps>
                                  <MN>17</MN>
                                  <CLI>1,1,42,False,14</CLI>
                                  <ELN>1</ELN>
                                  <LOOT>0</LOOT>
                                  <LOMN>3</LOMN>
                                  <LOMCN>1</LOMCN>
                                  <LOSN>1</LOSN>
                                  <LOEN>15</LOEN>
                                  <LOCN>14</LOCN>
                                </LnkInProps>
                              </LnkIn>
                            </Ctg>
                            <Ctg>
                              <CtgProps>
                                <R>5</R>
                              </CtgProps>
                              <LnkIn>
                                <LnkInProps>
                                  <MN>17</MN>
                                  <CLI>1,1,42,False,15</CLI>
                                  <ELN>1</ELN>
                                  <LOOT>0</LOOT>
                                  <LOMN>3</LOMN>
                                  <LOMCN>1</LOMCN>
                                  <LOSN>1</LOSN>
                                  <LOEN>15</LOEN>
                                  <LOCN>15</LOCN>
                                </LnkInProps>
                              </LnkIn>
                            </Ctg>
                            <Ctg>
                              <CtgProps>
                                <R>5</R>
                              </CtgProps>
                              <LnkIn>
                                <LnkInProps>
                                  <MN>17</MN>
                                  <CLI>1,1,42,False,16</CLI>
                                  <ELN>1</ELN>
                                  <LOOT>0</LOOT>
                                  <LOMN>3</LOMN>
                                  <LOMCN>1</LOMCN>
                                  <LOSN>1</LOSN>
                                  <LOEN>15</LOEN>
                                  <LOCN>16</LOCN>
                                </LnkInProps>
                              </LnkIn>
                            </Ctg>
                            <Ctg>
                              <CtgProps>
                                <R>4</R>
                              </CtgProps>
                              <LnkIn>
                                <LnkInProps>
                                  <MN>17</MN>
                                  <CLI>1,1,42,False,17</CLI>
                                  <ELN>1</ELN>
                                  <LOOT>0</LOOT>
                                  <LOMN>3</LOMN>
                                  <LOMCN>1</LOMCN>
                                  <LOSN>1</LOSN>
                                  <LOEN>15</LOEN>
                                  <LOCN>17</LOCN>
                                </LnkInProps>
                              </LnkIn>
                            </Ctg>
                            <Ctg>
                              <CtgProps>
                                <R>4</R>
                              </CtgProps>
                              <LnkIn>
                                <LnkInProps>
                                  <MN>17</MN>
                                  <CLI>1,1,42,False,18</CLI>
                                  <ELN>1</ELN>
                                  <LOOT>0</LOOT>
                                  <LOMN>3</LOMN>
                                  <LOMCN>1</LOMCN>
                                  <LOSN>1</LOSN>
                                  <LOEN>15</LOEN>
                                  <LOCN>18</LOCN>
                                </LnkInProps>
                              </LnkIn>
                            </Ctg>
                            <Ctg>
                              <CtgProps>
                                <R>4</R>
                              </CtgProps>
                              <LnkIn>
                                <LnkInProps>
                                  <MN>17</MN>
                                  <CLI>1,1,42,False,19</CLI>
                                  <ELN>1</ELN>
                                  <LOOT>0</LOOT>
                                  <LOMN>3</LOMN>
                                  <LOMCN>1</LOMCN>
                                  <LOSN>1</LOSN>
                                  <LOEN>15</LOEN>
                                  <LOCN>19</LOCN>
                                </LnkInProps>
                              </LnkIn>
                            </Ctg>
                            <Ctg>
                              <CtgProps>
                                <R>4</R>
                              </CtgProps>
                              <LnkIn>
                                <LnkInProps>
                                  <MN>17</MN>
                                  <CLI>1,1,42,False,20</CLI>
                                  <ELN>1</ELN>
                                  <LOOT>0</LOOT>
                                  <LOMN>3</LOMN>
                                  <LOMCN>1</LOMCN>
                                  <LOSN>1</LOSN>
                                  <LOEN>15</LOEN>
                                  <LOCN>20</LOCN>
                                </LnkInProps>
                              </LnkIn>
                            </Ctg>
                            <Ctg>
                              <CtgProps>
                                <R>4</R>
                              </CtgProps>
                              <LnkIn>
                                <LnkInProps>
                                  <MN>17</MN>
                                  <CLI>1,1,42,False,21</CLI>
                                  <ELN>1</ELN>
                                  <LOOT>0</LOOT>
                                  <LOMN>3</LOMN>
                                  <LOMCN>1</LOMCN>
                                  <LOSN>1</LOSN>
                                  <LOEN>15</LOEN>
                                  <LOCN>21</LOCN>
                                </LnkInProps>
                              </LnkIn>
                            </Ctg>
                            <Ctg>
                              <CtgProps>
                                <R>4</R>
                              </CtgProps>
                              <LnkIn>
                                <LnkInProps>
                                  <MN>17</MN>
                                  <CLI>1,1,42,False,22</CLI>
                                  <ELN>1</ELN>
                                  <LOOT>0</LOOT>
                                  <LOMN>3</LOMN>
                                  <LOMCN>1</LOMCN>
                                  <LOSN>1</LOSN>
                                  <LOEN>15</LOEN>
                                  <LOCN>22</LOCN>
                                </LnkInProps>
                              </LnkIn>
                            </Ctg>
                            <Ctg>
                              <CtgProps>
                                <R>5</R>
                              </CtgProps>
                              <LnkIn>
                                <LnkInProps>
                                  <MN>17</MN>
                                  <CLI>1,1,42,False,23</CLI>
                                  <ELN>1</ELN>
                                  <LOOT>0</LOOT>
                                  <LOMN>3</LOMN>
                                  <LOMCN>1</LOMCN>
                                  <LOSN>1</LOSN>
                                  <LOEN>15</LOEN>
                                  <LOCN>23</LOCN>
                                </LnkInProps>
                              </LnkIn>
                            </Ctg>
                            <Ctg>
                              <CtgProps>
                                <R>5</R>
                              </CtgProps>
                              <LnkIn>
                                <LnkInProps>
                                  <MN>17</MN>
                                  <CLI>1,1,42,False,24</CLI>
                                  <ELN>1</ELN>
                                  <LOOT>0</LOOT>
                                  <LOMN>3</LOMN>
                                  <LOMCN>1</LOMCN>
                                  <LOSN>1</LOSN>
                                  <LOEN>15</LOEN>
                                  <LOCN>24</LOCN>
                                </LnkInProps>
                              </LnkIn>
                            </Ctg>
                            <Ctg>
                              <CtgProps>
                                <R>5</R>
                              </CtgProps>
                              <LnkIn>
                                <LnkInProps>
                                  <MN>17</MN>
                                  <CLI>1,1,42,False,25</CLI>
                                  <ELN>1</ELN>
                                  <LOOT>0</LOOT>
                                  <LOMN>3</LOMN>
                                  <LOMCN>1</LOMCN>
                                  <LOSN>1</LOSN>
                                  <LOEN>15</LOEN>
                                  <LOCN>25</LOCN>
                                </LnkInProps>
                              </LnkIn>
                            </Ctg>
                            <Ctg>
                              <CtgProps>
                                <R>5</R>
                              </CtgProps>
                              <LnkIn>
                                <LnkInProps>
                                  <MN>17</MN>
                                  <CLI>1,1,42,False,26</CLI>
                                  <ELN>1</ELN>
                                  <LOOT>0</LOOT>
                                  <LOMN>3</LOMN>
                                  <LOMCN>1</LOMCN>
                                  <LOSN>1</LOSN>
                                  <LOEN>15</LOEN>
                                  <LOCN>26</LOCN>
                                </LnkInProps>
                              </LnkIn>
                            </Ctg>
                            <Ctg>
                              <CtgProps>
                                <R>5</R>
                              </CtgProps>
                              <LnkIn>
                                <LnkInProps>
                                  <MN>17</MN>
                                  <CLI>1,1,42,False,27</CLI>
                                  <ELN>1</ELN>
                                  <LOOT>0</LOOT>
                                  <LOMN>3</LOMN>
                                  <LOMCN>1</LOMCN>
                                  <LOSN>1</LOSN>
                                  <LOEN>15</LOEN>
                                  <LOCN>27</LOCN>
                                </LnkInProps>
                              </LnkIn>
                            </Ctg>
                            <Ctg>
                              <CtgProps>
                                <R>5</R>
                              </CtgProps>
                              <LnkIn>
                                <LnkInProps>
                                  <MN>17</MN>
                                  <CLI>1,1,42,False,28</CLI>
                                  <ELN>1</ELN>
                                  <LOOT>0</LOOT>
                                  <LOMN>3</LOMN>
                                  <LOMCN>1</LOMCN>
                                  <LOSN>1</LOSN>
                                  <LOEN>15</LOEN>
                                  <LOCN>28</LOCN>
                                </LnkInProps>
                              </LnkIn>
                            </Ctg>
                            <Ctg>
                              <CtgProps>
                                <R>5</R>
                              </CtgProps>
                              <LnkIn>
                                <LnkInProps>
                                  <MN>17</MN>
                                  <CLI>1,1,42,False,29</CLI>
                                  <ELN>1</ELN>
                                  <LOOT>0</LOOT>
                                  <LOMN>3</LOMN>
                                  <LOMCN>1</LOMCN>
                                  <LOSN>1</LOSN>
                                  <LOEN>15</LOEN>
                                  <LOCN>29</LOCN>
                                </LnkInProps>
                              </LnkIn>
                            </Ctg>
                            <Ctg>
                              <CtgProps>
                                <R>5</R>
                              </CtgProps>
                              <LnkIn>
                                <LnkInProps>
                                  <MN>17</MN>
                                  <CLI>1,1,42,False,30</CLI>
                                  <ELN>1</ELN>
                                  <LOOT>0</LOOT>
                                  <LOMN>3</LOMN>
                                  <LOMCN>1</LOMCN>
                                  <LOSN>1</LOSN>
                                  <LOEN>15</LOEN>
                                  <LOCN>30</LOCN>
                                </LnkInProps>
                              </LnkIn>
                            </Ctg>
                            <Ctg>
                              <CtgProps>
                                <R>4</R>
                              </CtgProps>
                              <LnkIn>
                                <LnkInProps>
                                  <MN>17</MN>
                                  <CLI>1,1,42,False,31</CLI>
                                  <ELN>1</ELN>
                                  <LOOT>0</LOOT>
                                  <LOMN>3</LOMN>
                                  <LOMCN>1</LOMCN>
                                  <LOSN>1</LOSN>
                                  <LOEN>15</LOEN>
                                  <LOCN>31</LOCN>
                                </LnkInProps>
                              </LnkIn>
                            </Ctg>
                            <Ctg>
                              <CtgProps>
                                <R>4</R>
                              </CtgProps>
                              <LnkIn>
                                <LnkInProps>
                                  <MN>17</MN>
                                  <CLI>1,1,42,False,32</CLI>
                                  <ELN>1</ELN>
                                  <LOOT>0</LOOT>
                                  <LOMN>3</LOMN>
                                  <LOMCN>1</LOMCN>
                                  <LOSN>1</LOSN>
                                  <LOEN>15</LOEN>
                                  <LOCN>32</LOCN>
                                </LnkInProps>
                              </LnkIn>
                            </Ctg>
                            <Ctg>
                              <CtgProps>
                                <R>4</R>
                              </CtgProps>
                              <LnkIn>
                                <LnkInProps>
                                  <MN>17</MN>
                                  <CLI>1,1,42,False,33</CLI>
                                  <ELN>1</ELN>
                                  <LOOT>0</LOOT>
                                  <LOMN>3</LOMN>
                                  <LOMCN>1</LOMCN>
                                  <LOSN>1</LOSN>
                                  <LOEN>15</LOEN>
                                  <LOCN>33</LOCN>
                                </LnkInProps>
                              </LnkIn>
                            </Ctg>
                            <Ctg>
                              <CtgProps>
                                <R>4</R>
                              </CtgProps>
                              <LnkIn>
                                <LnkInProps>
                                  <MN>17</MN>
                                  <CLI>1,1,42,False,34</CLI>
                                  <ELN>1</ELN>
                                  <LOOT>0</LOOT>
                                  <LOMN>3</LOMN>
                                  <LOMCN>1</LOMCN>
                                  <LOSN>1</LOSN>
                                  <LOEN>15</LOEN>
                                  <LOCN>34</LOCN>
                                </LnkInProps>
                              </LnkIn>
                            </Ctg>
                            <Ctg>
                              <CtgProps>
                                <R>4</R>
                              </CtgProps>
                              <LnkIn>
                                <LnkInProps>
                                  <MN>17</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17</MN>
                                  <CLI>1,1,46,False,1</CLI>
                                  <ELN>1</ELN>
                                  <LOOT>0</LOOT>
                                  <LOMN>3</LOMN>
                                  <LOMCN>1</LOMCN>
                                  <LOSN>1</LOSN>
                                  <LOEN>19</LOEN>
                                  <LOCN>1</LOCN>
                                </LnkInProps>
                              </LnkIn>
                            </Ctg>
                            <Ctg>
                              <CtgProps>
                                <R>4</R>
                              </CtgProps>
                              <LnkIn>
                                <LnkInProps>
                                  <MN>17</MN>
                                  <CLI>1,1,46,False,2</CLI>
                                  <ELN>1</ELN>
                                  <LOOT>0</LOOT>
                                  <LOMN>3</LOMN>
                                  <LOMCN>1</LOMCN>
                                  <LOSN>1</LOSN>
                                  <LOEN>19</LOEN>
                                  <LOCN>2</LOCN>
                                </LnkInProps>
                              </LnkIn>
                            </Ctg>
                            <Ctg>
                              <CtgProps>
                                <R>4</R>
                              </CtgProps>
                              <LnkIn>
                                <LnkInProps>
                                  <MN>17</MN>
                                  <CLI>1,1,46,False,3</CLI>
                                  <ELN>1</ELN>
                                  <LOOT>0</LOOT>
                                  <LOMN>3</LOMN>
                                  <LOMCN>1</LOMCN>
                                  <LOSN>1</LOSN>
                                  <LOEN>19</LOEN>
                                  <LOCN>3</LOCN>
                                </LnkInProps>
                              </LnkIn>
                            </Ctg>
                            <Ctg>
                              <CtgProps>
                                <R>4</R>
                              </CtgProps>
                              <LnkIn>
                                <LnkInProps>
                                  <MN>17</MN>
                                  <CLI>1,1,46,False,4</CLI>
                                  <ELN>1</ELN>
                                  <LOOT>0</LOOT>
                                  <LOMN>3</LOMN>
                                  <LOMCN>1</LOMCN>
                                  <LOSN>1</LOSN>
                                  <LOEN>19</LOEN>
                                  <LOCN>4</LOCN>
                                </LnkInProps>
                              </LnkIn>
                            </Ctg>
                            <Ctg>
                              <CtgProps>
                                <R>4</R>
                              </CtgProps>
                              <LnkIn>
                                <LnkInProps>
                                  <MN>17</MN>
                                  <CLI>1,1,46,False,5</CLI>
                                  <ELN>1</ELN>
                                  <LOOT>0</LOOT>
                                  <LOMN>3</LOMN>
                                  <LOMCN>1</LOMCN>
                                  <LOSN>1</LOSN>
                                  <LOEN>19</LOEN>
                                  <LOCN>5</LOCN>
                                </LnkInProps>
                              </LnkIn>
                            </Ctg>
                            <Ctg>
                              <CtgProps>
                                <R>4</R>
                              </CtgProps>
                              <LnkIn>
                                <LnkInProps>
                                  <MN>17</MN>
                                  <CLI>1,1,46,False,6</CLI>
                                  <ELN>1</ELN>
                                  <LOOT>0</LOOT>
                                  <LOMN>3</LOMN>
                                  <LOMCN>1</LOMCN>
                                  <LOSN>1</LOSN>
                                  <LOEN>19</LOEN>
                                  <LOCN>6</LOCN>
                                </LnkInProps>
                              </LnkIn>
                            </Ctg>
                            <Ctg>
                              <CtgProps>
                                <R>4</R>
                              </CtgProps>
                              <LnkIn>
                                <LnkInProps>
                                  <MN>17</MN>
                                  <CLI>1,1,46,False,7</CLI>
                                  <ELN>1</ELN>
                                  <LOOT>0</LOOT>
                                  <LOMN>3</LOMN>
                                  <LOMCN>1</LOMCN>
                                  <LOSN>1</LOSN>
                                  <LOEN>19</LOEN>
                                  <LOCN>7</LOCN>
                                </LnkInProps>
                              </LnkIn>
                            </Ctg>
                            <Ctg>
                              <CtgProps>
                                <R>4</R>
                              </CtgProps>
                              <LnkIn>
                                <LnkInProps>
                                  <MN>17</MN>
                                  <CLI>1,1,46,False,8</CLI>
                                  <ELN>1</ELN>
                                  <LOOT>0</LOOT>
                                  <LOMN>3</LOMN>
                                  <LOMCN>1</LOMCN>
                                  <LOSN>1</LOSN>
                                  <LOEN>19</LOEN>
                                  <LOCN>8</LOCN>
                                </LnkInProps>
                              </LnkIn>
                            </Ctg>
                            <Ctg>
                              <CtgProps>
                                <R>4</R>
                              </CtgProps>
                              <LnkIn>
                                <LnkInProps>
                                  <MN>17</MN>
                                  <CLI>1,1,46,False,9</CLI>
                                  <ELN>1</ELN>
                                  <LOOT>0</LOOT>
                                  <LOMN>3</LOMN>
                                  <LOMCN>1</LOMCN>
                                  <LOSN>1</LOSN>
                                  <LOEN>19</LOEN>
                                  <LOCN>9</LOCN>
                                </LnkInProps>
                              </LnkIn>
                            </Ctg>
                            <Ctg>
                              <CtgProps>
                                <R>4</R>
                              </CtgProps>
                              <LnkIn>
                                <LnkInProps>
                                  <MN>17</MN>
                                  <CLI>1,1,46,False,10</CLI>
                                  <ELN>1</ELN>
                                  <LOOT>0</LOOT>
                                  <LOMN>3</LOMN>
                                  <LOMCN>1</LOMCN>
                                  <LOSN>1</LOSN>
                                  <LOEN>19</LOEN>
                                  <LOCN>10</LOCN>
                                </LnkInProps>
                              </LnkIn>
                            </Ctg>
                            <Ctg>
                              <CtgProps>
                                <R>4</R>
                              </CtgProps>
                              <LnkIn>
                                <LnkInProps>
                                  <MN>17</MN>
                                  <CLI>1,1,46,False,11</CLI>
                                  <ELN>1</ELN>
                                  <LOOT>0</LOOT>
                                  <LOMN>3</LOMN>
                                  <LOMCN>1</LOMCN>
                                  <LOSN>1</LOSN>
                                  <LOEN>19</LOEN>
                                  <LOCN>11</LOCN>
                                </LnkInProps>
                              </LnkIn>
                            </Ctg>
                            <Ctg>
                              <CtgProps>
                                <R>4</R>
                              </CtgProps>
                              <LnkIn>
                                <LnkInProps>
                                  <MN>17</MN>
                                  <CLI>1,1,46,False,12</CLI>
                                  <ELN>1</ELN>
                                  <LOOT>0</LOOT>
                                  <LOMN>3</LOMN>
                                  <LOMCN>1</LOMCN>
                                  <LOSN>1</LOSN>
                                  <LOEN>19</LOEN>
                                  <LOCN>12</LOCN>
                                </LnkInProps>
                              </LnkIn>
                            </Ctg>
                            <Ctg>
                              <CtgProps>
                                <R>4</R>
                              </CtgProps>
                              <LnkIn>
                                <LnkInProps>
                                  <MN>17</MN>
                                  <CLI>1,1,46,False,13</CLI>
                                  <ELN>1</ELN>
                                  <LOOT>0</LOOT>
                                  <LOMN>3</LOMN>
                                  <LOMCN>1</LOMCN>
                                  <LOSN>1</LOSN>
                                  <LOEN>19</LOEN>
                                  <LOCN>13</LOCN>
                                </LnkInProps>
                              </LnkIn>
                            </Ctg>
                            <Ctg>
                              <CtgProps>
                                <R>4</R>
                              </CtgProps>
                              <LnkIn>
                                <LnkInProps>
                                  <MN>17</MN>
                                  <CLI>1,1,46,False,14</CLI>
                                  <ELN>1</ELN>
                                  <LOOT>0</LOOT>
                                  <LOMN>3</LOMN>
                                  <LOMCN>1</LOMCN>
                                  <LOSN>1</LOSN>
                                  <LOEN>19</LOEN>
                                  <LOCN>14</LOCN>
                                </LnkInProps>
                              </LnkIn>
                            </Ctg>
                            <Ctg>
                              <CtgProps>
                                <R>4</R>
                              </CtgProps>
                              <LnkIn>
                                <LnkInProps>
                                  <MN>17</MN>
                                  <CLI>1,1,46,False,15</CLI>
                                  <ELN>1</ELN>
                                  <LOOT>0</LOOT>
                                  <LOMN>3</LOMN>
                                  <LOMCN>1</LOMCN>
                                  <LOSN>1</LOSN>
                                  <LOEN>19</LOEN>
                                  <LOCN>15</LOCN>
                                </LnkInProps>
                              </LnkIn>
                            </Ctg>
                            <Ctg>
                              <CtgProps>
                                <R>5</R>
                              </CtgProps>
                              <LnkIn>
                                <LnkInProps>
                                  <MN>17</MN>
                                  <CLI>1,1,46,False,16</CLI>
                                  <ELN>1</ELN>
                                  <LOOT>0</LOOT>
                                  <LOMN>3</LOMN>
                                  <LOMCN>1</LOMCN>
                                  <LOSN>1</LOSN>
                                  <LOEN>19</LOEN>
                                  <LOCN>16</LOCN>
                                </LnkInProps>
                              </LnkIn>
                            </Ctg>
                            <Ctg>
                              <CtgProps>
                                <R>5</R>
                              </CtgProps>
                              <LnkIn>
                                <LnkInProps>
                                  <MN>17</MN>
                                  <CLI>1,1,46,False,17</CLI>
                                  <ELN>1</ELN>
                                  <LOOT>0</LOOT>
                                  <LOMN>3</LOMN>
                                  <LOMCN>1</LOMCN>
                                  <LOSN>1</LOSN>
                                  <LOEN>19</LOEN>
                                  <LOCN>17</LOCN>
                                </LnkInProps>
                              </LnkIn>
                            </Ctg>
                            <Ctg>
                              <CtgProps>
                                <R>5</R>
                              </CtgProps>
                              <LnkIn>
                                <LnkInProps>
                                  <MN>17</MN>
                                  <CLI>1,1,46,False,18</CLI>
                                  <ELN>1</ELN>
                                  <LOOT>0</LOOT>
                                  <LOMN>3</LOMN>
                                  <LOMCN>1</LOMCN>
                                  <LOSN>1</LOSN>
                                  <LOEN>19</LOEN>
                                  <LOCN>18</LOCN>
                                </LnkInProps>
                              </LnkIn>
                            </Ctg>
                            <Ctg>
                              <CtgProps>
                                <R>5</R>
                              </CtgProps>
                              <LnkIn>
                                <LnkInProps>
                                  <MN>17</MN>
                                  <CLI>1,1,46,False,19</CLI>
                                  <ELN>1</ELN>
                                  <LOOT>0</LOOT>
                                  <LOMN>3</LOMN>
                                  <LOMCN>1</LOMCN>
                                  <LOSN>1</LOSN>
                                  <LOEN>19</LOEN>
                                  <LOCN>19</LOCN>
                                </LnkInProps>
                              </LnkIn>
                            </Ctg>
                            <Ctg>
                              <CtgProps>
                                <R>5</R>
                              </CtgProps>
                              <LnkIn>
                                <LnkInProps>
                                  <MN>17</MN>
                                  <CLI>1,1,46,False,20</CLI>
                                  <ELN>1</ELN>
                                  <LOOT>0</LOOT>
                                  <LOMN>3</LOMN>
                                  <LOMCN>1</LOMCN>
                                  <LOSN>1</LOSN>
                                  <LOEN>19</LOEN>
                                  <LOCN>20</LOCN>
                                </LnkInProps>
                              </LnkIn>
                            </Ctg>
                            <Ctg>
                              <CtgProps>
                                <R>5</R>
                              </CtgProps>
                              <LnkIn>
                                <LnkInProps>
                                  <MN>17</MN>
                                  <CLI>1,1,46,False,21</CLI>
                                  <ELN>1</ELN>
                                  <LOOT>0</LOOT>
                                  <LOMN>3</LOMN>
                                  <LOMCN>1</LOMCN>
                                  <LOSN>1</LOSN>
                                  <LOEN>19</LOEN>
                                  <LOCN>21</LOCN>
                                </LnkInProps>
                              </LnkIn>
                            </Ctg>
                            <Ctg>
                              <CtgProps>
                                <R>5</R>
                              </CtgProps>
                              <LnkIn>
                                <LnkInProps>
                                  <MN>17</MN>
                                  <CLI>1,1,46,False,22</CLI>
                                  <ELN>1</ELN>
                                  <LOOT>0</LOOT>
                                  <LOMN>3</LOMN>
                                  <LOMCN>1</LOMCN>
                                  <LOSN>1</LOSN>
                                  <LOEN>19</LOEN>
                                  <LOCN>22</LOCN>
                                </LnkInProps>
                              </LnkIn>
                            </Ctg>
                            <Ctg>
                              <CtgProps>
                                <R>5</R>
                              </CtgProps>
                              <LnkIn>
                                <LnkInProps>
                                  <MN>17</MN>
                                  <CLI>1,1,46,False,23</CLI>
                                  <ELN>1</ELN>
                                  <LOOT>0</LOOT>
                                  <LOMN>3</LOMN>
                                  <LOMCN>1</LOMCN>
                                  <LOSN>1</LOSN>
                                  <LOEN>19</LOEN>
                                  <LOCN>23</LOCN>
                                </LnkInProps>
                              </LnkIn>
                            </Ctg>
                            <Ctg>
                              <CtgProps>
                                <R>5</R>
                              </CtgProps>
                              <LnkIn>
                                <LnkInProps>
                                  <MN>17</MN>
                                  <CLI>1,1,46,False,24</CLI>
                                  <ELN>1</ELN>
                                  <LOOT>0</LOOT>
                                  <LOMN>3</LOMN>
                                  <LOMCN>1</LOMCN>
                                  <LOSN>1</LOSN>
                                  <LOEN>19</LOEN>
                                  <LOCN>24</LOCN>
                                </LnkInProps>
                              </LnkIn>
                            </Ctg>
                            <Ctg>
                              <CtgProps>
                                <R>5</R>
                              </CtgProps>
                              <LnkIn>
                                <LnkInProps>
                                  <MN>17</MN>
                                  <CLI>1,1,46,False,25</CLI>
                                  <ELN>1</ELN>
                                  <LOOT>0</LOOT>
                                  <LOMN>3</LOMN>
                                  <LOMCN>1</LOMCN>
                                  <LOSN>1</LOSN>
                                  <LOEN>19</LOEN>
                                  <LOCN>25</LOCN>
                                </LnkInProps>
                              </LnkIn>
                            </Ctg>
                            <Ctg>
                              <CtgProps>
                                <R>5</R>
                              </CtgProps>
                              <LnkIn>
                                <LnkInProps>
                                  <MN>17</MN>
                                  <CLI>1,1,46,False,26</CLI>
                                  <ELN>1</ELN>
                                  <LOOT>0</LOOT>
                                  <LOMN>3</LOMN>
                                  <LOMCN>1</LOMCN>
                                  <LOSN>1</LOSN>
                                  <LOEN>19</LOEN>
                                  <LOCN>26</LOCN>
                                </LnkInProps>
                              </LnkIn>
                            </Ctg>
                            <Ctg>
                              <CtgProps>
                                <R>5</R>
                              </CtgProps>
                              <LnkIn>
                                <LnkInProps>
                                  <MN>17</MN>
                                  <CLI>1,1,46,False,27</CLI>
                                  <ELN>1</ELN>
                                  <LOOT>0</LOOT>
                                  <LOMN>3</LOMN>
                                  <LOMCN>1</LOMCN>
                                  <LOSN>1</LOSN>
                                  <LOEN>19</LOEN>
                                  <LOCN>27</LOCN>
                                </LnkInProps>
                              </LnkIn>
                            </Ctg>
                            <Ctg>
                              <CtgProps>
                                <R>5</R>
                              </CtgProps>
                              <LnkIn>
                                <LnkInProps>
                                  <MN>17</MN>
                                  <CLI>1,1,46,False,28</CLI>
                                  <ELN>1</ELN>
                                  <LOOT>0</LOOT>
                                  <LOMN>3</LOMN>
                                  <LOMCN>1</LOMCN>
                                  <LOSN>1</LOSN>
                                  <LOEN>19</LOEN>
                                  <LOCN>28</LOCN>
                                </LnkInProps>
                              </LnkIn>
                            </Ctg>
                            <Ctg>
                              <CtgProps>
                                <R>5</R>
                              </CtgProps>
                              <LnkIn>
                                <LnkInProps>
                                  <MN>17</MN>
                                  <CLI>1,1,46,False,29</CLI>
                                  <ELN>1</ELN>
                                  <LOOT>0</LOOT>
                                  <LOMN>3</LOMN>
                                  <LOMCN>1</LOMCN>
                                  <LOSN>1</LOSN>
                                  <LOEN>19</LOEN>
                                  <LOCN>29</LOCN>
                                </LnkInProps>
                              </LnkIn>
                            </Ctg>
                            <Ctg>
                              <CtgProps>
                                <R>5</R>
                              </CtgProps>
                              <LnkIn>
                                <LnkInProps>
                                  <MN>17</MN>
                                  <CLI>1,1,46,False,30</CLI>
                                  <ELN>1</ELN>
                                  <LOOT>0</LOOT>
                                  <LOMN>3</LOMN>
                                  <LOMCN>1</LOMCN>
                                  <LOSN>1</LOSN>
                                  <LOEN>19</LOEN>
                                  <LOCN>30</LOCN>
                                </LnkInProps>
                              </LnkIn>
                            </Ctg>
                            <Ctg>
                              <CtgProps>
                                <R>5</R>
                              </CtgProps>
                              <LnkIn>
                                <LnkInProps>
                                  <MN>17</MN>
                                  <CLI>1,1,46,False,31</CLI>
                                  <ELN>1</ELN>
                                  <LOOT>0</LOOT>
                                  <LOMN>3</LOMN>
                                  <LOMCN>1</LOMCN>
                                  <LOSN>1</LOSN>
                                  <LOEN>19</LOEN>
                                  <LOCN>31</LOCN>
                                </LnkInProps>
                              </LnkIn>
                            </Ctg>
                            <Ctg>
                              <CtgProps>
                                <R>5</R>
                              </CtgProps>
                              <LnkIn>
                                <LnkInProps>
                                  <MN>17</MN>
                                  <CLI>1,1,46,False,32</CLI>
                                  <ELN>1</ELN>
                                  <LOOT>0</LOOT>
                                  <LOMN>3</LOMN>
                                  <LOMCN>1</LOMCN>
                                  <LOSN>1</LOSN>
                                  <LOEN>19</LOEN>
                                  <LOCN>32</LOCN>
                                </LnkInProps>
                              </LnkIn>
                            </Ctg>
                            <Ctg>
                              <CtgProps>
                                <R>5</R>
                              </CtgProps>
                              <LnkIn>
                                <LnkInProps>
                                  <MN>17</MN>
                                  <CLI>1,1,46,False,33</CLI>
                                  <ELN>1</ELN>
                                  <LOOT>0</LOOT>
                                  <LOMN>3</LOMN>
                                  <LOMCN>1</LOMCN>
                                  <LOSN>1</LOSN>
                                  <LOEN>19</LOEN>
                                  <LOCN>33</LOCN>
                                </LnkInProps>
                              </LnkIn>
                            </Ctg>
                            <Ctg>
                              <CtgProps>
                                <R>5</R>
                              </CtgProps>
                              <LnkIn>
                                <LnkInProps>
                                  <MN>17</MN>
                                  <CLI>1,1,46,False,34</CLI>
                                  <ELN>1</ELN>
                                  <LOOT>0</LOOT>
                                  <LOMN>3</LOMN>
                                  <LOMCN>1</LOMCN>
                                  <LOSN>1</LOSN>
                                  <LOEN>19</LOEN>
                                  <LOCN>34</LOCN>
                                </LnkInProps>
                              </LnkIn>
                            </Ctg>
                            <Ctg>
                              <CtgProps>
                                <R>5</R>
                              </CtgProps>
                              <LnkIn>
                                <LnkInProps>
                                  <MN>17</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17</MN>
                                  <CLI>1,1,49,False,1</CLI>
                                  <ELN>1</ELN>
                                  <LOOT>0</LOOT>
                                  <LOMN>3</LOMN>
                                  <LOMCN>1</LOMCN>
                                  <LOSN>1</LOSN>
                                  <LOEN>24</LOEN>
                                  <LOCN>1</LOCN>
                                </LnkInProps>
                              </LnkIn>
                            </Ctg>
                            <Ctg>
                              <CtgProps>
                                <R>4</R>
                              </CtgProps>
                              <LnkIn>
                                <LnkInProps>
                                  <MN>17</MN>
                                  <CLI>1,1,49,False,2</CLI>
                                  <ELN>1</ELN>
                                  <LOOT>0</LOOT>
                                  <LOMN>3</LOMN>
                                  <LOMCN>1</LOMCN>
                                  <LOSN>1</LOSN>
                                  <LOEN>24</LOEN>
                                  <LOCN>2</LOCN>
                                </LnkInProps>
                              </LnkIn>
                            </Ctg>
                            <Ctg>
                              <CtgProps>
                                <R>4</R>
                              </CtgProps>
                              <LnkIn>
                                <LnkInProps>
                                  <MN>17</MN>
                                  <CLI>1,1,49,False,3</CLI>
                                  <ELN>1</ELN>
                                  <LOOT>0</LOOT>
                                  <LOMN>3</LOMN>
                                  <LOMCN>1</LOMCN>
                                  <LOSN>1</LOSN>
                                  <LOEN>24</LOEN>
                                  <LOCN>3</LOCN>
                                </LnkInProps>
                              </LnkIn>
                            </Ctg>
                            <Ctg>
                              <CtgProps>
                                <R>4</R>
                              </CtgProps>
                              <LnkIn>
                                <LnkInProps>
                                  <MN>17</MN>
                                  <CLI>1,1,49,False,4</CLI>
                                  <ELN>1</ELN>
                                  <LOOT>0</LOOT>
                                  <LOMN>3</LOMN>
                                  <LOMCN>1</LOMCN>
                                  <LOSN>1</LOSN>
                                  <LOEN>24</LOEN>
                                  <LOCN>4</LOCN>
                                </LnkInProps>
                              </LnkIn>
                            </Ctg>
                            <Ctg>
                              <CtgProps>
                                <R>4</R>
                              </CtgProps>
                              <LnkIn>
                                <LnkInProps>
                                  <MN>17</MN>
                                  <CLI>1,1,49,False,5</CLI>
                                  <ELN>1</ELN>
                                  <LOOT>0</LOOT>
                                  <LOMN>3</LOMN>
                                  <LOMCN>1</LOMCN>
                                  <LOSN>1</LOSN>
                                  <LOEN>24</LOEN>
                                  <LOCN>5</LOCN>
                                </LnkInProps>
                              </LnkIn>
                            </Ctg>
                            <Ctg>
                              <CtgProps>
                                <R>5</R>
                              </CtgProps>
                              <LnkIn>
                                <LnkInProps>
                                  <MN>17</MN>
                                  <CLI>1,1,49,False,6</CLI>
                                  <ELN>1</ELN>
                                  <LOOT>0</LOOT>
                                  <LOMN>3</LOMN>
                                  <LOMCN>1</LOMCN>
                                  <LOSN>1</LOSN>
                                  <LOEN>24</LOEN>
                                  <LOCN>6</LOCN>
                                </LnkInProps>
                              </LnkIn>
                            </Ctg>
                            <Ctg>
                              <CtgProps>
                                <R>5</R>
                              </CtgProps>
                              <LnkIn>
                                <LnkInProps>
                                  <MN>17</MN>
                                  <CLI>1,1,49,False,7</CLI>
                                  <ELN>1</ELN>
                                  <LOOT>0</LOOT>
                                  <LOMN>3</LOMN>
                                  <LOMCN>1</LOMCN>
                                  <LOSN>1</LOSN>
                                  <LOEN>24</LOEN>
                                  <LOCN>7</LOCN>
                                </LnkInProps>
                              </LnkIn>
                            </Ctg>
                            <Ctg>
                              <CtgProps>
                                <R>5</R>
                              </CtgProps>
                              <LnkIn>
                                <LnkInProps>
                                  <MN>17</MN>
                                  <CLI>1,1,49,False,8</CLI>
                                  <ELN>1</ELN>
                                  <LOOT>0</LOOT>
                                  <LOMN>3</LOMN>
                                  <LOMCN>1</LOMCN>
                                  <LOSN>1</LOSN>
                                  <LOEN>24</LOEN>
                                  <LOCN>8</LOCN>
                                </LnkInProps>
                              </LnkIn>
                            </Ctg>
                            <Ctg>
                              <CtgProps>
                                <R>5</R>
                              </CtgProps>
                              <LnkIn>
                                <LnkInProps>
                                  <MN>17</MN>
                                  <CLI>1,1,49,False,9</CLI>
                                  <ELN>1</ELN>
                                  <LOOT>0</LOOT>
                                  <LOMN>3</LOMN>
                                  <LOMCN>1</LOMCN>
                                  <LOSN>1</LOSN>
                                  <LOEN>24</LOEN>
                                  <LOCN>9</LOCN>
                                </LnkInProps>
                              </LnkIn>
                            </Ctg>
                            <Ctg>
                              <CtgProps>
                                <R>5</R>
                              </CtgProps>
                              <LnkIn>
                                <LnkInProps>
                                  <MN>17</MN>
                                  <CLI>1,1,49,False,10</CLI>
                                  <ELN>1</ELN>
                                  <LOOT>0</LOOT>
                                  <LOMN>3</LOMN>
                                  <LOMCN>1</LOMCN>
                                  <LOSN>1</LOSN>
                                  <LOEN>24</LOEN>
                                  <LOCN>10</LOCN>
                                </LnkInProps>
                              </LnkIn>
                            </Ctg>
                            <Ctg>
                              <CtgProps>
                                <R>5</R>
                              </CtgProps>
                              <LnkIn>
                                <LnkInProps>
                                  <MN>17</MN>
                                  <CLI>1,1,49,False,11</CLI>
                                  <ELN>1</ELN>
                                  <LOOT>0</LOOT>
                                  <LOMN>3</LOMN>
                                  <LOMCN>1</LOMCN>
                                  <LOSN>1</LOSN>
                                  <LOEN>24</LOEN>
                                  <LOCN>11</LOCN>
                                </LnkInProps>
                              </LnkIn>
                            </Ctg>
                            <Ctg>
                              <CtgProps>
                                <R>5</R>
                              </CtgProps>
                              <LnkIn>
                                <LnkInProps>
                                  <MN>17</MN>
                                  <CLI>1,1,49,False,12</CLI>
                                  <ELN>1</ELN>
                                  <LOOT>0</LOOT>
                                  <LOMN>3</LOMN>
                                  <LOMCN>1</LOMCN>
                                  <LOSN>1</LOSN>
                                  <LOEN>24</LOEN>
                                  <LOCN>12</LOCN>
                                </LnkInProps>
                              </LnkIn>
                            </Ctg>
                            <Ctg>
                              <CtgProps>
                                <R>5</R>
                              </CtgProps>
                              <LnkIn>
                                <LnkInProps>
                                  <MN>17</MN>
                                  <CLI>1,1,49,False,13</CLI>
                                  <ELN>1</ELN>
                                  <LOOT>0</LOOT>
                                  <LOMN>3</LOMN>
                                  <LOMCN>1</LOMCN>
                                  <LOSN>1</LOSN>
                                  <LOEN>24</LOEN>
                                  <LOCN>13</LOCN>
                                </LnkInProps>
                              </LnkIn>
                            </Ctg>
                            <Ctg>
                              <CtgProps>
                                <R>5</R>
                              </CtgProps>
                              <LnkIn>
                                <LnkInProps>
                                  <MN>17</MN>
                                  <CLI>1,1,49,False,14</CLI>
                                  <ELN>1</ELN>
                                  <LOOT>0</LOOT>
                                  <LOMN>3</LOMN>
                                  <LOMCN>1</LOMCN>
                                  <LOSN>1</LOSN>
                                  <LOEN>24</LOEN>
                                  <LOCN>14</LOCN>
                                </LnkInProps>
                              </LnkIn>
                            </Ctg>
                            <Ctg>
                              <CtgProps>
                                <R>5</R>
                              </CtgProps>
                              <LnkIn>
                                <LnkInProps>
                                  <MN>17</MN>
                                  <CLI>1,1,49,False,15</CLI>
                                  <ELN>1</ELN>
                                  <LOOT>0</LOOT>
                                  <LOMN>3</LOMN>
                                  <LOMCN>1</LOMCN>
                                  <LOSN>1</LOSN>
                                  <LOEN>24</LOEN>
                                  <LOCN>15</LOCN>
                                </LnkInProps>
                              </LnkIn>
                            </Ctg>
                            <Ctg>
                              <CtgProps>
                                <R>5</R>
                              </CtgProps>
                              <LnkIn>
                                <LnkInProps>
                                  <MN>17</MN>
                                  <CLI>1,1,49,False,16</CLI>
                                  <ELN>1</ELN>
                                  <LOOT>0</LOOT>
                                  <LOMN>3</LOMN>
                                  <LOMCN>1</LOMCN>
                                  <LOSN>1</LOSN>
                                  <LOEN>24</LOEN>
                                  <LOCN>16</LOCN>
                                </LnkInProps>
                              </LnkIn>
                            </Ctg>
                            <Ctg>
                              <CtgProps>
                                <R>5</R>
                              </CtgProps>
                              <LnkIn>
                                <LnkInProps>
                                  <MN>17</MN>
                                  <CLI>1,1,49,False,17</CLI>
                                  <ELN>1</ELN>
                                  <LOOT>0</LOOT>
                                  <LOMN>3</LOMN>
                                  <LOMCN>1</LOMCN>
                                  <LOSN>1</LOSN>
                                  <LOEN>24</LOEN>
                                  <LOCN>17</LOCN>
                                </LnkInProps>
                              </LnkIn>
                            </Ctg>
                            <Ctg>
                              <CtgProps>
                                <R>5</R>
                              </CtgProps>
                              <LnkIn>
                                <LnkInProps>
                                  <MN>17</MN>
                                  <CLI>1,1,49,False,18</CLI>
                                  <ELN>1</ELN>
                                  <LOOT>0</LOOT>
                                  <LOMN>3</LOMN>
                                  <LOMCN>1</LOMCN>
                                  <LOSN>1</LOSN>
                                  <LOEN>24</LOEN>
                                  <LOCN>18</LOCN>
                                </LnkInProps>
                              </LnkIn>
                            </Ctg>
                            <Ctg>
                              <CtgProps>
                                <R>5</R>
                              </CtgProps>
                              <LnkIn>
                                <LnkInProps>
                                  <MN>17</MN>
                                  <CLI>1,1,49,False,19</CLI>
                                  <ELN>1</ELN>
                                  <LOOT>0</LOOT>
                                  <LOMN>3</LOMN>
                                  <LOMCN>1</LOMCN>
                                  <LOSN>1</LOSN>
                                  <LOEN>24</LOEN>
                                  <LOCN>19</LOCN>
                                </LnkInProps>
                              </LnkIn>
                            </Ctg>
                            <Ctg>
                              <CtgProps>
                                <R>5</R>
                              </CtgProps>
                              <LnkIn>
                                <LnkInProps>
                                  <MN>17</MN>
                                  <CLI>1,1,49,False,20</CLI>
                                  <ELN>1</ELN>
                                  <LOOT>0</LOOT>
                                  <LOMN>3</LOMN>
                                  <LOMCN>1</LOMCN>
                                  <LOSN>1</LOSN>
                                  <LOEN>24</LOEN>
                                  <LOCN>20</LOCN>
                                </LnkInProps>
                              </LnkIn>
                            </Ctg>
                            <Ctg>
                              <CtgProps>
                                <R>5</R>
                              </CtgProps>
                              <LnkIn>
                                <LnkInProps>
                                  <MN>17</MN>
                                  <CLI>1,1,49,False,21</CLI>
                                  <ELN>1</ELN>
                                  <LOOT>0</LOOT>
                                  <LOMN>3</LOMN>
                                  <LOMCN>1</LOMCN>
                                  <LOSN>1</LOSN>
                                  <LOEN>24</LOEN>
                                  <LOCN>21</LOCN>
                                </LnkInProps>
                              </LnkIn>
                            </Ctg>
                            <Ctg>
                              <CtgProps>
                                <R>5</R>
                              </CtgProps>
                              <LnkIn>
                                <LnkInProps>
                                  <MN>17</MN>
                                  <CLI>1,1,49,False,22</CLI>
                                  <ELN>1</ELN>
                                  <LOOT>0</LOOT>
                                  <LOMN>3</LOMN>
                                  <LOMCN>1</LOMCN>
                                  <LOSN>1</LOSN>
                                  <LOEN>24</LOEN>
                                  <LOCN>22</LOCN>
                                </LnkInProps>
                              </LnkIn>
                            </Ctg>
                            <Ctg>
                              <CtgProps>
                                <R>5</R>
                              </CtgProps>
                              <LnkIn>
                                <LnkInProps>
                                  <MN>17</MN>
                                  <CLI>1,1,49,False,23</CLI>
                                  <ELN>1</ELN>
                                  <LOOT>0</LOOT>
                                  <LOMN>3</LOMN>
                                  <LOMCN>1</LOMCN>
                                  <LOSN>1</LOSN>
                                  <LOEN>24</LOEN>
                                  <LOCN>23</LOCN>
                                </LnkInProps>
                              </LnkIn>
                            </Ctg>
                            <Ctg>
                              <CtgProps>
                                <R>5</R>
                              </CtgProps>
                              <LnkIn>
                                <LnkInProps>
                                  <MN>17</MN>
                                  <CLI>1,1,49,False,24</CLI>
                                  <ELN>1</ELN>
                                  <LOOT>0</LOOT>
                                  <LOMN>3</LOMN>
                                  <LOMCN>1</LOMCN>
                                  <LOSN>1</LOSN>
                                  <LOEN>24</LOEN>
                                  <LOCN>24</LOCN>
                                </LnkInProps>
                              </LnkIn>
                            </Ctg>
                            <Ctg>
                              <CtgProps>
                                <R>5</R>
                              </CtgProps>
                              <LnkIn>
                                <LnkInProps>
                                  <MN>17</MN>
                                  <CLI>1,1,49,False,25</CLI>
                                  <ELN>1</ELN>
                                  <LOOT>0</LOOT>
                                  <LOMN>3</LOMN>
                                  <LOMCN>1</LOMCN>
                                  <LOSN>1</LOSN>
                                  <LOEN>24</LOEN>
                                  <LOCN>25</LOCN>
                                </LnkInProps>
                              </LnkIn>
                            </Ctg>
                            <Ctg>
                              <CtgProps>
                                <R>5</R>
                              </CtgProps>
                              <LnkIn>
                                <LnkInProps>
                                  <MN>17</MN>
                                  <CLI>1,1,49,False,26</CLI>
                                  <ELN>1</ELN>
                                  <LOOT>0</LOOT>
                                  <LOMN>3</LOMN>
                                  <LOMCN>1</LOMCN>
                                  <LOSN>1</LOSN>
                                  <LOEN>24</LOEN>
                                  <LOCN>26</LOCN>
                                </LnkInProps>
                              </LnkIn>
                            </Ctg>
                            <Ctg>
                              <CtgProps>
                                <R>5</R>
                              </CtgProps>
                              <LnkIn>
                                <LnkInProps>
                                  <MN>17</MN>
                                  <CLI>1,1,49,False,27</CLI>
                                  <ELN>1</ELN>
                                  <LOOT>0</LOOT>
                                  <LOMN>3</LOMN>
                                  <LOMCN>1</LOMCN>
                                  <LOSN>1</LOSN>
                                  <LOEN>24</LOEN>
                                  <LOCN>27</LOCN>
                                </LnkInProps>
                              </LnkIn>
                            </Ctg>
                            <Ctg>
                              <CtgProps>
                                <R>5</R>
                              </CtgProps>
                              <LnkIn>
                                <LnkInProps>
                                  <MN>17</MN>
                                  <CLI>1,1,49,False,28</CLI>
                                  <ELN>1</ELN>
                                  <LOOT>0</LOOT>
                                  <LOMN>3</LOMN>
                                  <LOMCN>1</LOMCN>
                                  <LOSN>1</LOSN>
                                  <LOEN>24</LOEN>
                                  <LOCN>28</LOCN>
                                </LnkInProps>
                              </LnkIn>
                            </Ctg>
                            <Ctg>
                              <CtgProps>
                                <R>5</R>
                              </CtgProps>
                              <LnkIn>
                                <LnkInProps>
                                  <MN>17</MN>
                                  <CLI>1,1,49,False,29</CLI>
                                  <ELN>1</ELN>
                                  <LOOT>0</LOOT>
                                  <LOMN>3</LOMN>
                                  <LOMCN>1</LOMCN>
                                  <LOSN>1</LOSN>
                                  <LOEN>24</LOEN>
                                  <LOCN>29</LOCN>
                                </LnkInProps>
                              </LnkIn>
                            </Ctg>
                            <Ctg>
                              <CtgProps>
                                <R>5</R>
                              </CtgProps>
                              <LnkIn>
                                <LnkInProps>
                                  <MN>17</MN>
                                  <CLI>1,1,49,False,30</CLI>
                                  <ELN>1</ELN>
                                  <LOOT>0</LOOT>
                                  <LOMN>3</LOMN>
                                  <LOMCN>1</LOMCN>
                                  <LOSN>1</LOSN>
                                  <LOEN>24</LOEN>
                                  <LOCN>30</LOCN>
                                </LnkInProps>
                              </LnkIn>
                            </Ctg>
                            <Ctg>
                              <CtgProps>
                                <R>5</R>
                              </CtgProps>
                              <LnkIn>
                                <LnkInProps>
                                  <MN>17</MN>
                                  <CLI>1,1,49,False,31</CLI>
                                  <ELN>1</ELN>
                                  <LOOT>0</LOOT>
                                  <LOMN>3</LOMN>
                                  <LOMCN>1</LOMCN>
                                  <LOSN>1</LOSN>
                                  <LOEN>24</LOEN>
                                  <LOCN>31</LOCN>
                                </LnkInProps>
                              </LnkIn>
                            </Ctg>
                            <Ctg>
                              <CtgProps>
                                <R>5</R>
                              </CtgProps>
                              <LnkIn>
                                <LnkInProps>
                                  <MN>17</MN>
                                  <CLI>1,1,49,False,32</CLI>
                                  <ELN>1</ELN>
                                  <LOOT>0</LOOT>
                                  <LOMN>3</LOMN>
                                  <LOMCN>1</LOMCN>
                                  <LOSN>1</LOSN>
                                  <LOEN>24</LOEN>
                                  <LOCN>32</LOCN>
                                </LnkInProps>
                              </LnkIn>
                            </Ctg>
                            <Ctg>
                              <CtgProps>
                                <R>5</R>
                              </CtgProps>
                              <LnkIn>
                                <LnkInProps>
                                  <MN>17</MN>
                                  <CLI>1,1,49,False,33</CLI>
                                  <ELN>1</ELN>
                                  <LOOT>0</LOOT>
                                  <LOMN>3</LOMN>
                                  <LOMCN>1</LOMCN>
                                  <LOSN>1</LOSN>
                                  <LOEN>24</LOEN>
                                  <LOCN>33</LOCN>
                                </LnkInProps>
                              </LnkIn>
                            </Ctg>
                            <Ctg>
                              <CtgProps>
                                <R>5</R>
                              </CtgProps>
                              <LnkIn>
                                <LnkInProps>
                                  <MN>17</MN>
                                  <CLI>1,1,49,False,34</CLI>
                                  <ELN>1</ELN>
                                  <LOOT>0</LOOT>
                                  <LOMN>3</LOMN>
                                  <LOMCN>1</LOMCN>
                                  <LOSN>1</LOSN>
                                  <LOEN>24</LOEN>
                                  <LOCN>34</LOCN>
                                </LnkInProps>
                              </LnkIn>
                            </Ctg>
                            <Ctg>
                              <CtgProps>
                                <R>5</R>
                              </CtgProps>
                              <LnkIn>
                                <LnkInProps>
                                  <MN>17</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17</MN>
                                  <CLI>1,1,53,False,1</CLI>
                                  <ELN>1</ELN>
                                  <LOOT>0</LOOT>
                                  <LOMN>3</LOMN>
                                  <LOMCN>1</LOMCN>
                                  <LOSN>1</LOSN>
                                  <LOEN>29</LOEN>
                                  <LOCN>1</LOCN>
                                </LnkInProps>
                              </LnkIn>
                            </Ctg>
                            <Ctg>
                              <CtgProps>
                                <R>4</R>
                              </CtgProps>
                              <LnkIn>
                                <LnkInProps>
                                  <MN>17</MN>
                                  <CLI>1,1,53,False,2</CLI>
                                  <ELN>1</ELN>
                                  <LOOT>0</LOOT>
                                  <LOMN>3</LOMN>
                                  <LOMCN>1</LOMCN>
                                  <LOSN>1</LOSN>
                                  <LOEN>29</LOEN>
                                  <LOCN>2</LOCN>
                                </LnkInProps>
                              </LnkIn>
                            </Ctg>
                            <Ctg>
                              <CtgProps>
                                <R>5</R>
                              </CtgProps>
                              <LnkIn>
                                <LnkInProps>
                                  <MN>17</MN>
                                  <CLI>1,1,53,False,3</CLI>
                                  <ELN>1</ELN>
                                  <LOOT>0</LOOT>
                                  <LOMN>3</LOMN>
                                  <LOMCN>1</LOMCN>
                                  <LOSN>1</LOSN>
                                  <LOEN>29</LOEN>
                                  <LOCN>3</LOCN>
                                </LnkInProps>
                              </LnkIn>
                            </Ctg>
                            <Ctg>
                              <CtgProps>
                                <R>5</R>
                              </CtgProps>
                              <LnkIn>
                                <LnkInProps>
                                  <MN>17</MN>
                                  <CLI>1,1,53,False,4</CLI>
                                  <ELN>1</ELN>
                                  <LOOT>0</LOOT>
                                  <LOMN>3</LOMN>
                                  <LOMCN>1</LOMCN>
                                  <LOSN>1</LOSN>
                                  <LOEN>29</LOEN>
                                  <LOCN>4</LOCN>
                                </LnkInProps>
                              </LnkIn>
                            </Ctg>
                            <Ctg>
                              <CtgProps>
                                <R>5</R>
                              </CtgProps>
                              <LnkIn>
                                <LnkInProps>
                                  <MN>17</MN>
                                  <CLI>1,1,53,False,5</CLI>
                                  <ELN>1</ELN>
                                  <LOOT>0</LOOT>
                                  <LOMN>3</LOMN>
                                  <LOMCN>1</LOMCN>
                                  <LOSN>1</LOSN>
                                  <LOEN>29</LOEN>
                                  <LOCN>5</LOCN>
                                </LnkInProps>
                              </LnkIn>
                            </Ctg>
                            <Ctg>
                              <CtgProps>
                                <R>5</R>
                              </CtgProps>
                              <LnkIn>
                                <LnkInProps>
                                  <MN>17</MN>
                                  <CLI>1,1,53,False,6</CLI>
                                  <ELN>1</ELN>
                                  <LOOT>0</LOOT>
                                  <LOMN>3</LOMN>
                                  <LOMCN>1</LOMCN>
                                  <LOSN>1</LOSN>
                                  <LOEN>29</LOEN>
                                  <LOCN>6</LOCN>
                                </LnkInProps>
                              </LnkIn>
                            </Ctg>
                            <Ctg>
                              <CtgProps>
                                <R>5</R>
                              </CtgProps>
                              <LnkIn>
                                <LnkInProps>
                                  <MN>17</MN>
                                  <CLI>1,1,53,False,7</CLI>
                                  <ELN>1</ELN>
                                  <LOOT>0</LOOT>
                                  <LOMN>3</LOMN>
                                  <LOMCN>1</LOMCN>
                                  <LOSN>1</LOSN>
                                  <LOEN>29</LOEN>
                                  <LOCN>7</LOCN>
                                </LnkInProps>
                              </LnkIn>
                            </Ctg>
                            <Ctg>
                              <CtgProps>
                                <R>5</R>
                              </CtgProps>
                              <LnkIn>
                                <LnkInProps>
                                  <MN>17</MN>
                                  <CLI>1,1,53,False,8</CLI>
                                  <ELN>1</ELN>
                                  <LOOT>0</LOOT>
                                  <LOMN>3</LOMN>
                                  <LOMCN>1</LOMCN>
                                  <LOSN>1</LOSN>
                                  <LOEN>29</LOEN>
                                  <LOCN>8</LOCN>
                                </LnkInProps>
                              </LnkIn>
                            </Ctg>
                            <Ctg>
                              <CtgProps>
                                <R>5</R>
                              </CtgProps>
                              <LnkIn>
                                <LnkInProps>
                                  <MN>17</MN>
                                  <CLI>1,1,53,False,9</CLI>
                                  <ELN>1</ELN>
                                  <LOOT>0</LOOT>
                                  <LOMN>3</LOMN>
                                  <LOMCN>1</LOMCN>
                                  <LOSN>1</LOSN>
                                  <LOEN>29</LOEN>
                                  <LOCN>9</LOCN>
                                </LnkInProps>
                              </LnkIn>
                            </Ctg>
                            <Ctg>
                              <CtgProps>
                                <R>5</R>
                              </CtgProps>
                              <LnkIn>
                                <LnkInProps>
                                  <MN>17</MN>
                                  <CLI>1,1,53,False,10</CLI>
                                  <ELN>1</ELN>
                                  <LOOT>0</LOOT>
                                  <LOMN>3</LOMN>
                                  <LOMCN>1</LOMCN>
                                  <LOSN>1</LOSN>
                                  <LOEN>29</LOEN>
                                  <LOCN>10</LOCN>
                                </LnkInProps>
                              </LnkIn>
                            </Ctg>
                            <Ctg>
                              <CtgProps>
                                <R>5</R>
                              </CtgProps>
                              <LnkIn>
                                <LnkInProps>
                                  <MN>17</MN>
                                  <CLI>1,1,53,False,11</CLI>
                                  <ELN>1</ELN>
                                  <LOOT>0</LOOT>
                                  <LOMN>3</LOMN>
                                  <LOMCN>1</LOMCN>
                                  <LOSN>1</LOSN>
                                  <LOEN>29</LOEN>
                                  <LOCN>11</LOCN>
                                </LnkInProps>
                              </LnkIn>
                            </Ctg>
                            <Ctg>
                              <CtgProps>
                                <R>5</R>
                              </CtgProps>
                              <LnkIn>
                                <LnkInProps>
                                  <MN>17</MN>
                                  <CLI>1,1,53,False,12</CLI>
                                  <ELN>1</ELN>
                                  <LOOT>0</LOOT>
                                  <LOMN>3</LOMN>
                                  <LOMCN>1</LOMCN>
                                  <LOSN>1</LOSN>
                                  <LOEN>29</LOEN>
                                  <LOCN>12</LOCN>
                                </LnkInProps>
                              </LnkIn>
                            </Ctg>
                            <Ctg>
                              <CtgProps>
                                <R>5</R>
                              </CtgProps>
                              <LnkIn>
                                <LnkInProps>
                                  <MN>17</MN>
                                  <CLI>1,1,53,False,13</CLI>
                                  <ELN>1</ELN>
                                  <LOOT>0</LOOT>
                                  <LOMN>3</LOMN>
                                  <LOMCN>1</LOMCN>
                                  <LOSN>1</LOSN>
                                  <LOEN>29</LOEN>
                                  <LOCN>13</LOCN>
                                </LnkInProps>
                              </LnkIn>
                            </Ctg>
                            <Ctg>
                              <CtgProps>
                                <R>5</R>
                              </CtgProps>
                              <LnkIn>
                                <LnkInProps>
                                  <MN>17</MN>
                                  <CLI>1,1,53,False,14</CLI>
                                  <ELN>1</ELN>
                                  <LOOT>0</LOOT>
                                  <LOMN>3</LOMN>
                                  <LOMCN>1</LOMCN>
                                  <LOSN>1</LOSN>
                                  <LOEN>29</LOEN>
                                  <LOCN>14</LOCN>
                                </LnkInProps>
                              </LnkIn>
                            </Ctg>
                            <Ctg>
                              <CtgProps>
                                <R>5</R>
                              </CtgProps>
                              <LnkIn>
                                <LnkInProps>
                                  <MN>17</MN>
                                  <CLI>1,1,53,False,15</CLI>
                                  <ELN>1</ELN>
                                  <LOOT>0</LOOT>
                                  <LOMN>3</LOMN>
                                  <LOMCN>1</LOMCN>
                                  <LOSN>1</LOSN>
                                  <LOEN>29</LOEN>
                                  <LOCN>15</LOCN>
                                </LnkInProps>
                              </LnkIn>
                            </Ctg>
                            <Ctg>
                              <CtgProps>
                                <R>5</R>
                              </CtgProps>
                              <LnkIn>
                                <LnkInProps>
                                  <MN>17</MN>
                                  <CLI>1,1,53,False,16</CLI>
                                  <ELN>1</ELN>
                                  <LOOT>0</LOOT>
                                  <LOMN>3</LOMN>
                                  <LOMCN>1</LOMCN>
                                  <LOSN>1</LOSN>
                                  <LOEN>29</LOEN>
                                  <LOCN>16</LOCN>
                                </LnkInProps>
                              </LnkIn>
                            </Ctg>
                            <Ctg>
                              <CtgProps>
                                <R>5</R>
                              </CtgProps>
                              <LnkIn>
                                <LnkInProps>
                                  <MN>17</MN>
                                  <CLI>1,1,53,False,17</CLI>
                                  <ELN>1</ELN>
                                  <LOOT>0</LOOT>
                                  <LOMN>3</LOMN>
                                  <LOMCN>1</LOMCN>
                                  <LOSN>1</LOSN>
                                  <LOEN>29</LOEN>
                                  <LOCN>17</LOCN>
                                </LnkInProps>
                              </LnkIn>
                            </Ctg>
                            <Ctg>
                              <CtgProps>
                                <R>5</R>
                              </CtgProps>
                              <LnkIn>
                                <LnkInProps>
                                  <MN>17</MN>
                                  <CLI>1,1,53,False,18</CLI>
                                  <ELN>1</ELN>
                                  <LOOT>0</LOOT>
                                  <LOMN>3</LOMN>
                                  <LOMCN>1</LOMCN>
                                  <LOSN>1</LOSN>
                                  <LOEN>29</LOEN>
                                  <LOCN>18</LOCN>
                                </LnkInProps>
                              </LnkIn>
                            </Ctg>
                            <Ctg>
                              <CtgProps>
                                <R>5</R>
                              </CtgProps>
                              <LnkIn>
                                <LnkInProps>
                                  <MN>17</MN>
                                  <CLI>1,1,53,False,19</CLI>
                                  <ELN>1</ELN>
                                  <LOOT>0</LOOT>
                                  <LOMN>3</LOMN>
                                  <LOMCN>1</LOMCN>
                                  <LOSN>1</LOSN>
                                  <LOEN>29</LOEN>
                                  <LOCN>19</LOCN>
                                </LnkInProps>
                              </LnkIn>
                            </Ctg>
                            <Ctg>
                              <CtgProps>
                                <R>5</R>
                              </CtgProps>
                              <LnkIn>
                                <LnkInProps>
                                  <MN>17</MN>
                                  <CLI>1,1,53,False,20</CLI>
                                  <ELN>1</ELN>
                                  <LOOT>0</LOOT>
                                  <LOMN>3</LOMN>
                                  <LOMCN>1</LOMCN>
                                  <LOSN>1</LOSN>
                                  <LOEN>29</LOEN>
                                  <LOCN>20</LOCN>
                                </LnkInProps>
                              </LnkIn>
                            </Ctg>
                            <Ctg>
                              <CtgProps>
                                <R>5</R>
                              </CtgProps>
                              <LnkIn>
                                <LnkInProps>
                                  <MN>17</MN>
                                  <CLI>1,1,53,False,21</CLI>
                                  <ELN>1</ELN>
                                  <LOOT>0</LOOT>
                                  <LOMN>3</LOMN>
                                  <LOMCN>1</LOMCN>
                                  <LOSN>1</LOSN>
                                  <LOEN>29</LOEN>
                                  <LOCN>21</LOCN>
                                </LnkInProps>
                              </LnkIn>
                            </Ctg>
                            <Ctg>
                              <CtgProps>
                                <R>5</R>
                              </CtgProps>
                              <LnkIn>
                                <LnkInProps>
                                  <MN>17</MN>
                                  <CLI>1,1,53,False,22</CLI>
                                  <ELN>1</ELN>
                                  <LOOT>0</LOOT>
                                  <LOMN>3</LOMN>
                                  <LOMCN>1</LOMCN>
                                  <LOSN>1</LOSN>
                                  <LOEN>29</LOEN>
                                  <LOCN>22</LOCN>
                                </LnkInProps>
                              </LnkIn>
                            </Ctg>
                            <Ctg>
                              <CtgProps>
                                <R>5</R>
                              </CtgProps>
                              <LnkIn>
                                <LnkInProps>
                                  <MN>17</MN>
                                  <CLI>1,1,53,False,23</CLI>
                                  <ELN>1</ELN>
                                  <LOOT>0</LOOT>
                                  <LOMN>3</LOMN>
                                  <LOMCN>1</LOMCN>
                                  <LOSN>1</LOSN>
                                  <LOEN>29</LOEN>
                                  <LOCN>23</LOCN>
                                </LnkInProps>
                              </LnkIn>
                            </Ctg>
                            <Ctg>
                              <CtgProps>
                                <R>5</R>
                              </CtgProps>
                              <LnkIn>
                                <LnkInProps>
                                  <MN>17</MN>
                                  <CLI>1,1,53,False,24</CLI>
                                  <ELN>1</ELN>
                                  <LOOT>0</LOOT>
                                  <LOMN>3</LOMN>
                                  <LOMCN>1</LOMCN>
                                  <LOSN>1</LOSN>
                                  <LOEN>29</LOEN>
                                  <LOCN>24</LOCN>
                                </LnkInProps>
                              </LnkIn>
                            </Ctg>
                            <Ctg>
                              <CtgProps>
                                <R>5</R>
                              </CtgProps>
                              <LnkIn>
                                <LnkInProps>
                                  <MN>17</MN>
                                  <CLI>1,1,53,False,25</CLI>
                                  <ELN>1</ELN>
                                  <LOOT>0</LOOT>
                                  <LOMN>3</LOMN>
                                  <LOMCN>1</LOMCN>
                                  <LOSN>1</LOSN>
                                  <LOEN>29</LOEN>
                                  <LOCN>25</LOCN>
                                </LnkInProps>
                              </LnkIn>
                            </Ctg>
                            <Ctg>
                              <CtgProps>
                                <R>5</R>
                              </CtgProps>
                              <LnkIn>
                                <LnkInProps>
                                  <MN>17</MN>
                                  <CLI>1,1,53,False,26</CLI>
                                  <ELN>1</ELN>
                                  <LOOT>0</LOOT>
                                  <LOMN>3</LOMN>
                                  <LOMCN>1</LOMCN>
                                  <LOSN>1</LOSN>
                                  <LOEN>29</LOEN>
                                  <LOCN>26</LOCN>
                                </LnkInProps>
                              </LnkIn>
                            </Ctg>
                            <Ctg>
                              <CtgProps>
                                <R>5</R>
                              </CtgProps>
                              <LnkIn>
                                <LnkInProps>
                                  <MN>17</MN>
                                  <CLI>1,1,53,False,27</CLI>
                                  <ELN>1</ELN>
                                  <LOOT>0</LOOT>
                                  <LOMN>3</LOMN>
                                  <LOMCN>1</LOMCN>
                                  <LOSN>1</LOSN>
                                  <LOEN>29</LOEN>
                                  <LOCN>27</LOCN>
                                </LnkInProps>
                              </LnkIn>
                            </Ctg>
                            <Ctg>
                              <CtgProps>
                                <R>5</R>
                              </CtgProps>
                              <LnkIn>
                                <LnkInProps>
                                  <MN>17</MN>
                                  <CLI>1,1,53,False,28</CLI>
                                  <ELN>1</ELN>
                                  <LOOT>0</LOOT>
                                  <LOMN>3</LOMN>
                                  <LOMCN>1</LOMCN>
                                  <LOSN>1</LOSN>
                                  <LOEN>29</LOEN>
                                  <LOCN>28</LOCN>
                                </LnkInProps>
                              </LnkIn>
                            </Ctg>
                            <Ctg>
                              <CtgProps>
                                <R>5</R>
                              </CtgProps>
                              <LnkIn>
                                <LnkInProps>
                                  <MN>17</MN>
                                  <CLI>1,1,53,False,29</CLI>
                                  <ELN>1</ELN>
                                  <LOOT>0</LOOT>
                                  <LOMN>3</LOMN>
                                  <LOMCN>1</LOMCN>
                                  <LOSN>1</LOSN>
                                  <LOEN>29</LOEN>
                                  <LOCN>29</LOCN>
                                </LnkInProps>
                              </LnkIn>
                            </Ctg>
                            <Ctg>
                              <CtgProps>
                                <R>5</R>
                              </CtgProps>
                              <LnkIn>
                                <LnkInProps>
                                  <MN>17</MN>
                                  <CLI>1,1,53,False,30</CLI>
                                  <ELN>1</ELN>
                                  <LOOT>0</LOOT>
                                  <LOMN>3</LOMN>
                                  <LOMCN>1</LOMCN>
                                  <LOSN>1</LOSN>
                                  <LOEN>29</LOEN>
                                  <LOCN>30</LOCN>
                                </LnkInProps>
                              </LnkIn>
                            </Ctg>
                            <Ctg>
                              <CtgProps>
                                <R>5</R>
                              </CtgProps>
                              <LnkIn>
                                <LnkInProps>
                                  <MN>17</MN>
                                  <CLI>1,1,53,False,31</CLI>
                                  <ELN>1</ELN>
                                  <LOOT>0</LOOT>
                                  <LOMN>3</LOMN>
                                  <LOMCN>1</LOMCN>
                                  <LOSN>1</LOSN>
                                  <LOEN>29</LOEN>
                                  <LOCN>31</LOCN>
                                </LnkInProps>
                              </LnkIn>
                            </Ctg>
                            <Ctg>
                              <CtgProps>
                                <R>5</R>
                              </CtgProps>
                              <LnkIn>
                                <LnkInProps>
                                  <MN>17</MN>
                                  <CLI>1,1,53,False,32</CLI>
                                  <ELN>1</ELN>
                                  <LOOT>0</LOOT>
                                  <LOMN>3</LOMN>
                                  <LOMCN>1</LOMCN>
                                  <LOSN>1</LOSN>
                                  <LOEN>29</LOEN>
                                  <LOCN>32</LOCN>
                                </LnkInProps>
                              </LnkIn>
                            </Ctg>
                            <Ctg>
                              <CtgProps>
                                <R>5</R>
                              </CtgProps>
                              <LnkIn>
                                <LnkInProps>
                                  <MN>17</MN>
                                  <CLI>1,1,53,False,33</CLI>
                                  <ELN>1</ELN>
                                  <LOOT>0</LOOT>
                                  <LOMN>3</LOMN>
                                  <LOMCN>1</LOMCN>
                                  <LOSN>1</LOSN>
                                  <LOEN>29</LOEN>
                                  <LOCN>33</LOCN>
                                </LnkInProps>
                              </LnkIn>
                            </Ctg>
                            <Ctg>
                              <CtgProps>
                                <R>5</R>
                              </CtgProps>
                              <LnkIn>
                                <LnkInProps>
                                  <MN>17</MN>
                                  <CLI>1,1,53,False,34</CLI>
                                  <ELN>1</ELN>
                                  <LOOT>0</LOOT>
                                  <LOMN>3</LOMN>
                                  <LOMCN>1</LOMCN>
                                  <LOSN>1</LOSN>
                                  <LOEN>29</LOEN>
                                  <LOCN>34</LOCN>
                                </LnkInProps>
                              </LnkIn>
                            </Ctg>
                            <Ctg>
                              <CtgProps>
                                <R>5</R>
                              </CtgProps>
                              <LnkIn>
                                <LnkInProps>
                                  <MN>17</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17</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17</MN>
                <MCN>2</MCN>
                <MCTK>BaseCase</MCTK>
                <RT><![CDATA[<ModuleName> - Assumptions]]></RT>
                <ERN>BPMMC138</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s>
                </Sect>
              </Sects>
            </ModComp>
            <ModComp>
              <ModCompProps>
                <MN>17</MN>
                <MCN>3</MCN>
                <MCTK>OP</MCTK>
                <RT><![CDATA[<ModuleName> - Outputs]]></RT>
                <ERN>BPMMC139</ERN>
                <MCST>0</MCST>
                <IPMC>False</IPMC>
                <SN>27</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COMM_PROD]]></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1,1,3,1,10,0,2,1,1§Z¿*§A¿0,3,0,1,8,2,1,-1,0,0,FALSE,FALSE§Z¿]]></VOFFF>
                              </ClmnBlkPtProps>
                            </ClmnBlkPt>
                          </ClmnBlkPts>
                        </ClmnBlk>
                        <ClmnBlk>
                          <ClmnBlkProps>
                            <FCPT>0</FCPT>
                            <FCN>12</FCN>
                            <LCPT>0</LCPT>
                            <LCN>12</LCN>
                          </ClmnBlkProps>
                          <ClmnBlkPts>
                            <ClmnBlkPt>
                              <ClmnBlkPtProps>
                                <CBPT>5</CBPT>
                                <ST>18</ST>
                                <SON>6</SON>
                                <VOFFF><![CDATA[=§A¿1,1,3,1,10,0,2,1,1§Z¿*§A¿0,3,0,1,8,3,1,-1,0,0,FALSE,FALSE§Z¿]]></VOFFF>
                              </ClmnBlkPtProps>
                            </ClmnBlkPt>
                          </ClmnBlkPts>
                        </ClmnBlk>
                        <ClmnBlk>
                          <ClmnBlkProps>
                            <FCPT>0</FCPT>
                            <FCN>15</FCN>
                            <LCPT>0</LCPT>
                            <LCN>15</LCN>
                          </ClmnBlkProps>
                          <ClmnBlkPts>
                            <ClmnBlkPt>
                              <ClmnBlkPtProps>
                                <CBPT>5</CBPT>
                                <ST>18</ST>
                                <SON>6</SON>
                                <VOFFF><![CDATA[=§A¿1,1,3,1,10,0,2,1,1§Z¿*§A¿0,3,0,1,8,4,1,-1,0,0,FALSE,FALSE§Z¿]]></VOFFF>
                              </ClmnBlkPtProps>
                            </ClmnBlkPt>
                          </ClmnBlkPts>
                        </ClmnBlk>
                        <ClmnBlk>
                          <ClmnBlkProps>
                            <FCPT>0</FCPT>
                            <FCN>17</FCN>
                            <LCPT>0</LCPT>
                            <LCN>17</LCN>
                          </ClmnBlkProps>
                          <ClmnBlkPts>
                            <ClmnBlkPt>
                              <ClmnBlkPtProps>
                                <CBPT>5</CBPT>
                                <ST>18</ST>
                                <SON>6</SON>
                                <VOFFF><![CDATA[=§A¿1,1,3,1,10,0,2,1,1§Z¿*§A¿0,3,0,1,8,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17</MN>
                <MCN>4</MCN>
                <MCTK>LU</MCTK>
                <RT><![CDATA[<ModuleName> - Lookups]]></RT>
                <ERN>BPMMC140</ERN>
                <MCST>3</MCST>
                <IPMC>False</IPMC>
                <SN>43</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108</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2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2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2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2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2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2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7</MN>
            <MAG>608162F4-E730-403E-9DB1-20B06C6C3C25</MAG>
            <BN><![CDATA[PLUG_ACTIVITY]]></BN>
            <N><![CDATA[MOB-1]]></N>
            <TS><![CDATA[Annual]]></TS>
            <D><![CDATA[Assists with planning the cost of an activity. Should be used with Prices module.]]></D>
            <FS/>
            <R/>
            <GE/>
            <CA/>
            <VA/>
            <GST/>
            <DE/>
            <E/>
            <C/>
            <W/>
            <K/>
            <CO/>
            <V>1.0.0.0.</V>
            <AX/>
            <PMLO>False</PMLO>
            <IPMLO>False</IPMLO>
            <MACA>1</MACA>
            <RTSM>True</RTSM>
            <CC>True</CC>
            <X>False</X>
            <G>2CB9F782-B59D-47F1-92B5-7DC9B802FC00</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18</MN>
                <MCN>1</MCN>
                <MCTK>BaseCase</MCTK>
                <RT><![CDATA[<ModuleName> - Assumptions]]></RT>
                <ERN>BPMMC63</ERN>
                <MCST>0</MCST>
                <IPMC>False</IPMC>
                <SN>19</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35</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7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SON>15</SON>
                                <VOFFF><![CDATA[=IF(§A¿1,1,1,1,5,0,2,1,1§Z¿=1,§A¿0,1,0,1,32,1,1,1,0,0,TRUE,TRUE§Z¿,§A¿0,1,0,1,32,1,1,2,0,0,TRUE,TRUE§Z¿)]]></VOFFF>
                              </ClmnBlkPtProps>
                            </ClmnBlkPt>
                          </ClmnBlkPts>
                        </ClmnBlk>
                        <ClmnBlk>
                          <ClmnBlkProps>
                            <FCPT>0</FCPT>
                            <FCN>15</FCN>
                            <LCPT>0</LCPT>
                            <LCN>15</LCN>
                          </ClmnBlkProps>
                          <ClmnBlkPts>
                            <ClmnBlkPt>
                              <ClmnBlkPtProps>
                                <CBPT>5</CBPT>
                                <ST>18</ST>
                                <SON>15</SON>
                                <VOFFF><![CDATA[=IF(§A¿1,1,1,1,5,0,2,1,1§Z¿=1,§A¿0,1,0,1,32,1,1,1,0,0,TRUE,TRUE§Z¿,§A¿0,1,0,1,32,1,1,2,0,0,TRUE,TRUE§Z¿)]]></VOFFF>
                              </ClmnBlkPtProps>
                            </ClmnBlkPt>
                          </ClmnBlkPts>
                        </ClmnBlk>
                        <ClmnBlk>
                          <ClmnBlkProps>
                            <FCPT>0</FCPT>
                            <FCN>17</FCN>
                            <LCPT>0</LCPT>
                            <LCN>17</LCN>
                          </ClmnBlkProps>
                          <ClmnBlkPts>
                            <ClmnBlkPt>
                              <ClmnBlkPtProps>
                                <CBPT>5</CBPT>
                                <ST>18</ST>
                                <SON>15</SON>
                                <VOFFF><![CDATA[=IF(§A¿1,1,1,1,5,0,2,1,1§Z¿=1,§A¿0,1,0,1,32,1,1,1,0,0,TRUE,TRUE§Z¿,§A¿0,1,0,1,32,1,1,2,0,0,TRUE,TRUE§Z¿)]]></VOFFF>
                              </ClmnBlkPtProps>
                            </ClmnBlkPt>
                          </ClmnBlkPts>
                        </ClmnBlk>
                        <ClmnBlk>
                          <ClmnBlkProps>
                            <FCPT>0</FCPT>
                            <FCN>19</FCN>
                            <LCPT>0</LCPT>
                            <LCN>19</LCN>
                          </ClmnBlkProps>
                          <ClmnBlkPts>
                            <ClmnBlkPt>
                              <ClmnBlkPtProps>
                                <CBPT>5</CBPT>
                                <ST>18</ST>
                                <SON>15</SON>
                                <VOFFF><![CDATA[=IF(§A¿1,1,1,1,5,0,2,1,1§Z¿=1,§A¿0,1,0,1,32,1,1,1,0,0,TRUE,TRUE§Z¿,§A¿0,1,0,1,32,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7,2,1,1,0,0,TRUE,TRUE,1,37,2,1,2,0,0,TRUE,TRUE§Z¿,MATCH(§A¿0,1,0,1,8,1,1,0,0,0,FALSE,FALSE§Z¿,§A¿1,1,4,1,13,0,1,1,1§Z¿,0)),INDEX(§A¿0,1,1,1,37,4,1,1,0,0,TRUE,TRUE,1,37,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7,3,1,1,0,0,TRUE,TRUE,1,37,3,1,2,0,0,TRUE,TRUE§Z¿,MATCH(§A¿0,1,0,1,8,1,1,0,0,0,FALSE,FALSE§Z¿,§A¿1,1,4,1,13,0,1,1,1§Z¿,0)),INDEX(§A¿0,1,1,1,37,5,1,1,0,0,TRUE,TRUE,1,37,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
                          <ClmnBlkProps>
                            <FCPT>0</FCPT>
                            <FCN>13</FCN>
                            <LCPT>0</LCPT>
                            <LCN>13</LCN>
                          </ClmnBlkProps>
                          <ClmnBlkPts>
                            <ClmnBlkPt>
                              <ClmnBlkPtProps>
                                <CBPT>5</CBPT>
                                <ST>18</ST>
                                <SON>15</SON>
                                <VOFFF><![CDATA[=IF(§A¿1,1,1,1,5,0,2,1,1§Z¿=1,§A¿0,1,0,1,32,1,1,1,0,0,TRUE,TRUE§Z¿,§A¿0,1,0,1,32,1,1,2,0,0,TRUE,TRUE§Z¿)]]></VOFFF>
                              </ClmnBlkPtProps>
                            </ClmnBlkPt>
                          </ClmnBlkPts>
                        </ClmnBlk>
                        <ClmnBlk>
                          <ClmnBlkProps>
                            <FCPT>0</FCPT>
                            <FCN>15</FCN>
                            <LCPT>0</LCPT>
                            <LCN>15</LCN>
                          </ClmnBlkProps>
                          <ClmnBlkPts>
                            <ClmnBlkPt>
                              <ClmnBlkPtProps>
                                <CBPT>5</CBPT>
                                <ST>18</ST>
                                <SON>15</SON>
                                <VOFFF><![CDATA[=IF(§A¿1,1,1,1,5,0,2,1,1§Z¿=1,§A¿0,1,0,1,32,1,1,1,0,0,TRUE,TRUE§Z¿,§A¿0,1,0,1,32,1,1,2,0,0,TRUE,TRUE§Z¿)]]></VOFFF>
                              </ClmnBlkPtProps>
                            </ClmnBlkPt>
                          </ClmnBlkPts>
                        </ClmnBlk>
                        <ClmnBlk>
                          <ClmnBlkProps>
                            <FCPT>0</FCPT>
                            <FCN>17</FCN>
                            <LCPT>0</LCPT>
                            <LCN>17</LCN>
                          </ClmnBlkProps>
                          <ClmnBlkPts>
                            <ClmnBlkPt>
                              <ClmnBlkPtProps>
                                <CBPT>5</CBPT>
                                <ST>18</ST>
                                <SON>15</SON>
                                <VOFFF><![CDATA[=IF(§A¿1,1,1,1,5,0,2,1,1§Z¿=1,§A¿0,1,0,1,32,1,1,1,0,0,TRUE,TRUE§Z¿,§A¿0,1,0,1,32,1,1,2,0,0,TRUE,TRUE§Z¿)]]></VOFFF>
                              </ClmnBlkPtProps>
                            </ClmnBlkPt>
                          </ClmnBlkPts>
                        </ClmnBlk>
                        <ClmnBlk>
                          <ClmnBlkProps>
                            <FCPT>0</FCPT>
                            <FCN>19</FCN>
                            <LCPT>0</LCPT>
                            <LCN>19</LCN>
                          </ClmnBlkProps>
                          <ClmnBlkPts>
                            <ClmnBlkPt>
                              <ClmnBlkPtProps>
                                <CBPT>5</CBPT>
                                <ST>18</ST>
                                <SON>15</SON>
                                <VOFFF><![CDATA[=IF(§A¿1,1,1,1,5,0,2,1,1§Z¿=1,§A¿0,1,0,1,32,1,1,1,0,0,TRUE,TRUE§Z¿,§A¿0,1,0,1,32,1,1,2,0,0,TRUE,TRUE§Z¿)]]></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0,2,1,1,0,0,TRUE,TRUE,1,40,2,1,2,0,0,TRUE,TRUE§Z¿,MATCH(§A¿0,1,0,1,12,1,1,0,0,0,FALSE,FALSE§Z¿,§A¿1,1,4,1,17,0,1,1,1§Z¿,0)),INDEX(§A¿0,1,1,1,40,4,1,1,0,0,TRUE,TRUE,1,40,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0,3,1,1,0,0,TRUE,TRUE,1,40,3,1,2,0,0,TRUE,TRUE§Z¿,MATCH(§A¿0,1,0,1,12,1,1,0,0,0,FALSE,FALSE§Z¿,§A¿1,1,4,1,17,0,1,1,1§Z¿,0)),INDEX(§A¿0,1,1,1,40,5,1,1,0,0,TRUE,TRUE,1,40,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
                          <ClmnBlkProps>
                            <FCPT>0</FCPT>
                            <FCN>13</FCN>
                            <LCPT>0</LCPT>
                            <LCN>13</LCN>
                          </ClmnBlkProps>
                          <ClmnBlkPts>
                            <ClmnBlkPt>
                              <ClmnBlkPtProps>
                                <CBPT>5</CBPT>
                                <ST>18</ST>
                                <SON>15</SON>
                                <VOFFF><![CDATA[=IF(§A¿1,1,1,1,5,0,2,1,1§Z¿=1,§A¿0,1,0,1,32,1,1,1,0,0,TRUE,TRUE§Z¿,§A¿0,1,0,1,32,1,1,2,0,0,TRUE,TRUE§Z¿)]]></VOFFF>
                              </ClmnBlkPtProps>
                            </ClmnBlkPt>
                          </ClmnBlkPts>
                        </ClmnBlk>
                        <ClmnBlk>
                          <ClmnBlkProps>
                            <FCPT>0</FCPT>
                            <FCN>15</FCN>
                            <LCPT>0</LCPT>
                            <LCN>15</LCN>
                          </ClmnBlkProps>
                          <ClmnBlkPts>
                            <ClmnBlkPt>
                              <ClmnBlkPtProps>
                                <CBPT>5</CBPT>
                                <ST>18</ST>
                                <SON>15</SON>
                                <VOFFF><![CDATA[=IF(§A¿1,1,1,1,5,0,2,1,1§Z¿=1,§A¿0,1,0,1,32,1,1,1,0,0,TRUE,TRUE§Z¿,§A¿0,1,0,1,32,1,1,2,0,0,TRUE,TRUE§Z¿)]]></VOFFF>
                              </ClmnBlkPtProps>
                            </ClmnBlkPt>
                          </ClmnBlkPts>
                        </ClmnBlk>
                        <ClmnBlk>
                          <ClmnBlkProps>
                            <FCPT>0</FCPT>
                            <FCN>17</FCN>
                            <LCPT>0</LCPT>
                            <LCN>17</LCN>
                          </ClmnBlkProps>
                          <ClmnBlkPts>
                            <ClmnBlkPt>
                              <ClmnBlkPtProps>
                                <CBPT>5</CBPT>
                                <ST>18</ST>
                                <SON>15</SON>
                                <VOFFF><![CDATA[=IF(§A¿1,1,1,1,5,0,2,1,1§Z¿=1,§A¿0,1,0,1,32,1,1,1,0,0,TRUE,TRUE§Z¿,§A¿0,1,0,1,32,1,1,2,0,0,TRUE,TRUE§Z¿)]]></VOFFF>
                              </ClmnBlkPtProps>
                            </ClmnBlkPt>
                          </ClmnBlkPts>
                        </ClmnBlk>
                        <ClmnBlk>
                          <ClmnBlkProps>
                            <FCPT>0</FCPT>
                            <FCN>19</FCN>
                            <LCPT>0</LCPT>
                            <LCN>19</LCN>
                          </ClmnBlkProps>
                          <ClmnBlkPts>
                            <ClmnBlkPt>
                              <ClmnBlkPtProps>
                                <CBPT>5</CBPT>
                                <ST>18</ST>
                                <SON>15</SON>
                                <VOFFF><![CDATA[=IF(§A¿1,1,1,1,5,0,2,1,1§Z¿=1,§A¿0,1,0,1,32,1,1,1,0,0,TRUE,TRUE§Z¿,§A¿0,1,0,1,32,1,1,2,0,0,TRUE,TRUE§Z¿)]]></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1,1,17,1,1</CBPLI>
                                  <ADVT>-1</ADVT>
                                  <VT>3</VT>
                                  <AS>1</AS>
                                  <O>1</O>
                                  <F1FFF><![CDATA[=§A¿1,1,4,1,22,0,1,1,1§Z¿]]></F1FFF>
                                  <F2FFF/>
                                  <IB>True</IB>
                                  <ICDD>True</ICDD>
                                  <SI>True</SI>
                                  <IT/>
                                  <IM/>
                                  <SE>True</SE>
                                  <ET/>
                                  <EM/>
                                  <IMO>0</IMO>
                                </VdtnProps>
                              </Vdtn>
                            </ClmnBlkPt>
                            <ClmnBlkPt>
                              <ClmnBlkPtProps>
                                <CBPT>1</CBPT>
                                <ST>6</ST>
                                <MC>True</MC>
                                <VOFFF><![CDATA[="Total "&§A¿0,1,0,1,17,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4,2,1,1,0,0,TRUE,TRUE,1,44,2,1,2,0,0,TRUE,TRUE§Z¿,MATCH(§A¿0,1,0,1,17,1,1,0,0,0,FALSE,FALSE§Z¿,§A¿1,1,4,1,22,0,1,1,1§Z¿,0)),INDEX(§A¿0,1,1,1,44,4,1,1,0,0,TRUE,TRUE,1,44,4,1,2,0,0,TRUE,TRUE§Z¿,MATCH(§A¿0,1,0,1,17,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4,3,1,1,0,0,TRUE,TRUE,1,44,3,1,2,0,0,TRUE,TRUE§Z¿,MATCH(§A¿0,1,0,1,17,1,1,0,0,0,FALSE,FALSE§Z¿,§A¿1,1,4,1,22,0,1,1,1§Z¿,0)),INDEX(§A¿0,1,1,1,44,5,1,1,0,0,TRUE,TRUE,1,44,5,1,2,0,0,TRUE,TRUE§Z¿,MATCH(§A¿0,1,0,1,17,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7,2,1,0,0,0,FALSE,FALSE§Z¿*§A¿0,1,0,1,17,3,1,0,0,0,FALSE,FALSE§Z¿*§A¿0,1,0,1,17,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7,2,1,0,0,0,FALSE,FALSE§Z¿*§A¿0,1,0,1,17,3,1,0,0,0,FALSE,FALSE§Z¿*§A¿0,1,0,1,17,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1,1,17,1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13</FCN>
                            <LCPT>0</LCPT>
                            <LCN>13</LCN>
                          </ClmnBlkProps>
                          <ClmnBlkPts>
                            <ClmnBlkPt>
                              <ClmnBlkPtProps>
                                <CBPT>5</CBPT>
                                <ST>18</ST>
                                <SON>15</SON>
                                <VOFFF><![CDATA[=IF(§A¿1,1,1,1,5,0,2,1,1§Z¿=1,§A¿0,1,0,1,32,1,1,1,0,0,TRUE,TRUE§Z¿,§A¿0,1,0,1,32,1,1,2,0,0,TRUE,TRUE§Z¿)]]></VOFFF>
                              </ClmnBlkPtProps>
                            </ClmnBlkPt>
                          </ClmnBlkPts>
                        </ClmnBlk>
                        <ClmnBlk>
                          <ClmnBlkProps>
                            <FCPT>0</FCPT>
                            <FCN>15</FCN>
                            <LCPT>0</LCPT>
                            <LCN>15</LCN>
                          </ClmnBlkProps>
                          <ClmnBlkPts>
                            <ClmnBlkPt>
                              <ClmnBlkPtProps>
                                <CBPT>5</CBPT>
                                <ST>18</ST>
                                <SON>15</SON>
                                <VOFFF><![CDATA[=IF(§A¿1,1,1,1,5,0,2,1,1§Z¿=1,§A¿0,1,0,1,32,1,1,1,0,0,TRUE,TRUE§Z¿,§A¿0,1,0,1,32,1,1,2,0,0,TRUE,TRUE§Z¿)]]></VOFFF>
                              </ClmnBlkPtProps>
                            </ClmnBlkPt>
                          </ClmnBlkPts>
                        </ClmnBlk>
                        <ClmnBlk>
                          <ClmnBlkProps>
                            <FCPT>0</FCPT>
                            <FCN>17</FCN>
                            <LCPT>0</LCPT>
                            <LCN>17</LCN>
                          </ClmnBlkProps>
                          <ClmnBlkPts>
                            <ClmnBlkPt>
                              <ClmnBlkPtProps>
                                <CBPT>5</CBPT>
                                <ST>18</ST>
                                <SON>15</SON>
                                <VOFFF><![CDATA[=IF(§A¿1,1,1,1,5,0,2,1,1§Z¿=1,§A¿0,1,0,1,32,1,1,1,0,0,TRUE,TRUE§Z¿,§A¿0,1,0,1,32,1,1,2,0,0,TRUE,TRUE§Z¿)]]></VOFFF>
                              </ClmnBlkPtProps>
                            </ClmnBlkPt>
                          </ClmnBlkPts>
                        </ClmnBlk>
                        <ClmnBlk>
                          <ClmnBlkProps>
                            <FCPT>0</FCPT>
                            <FCN>19</FCN>
                            <LCPT>0</LCPT>
                            <LCN>19</LCN>
                          </ClmnBlkProps>
                          <ClmnBlkPts>
                            <ClmnBlkPt>
                              <ClmnBlkPtProps>
                                <CBPT>5</CBPT>
                                <ST>18</ST>
                                <SON>15</SON>
                                <VOFFF><![CDATA[=IF(§A¿1,1,1,1,5,0,2,1,1§Z¿=1,§A¿0,1,0,1,32,1,1,1,0,0,TRUE,TRUE§Z¿,§A¿0,1,0,1,32,1,1,2,0,0,TRUE,TRUE§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0]]></VOFFF>
                                <UDAV><![CDATA[<CategoriesGroupName> Category <CategoryNumber>]]></UDAV>
                              </ClmnBlkPtProps>
                              <Vdtn>
                                <VdtnProps>
                                  <CBPLI>1,1,21,1,1</CBPLI>
                                  <ADVT>-1</ADVT>
                                  <VT>3</VT>
                                  <AS>1</AS>
                                  <O>1</O>
                                  <F1FFF><![CDATA[=§A¿1,1,4,1,27,0,1,1,1§Z¿]]></F1FFF>
                                  <F2FFF/>
                                  <IB>True</IB>
                                  <ICDD>True</ICDD>
                                  <SI>True</SI>
                                  <IT/>
                                  <IM/>
                                  <SE>True</SE>
                                  <ET/>
                                  <EM/>
                                  <IMO>0</IMO>
                                </VdtnProps>
                              </Vdtn>
                            </ClmnBlkPt>
                            <ClmnBlkPt>
                              <ClmnBlkPtProps>
                                <CBPT>1</CBPT>
                                <ST>6</ST>
                                <MC>True</MC>
                                <VOFFF><![CDATA[="Total "&§A¿0,1,0,1,21,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7,2,1,1,0,0,TRUE,TRUE,1,47,2,1,2,0,0,TRUE,TRUE§Z¿,MATCH(§A¿0,1,0,1,21,1,1,0,0,0,FALSE,FALSE§Z¿,§A¿1,1,4,1,27,0,1,1,1§Z¿,0)),INDEX(§A¿0,1,1,1,47,4,1,1,0,0,TRUE,TRUE,1,47,4,1,2,0,0,TRUE,TRUE§Z¿,MATCH(§A¿0,1,0,1,21,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7,3,1,1,0,0,TRUE,TRUE,1,47,3,1,2,0,0,TRUE,TRUE§Z¿,MATCH(§A¿0,1,0,1,21,1,1,0,0,0,FALSE,FALSE§Z¿,§A¿1,1,4,1,27,0,1,1,1§Z¿,0)),INDEX(§A¿0,1,1,1,47,5,1,1,0,0,TRUE,TRUE,1,47,5,1,2,0,0,TRUE,TRUE§Z¿,MATCH(§A¿0,1,0,1,21,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1,2,1,0,0,0,FALSE,FALSE§Z¿*§A¿0,1,0,1,21,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1,2,1,0,0,0,FALSE,FALSE§Z¿*§A¿0,1,0,1,21,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13</FCN>
                            <LCPT>0</LCPT>
                            <LCN>13</LCN>
                          </ClmnBlkProps>
                          <ClmnBlkPts>
                            <ClmnBlkPt>
                              <ClmnBlkPtProps>
                                <CBPT>5</CBPT>
                                <ST>18</ST>
                                <SON>15</SON>
                                <VOFFF><![CDATA[=IF(§A¿1,1,1,1,5,0,2,1,1§Z¿=1,§A¿0,1,0,1,32,1,1,1,0,0,TRUE,TRUE§Z¿,§A¿0,1,0,1,32,1,1,2,0,0,TRUE,TRUE§Z¿)]]></VOFFF>
                              </ClmnBlkPtProps>
                            </ClmnBlkPt>
                          </ClmnBlkPts>
                        </ClmnBlk>
                        <ClmnBlk>
                          <ClmnBlkProps>
                            <FCPT>0</FCPT>
                            <FCN>15</FCN>
                            <LCPT>0</LCPT>
                            <LCN>15</LCN>
                          </ClmnBlkProps>
                          <ClmnBlkPts>
                            <ClmnBlkPt>
                              <ClmnBlkPtProps>
                                <CBPT>5</CBPT>
                                <ST>18</ST>
                                <SON>15</SON>
                                <VOFFF><![CDATA[=IF(§A¿1,1,1,1,5,0,2,1,1§Z¿=1,§A¿0,1,0,1,32,1,1,1,0,0,TRUE,TRUE§Z¿,§A¿0,1,0,1,32,1,1,2,0,0,TRUE,TRUE§Z¿)]]></VOFFF>
                              </ClmnBlkPtProps>
                            </ClmnBlkPt>
                          </ClmnBlkPts>
                        </ClmnBlk>
                        <ClmnBlk>
                          <ClmnBlkProps>
                            <FCPT>0</FCPT>
                            <FCN>17</FCN>
                            <LCPT>0</LCPT>
                            <LCN>17</LCN>
                          </ClmnBlkProps>
                          <ClmnBlkPts>
                            <ClmnBlkPt>
                              <ClmnBlkPtProps>
                                <CBPT>5</CBPT>
                                <ST>18</ST>
                                <SON>15</SON>
                                <VOFFF><![CDATA[=IF(§A¿1,1,1,1,5,0,2,1,1§Z¿=1,§A¿0,1,0,1,32,1,1,1,0,0,TRUE,TRUE§Z¿,§A¿0,1,0,1,32,1,1,2,0,0,TRUE,TRUE§Z¿)]]></VOFFF>
                              </ClmnBlkPtProps>
                            </ClmnBlkPt>
                          </ClmnBlkPts>
                        </ClmnBlk>
                        <ClmnBlk>
                          <ClmnBlkProps>
                            <FCPT>0</FCPT>
                            <FCN>19</FCN>
                            <LCPT>0</LCPT>
                            <LCN>19</LCN>
                          </ClmnBlkProps>
                          <ClmnBlkPts>
                            <ClmnBlkPt>
                              <ClmnBlkPtProps>
                                <CBPT>5</CBPT>
                                <ST>18</ST>
                                <SON>15</SON>
                                <VOFFF><![CDATA[=IF(§A¿1,1,1,1,5,0,2,1,1§Z¿=1,§A¿0,1,0,1,32,1,1,1,0,0,TRUE,TRUE§Z¿,§A¿0,1,0,1,32,1,1,2,0,0,TRUE,TRUE§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Luncheon (incl. beverage) - National Level]]></VOFFF>
                                <UDAV><![CDATA[<CategoriesGroupName> Category <CategoryNumber>]]></UDAV>
                              </ClmnBlkPtProps>
                              <Vdtn>
                                <VdtnProps>
                                  <CBPLI>1,1,25,1,1</CBPLI>
                                  <ADVT>-1</ADVT>
                                  <VT>3</VT>
                                  <AS>1</AS>
                                  <O>1</O>
                                  <F1FFF><![CDATA[=§A¿1,1,4,1,31,0,1,1,1§Z¿]]></F1FFF>
                                  <F2FFF/>
                                  <IB>True</IB>
                                  <ICDD>True</ICDD>
                                  <SI>True</SI>
                                  <IT/>
                                  <IM/>
                                  <SE>True</SE>
                                  <ET/>
                                  <EM/>
                                  <IMO>0</IMO>
                                </VdtnProps>
                              </Vdtn>
                            </ClmnBlkPt>
                            <ClmnBlkPt>
                              <ClmnBlkPtProps>
                                <CBPT>1</CBPT>
                                <ST>6</ST>
                                <MC>True</MC>
                                <VOFFF><![CDATA[="Total "&§A¿0,1,0,1,25,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1,2,1,1,0,0,TRUE,TRUE,1,51,2,1,2,0,0,TRUE,TRUE§Z¿,MATCH(§A¿0,1,0,1,25,1,1,0,0,0,FALSE,FALSE§Z¿,§A¿1,1,4,1,31,0,1,1,1§Z¿,0)),INDEX(§A¿0,1,1,1,51,4,1,1,0,0,TRUE,TRUE,1,51,4,1,2,0,0,TRUE,TRUE§Z¿,MATCH(§A¿0,1,0,1,25,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1,3,1,1,0,0,TRUE,TRUE,1,51,3,1,2,0,0,TRUE,TRUE§Z¿,MATCH(§A¿0,1,0,1,25,1,1,0,0,0,FALSE,FALSE§Z¿,§A¿1,1,4,1,31,0,1,1,1§Z¿,0)),INDEX(§A¿0,1,1,1,51,5,1,1,0,0,TRUE,TRUE,1,51,5,1,2,0,0,TRUE,TRUE§Z¿,MATCH(§A¿0,1,0,1,25,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5,2,1,0,0,0,FALSE,FALSE§Z¿*§A¿0,1,0,1,25,3,1,0,0,0,FALSE,FALSE§Z¿*§A¿0,1,0,1,25,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5,2,1,0,0,0,FALSE,FALSE§Z¿*§A¿0,1,0,1,25,3,1,0,0,0,FALSE,FALSE§Z¿*§A¿0,1,0,1,25,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2,1,1,1,0,0,TRUE,TRUE§Z¿,§A¿0,1,0,1,32,1,1,2,0,0,TRUE,TRUE§Z¿)&")"]]></VOFFF>
                              </ClmnBlkPtProps>
                            </ClmnBlkPt>
                          </ClmnBlkPts>
                        </ClmnBlk>
                        <ClmnBlk>
                          <ClmnBlkProps>
                            <FCPT>0</FCPT>
                            <FCN>23</FCN>
                            <LCPT>0</LCPT>
                            <LCN>23</LCN>
                          </ClmnBlkProps>
                          <ClmnBlkPts>
                            <ClmnBlkPt>
                              <ClmnBlkPtProps>
                                <CBPT>5</CBPT>
                                <ST>6</ST>
                                <SON>2</SON>
                                <VOFFF><![CDATA[="ECONOMIC COST ("&IF(§A¿1,1,1,1,5,0,2,1,1§Z¿=2,§A¿0,1,0,1,32,1,1,1,0,0,TRUE,TRUE§Z¿,§A¿0,1,0,1,32,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A¿0,1,0,1,3,1,1,-1,0,0,FALSE,FALSE§Z¿]]></VOFFF>
                              </ClmnBlkPtProps>
                            </ClmnBlkPt>
                          </ClmnBlkPts>
                        </ClmnBlk>
                        <ClmnBlk>
                          <ClmnBlkProps>
                            <FCPT>0</FCPT>
                            <FCN>17</FCN>
                            <LCPT>0</LCPT>
                            <LCN>17</LCN>
                          </ClmnBlkProps>
                          <ClmnBlkPts>
                            <ClmnBlkPt>
                              <ClmnBlkPtProps>
                                <CBPT>5</CBPT>
                                <ST>18</ST>
                                <SON>11</SON>
                                <VOFFF><![CDATA[=SUM(§A¿0,1,0,1,8,6,6,-1,0,0,FALSE,FALSE§Z¿,§A¿0,1,0,1,12,6,6,-1,0,0,FALSE,FALSE§Z¿,§A¿0,1,0,1,17,6,6,-1,0,0,FALSE,FALSE§Z¿,§A¿0,1,0,1,21,5,6,-1,0,0,FALSE,FALSE§Z¿,§A¿0,1,0,1,25,6,6,-1,0,0,FALSE,FALSE§Z¿)]]></VOFFF>
                              </ClmnBlkPtProps>
                            </ClmnBlkPt>
                          </ClmnBlkPts>
                        </ClmnBlk>
                        <ClmnBlk>
                          <ClmnBlkProps>
                            <FCPT>0</FCPT>
                            <FCN>19</FCN>
                            <LCPT>0</LCPT>
                            <LCN>19</LCN>
                          </ClmnBlkProps>
                          <ClmnBlkPts>
                            <ClmnBlkPt>
                              <ClmnBlkPtProps>
                                <CBPT>5</CBPT>
                                <ST>18</ST>
                                <SON>11</SON>
                                <VOFFF><![CDATA[=SUM(§A¿0,1,0,1,8,7,6,-1,0,0,FALSE,FALSE§Z¿,§A¿0,1,0,1,12,7,6,-1,0,0,FALSE,FALSE§Z¿,§A¿0,1,0,1,17,7,6,-1,0,0,FALSE,FALSE§Z¿,§A¿0,1,0,1,21,6,6,-1,0,0,FALSE,FALSE§Z¿,§A¿0,1,0,1,25,7,6,-1,0,0,FALSE,FALSE§Z¿)]]></VOFFF>
                              </ClmnBlkPtProps>
                            </ClmnBlkPt>
                          </ClmnBlkPts>
                        </ClmnBlk>
                        <ClmnBlk>
                          <ClmnBlkProps>
                            <FCPT>0</FCPT>
                            <FCN>21</FCN>
                            <LCPT>0</LCPT>
                            <LCN>21</LCN>
                          </ClmnBlkProps>
                          <ClmnBlkPts>
                            <ClmnBlkPt>
                              <ClmnBlkPtProps>
                                <CBPT>5</CBPT>
                                <ST>18</ST>
                                <SON>6</SON>
                                <VOFFF><![CDATA[=IFERROR(IF(§A¿1,1,1,1,5,0,2,1,1§Z¿=2,§A¿0,1,0,1,28,2,1,-1,0,0,FALSE,TRUE§Z¿/§A¿0,1,0,1,32,2,1,2,0,0,TRUE,TRUE§Z¿,§A¿0,1,0,1,28,2,1,-1,0,0,FALSE,TRUE§Z¿*§A¿0,1,0,1,32,2,1,2,0,0,TRUE,TRUE§Z¿), 0)]]></VOFFF>
                              </ClmnBlkPtProps>
                            </ClmnBlkPt>
                          </ClmnBlkPts>
                        </ClmnBlk>
                        <ClmnBlk>
                          <ClmnBlkProps>
                            <FCPT>0</FCPT>
                            <FCN>23</FCN>
                            <LCPT>0</LCPT>
                            <LCN>23</LCN>
                          </ClmnBlkProps>
                          <ClmnBlkPts>
                            <ClmnBlkPt>
                              <ClmnBlkPtProps>
                                <CBPT>5</CBPT>
                                <ST>18</ST>
                                <SON>6</SON>
                                <VOFFF><![CDATA[=IFERROR(IF(§A¿1,1,1,1,5,0,2,1,1§Z¿=2,§A¿0,1,0,1,28,3,1,-1,0,0,FALSE,TRUE§Z¿/§A¿0,1,0,1,32,2,1,2,0,0,TRUE,TRUE§Z¿,§A¿0,1,0,1,28,3,1,-1,0,0,FALSE,TRUE§Z¿*§A¿0,1,0,1,32,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s Reference Links (Developer Use Only.  User can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1,1,32,1,1</CBPLI>
                                    <ELN>1</ELN>
                                    <FFF><![CDATA[=§A¿10,FALSE,0,1,0,FALSE§Z¿]]></FFF>
                                  </LnkInFormProps>
                                </LnkInForm>
                              </LnkInForms>
                            </ClmnBlkPt>
                            <ClmnBlkPt>
                              <ClmnBlkPtProps>
                                <CBPT>1</CBPT>
                                <ST>6</ST>
                                <MC>True</MC>
                                <VOFFF><![CDATA[="Total "&§A¿0,1,0,1,3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18</MN>
                                  <CLI>1,1,32,False,1</CLI>
                                  <ELN>1</ELN>
                                  <LOOT>0</LOOT>
                                  <LOMN>3</LOMN>
                                  <LOMCN>2</LOMCN>
                                  <LOSN>1</LOSN>
                                  <LOEN>4</LOEN>
                                  <LOCN>1</LOCN>
                                </LnkInProps>
                              </LnkIn>
                            </Ctg>
                            <Ctg>
                              <CtgProps>
                                <R>5</R>
                              </CtgProps>
                              <LnkIn>
                                <LnkInProps>
                                  <MN>18</MN>
                                  <CLI>1,1,32,False,2</CLI>
                                  <ELN>1</ELN>
                                  <LOOT>0</LOOT>
                                  <LOMN>3</LOMN>
                                  <LOMCN>2</LOMCN>
                                  <LOSN>1</LOSN>
                                  <LOEN>4</LOEN>
                                  <LOCN>2</LOCN>
                                </LnkInProps>
                              </LnkIn>
                            </Ctg>
                          </Ctgs>
                        </SubTtl>
                      </SubTtls>
                      <TtlCtg/>
                      <ElmtLnksIn>
                        <ElmtLnk>
                          <ElmtLnkProps>
                            <ELI>1,1,32</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1,1,37,1,1</CBPLI>
                                    <ELN>1</ELN>
                                    <FFF><![CDATA[=§A¿10,FALSE,0,1,0,FALSE§Z¿]]></FFF>
                                  </LnkInFormProps>
                                </LnkInForm>
                              </LnkInForms>
                            </ClmnBlkPt>
                            <ClmnBlkPt>
                              <ClmnBlkPtProps>
                                <CBPT>1</CBPT>
                                <ST>6</ST>
                                <VOFFF><![CDATA[="Total "&§A¿0,1,0,1,37,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1,1,37,3,1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1,1,37,4,1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1,1,37,5,1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18</MN>
                                  <CLI>1,1,37,False,1</CLI>
                                  <ELN>1</ELN>
                                  <LOOT>0</LOOT>
                                  <LOMN>3</LOMN>
                                  <LOMCN>1</LOMCN>
                                  <LOSN>1</LOSN>
                                  <LOEN>10</LOEN>
                                  <LOCN>1</LOCN>
                                </LnkInProps>
                              </LnkIn>
                            </Ctg>
                            <Ctg>
                              <CtgProps>
                                <R>4</R>
                              </CtgProps>
                              <LnkIn>
                                <LnkInProps>
                                  <MN>18</MN>
                                  <CLI>1,1,37,False,2</CLI>
                                  <ELN>1</ELN>
                                  <LOOT>0</LOOT>
                                  <LOMN>3</LOMN>
                                  <LOMCN>1</LOMCN>
                                  <LOSN>1</LOSN>
                                  <LOEN>10</LOEN>
                                  <LOCN>2</LOCN>
                                </LnkInProps>
                              </LnkIn>
                            </Ctg>
                            <Ctg>
                              <CtgProps>
                                <R>4</R>
                              </CtgProps>
                              <LnkIn>
                                <LnkInProps>
                                  <MN>18</MN>
                                  <CLI>1,1,37,False,3</CLI>
                                  <ELN>1</ELN>
                                  <LOOT>0</LOOT>
                                  <LOMN>3</LOMN>
                                  <LOMCN>1</LOMCN>
                                  <LOSN>1</LOSN>
                                  <LOEN>10</LOEN>
                                  <LOCN>3</LOCN>
                                </LnkInProps>
                              </LnkIn>
                            </Ctg>
                            <Ctg>
                              <CtgProps>
                                <R>4</R>
                              </CtgProps>
                              <LnkIn>
                                <LnkInProps>
                                  <MN>18</MN>
                                  <CLI>1,1,37,False,4</CLI>
                                  <ELN>1</ELN>
                                  <LOOT>0</LOOT>
                                  <LOMN>3</LOMN>
                                  <LOMCN>1</LOMCN>
                                  <LOSN>1</LOSN>
                                  <LOEN>10</LOEN>
                                  <LOCN>4</LOCN>
                                </LnkInProps>
                              </LnkIn>
                            </Ctg>
                            <Ctg>
                              <CtgProps>
                                <R>4</R>
                              </CtgProps>
                              <LnkIn>
                                <LnkInProps>
                                  <MN>18</MN>
                                  <CLI>1,1,37,False,5</CLI>
                                  <ELN>1</ELN>
                                  <LOOT>0</LOOT>
                                  <LOMN>3</LOMN>
                                  <LOMCN>1</LOMCN>
                                  <LOSN>1</LOSN>
                                  <LOEN>10</LOEN>
                                  <LOCN>5</LOCN>
                                </LnkInProps>
                              </LnkIn>
                            </Ctg>
                            <Ctg>
                              <CtgProps>
                                <R>4</R>
                              </CtgProps>
                              <LnkIn>
                                <LnkInProps>
                                  <MN>18</MN>
                                  <CLI>1,1,37,False,6</CLI>
                                  <ELN>1</ELN>
                                  <LOOT>0</LOOT>
                                  <LOMN>3</LOMN>
                                  <LOMCN>1</LOMCN>
                                  <LOSN>1</LOSN>
                                  <LOEN>10</LOEN>
                                  <LOCN>6</LOCN>
                                </LnkInProps>
                              </LnkIn>
                            </Ctg>
                            <Ctg>
                              <CtgProps>
                                <R>4</R>
                              </CtgProps>
                              <LnkIn>
                                <LnkInProps>
                                  <MN>18</MN>
                                  <CLI>1,1,37,False,7</CLI>
                                  <ELN>1</ELN>
                                  <LOOT>0</LOOT>
                                  <LOMN>3</LOMN>
                                  <LOMCN>1</LOMCN>
                                  <LOSN>1</LOSN>
                                  <LOEN>10</LOEN>
                                  <LOCN>7</LOCN>
                                </LnkInProps>
                              </LnkIn>
                            </Ctg>
                            <Ctg>
                              <CtgProps>
                                <R>4</R>
                              </CtgProps>
                              <LnkIn>
                                <LnkInProps>
                                  <MN>18</MN>
                                  <CLI>1,1,37,False,8</CLI>
                                  <ELN>1</ELN>
                                  <LOOT>0</LOOT>
                                  <LOMN>3</LOMN>
                                  <LOMCN>1</LOMCN>
                                  <LOSN>1</LOSN>
                                  <LOEN>10</LOEN>
                                  <LOCN>8</LOCN>
                                </LnkInProps>
                              </LnkIn>
                            </Ctg>
                            <Ctg>
                              <CtgProps>
                                <R>4</R>
                              </CtgProps>
                              <LnkIn>
                                <LnkInProps>
                                  <MN>18</MN>
                                  <CLI>1,1,37,False,9</CLI>
                                  <ELN>1</ELN>
                                  <LOOT>0</LOOT>
                                  <LOMN>3</LOMN>
                                  <LOMCN>1</LOMCN>
                                  <LOSN>1</LOSN>
                                  <LOEN>10</LOEN>
                                  <LOCN>9</LOCN>
                                </LnkInProps>
                              </LnkIn>
                            </Ctg>
                            <Ctg>
                              <CtgProps>
                                <R>4</R>
                              </CtgProps>
                              <LnkIn>
                                <LnkInProps>
                                  <MN>18</MN>
                                  <CLI>1,1,37,False,10</CLI>
                                  <ELN>1</ELN>
                                  <LOOT>0</LOOT>
                                  <LOMN>3</LOMN>
                                  <LOMCN>1</LOMCN>
                                  <LOSN>1</LOSN>
                                  <LOEN>10</LOEN>
                                  <LOCN>10</LOCN>
                                </LnkInProps>
                              </LnkIn>
                            </Ctg>
                            <Ctg>
                              <CtgProps>
                                <R>4</R>
                              </CtgProps>
                              <LnkIn>
                                <LnkInProps>
                                  <MN>18</MN>
                                  <CLI>1,1,37,False,11</CLI>
                                  <ELN>1</ELN>
                                  <LOOT>0</LOOT>
                                  <LOMN>3</LOMN>
                                  <LOMCN>1</LOMCN>
                                  <LOSN>1</LOSN>
                                  <LOEN>10</LOEN>
                                  <LOCN>11</LOCN>
                                </LnkInProps>
                              </LnkIn>
                            </Ctg>
                            <Ctg>
                              <CtgProps>
                                <R>4</R>
                              </CtgProps>
                              <LnkIn>
                                <LnkInProps>
                                  <MN>18</MN>
                                  <CLI>1,1,37,False,12</CLI>
                                  <ELN>1</ELN>
                                  <LOOT>0</LOOT>
                                  <LOMN>3</LOMN>
                                  <LOMCN>1</LOMCN>
                                  <LOSN>1</LOSN>
                                  <LOEN>10</LOEN>
                                  <LOCN>12</LOCN>
                                </LnkInProps>
                              </LnkIn>
                            </Ctg>
                            <Ctg>
                              <CtgProps>
                                <R>4</R>
                              </CtgProps>
                              <LnkIn>
                                <LnkInProps>
                                  <MN>18</MN>
                                  <CLI>1,1,37,False,13</CLI>
                                  <ELN>1</ELN>
                                  <LOOT>0</LOOT>
                                  <LOMN>3</LOMN>
                                  <LOMCN>1</LOMCN>
                                  <LOSN>1</LOSN>
                                  <LOEN>10</LOEN>
                                  <LOCN>13</LOCN>
                                </LnkInProps>
                              </LnkIn>
                            </Ctg>
                            <Ctg>
                              <CtgProps>
                                <R>4</R>
                              </CtgProps>
                              <LnkIn>
                                <LnkInProps>
                                  <MN>18</MN>
                                  <CLI>1,1,37,False,14</CLI>
                                  <ELN>1</ELN>
                                  <LOOT>0</LOOT>
                                  <LOMN>3</LOMN>
                                  <LOMCN>1</LOMCN>
                                  <LOSN>1</LOSN>
                                  <LOEN>10</LOEN>
                                  <LOCN>14</LOCN>
                                </LnkInProps>
                              </LnkIn>
                            </Ctg>
                            <Ctg>
                              <CtgProps>
                                <R>5</R>
                              </CtgProps>
                              <LnkIn>
                                <LnkInProps>
                                  <MN>18</MN>
                                  <CLI>1,1,37,False,15</CLI>
                                  <ELN>1</ELN>
                                  <LOOT>0</LOOT>
                                  <LOMN>3</LOMN>
                                  <LOMCN>1</LOMCN>
                                  <LOSN>1</LOSN>
                                  <LOEN>10</LOEN>
                                  <LOCN>15</LOCN>
                                </LnkInProps>
                              </LnkIn>
                            </Ctg>
                            <Ctg>
                              <CtgProps>
                                <R>5</R>
                              </CtgProps>
                              <LnkIn>
                                <LnkInProps>
                                  <MN>18</MN>
                                  <CLI>1,1,37,False,16</CLI>
                                  <ELN>1</ELN>
                                  <LOOT>0</LOOT>
                                  <LOMN>3</LOMN>
                                  <LOMCN>1</LOMCN>
                                  <LOSN>1</LOSN>
                                  <LOEN>10</LOEN>
                                  <LOCN>16</LOCN>
                                </LnkInProps>
                              </LnkIn>
                            </Ctg>
                            <Ctg>
                              <CtgProps>
                                <R>5</R>
                              </CtgProps>
                              <LnkIn>
                                <LnkInProps>
                                  <MN>18</MN>
                                  <CLI>1,1,37,False,17</CLI>
                                  <ELN>1</ELN>
                                  <LOOT>0</LOOT>
                                  <LOMN>3</LOMN>
                                  <LOMCN>1</LOMCN>
                                  <LOSN>1</LOSN>
                                  <LOEN>10</LOEN>
                                  <LOCN>17</LOCN>
                                </LnkInProps>
                              </LnkIn>
                            </Ctg>
                            <Ctg>
                              <CtgProps>
                                <R>5</R>
                              </CtgProps>
                              <LnkIn>
                                <LnkInProps>
                                  <MN>18</MN>
                                  <CLI>1,1,37,False,18</CLI>
                                  <ELN>1</ELN>
                                  <LOOT>0</LOOT>
                                  <LOMN>3</LOMN>
                                  <LOMCN>1</LOMCN>
                                  <LOSN>1</LOSN>
                                  <LOEN>10</LOEN>
                                  <LOCN>18</LOCN>
                                </LnkInProps>
                              </LnkIn>
                            </Ctg>
                            <Ctg>
                              <CtgProps>
                                <R>5</R>
                              </CtgProps>
                              <LnkIn>
                                <LnkInProps>
                                  <MN>18</MN>
                                  <CLI>1,1,37,False,19</CLI>
                                  <ELN>1</ELN>
                                  <LOOT>0</LOOT>
                                  <LOMN>3</LOMN>
                                  <LOMCN>1</LOMCN>
                                  <LOSN>1</LOSN>
                                  <LOEN>10</LOEN>
                                  <LOCN>19</LOCN>
                                </LnkInProps>
                              </LnkIn>
                            </Ctg>
                            <Ctg>
                              <CtgProps>
                                <R>5</R>
                              </CtgProps>
                              <LnkIn>
                                <LnkInProps>
                                  <MN>18</MN>
                                  <CLI>1,1,37,False,20</CLI>
                                  <ELN>1</ELN>
                                  <LOOT>0</LOOT>
                                  <LOMN>3</LOMN>
                                  <LOMCN>1</LOMCN>
                                  <LOSN>1</LOSN>
                                  <LOEN>10</LOEN>
                                  <LOCN>20</LOCN>
                                </LnkInProps>
                              </LnkIn>
                            </Ctg>
                            <Ctg>
                              <CtgProps>
                                <R>5</R>
                              </CtgProps>
                              <LnkIn>
                                <LnkInProps>
                                  <MN>18</MN>
                                  <CLI>1,1,37,False,21</CLI>
                                  <ELN>1</ELN>
                                  <LOOT>0</LOOT>
                                  <LOMN>3</LOMN>
                                  <LOMCN>1</LOMCN>
                                  <LOSN>1</LOSN>
                                  <LOEN>10</LOEN>
                                  <LOCN>21</LOCN>
                                </LnkInProps>
                              </LnkIn>
                            </Ctg>
                            <Ctg>
                              <CtgProps>
                                <R>5</R>
                              </CtgProps>
                              <LnkIn>
                                <LnkInProps>
                                  <MN>18</MN>
                                  <CLI>1,1,37,False,22</CLI>
                                  <ELN>1</ELN>
                                  <LOOT>0</LOOT>
                                  <LOMN>3</LOMN>
                                  <LOMCN>1</LOMCN>
                                  <LOSN>1</LOSN>
                                  <LOEN>10</LOEN>
                                  <LOCN>22</LOCN>
                                </LnkInProps>
                              </LnkIn>
                            </Ctg>
                            <Ctg>
                              <CtgProps>
                                <R>5</R>
                              </CtgProps>
                              <LnkIn>
                                <LnkInProps>
                                  <MN>18</MN>
                                  <CLI>1,1,37,False,23</CLI>
                                  <ELN>1</ELN>
                                  <LOOT>0</LOOT>
                                  <LOMN>3</LOMN>
                                  <LOMCN>1</LOMCN>
                                  <LOSN>1</LOSN>
                                  <LOEN>10</LOEN>
                                  <LOCN>23</LOCN>
                                </LnkInProps>
                              </LnkIn>
                            </Ctg>
                            <Ctg>
                              <CtgProps>
                                <R>5</R>
                              </CtgProps>
                              <LnkIn>
                                <LnkInProps>
                                  <MN>18</MN>
                                  <CLI>1,1,37,False,24</CLI>
                                  <ELN>1</ELN>
                                  <LOOT>0</LOOT>
                                  <LOMN>3</LOMN>
                                  <LOMCN>1</LOMCN>
                                  <LOSN>1</LOSN>
                                  <LOEN>10</LOEN>
                                  <LOCN>24</LOCN>
                                </LnkInProps>
                              </LnkIn>
                            </Ctg>
                            <Ctg>
                              <CtgProps>
                                <R>5</R>
                              </CtgProps>
                              <LnkIn>
                                <LnkInProps>
                                  <MN>18</MN>
                                  <CLI>1,1,37,False,25</CLI>
                                  <ELN>1</ELN>
                                  <LOOT>0</LOOT>
                                  <LOMN>3</LOMN>
                                  <LOMCN>1</LOMCN>
                                  <LOSN>1</LOSN>
                                  <LOEN>10</LOEN>
                                  <LOCN>25</LOCN>
                                </LnkInProps>
                              </LnkIn>
                            </Ctg>
                            <Ctg>
                              <CtgProps>
                                <R>5</R>
                              </CtgProps>
                              <LnkIn>
                                <LnkInProps>
                                  <MN>18</MN>
                                  <CLI>1,1,37,False,26</CLI>
                                  <ELN>1</ELN>
                                  <LOOT>0</LOOT>
                                  <LOMN>3</LOMN>
                                  <LOMCN>1</LOMCN>
                                  <LOSN>1</LOSN>
                                  <LOEN>10</LOEN>
                                  <LOCN>26</LOCN>
                                </LnkInProps>
                              </LnkIn>
                            </Ctg>
                            <Ctg>
                              <CtgProps>
                                <R>5</R>
                              </CtgProps>
                              <LnkIn>
                                <LnkInProps>
                                  <MN>18</MN>
                                  <CLI>1,1,37,False,27</CLI>
                                  <ELN>1</ELN>
                                  <LOOT>0</LOOT>
                                  <LOMN>3</LOMN>
                                  <LOMCN>1</LOMCN>
                                  <LOSN>1</LOSN>
                                  <LOEN>10</LOEN>
                                  <LOCN>27</LOCN>
                                </LnkInProps>
                              </LnkIn>
                            </Ctg>
                            <Ctg>
                              <CtgProps>
                                <R>5</R>
                              </CtgProps>
                              <LnkIn>
                                <LnkInProps>
                                  <MN>18</MN>
                                  <CLI>1,1,37,False,28</CLI>
                                  <ELN>1</ELN>
                                  <LOOT>0</LOOT>
                                  <LOMN>3</LOMN>
                                  <LOMCN>1</LOMCN>
                                  <LOSN>1</LOSN>
                                  <LOEN>10</LOEN>
                                  <LOCN>28</LOCN>
                                </LnkInProps>
                              </LnkIn>
                            </Ctg>
                            <Ctg>
                              <CtgProps>
                                <R>5</R>
                              </CtgProps>
                              <LnkIn>
                                <LnkInProps>
                                  <MN>18</MN>
                                  <CLI>1,1,37,False,29</CLI>
                                  <ELN>1</ELN>
                                  <LOOT>0</LOOT>
                                  <LOMN>3</LOMN>
                                  <LOMCN>1</LOMCN>
                                  <LOSN>1</LOSN>
                                  <LOEN>10</LOEN>
                                  <LOCN>29</LOCN>
                                </LnkInProps>
                              </LnkIn>
                            </Ctg>
                            <Ctg>
                              <CtgProps>
                                <R>5</R>
                              </CtgProps>
                              <LnkIn>
                                <LnkInProps>
                                  <MN>18</MN>
                                  <CLI>1,1,37,False,30</CLI>
                                  <ELN>1</ELN>
                                  <LOOT>0</LOOT>
                                  <LOMN>3</LOMN>
                                  <LOMCN>1</LOMCN>
                                  <LOSN>1</LOSN>
                                  <LOEN>10</LOEN>
                                  <LOCN>30</LOCN>
                                </LnkInProps>
                              </LnkIn>
                            </Ctg>
                            <Ctg>
                              <CtgProps>
                                <R>5</R>
                              </CtgProps>
                              <LnkIn>
                                <LnkInProps>
                                  <MN>18</MN>
                                  <CLI>1,1,37,False,31</CLI>
                                  <ELN>1</ELN>
                                  <LOOT>0</LOOT>
                                  <LOMN>3</LOMN>
                                  <LOMCN>1</LOMCN>
                                  <LOSN>1</LOSN>
                                  <LOEN>10</LOEN>
                                  <LOCN>31</LOCN>
                                </LnkInProps>
                              </LnkIn>
                            </Ctg>
                            <Ctg>
                              <CtgProps>
                                <R>5</R>
                              </CtgProps>
                              <LnkIn>
                                <LnkInProps>
                                  <MN>18</MN>
                                  <CLI>1,1,37,False,32</CLI>
                                  <ELN>1</ELN>
                                  <LOOT>0</LOOT>
                                  <LOMN>3</LOMN>
                                  <LOMCN>1</LOMCN>
                                  <LOSN>1</LOSN>
                                  <LOEN>10</LOEN>
                                  <LOCN>32</LOCN>
                                </LnkInProps>
                              </LnkIn>
                            </Ctg>
                            <Ctg>
                              <CtgProps>
                                <R>5</R>
                              </CtgProps>
                              <LnkIn>
                                <LnkInProps>
                                  <MN>18</MN>
                                  <CLI>1,1,37,False,33</CLI>
                                  <ELN>1</ELN>
                                  <LOOT>0</LOOT>
                                  <LOMN>3</LOMN>
                                  <LOMCN>1</LOMCN>
                                  <LOSN>1</LOSN>
                                  <LOEN>10</LOEN>
                                  <LOCN>33</LOCN>
                                </LnkInProps>
                              </LnkIn>
                            </Ctg>
                            <Ctg>
                              <CtgProps>
                                <R>5</R>
                              </CtgProps>
                              <LnkIn>
                                <LnkInProps>
                                  <MN>18</MN>
                                  <CLI>1,1,37,False,34</CLI>
                                  <ELN>1</ELN>
                                  <LOOT>0</LOOT>
                                  <LOMN>3</LOMN>
                                  <LOMCN>1</LOMCN>
                                  <LOSN>1</LOSN>
                                  <LOEN>10</LOEN>
                                  <LOCN>34</LOCN>
                                </LnkInProps>
                              </LnkIn>
                            </Ctg>
                            <Ctg>
                              <CtgProps>
                                <R>5</R>
                              </CtgProps>
                              <LnkIn>
                                <LnkInProps>
                                  <MN>18</MN>
                                  <CLI>1,1,37,False,35</CLI>
                                  <ELN>1</ELN>
                                  <LOOT>0</LOOT>
                                  <LOMN>3</LOMN>
                                  <LOMCN>1</LOMCN>
                                  <LOSN>1</LOSN>
                                  <LOEN>10</LOEN>
                                  <LOCN>35</LOCN>
                                </LnkInProps>
                              </LnkIn>
                            </Ctg>
                          </Ctgs>
                        </SubTtl>
                      </SubTtls>
                      <TtlCtg/>
                      <ElmtLnksIn>
                        <ElmtLnk>
                          <ElmtLnkProps>
                            <ELI>1,1,37</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1,1,40,1,1</CBPLI>
                                    <ELN>1</ELN>
                                    <FFF><![CDATA[=§A¿10,FALSE,0,1,0,FALSE§Z¿]]></FFF>
                                  </LnkInFormProps>
                                </LnkInForm>
                              </LnkInForms>
                            </ClmnBlkPt>
                            <ClmnBlkPt>
                              <ClmnBlkPtProps>
                                <CBPT>1</CBPT>
                                <ST>6</ST>
                                <VOFFF><![CDATA[="Total "&§A¿0,1,0,1,40,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1,1,40,3,1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1,1,40,4,1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1,1,40,5,1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18</MN>
                                  <CLI>1,1,40,False,1</CLI>
                                  <ELN>1</ELN>
                                  <LOOT>0</LOOT>
                                  <LOMN>3</LOMN>
                                  <LOMCN>1</LOMCN>
                                  <LOSN>1</LOSN>
                                  <LOEN>15</LOEN>
                                  <LOCN>1</LOCN>
                                </LnkInProps>
                              </LnkIn>
                            </Ctg>
                            <Ctg>
                              <CtgProps>
                                <R>4</R>
                              </CtgProps>
                              <LnkIn>
                                <LnkInProps>
                                  <MN>18</MN>
                                  <CLI>1,1,40,False,2</CLI>
                                  <ELN>1</ELN>
                                  <LOOT>0</LOOT>
                                  <LOMN>3</LOMN>
                                  <LOMCN>1</LOMCN>
                                  <LOSN>1</LOSN>
                                  <LOEN>15</LOEN>
                                  <LOCN>2</LOCN>
                                </LnkInProps>
                              </LnkIn>
                            </Ctg>
                            <Ctg>
                              <CtgProps>
                                <R>4</R>
                              </CtgProps>
                              <LnkIn>
                                <LnkInProps>
                                  <MN>18</MN>
                                  <CLI>1,1,40,False,3</CLI>
                                  <ELN>1</ELN>
                                  <LOOT>0</LOOT>
                                  <LOMN>3</LOMN>
                                  <LOMCN>1</LOMCN>
                                  <LOSN>1</LOSN>
                                  <LOEN>15</LOEN>
                                  <LOCN>3</LOCN>
                                </LnkInProps>
                              </LnkIn>
                            </Ctg>
                            <Ctg>
                              <CtgProps>
                                <R>4</R>
                              </CtgProps>
                              <LnkIn>
                                <LnkInProps>
                                  <MN>18</MN>
                                  <CLI>1,1,40,False,4</CLI>
                                  <ELN>1</ELN>
                                  <LOOT>0</LOOT>
                                  <LOMN>3</LOMN>
                                  <LOMCN>1</LOMCN>
                                  <LOSN>1</LOSN>
                                  <LOEN>15</LOEN>
                                  <LOCN>4</LOCN>
                                </LnkInProps>
                              </LnkIn>
                            </Ctg>
                            <Ctg>
                              <CtgProps>
                                <R>5</R>
                              </CtgProps>
                              <LnkIn>
                                <LnkInProps>
                                  <MN>18</MN>
                                  <CLI>1,1,40,False,5</CLI>
                                  <ELN>1</ELN>
                                  <LOOT>0</LOOT>
                                  <LOMN>3</LOMN>
                                  <LOMCN>1</LOMCN>
                                  <LOSN>1</LOSN>
                                  <LOEN>15</LOEN>
                                  <LOCN>5</LOCN>
                                </LnkInProps>
                              </LnkIn>
                            </Ctg>
                            <Ctg>
                              <CtgProps>
                                <R>5</R>
                              </CtgProps>
                              <LnkIn>
                                <LnkInProps>
                                  <MN>18</MN>
                                  <CLI>1,1,40,False,6</CLI>
                                  <ELN>1</ELN>
                                  <LOOT>0</LOOT>
                                  <LOMN>3</LOMN>
                                  <LOMCN>1</LOMCN>
                                  <LOSN>1</LOSN>
                                  <LOEN>15</LOEN>
                                  <LOCN>6</LOCN>
                                </LnkInProps>
                              </LnkIn>
                            </Ctg>
                            <Ctg>
                              <CtgProps>
                                <R>5</R>
                              </CtgProps>
                              <LnkIn>
                                <LnkInProps>
                                  <MN>18</MN>
                                  <CLI>1,1,40,False,7</CLI>
                                  <ELN>1</ELN>
                                  <LOOT>0</LOOT>
                                  <LOMN>3</LOMN>
                                  <LOMCN>1</LOMCN>
                                  <LOSN>1</LOSN>
                                  <LOEN>15</LOEN>
                                  <LOCN>7</LOCN>
                                </LnkInProps>
                              </LnkIn>
                            </Ctg>
                            <Ctg>
                              <CtgProps>
                                <R>5</R>
                              </CtgProps>
                              <LnkIn>
                                <LnkInProps>
                                  <MN>18</MN>
                                  <CLI>1,1,40,False,8</CLI>
                                  <ELN>1</ELN>
                                  <LOOT>0</LOOT>
                                  <LOMN>3</LOMN>
                                  <LOMCN>1</LOMCN>
                                  <LOSN>1</LOSN>
                                  <LOEN>15</LOEN>
                                  <LOCN>8</LOCN>
                                </LnkInProps>
                              </LnkIn>
                            </Ctg>
                            <Ctg>
                              <CtgProps>
                                <R>5</R>
                              </CtgProps>
                              <LnkIn>
                                <LnkInProps>
                                  <MN>18</MN>
                                  <CLI>1,1,40,False,9</CLI>
                                  <ELN>1</ELN>
                                  <LOOT>0</LOOT>
                                  <LOMN>3</LOMN>
                                  <LOMCN>1</LOMCN>
                                  <LOSN>1</LOSN>
                                  <LOEN>15</LOEN>
                                  <LOCN>9</LOCN>
                                </LnkInProps>
                              </LnkIn>
                            </Ctg>
                            <Ctg>
                              <CtgProps>
                                <R>5</R>
                              </CtgProps>
                              <LnkIn>
                                <LnkInProps>
                                  <MN>18</MN>
                                  <CLI>1,1,40,False,10</CLI>
                                  <ELN>1</ELN>
                                  <LOOT>0</LOOT>
                                  <LOMN>3</LOMN>
                                  <LOMCN>1</LOMCN>
                                  <LOSN>1</LOSN>
                                  <LOEN>15</LOEN>
                                  <LOCN>10</LOCN>
                                </LnkInProps>
                              </LnkIn>
                            </Ctg>
                            <Ctg>
                              <CtgProps>
                                <R>5</R>
                              </CtgProps>
                              <LnkIn>
                                <LnkInProps>
                                  <MN>18</MN>
                                  <CLI>1,1,40,False,11</CLI>
                                  <ELN>1</ELN>
                                  <LOOT>0</LOOT>
                                  <LOMN>3</LOMN>
                                  <LOMCN>1</LOMCN>
                                  <LOSN>1</LOSN>
                                  <LOEN>15</LOEN>
                                  <LOCN>11</LOCN>
                                </LnkInProps>
                              </LnkIn>
                            </Ctg>
                            <Ctg>
                              <CtgProps>
                                <R>5</R>
                              </CtgProps>
                              <LnkIn>
                                <LnkInProps>
                                  <MN>18</MN>
                                  <CLI>1,1,40,False,12</CLI>
                                  <ELN>1</ELN>
                                  <LOOT>0</LOOT>
                                  <LOMN>3</LOMN>
                                  <LOMCN>1</LOMCN>
                                  <LOSN>1</LOSN>
                                  <LOEN>15</LOEN>
                                  <LOCN>12</LOCN>
                                </LnkInProps>
                              </LnkIn>
                            </Ctg>
                            <Ctg>
                              <CtgProps>
                                <R>5</R>
                              </CtgProps>
                              <LnkIn>
                                <LnkInProps>
                                  <MN>18</MN>
                                  <CLI>1,1,40,False,13</CLI>
                                  <ELN>1</ELN>
                                  <LOOT>0</LOOT>
                                  <LOMN>3</LOMN>
                                  <LOMCN>1</LOMCN>
                                  <LOSN>1</LOSN>
                                  <LOEN>15</LOEN>
                                  <LOCN>13</LOCN>
                                </LnkInProps>
                              </LnkIn>
                            </Ctg>
                            <Ctg>
                              <CtgProps>
                                <R>5</R>
                              </CtgProps>
                              <LnkIn>
                                <LnkInProps>
                                  <MN>18</MN>
                                  <CLI>1,1,40,False,14</CLI>
                                  <ELN>1</ELN>
                                  <LOOT>0</LOOT>
                                  <LOMN>3</LOMN>
                                  <LOMCN>1</LOMCN>
                                  <LOSN>1</LOSN>
                                  <LOEN>15</LOEN>
                                  <LOCN>14</LOCN>
                                </LnkInProps>
                              </LnkIn>
                            </Ctg>
                            <Ctg>
                              <CtgProps>
                                <R>5</R>
                              </CtgProps>
                              <LnkIn>
                                <LnkInProps>
                                  <MN>18</MN>
                                  <CLI>1,1,40,False,15</CLI>
                                  <ELN>1</ELN>
                                  <LOOT>0</LOOT>
                                  <LOMN>3</LOMN>
                                  <LOMCN>1</LOMCN>
                                  <LOSN>1</LOSN>
                                  <LOEN>15</LOEN>
                                  <LOCN>15</LOCN>
                                </LnkInProps>
                              </LnkIn>
                            </Ctg>
                            <Ctg>
                              <CtgProps>
                                <R>5</R>
                              </CtgProps>
                              <LnkIn>
                                <LnkInProps>
                                  <MN>18</MN>
                                  <CLI>1,1,40,False,16</CLI>
                                  <ELN>1</ELN>
                                  <LOOT>0</LOOT>
                                  <LOMN>3</LOMN>
                                  <LOMCN>1</LOMCN>
                                  <LOSN>1</LOSN>
                                  <LOEN>15</LOEN>
                                  <LOCN>16</LOCN>
                                </LnkInProps>
                              </LnkIn>
                            </Ctg>
                            <Ctg>
                              <CtgProps>
                                <R>4</R>
                              </CtgProps>
                              <LnkIn>
                                <LnkInProps>
                                  <MN>18</MN>
                                  <CLI>1,1,40,False,17</CLI>
                                  <ELN>1</ELN>
                                  <LOOT>0</LOOT>
                                  <LOMN>3</LOMN>
                                  <LOMCN>1</LOMCN>
                                  <LOSN>1</LOSN>
                                  <LOEN>15</LOEN>
                                  <LOCN>17</LOCN>
                                </LnkInProps>
                              </LnkIn>
                            </Ctg>
                            <Ctg>
                              <CtgProps>
                                <R>4</R>
                              </CtgProps>
                              <LnkIn>
                                <LnkInProps>
                                  <MN>18</MN>
                                  <CLI>1,1,40,False,18</CLI>
                                  <ELN>1</ELN>
                                  <LOOT>0</LOOT>
                                  <LOMN>3</LOMN>
                                  <LOMCN>1</LOMCN>
                                  <LOSN>1</LOSN>
                                  <LOEN>15</LOEN>
                                  <LOCN>18</LOCN>
                                </LnkInProps>
                              </LnkIn>
                            </Ctg>
                            <Ctg>
                              <CtgProps>
                                <R>4</R>
                              </CtgProps>
                              <LnkIn>
                                <LnkInProps>
                                  <MN>18</MN>
                                  <CLI>1,1,40,False,19</CLI>
                                  <ELN>1</ELN>
                                  <LOOT>0</LOOT>
                                  <LOMN>3</LOMN>
                                  <LOMCN>1</LOMCN>
                                  <LOSN>1</LOSN>
                                  <LOEN>15</LOEN>
                                  <LOCN>19</LOCN>
                                </LnkInProps>
                              </LnkIn>
                            </Ctg>
                            <Ctg>
                              <CtgProps>
                                <R>4</R>
                              </CtgProps>
                              <LnkIn>
                                <LnkInProps>
                                  <MN>18</MN>
                                  <CLI>1,1,40,False,20</CLI>
                                  <ELN>1</ELN>
                                  <LOOT>0</LOOT>
                                  <LOMN>3</LOMN>
                                  <LOMCN>1</LOMCN>
                                  <LOSN>1</LOSN>
                                  <LOEN>15</LOEN>
                                  <LOCN>20</LOCN>
                                </LnkInProps>
                              </LnkIn>
                            </Ctg>
                            <Ctg>
                              <CtgProps>
                                <R>4</R>
                              </CtgProps>
                              <LnkIn>
                                <LnkInProps>
                                  <MN>18</MN>
                                  <CLI>1,1,40,False,21</CLI>
                                  <ELN>1</ELN>
                                  <LOOT>0</LOOT>
                                  <LOMN>3</LOMN>
                                  <LOMCN>1</LOMCN>
                                  <LOSN>1</LOSN>
                                  <LOEN>15</LOEN>
                                  <LOCN>21</LOCN>
                                </LnkInProps>
                              </LnkIn>
                            </Ctg>
                            <Ctg>
                              <CtgProps>
                                <R>4</R>
                              </CtgProps>
                              <LnkIn>
                                <LnkInProps>
                                  <MN>18</MN>
                                  <CLI>1,1,40,False,22</CLI>
                                  <ELN>1</ELN>
                                  <LOOT>0</LOOT>
                                  <LOMN>3</LOMN>
                                  <LOMCN>1</LOMCN>
                                  <LOSN>1</LOSN>
                                  <LOEN>15</LOEN>
                                  <LOCN>22</LOCN>
                                </LnkInProps>
                              </LnkIn>
                            </Ctg>
                            <Ctg>
                              <CtgProps>
                                <R>5</R>
                              </CtgProps>
                              <LnkIn>
                                <LnkInProps>
                                  <MN>18</MN>
                                  <CLI>1,1,40,False,23</CLI>
                                  <ELN>1</ELN>
                                  <LOOT>0</LOOT>
                                  <LOMN>3</LOMN>
                                  <LOMCN>1</LOMCN>
                                  <LOSN>1</LOSN>
                                  <LOEN>15</LOEN>
                                  <LOCN>23</LOCN>
                                </LnkInProps>
                              </LnkIn>
                            </Ctg>
                            <Ctg>
                              <CtgProps>
                                <R>5</R>
                              </CtgProps>
                              <LnkIn>
                                <LnkInProps>
                                  <MN>18</MN>
                                  <CLI>1,1,40,False,24</CLI>
                                  <ELN>1</ELN>
                                  <LOOT>0</LOOT>
                                  <LOMN>3</LOMN>
                                  <LOMCN>1</LOMCN>
                                  <LOSN>1</LOSN>
                                  <LOEN>15</LOEN>
                                  <LOCN>24</LOCN>
                                </LnkInProps>
                              </LnkIn>
                            </Ctg>
                            <Ctg>
                              <CtgProps>
                                <R>5</R>
                              </CtgProps>
                              <LnkIn>
                                <LnkInProps>
                                  <MN>18</MN>
                                  <CLI>1,1,40,False,25</CLI>
                                  <ELN>1</ELN>
                                  <LOOT>0</LOOT>
                                  <LOMN>3</LOMN>
                                  <LOMCN>1</LOMCN>
                                  <LOSN>1</LOSN>
                                  <LOEN>15</LOEN>
                                  <LOCN>25</LOCN>
                                </LnkInProps>
                              </LnkIn>
                            </Ctg>
                            <Ctg>
                              <CtgProps>
                                <R>5</R>
                              </CtgProps>
                              <LnkIn>
                                <LnkInProps>
                                  <MN>18</MN>
                                  <CLI>1,1,40,False,26</CLI>
                                  <ELN>1</ELN>
                                  <LOOT>0</LOOT>
                                  <LOMN>3</LOMN>
                                  <LOMCN>1</LOMCN>
                                  <LOSN>1</LOSN>
                                  <LOEN>15</LOEN>
                                  <LOCN>26</LOCN>
                                </LnkInProps>
                              </LnkIn>
                            </Ctg>
                            <Ctg>
                              <CtgProps>
                                <R>5</R>
                              </CtgProps>
                              <LnkIn>
                                <LnkInProps>
                                  <MN>18</MN>
                                  <CLI>1,1,40,False,27</CLI>
                                  <ELN>1</ELN>
                                  <LOOT>0</LOOT>
                                  <LOMN>3</LOMN>
                                  <LOMCN>1</LOMCN>
                                  <LOSN>1</LOSN>
                                  <LOEN>15</LOEN>
                                  <LOCN>27</LOCN>
                                </LnkInProps>
                              </LnkIn>
                            </Ctg>
                            <Ctg>
                              <CtgProps>
                                <R>5</R>
                              </CtgProps>
                              <LnkIn>
                                <LnkInProps>
                                  <MN>18</MN>
                                  <CLI>1,1,40,False,28</CLI>
                                  <ELN>1</ELN>
                                  <LOOT>0</LOOT>
                                  <LOMN>3</LOMN>
                                  <LOMCN>1</LOMCN>
                                  <LOSN>1</LOSN>
                                  <LOEN>15</LOEN>
                                  <LOCN>28</LOCN>
                                </LnkInProps>
                              </LnkIn>
                            </Ctg>
                            <Ctg>
                              <CtgProps>
                                <R>5</R>
                              </CtgProps>
                              <LnkIn>
                                <LnkInProps>
                                  <MN>18</MN>
                                  <CLI>1,1,40,False,29</CLI>
                                  <ELN>1</ELN>
                                  <LOOT>0</LOOT>
                                  <LOMN>3</LOMN>
                                  <LOMCN>1</LOMCN>
                                  <LOSN>1</LOSN>
                                  <LOEN>15</LOEN>
                                  <LOCN>29</LOCN>
                                </LnkInProps>
                              </LnkIn>
                            </Ctg>
                            <Ctg>
                              <CtgProps>
                                <R>5</R>
                              </CtgProps>
                              <LnkIn>
                                <LnkInProps>
                                  <MN>18</MN>
                                  <CLI>1,1,40,False,30</CLI>
                                  <ELN>1</ELN>
                                  <LOOT>0</LOOT>
                                  <LOMN>3</LOMN>
                                  <LOMCN>1</LOMCN>
                                  <LOSN>1</LOSN>
                                  <LOEN>15</LOEN>
                                  <LOCN>30</LOCN>
                                </LnkInProps>
                              </LnkIn>
                            </Ctg>
                            <Ctg>
                              <CtgProps>
                                <R>4</R>
                              </CtgProps>
                              <LnkIn>
                                <LnkInProps>
                                  <MN>18</MN>
                                  <CLI>1,1,40,False,31</CLI>
                                  <ELN>1</ELN>
                                  <LOOT>0</LOOT>
                                  <LOMN>3</LOMN>
                                  <LOMCN>1</LOMCN>
                                  <LOSN>1</LOSN>
                                  <LOEN>15</LOEN>
                                  <LOCN>31</LOCN>
                                </LnkInProps>
                              </LnkIn>
                            </Ctg>
                            <Ctg>
                              <CtgProps>
                                <R>4</R>
                              </CtgProps>
                              <LnkIn>
                                <LnkInProps>
                                  <MN>18</MN>
                                  <CLI>1,1,40,False,32</CLI>
                                  <ELN>1</ELN>
                                  <LOOT>0</LOOT>
                                  <LOMN>3</LOMN>
                                  <LOMCN>1</LOMCN>
                                  <LOSN>1</LOSN>
                                  <LOEN>15</LOEN>
                                  <LOCN>32</LOCN>
                                </LnkInProps>
                              </LnkIn>
                            </Ctg>
                            <Ctg>
                              <CtgProps>
                                <R>4</R>
                              </CtgProps>
                              <LnkIn>
                                <LnkInProps>
                                  <MN>18</MN>
                                  <CLI>1,1,40,False,33</CLI>
                                  <ELN>1</ELN>
                                  <LOOT>0</LOOT>
                                  <LOMN>3</LOMN>
                                  <LOMCN>1</LOMCN>
                                  <LOSN>1</LOSN>
                                  <LOEN>15</LOEN>
                                  <LOCN>33</LOCN>
                                </LnkInProps>
                              </LnkIn>
                            </Ctg>
                            <Ctg>
                              <CtgProps>
                                <R>4</R>
                              </CtgProps>
                              <LnkIn>
                                <LnkInProps>
                                  <MN>18</MN>
                                  <CLI>1,1,40,False,34</CLI>
                                  <ELN>1</ELN>
                                  <LOOT>0</LOOT>
                                  <LOMN>3</LOMN>
                                  <LOMCN>1</LOMCN>
                                  <LOSN>1</LOSN>
                                  <LOEN>15</LOEN>
                                  <LOCN>34</LOCN>
                                </LnkInProps>
                              </LnkIn>
                            </Ctg>
                            <Ctg>
                              <CtgProps>
                                <R>4</R>
                              </CtgProps>
                              <LnkIn>
                                <LnkInProps>
                                  <MN>18</MN>
                                  <CLI>1,1,40,False,35</CLI>
                                  <ELN>1</ELN>
                                  <LOOT>0</LOOT>
                                  <LOMN>3</LOMN>
                                  <LOMCN>1</LOMCN>
                                  <LOSN>1</LOSN>
                                  <LOEN>15</LOEN>
                                  <LOCN>35</LOCN>
                                </LnkInProps>
                              </LnkIn>
                            </Ctg>
                          </Ctgs>
                        </SubTtl>
                      </SubTtls>
                      <TtlCtg/>
                      <ElmtLnksIn>
                        <ElmtLnk>
                          <ElmtLnkProps>
                            <ELI>1,1,40</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1,1,44,1,1</CBPLI>
                                    <ELN>1</ELN>
                                    <FFF><![CDATA[=§A¿10,FALSE,0,1,0,FALSE§Z¿]]></FFF>
                                  </LnkInFormProps>
                                </LnkInForm>
                              </LnkInForms>
                            </ClmnBlkPt>
                            <ClmnBlkPt>
                              <ClmnBlkPtProps>
                                <CBPT>1</CBPT>
                                <ST>6</ST>
                                <VOFFF><![CDATA[="Total "&§A¿0,1,0,1,44,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1,1,44,3,1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1,1,44,4,1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1,1,44,5,1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18</MN>
                                  <CLI>1,1,44,False,1</CLI>
                                  <ELN>1</ELN>
                                  <LOOT>0</LOOT>
                                  <LOMN>3</LOMN>
                                  <LOMCN>1</LOMCN>
                                  <LOSN>1</LOSN>
                                  <LOEN>19</LOEN>
                                  <LOCN>1</LOCN>
                                </LnkInProps>
                              </LnkIn>
                            </Ctg>
                            <Ctg>
                              <CtgProps>
                                <R>4</R>
                              </CtgProps>
                              <LnkIn>
                                <LnkInProps>
                                  <MN>18</MN>
                                  <CLI>1,1,44,False,2</CLI>
                                  <ELN>1</ELN>
                                  <LOOT>0</LOOT>
                                  <LOMN>3</LOMN>
                                  <LOMCN>1</LOMCN>
                                  <LOSN>1</LOSN>
                                  <LOEN>19</LOEN>
                                  <LOCN>2</LOCN>
                                </LnkInProps>
                              </LnkIn>
                            </Ctg>
                            <Ctg>
                              <CtgProps>
                                <R>4</R>
                              </CtgProps>
                              <LnkIn>
                                <LnkInProps>
                                  <MN>18</MN>
                                  <CLI>1,1,44,False,3</CLI>
                                  <ELN>1</ELN>
                                  <LOOT>0</LOOT>
                                  <LOMN>3</LOMN>
                                  <LOMCN>1</LOMCN>
                                  <LOSN>1</LOSN>
                                  <LOEN>19</LOEN>
                                  <LOCN>3</LOCN>
                                </LnkInProps>
                              </LnkIn>
                            </Ctg>
                            <Ctg>
                              <CtgProps>
                                <R>4</R>
                              </CtgProps>
                              <LnkIn>
                                <LnkInProps>
                                  <MN>18</MN>
                                  <CLI>1,1,44,False,4</CLI>
                                  <ELN>1</ELN>
                                  <LOOT>0</LOOT>
                                  <LOMN>3</LOMN>
                                  <LOMCN>1</LOMCN>
                                  <LOSN>1</LOSN>
                                  <LOEN>19</LOEN>
                                  <LOCN>4</LOCN>
                                </LnkInProps>
                              </LnkIn>
                            </Ctg>
                            <Ctg>
                              <CtgProps>
                                <R>4</R>
                              </CtgProps>
                              <LnkIn>
                                <LnkInProps>
                                  <MN>18</MN>
                                  <CLI>1,1,44,False,5</CLI>
                                  <ELN>1</ELN>
                                  <LOOT>0</LOOT>
                                  <LOMN>3</LOMN>
                                  <LOMCN>1</LOMCN>
                                  <LOSN>1</LOSN>
                                  <LOEN>19</LOEN>
                                  <LOCN>5</LOCN>
                                </LnkInProps>
                              </LnkIn>
                            </Ctg>
                            <Ctg>
                              <CtgProps>
                                <R>4</R>
                              </CtgProps>
                              <LnkIn>
                                <LnkInProps>
                                  <MN>18</MN>
                                  <CLI>1,1,44,False,6</CLI>
                                  <ELN>1</ELN>
                                  <LOOT>0</LOOT>
                                  <LOMN>3</LOMN>
                                  <LOMCN>1</LOMCN>
                                  <LOSN>1</LOSN>
                                  <LOEN>19</LOEN>
                                  <LOCN>6</LOCN>
                                </LnkInProps>
                              </LnkIn>
                            </Ctg>
                            <Ctg>
                              <CtgProps>
                                <R>4</R>
                              </CtgProps>
                              <LnkIn>
                                <LnkInProps>
                                  <MN>18</MN>
                                  <CLI>1,1,44,False,7</CLI>
                                  <ELN>1</ELN>
                                  <LOOT>0</LOOT>
                                  <LOMN>3</LOMN>
                                  <LOMCN>1</LOMCN>
                                  <LOSN>1</LOSN>
                                  <LOEN>19</LOEN>
                                  <LOCN>7</LOCN>
                                </LnkInProps>
                              </LnkIn>
                            </Ctg>
                            <Ctg>
                              <CtgProps>
                                <R>4</R>
                              </CtgProps>
                              <LnkIn>
                                <LnkInProps>
                                  <MN>18</MN>
                                  <CLI>1,1,44,False,8</CLI>
                                  <ELN>1</ELN>
                                  <LOOT>0</LOOT>
                                  <LOMN>3</LOMN>
                                  <LOMCN>1</LOMCN>
                                  <LOSN>1</LOSN>
                                  <LOEN>19</LOEN>
                                  <LOCN>8</LOCN>
                                </LnkInProps>
                              </LnkIn>
                            </Ctg>
                            <Ctg>
                              <CtgProps>
                                <R>4</R>
                              </CtgProps>
                              <LnkIn>
                                <LnkInProps>
                                  <MN>18</MN>
                                  <CLI>1,1,44,False,9</CLI>
                                  <ELN>1</ELN>
                                  <LOOT>0</LOOT>
                                  <LOMN>3</LOMN>
                                  <LOMCN>1</LOMCN>
                                  <LOSN>1</LOSN>
                                  <LOEN>19</LOEN>
                                  <LOCN>9</LOCN>
                                </LnkInProps>
                              </LnkIn>
                            </Ctg>
                            <Ctg>
                              <CtgProps>
                                <R>4</R>
                              </CtgProps>
                              <LnkIn>
                                <LnkInProps>
                                  <MN>18</MN>
                                  <CLI>1,1,44,False,10</CLI>
                                  <ELN>1</ELN>
                                  <LOOT>0</LOOT>
                                  <LOMN>3</LOMN>
                                  <LOMCN>1</LOMCN>
                                  <LOSN>1</LOSN>
                                  <LOEN>19</LOEN>
                                  <LOCN>10</LOCN>
                                </LnkInProps>
                              </LnkIn>
                            </Ctg>
                            <Ctg>
                              <CtgProps>
                                <R>4</R>
                              </CtgProps>
                              <LnkIn>
                                <LnkInProps>
                                  <MN>18</MN>
                                  <CLI>1,1,44,False,11</CLI>
                                  <ELN>1</ELN>
                                  <LOOT>0</LOOT>
                                  <LOMN>3</LOMN>
                                  <LOMCN>1</LOMCN>
                                  <LOSN>1</LOSN>
                                  <LOEN>19</LOEN>
                                  <LOCN>11</LOCN>
                                </LnkInProps>
                              </LnkIn>
                            </Ctg>
                            <Ctg>
                              <CtgProps>
                                <R>4</R>
                              </CtgProps>
                              <LnkIn>
                                <LnkInProps>
                                  <MN>18</MN>
                                  <CLI>1,1,44,False,12</CLI>
                                  <ELN>1</ELN>
                                  <LOOT>0</LOOT>
                                  <LOMN>3</LOMN>
                                  <LOMCN>1</LOMCN>
                                  <LOSN>1</LOSN>
                                  <LOEN>19</LOEN>
                                  <LOCN>12</LOCN>
                                </LnkInProps>
                              </LnkIn>
                            </Ctg>
                            <Ctg>
                              <CtgProps>
                                <R>4</R>
                              </CtgProps>
                              <LnkIn>
                                <LnkInProps>
                                  <MN>18</MN>
                                  <CLI>1,1,44,False,13</CLI>
                                  <ELN>1</ELN>
                                  <LOOT>0</LOOT>
                                  <LOMN>3</LOMN>
                                  <LOMCN>1</LOMCN>
                                  <LOSN>1</LOSN>
                                  <LOEN>19</LOEN>
                                  <LOCN>13</LOCN>
                                </LnkInProps>
                              </LnkIn>
                            </Ctg>
                            <Ctg>
                              <CtgProps>
                                <R>4</R>
                              </CtgProps>
                              <LnkIn>
                                <LnkInProps>
                                  <MN>18</MN>
                                  <CLI>1,1,44,False,14</CLI>
                                  <ELN>1</ELN>
                                  <LOOT>0</LOOT>
                                  <LOMN>3</LOMN>
                                  <LOMCN>1</LOMCN>
                                  <LOSN>1</LOSN>
                                  <LOEN>19</LOEN>
                                  <LOCN>14</LOCN>
                                </LnkInProps>
                              </LnkIn>
                            </Ctg>
                            <Ctg>
                              <CtgProps>
                                <R>4</R>
                              </CtgProps>
                              <LnkIn>
                                <LnkInProps>
                                  <MN>18</MN>
                                  <CLI>1,1,44,False,15</CLI>
                                  <ELN>1</ELN>
                                  <LOOT>0</LOOT>
                                  <LOMN>3</LOMN>
                                  <LOMCN>1</LOMCN>
                                  <LOSN>1</LOSN>
                                  <LOEN>19</LOEN>
                                  <LOCN>15</LOCN>
                                </LnkInProps>
                              </LnkIn>
                            </Ctg>
                            <Ctg>
                              <CtgProps>
                                <R>5</R>
                              </CtgProps>
                              <LnkIn>
                                <LnkInProps>
                                  <MN>18</MN>
                                  <CLI>1,1,44,False,16</CLI>
                                  <ELN>1</ELN>
                                  <LOOT>0</LOOT>
                                  <LOMN>3</LOMN>
                                  <LOMCN>1</LOMCN>
                                  <LOSN>1</LOSN>
                                  <LOEN>19</LOEN>
                                  <LOCN>16</LOCN>
                                </LnkInProps>
                              </LnkIn>
                            </Ctg>
                            <Ctg>
                              <CtgProps>
                                <R>5</R>
                              </CtgProps>
                              <LnkIn>
                                <LnkInProps>
                                  <MN>18</MN>
                                  <CLI>1,1,44,False,17</CLI>
                                  <ELN>1</ELN>
                                  <LOOT>0</LOOT>
                                  <LOMN>3</LOMN>
                                  <LOMCN>1</LOMCN>
                                  <LOSN>1</LOSN>
                                  <LOEN>19</LOEN>
                                  <LOCN>17</LOCN>
                                </LnkInProps>
                              </LnkIn>
                            </Ctg>
                            <Ctg>
                              <CtgProps>
                                <R>5</R>
                              </CtgProps>
                              <LnkIn>
                                <LnkInProps>
                                  <MN>18</MN>
                                  <CLI>1,1,44,False,18</CLI>
                                  <ELN>1</ELN>
                                  <LOOT>0</LOOT>
                                  <LOMN>3</LOMN>
                                  <LOMCN>1</LOMCN>
                                  <LOSN>1</LOSN>
                                  <LOEN>19</LOEN>
                                  <LOCN>18</LOCN>
                                </LnkInProps>
                              </LnkIn>
                            </Ctg>
                            <Ctg>
                              <CtgProps>
                                <R>5</R>
                              </CtgProps>
                              <LnkIn>
                                <LnkInProps>
                                  <MN>18</MN>
                                  <CLI>1,1,44,False,19</CLI>
                                  <ELN>1</ELN>
                                  <LOOT>0</LOOT>
                                  <LOMN>3</LOMN>
                                  <LOMCN>1</LOMCN>
                                  <LOSN>1</LOSN>
                                  <LOEN>19</LOEN>
                                  <LOCN>19</LOCN>
                                </LnkInProps>
                              </LnkIn>
                            </Ctg>
                            <Ctg>
                              <CtgProps>
                                <R>5</R>
                              </CtgProps>
                              <LnkIn>
                                <LnkInProps>
                                  <MN>18</MN>
                                  <CLI>1,1,44,False,20</CLI>
                                  <ELN>1</ELN>
                                  <LOOT>0</LOOT>
                                  <LOMN>3</LOMN>
                                  <LOMCN>1</LOMCN>
                                  <LOSN>1</LOSN>
                                  <LOEN>19</LOEN>
                                  <LOCN>20</LOCN>
                                </LnkInProps>
                              </LnkIn>
                            </Ctg>
                            <Ctg>
                              <CtgProps>
                                <R>5</R>
                              </CtgProps>
                              <LnkIn>
                                <LnkInProps>
                                  <MN>18</MN>
                                  <CLI>1,1,44,False,21</CLI>
                                  <ELN>1</ELN>
                                  <LOOT>0</LOOT>
                                  <LOMN>3</LOMN>
                                  <LOMCN>1</LOMCN>
                                  <LOSN>1</LOSN>
                                  <LOEN>19</LOEN>
                                  <LOCN>21</LOCN>
                                </LnkInProps>
                              </LnkIn>
                            </Ctg>
                            <Ctg>
                              <CtgProps>
                                <R>5</R>
                              </CtgProps>
                              <LnkIn>
                                <LnkInProps>
                                  <MN>18</MN>
                                  <CLI>1,1,44,False,22</CLI>
                                  <ELN>1</ELN>
                                  <LOOT>0</LOOT>
                                  <LOMN>3</LOMN>
                                  <LOMCN>1</LOMCN>
                                  <LOSN>1</LOSN>
                                  <LOEN>19</LOEN>
                                  <LOCN>22</LOCN>
                                </LnkInProps>
                              </LnkIn>
                            </Ctg>
                            <Ctg>
                              <CtgProps>
                                <R>5</R>
                              </CtgProps>
                              <LnkIn>
                                <LnkInProps>
                                  <MN>18</MN>
                                  <CLI>1,1,44,False,23</CLI>
                                  <ELN>1</ELN>
                                  <LOOT>0</LOOT>
                                  <LOMN>3</LOMN>
                                  <LOMCN>1</LOMCN>
                                  <LOSN>1</LOSN>
                                  <LOEN>19</LOEN>
                                  <LOCN>23</LOCN>
                                </LnkInProps>
                              </LnkIn>
                            </Ctg>
                            <Ctg>
                              <CtgProps>
                                <R>5</R>
                              </CtgProps>
                              <LnkIn>
                                <LnkInProps>
                                  <MN>18</MN>
                                  <CLI>1,1,44,False,24</CLI>
                                  <ELN>1</ELN>
                                  <LOOT>0</LOOT>
                                  <LOMN>3</LOMN>
                                  <LOMCN>1</LOMCN>
                                  <LOSN>1</LOSN>
                                  <LOEN>19</LOEN>
                                  <LOCN>24</LOCN>
                                </LnkInProps>
                              </LnkIn>
                            </Ctg>
                            <Ctg>
                              <CtgProps>
                                <R>5</R>
                              </CtgProps>
                              <LnkIn>
                                <LnkInProps>
                                  <MN>18</MN>
                                  <CLI>1,1,44,False,25</CLI>
                                  <ELN>1</ELN>
                                  <LOOT>0</LOOT>
                                  <LOMN>3</LOMN>
                                  <LOMCN>1</LOMCN>
                                  <LOSN>1</LOSN>
                                  <LOEN>19</LOEN>
                                  <LOCN>25</LOCN>
                                </LnkInProps>
                              </LnkIn>
                            </Ctg>
                            <Ctg>
                              <CtgProps>
                                <R>5</R>
                              </CtgProps>
                              <LnkIn>
                                <LnkInProps>
                                  <MN>18</MN>
                                  <CLI>1,1,44,False,26</CLI>
                                  <ELN>1</ELN>
                                  <LOOT>0</LOOT>
                                  <LOMN>3</LOMN>
                                  <LOMCN>1</LOMCN>
                                  <LOSN>1</LOSN>
                                  <LOEN>19</LOEN>
                                  <LOCN>26</LOCN>
                                </LnkInProps>
                              </LnkIn>
                            </Ctg>
                            <Ctg>
                              <CtgProps>
                                <R>5</R>
                              </CtgProps>
                              <LnkIn>
                                <LnkInProps>
                                  <MN>18</MN>
                                  <CLI>1,1,44,False,27</CLI>
                                  <ELN>1</ELN>
                                  <LOOT>0</LOOT>
                                  <LOMN>3</LOMN>
                                  <LOMCN>1</LOMCN>
                                  <LOSN>1</LOSN>
                                  <LOEN>19</LOEN>
                                  <LOCN>27</LOCN>
                                </LnkInProps>
                              </LnkIn>
                            </Ctg>
                            <Ctg>
                              <CtgProps>
                                <R>5</R>
                              </CtgProps>
                              <LnkIn>
                                <LnkInProps>
                                  <MN>18</MN>
                                  <CLI>1,1,44,False,28</CLI>
                                  <ELN>1</ELN>
                                  <LOOT>0</LOOT>
                                  <LOMN>3</LOMN>
                                  <LOMCN>1</LOMCN>
                                  <LOSN>1</LOSN>
                                  <LOEN>19</LOEN>
                                  <LOCN>28</LOCN>
                                </LnkInProps>
                              </LnkIn>
                            </Ctg>
                            <Ctg>
                              <CtgProps>
                                <R>5</R>
                              </CtgProps>
                              <LnkIn>
                                <LnkInProps>
                                  <MN>18</MN>
                                  <CLI>1,1,44,False,29</CLI>
                                  <ELN>1</ELN>
                                  <LOOT>0</LOOT>
                                  <LOMN>3</LOMN>
                                  <LOMCN>1</LOMCN>
                                  <LOSN>1</LOSN>
                                  <LOEN>19</LOEN>
                                  <LOCN>29</LOCN>
                                </LnkInProps>
                              </LnkIn>
                            </Ctg>
                            <Ctg>
                              <CtgProps>
                                <R>5</R>
                              </CtgProps>
                              <LnkIn>
                                <LnkInProps>
                                  <MN>18</MN>
                                  <CLI>1,1,44,False,30</CLI>
                                  <ELN>1</ELN>
                                  <LOOT>0</LOOT>
                                  <LOMN>3</LOMN>
                                  <LOMCN>1</LOMCN>
                                  <LOSN>1</LOSN>
                                  <LOEN>19</LOEN>
                                  <LOCN>30</LOCN>
                                </LnkInProps>
                              </LnkIn>
                            </Ctg>
                            <Ctg>
                              <CtgProps>
                                <R>5</R>
                              </CtgProps>
                              <LnkIn>
                                <LnkInProps>
                                  <MN>18</MN>
                                  <CLI>1,1,44,False,31</CLI>
                                  <ELN>1</ELN>
                                  <LOOT>0</LOOT>
                                  <LOMN>3</LOMN>
                                  <LOMCN>1</LOMCN>
                                  <LOSN>1</LOSN>
                                  <LOEN>19</LOEN>
                                  <LOCN>31</LOCN>
                                </LnkInProps>
                              </LnkIn>
                            </Ctg>
                            <Ctg>
                              <CtgProps>
                                <R>5</R>
                              </CtgProps>
                              <LnkIn>
                                <LnkInProps>
                                  <MN>18</MN>
                                  <CLI>1,1,44,False,32</CLI>
                                  <ELN>1</ELN>
                                  <LOOT>0</LOOT>
                                  <LOMN>3</LOMN>
                                  <LOMCN>1</LOMCN>
                                  <LOSN>1</LOSN>
                                  <LOEN>19</LOEN>
                                  <LOCN>32</LOCN>
                                </LnkInProps>
                              </LnkIn>
                            </Ctg>
                            <Ctg>
                              <CtgProps>
                                <R>5</R>
                              </CtgProps>
                              <LnkIn>
                                <LnkInProps>
                                  <MN>18</MN>
                                  <CLI>1,1,44,False,33</CLI>
                                  <ELN>1</ELN>
                                  <LOOT>0</LOOT>
                                  <LOMN>3</LOMN>
                                  <LOMCN>1</LOMCN>
                                  <LOSN>1</LOSN>
                                  <LOEN>19</LOEN>
                                  <LOCN>33</LOCN>
                                </LnkInProps>
                              </LnkIn>
                            </Ctg>
                            <Ctg>
                              <CtgProps>
                                <R>5</R>
                              </CtgProps>
                              <LnkIn>
                                <LnkInProps>
                                  <MN>18</MN>
                                  <CLI>1,1,44,False,34</CLI>
                                  <ELN>1</ELN>
                                  <LOOT>0</LOOT>
                                  <LOMN>3</LOMN>
                                  <LOMCN>1</LOMCN>
                                  <LOSN>1</LOSN>
                                  <LOEN>19</LOEN>
                                  <LOCN>34</LOCN>
                                </LnkInProps>
                              </LnkIn>
                            </Ctg>
                            <Ctg>
                              <CtgProps>
                                <R>5</R>
                              </CtgProps>
                              <LnkIn>
                                <LnkInProps>
                                  <MN>18</MN>
                                  <CLI>1,1,44,False,35</CLI>
                                  <ELN>1</ELN>
                                  <LOOT>0</LOOT>
                                  <LOMN>3</LOMN>
                                  <LOMCN>1</LOMCN>
                                  <LOSN>1</LOSN>
                                  <LOEN>19</LOEN>
                                  <LOCN>35</LOCN>
                                </LnkInProps>
                              </LnkIn>
                            </Ctg>
                          </Ctgs>
                        </SubTtl>
                      </SubTtls>
                      <TtlCtg/>
                      <ElmtLnksIn>
                        <ElmtLnk>
                          <ElmtLnkProps>
                            <ELI>1,1,44</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1,1,47,1,1</CBPLI>
                                    <ELN>1</ELN>
                                    <FFF><![CDATA[=§A¿10,FALSE,0,1,0,FALSE§Z¿]]></FFF>
                                  </LnkInFormProps>
                                </LnkInForm>
                              </LnkInForms>
                            </ClmnBlkPt>
                            <ClmnBlkPt>
                              <ClmnBlkPtProps>
                                <CBPT>1</CBPT>
                                <ST>6</ST>
                                <VOFFF><![CDATA[="Total "&§A¿0,1,0,1,47,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1,1,47,3,1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1,1,47,4,1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1,1,47,5,1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18</MN>
                                  <CLI>1,1,47,False,1</CLI>
                                  <ELN>1</ELN>
                                  <LOOT>0</LOOT>
                                  <LOMN>3</LOMN>
                                  <LOMCN>1</LOMCN>
                                  <LOSN>1</LOSN>
                                  <LOEN>24</LOEN>
                                  <LOCN>1</LOCN>
                                </LnkInProps>
                              </LnkIn>
                            </Ctg>
                            <Ctg>
                              <CtgProps>
                                <R>4</R>
                              </CtgProps>
                              <LnkIn>
                                <LnkInProps>
                                  <MN>18</MN>
                                  <CLI>1,1,47,False,2</CLI>
                                  <ELN>1</ELN>
                                  <LOOT>0</LOOT>
                                  <LOMN>3</LOMN>
                                  <LOMCN>1</LOMCN>
                                  <LOSN>1</LOSN>
                                  <LOEN>24</LOEN>
                                  <LOCN>2</LOCN>
                                </LnkInProps>
                              </LnkIn>
                            </Ctg>
                            <Ctg>
                              <CtgProps>
                                <R>4</R>
                              </CtgProps>
                              <LnkIn>
                                <LnkInProps>
                                  <MN>18</MN>
                                  <CLI>1,1,47,False,3</CLI>
                                  <ELN>1</ELN>
                                  <LOOT>0</LOOT>
                                  <LOMN>3</LOMN>
                                  <LOMCN>1</LOMCN>
                                  <LOSN>1</LOSN>
                                  <LOEN>24</LOEN>
                                  <LOCN>3</LOCN>
                                </LnkInProps>
                              </LnkIn>
                            </Ctg>
                            <Ctg>
                              <CtgProps>
                                <R>4</R>
                              </CtgProps>
                              <LnkIn>
                                <LnkInProps>
                                  <MN>18</MN>
                                  <CLI>1,1,47,False,4</CLI>
                                  <ELN>1</ELN>
                                  <LOOT>0</LOOT>
                                  <LOMN>3</LOMN>
                                  <LOMCN>1</LOMCN>
                                  <LOSN>1</LOSN>
                                  <LOEN>24</LOEN>
                                  <LOCN>4</LOCN>
                                </LnkInProps>
                              </LnkIn>
                            </Ctg>
                            <Ctg>
                              <CtgProps>
                                <R>4</R>
                              </CtgProps>
                              <LnkIn>
                                <LnkInProps>
                                  <MN>18</MN>
                                  <CLI>1,1,47,False,5</CLI>
                                  <ELN>1</ELN>
                                  <LOOT>0</LOOT>
                                  <LOMN>3</LOMN>
                                  <LOMCN>1</LOMCN>
                                  <LOSN>1</LOSN>
                                  <LOEN>24</LOEN>
                                  <LOCN>5</LOCN>
                                </LnkInProps>
                              </LnkIn>
                            </Ctg>
                            <Ctg>
                              <CtgProps>
                                <R>5</R>
                              </CtgProps>
                              <LnkIn>
                                <LnkInProps>
                                  <MN>18</MN>
                                  <CLI>1,1,47,False,6</CLI>
                                  <ELN>1</ELN>
                                  <LOOT>0</LOOT>
                                  <LOMN>3</LOMN>
                                  <LOMCN>1</LOMCN>
                                  <LOSN>1</LOSN>
                                  <LOEN>24</LOEN>
                                  <LOCN>6</LOCN>
                                </LnkInProps>
                              </LnkIn>
                            </Ctg>
                            <Ctg>
                              <CtgProps>
                                <R>5</R>
                              </CtgProps>
                              <LnkIn>
                                <LnkInProps>
                                  <MN>18</MN>
                                  <CLI>1,1,47,False,7</CLI>
                                  <ELN>1</ELN>
                                  <LOOT>0</LOOT>
                                  <LOMN>3</LOMN>
                                  <LOMCN>1</LOMCN>
                                  <LOSN>1</LOSN>
                                  <LOEN>24</LOEN>
                                  <LOCN>7</LOCN>
                                </LnkInProps>
                              </LnkIn>
                            </Ctg>
                            <Ctg>
                              <CtgProps>
                                <R>5</R>
                              </CtgProps>
                              <LnkIn>
                                <LnkInProps>
                                  <MN>18</MN>
                                  <CLI>1,1,47,False,8</CLI>
                                  <ELN>1</ELN>
                                  <LOOT>0</LOOT>
                                  <LOMN>3</LOMN>
                                  <LOMCN>1</LOMCN>
                                  <LOSN>1</LOSN>
                                  <LOEN>24</LOEN>
                                  <LOCN>8</LOCN>
                                </LnkInProps>
                              </LnkIn>
                            </Ctg>
                            <Ctg>
                              <CtgProps>
                                <R>5</R>
                              </CtgProps>
                              <LnkIn>
                                <LnkInProps>
                                  <MN>18</MN>
                                  <CLI>1,1,47,False,9</CLI>
                                  <ELN>1</ELN>
                                  <LOOT>0</LOOT>
                                  <LOMN>3</LOMN>
                                  <LOMCN>1</LOMCN>
                                  <LOSN>1</LOSN>
                                  <LOEN>24</LOEN>
                                  <LOCN>9</LOCN>
                                </LnkInProps>
                              </LnkIn>
                            </Ctg>
                            <Ctg>
                              <CtgProps>
                                <R>5</R>
                              </CtgProps>
                              <LnkIn>
                                <LnkInProps>
                                  <MN>18</MN>
                                  <CLI>1,1,47,False,10</CLI>
                                  <ELN>1</ELN>
                                  <LOOT>0</LOOT>
                                  <LOMN>3</LOMN>
                                  <LOMCN>1</LOMCN>
                                  <LOSN>1</LOSN>
                                  <LOEN>24</LOEN>
                                  <LOCN>10</LOCN>
                                </LnkInProps>
                              </LnkIn>
                            </Ctg>
                            <Ctg>
                              <CtgProps>
                                <R>5</R>
                              </CtgProps>
                              <LnkIn>
                                <LnkInProps>
                                  <MN>18</MN>
                                  <CLI>1,1,47,False,11</CLI>
                                  <ELN>1</ELN>
                                  <LOOT>0</LOOT>
                                  <LOMN>3</LOMN>
                                  <LOMCN>1</LOMCN>
                                  <LOSN>1</LOSN>
                                  <LOEN>24</LOEN>
                                  <LOCN>11</LOCN>
                                </LnkInProps>
                              </LnkIn>
                            </Ctg>
                            <Ctg>
                              <CtgProps>
                                <R>5</R>
                              </CtgProps>
                              <LnkIn>
                                <LnkInProps>
                                  <MN>18</MN>
                                  <CLI>1,1,47,False,12</CLI>
                                  <ELN>1</ELN>
                                  <LOOT>0</LOOT>
                                  <LOMN>3</LOMN>
                                  <LOMCN>1</LOMCN>
                                  <LOSN>1</LOSN>
                                  <LOEN>24</LOEN>
                                  <LOCN>12</LOCN>
                                </LnkInProps>
                              </LnkIn>
                            </Ctg>
                            <Ctg>
                              <CtgProps>
                                <R>5</R>
                              </CtgProps>
                              <LnkIn>
                                <LnkInProps>
                                  <MN>18</MN>
                                  <CLI>1,1,47,False,13</CLI>
                                  <ELN>1</ELN>
                                  <LOOT>0</LOOT>
                                  <LOMN>3</LOMN>
                                  <LOMCN>1</LOMCN>
                                  <LOSN>1</LOSN>
                                  <LOEN>24</LOEN>
                                  <LOCN>13</LOCN>
                                </LnkInProps>
                              </LnkIn>
                            </Ctg>
                            <Ctg>
                              <CtgProps>
                                <R>5</R>
                              </CtgProps>
                              <LnkIn>
                                <LnkInProps>
                                  <MN>18</MN>
                                  <CLI>1,1,47,False,14</CLI>
                                  <ELN>1</ELN>
                                  <LOOT>0</LOOT>
                                  <LOMN>3</LOMN>
                                  <LOMCN>1</LOMCN>
                                  <LOSN>1</LOSN>
                                  <LOEN>24</LOEN>
                                  <LOCN>14</LOCN>
                                </LnkInProps>
                              </LnkIn>
                            </Ctg>
                            <Ctg>
                              <CtgProps>
                                <R>5</R>
                              </CtgProps>
                              <LnkIn>
                                <LnkInProps>
                                  <MN>18</MN>
                                  <CLI>1,1,47,False,15</CLI>
                                  <ELN>1</ELN>
                                  <LOOT>0</LOOT>
                                  <LOMN>3</LOMN>
                                  <LOMCN>1</LOMCN>
                                  <LOSN>1</LOSN>
                                  <LOEN>24</LOEN>
                                  <LOCN>15</LOCN>
                                </LnkInProps>
                              </LnkIn>
                            </Ctg>
                            <Ctg>
                              <CtgProps>
                                <R>5</R>
                              </CtgProps>
                              <LnkIn>
                                <LnkInProps>
                                  <MN>18</MN>
                                  <CLI>1,1,47,False,16</CLI>
                                  <ELN>1</ELN>
                                  <LOOT>0</LOOT>
                                  <LOMN>3</LOMN>
                                  <LOMCN>1</LOMCN>
                                  <LOSN>1</LOSN>
                                  <LOEN>24</LOEN>
                                  <LOCN>16</LOCN>
                                </LnkInProps>
                              </LnkIn>
                            </Ctg>
                            <Ctg>
                              <CtgProps>
                                <R>5</R>
                              </CtgProps>
                              <LnkIn>
                                <LnkInProps>
                                  <MN>18</MN>
                                  <CLI>1,1,47,False,17</CLI>
                                  <ELN>1</ELN>
                                  <LOOT>0</LOOT>
                                  <LOMN>3</LOMN>
                                  <LOMCN>1</LOMCN>
                                  <LOSN>1</LOSN>
                                  <LOEN>24</LOEN>
                                  <LOCN>17</LOCN>
                                </LnkInProps>
                              </LnkIn>
                            </Ctg>
                            <Ctg>
                              <CtgProps>
                                <R>5</R>
                              </CtgProps>
                              <LnkIn>
                                <LnkInProps>
                                  <MN>18</MN>
                                  <CLI>1,1,47,False,18</CLI>
                                  <ELN>1</ELN>
                                  <LOOT>0</LOOT>
                                  <LOMN>3</LOMN>
                                  <LOMCN>1</LOMCN>
                                  <LOSN>1</LOSN>
                                  <LOEN>24</LOEN>
                                  <LOCN>18</LOCN>
                                </LnkInProps>
                              </LnkIn>
                            </Ctg>
                            <Ctg>
                              <CtgProps>
                                <R>5</R>
                              </CtgProps>
                              <LnkIn>
                                <LnkInProps>
                                  <MN>18</MN>
                                  <CLI>1,1,47,False,19</CLI>
                                  <ELN>1</ELN>
                                  <LOOT>0</LOOT>
                                  <LOMN>3</LOMN>
                                  <LOMCN>1</LOMCN>
                                  <LOSN>1</LOSN>
                                  <LOEN>24</LOEN>
                                  <LOCN>19</LOCN>
                                </LnkInProps>
                              </LnkIn>
                            </Ctg>
                            <Ctg>
                              <CtgProps>
                                <R>5</R>
                              </CtgProps>
                              <LnkIn>
                                <LnkInProps>
                                  <MN>18</MN>
                                  <CLI>1,1,47,False,20</CLI>
                                  <ELN>1</ELN>
                                  <LOOT>0</LOOT>
                                  <LOMN>3</LOMN>
                                  <LOMCN>1</LOMCN>
                                  <LOSN>1</LOSN>
                                  <LOEN>24</LOEN>
                                  <LOCN>20</LOCN>
                                </LnkInProps>
                              </LnkIn>
                            </Ctg>
                            <Ctg>
                              <CtgProps>
                                <R>5</R>
                              </CtgProps>
                              <LnkIn>
                                <LnkInProps>
                                  <MN>18</MN>
                                  <CLI>1,1,47,False,21</CLI>
                                  <ELN>1</ELN>
                                  <LOOT>0</LOOT>
                                  <LOMN>3</LOMN>
                                  <LOMCN>1</LOMCN>
                                  <LOSN>1</LOSN>
                                  <LOEN>24</LOEN>
                                  <LOCN>21</LOCN>
                                </LnkInProps>
                              </LnkIn>
                            </Ctg>
                            <Ctg>
                              <CtgProps>
                                <R>5</R>
                              </CtgProps>
                              <LnkIn>
                                <LnkInProps>
                                  <MN>18</MN>
                                  <CLI>1,1,47,False,22</CLI>
                                  <ELN>1</ELN>
                                  <LOOT>0</LOOT>
                                  <LOMN>3</LOMN>
                                  <LOMCN>1</LOMCN>
                                  <LOSN>1</LOSN>
                                  <LOEN>24</LOEN>
                                  <LOCN>22</LOCN>
                                </LnkInProps>
                              </LnkIn>
                            </Ctg>
                            <Ctg>
                              <CtgProps>
                                <R>5</R>
                              </CtgProps>
                              <LnkIn>
                                <LnkInProps>
                                  <MN>18</MN>
                                  <CLI>1,1,47,False,23</CLI>
                                  <ELN>1</ELN>
                                  <LOOT>0</LOOT>
                                  <LOMN>3</LOMN>
                                  <LOMCN>1</LOMCN>
                                  <LOSN>1</LOSN>
                                  <LOEN>24</LOEN>
                                  <LOCN>23</LOCN>
                                </LnkInProps>
                              </LnkIn>
                            </Ctg>
                            <Ctg>
                              <CtgProps>
                                <R>5</R>
                              </CtgProps>
                              <LnkIn>
                                <LnkInProps>
                                  <MN>18</MN>
                                  <CLI>1,1,47,False,24</CLI>
                                  <ELN>1</ELN>
                                  <LOOT>0</LOOT>
                                  <LOMN>3</LOMN>
                                  <LOMCN>1</LOMCN>
                                  <LOSN>1</LOSN>
                                  <LOEN>24</LOEN>
                                  <LOCN>24</LOCN>
                                </LnkInProps>
                              </LnkIn>
                            </Ctg>
                            <Ctg>
                              <CtgProps>
                                <R>5</R>
                              </CtgProps>
                              <LnkIn>
                                <LnkInProps>
                                  <MN>18</MN>
                                  <CLI>1,1,47,False,25</CLI>
                                  <ELN>1</ELN>
                                  <LOOT>0</LOOT>
                                  <LOMN>3</LOMN>
                                  <LOMCN>1</LOMCN>
                                  <LOSN>1</LOSN>
                                  <LOEN>24</LOEN>
                                  <LOCN>25</LOCN>
                                </LnkInProps>
                              </LnkIn>
                            </Ctg>
                            <Ctg>
                              <CtgProps>
                                <R>5</R>
                              </CtgProps>
                              <LnkIn>
                                <LnkInProps>
                                  <MN>18</MN>
                                  <CLI>1,1,47,False,26</CLI>
                                  <ELN>1</ELN>
                                  <LOOT>0</LOOT>
                                  <LOMN>3</LOMN>
                                  <LOMCN>1</LOMCN>
                                  <LOSN>1</LOSN>
                                  <LOEN>24</LOEN>
                                  <LOCN>26</LOCN>
                                </LnkInProps>
                              </LnkIn>
                            </Ctg>
                            <Ctg>
                              <CtgProps>
                                <R>5</R>
                              </CtgProps>
                              <LnkIn>
                                <LnkInProps>
                                  <MN>18</MN>
                                  <CLI>1,1,47,False,27</CLI>
                                  <ELN>1</ELN>
                                  <LOOT>0</LOOT>
                                  <LOMN>3</LOMN>
                                  <LOMCN>1</LOMCN>
                                  <LOSN>1</LOSN>
                                  <LOEN>24</LOEN>
                                  <LOCN>27</LOCN>
                                </LnkInProps>
                              </LnkIn>
                            </Ctg>
                            <Ctg>
                              <CtgProps>
                                <R>5</R>
                              </CtgProps>
                              <LnkIn>
                                <LnkInProps>
                                  <MN>18</MN>
                                  <CLI>1,1,47,False,28</CLI>
                                  <ELN>1</ELN>
                                  <LOOT>0</LOOT>
                                  <LOMN>3</LOMN>
                                  <LOMCN>1</LOMCN>
                                  <LOSN>1</LOSN>
                                  <LOEN>24</LOEN>
                                  <LOCN>28</LOCN>
                                </LnkInProps>
                              </LnkIn>
                            </Ctg>
                            <Ctg>
                              <CtgProps>
                                <R>5</R>
                              </CtgProps>
                              <LnkIn>
                                <LnkInProps>
                                  <MN>18</MN>
                                  <CLI>1,1,47,False,29</CLI>
                                  <ELN>1</ELN>
                                  <LOOT>0</LOOT>
                                  <LOMN>3</LOMN>
                                  <LOMCN>1</LOMCN>
                                  <LOSN>1</LOSN>
                                  <LOEN>24</LOEN>
                                  <LOCN>29</LOCN>
                                </LnkInProps>
                              </LnkIn>
                            </Ctg>
                            <Ctg>
                              <CtgProps>
                                <R>5</R>
                              </CtgProps>
                              <LnkIn>
                                <LnkInProps>
                                  <MN>18</MN>
                                  <CLI>1,1,47,False,30</CLI>
                                  <ELN>1</ELN>
                                  <LOOT>0</LOOT>
                                  <LOMN>3</LOMN>
                                  <LOMCN>1</LOMCN>
                                  <LOSN>1</LOSN>
                                  <LOEN>24</LOEN>
                                  <LOCN>30</LOCN>
                                </LnkInProps>
                              </LnkIn>
                            </Ctg>
                            <Ctg>
                              <CtgProps>
                                <R>5</R>
                              </CtgProps>
                              <LnkIn>
                                <LnkInProps>
                                  <MN>18</MN>
                                  <CLI>1,1,47,False,31</CLI>
                                  <ELN>1</ELN>
                                  <LOOT>0</LOOT>
                                  <LOMN>3</LOMN>
                                  <LOMCN>1</LOMCN>
                                  <LOSN>1</LOSN>
                                  <LOEN>24</LOEN>
                                  <LOCN>31</LOCN>
                                </LnkInProps>
                              </LnkIn>
                            </Ctg>
                            <Ctg>
                              <CtgProps>
                                <R>5</R>
                              </CtgProps>
                              <LnkIn>
                                <LnkInProps>
                                  <MN>18</MN>
                                  <CLI>1,1,47,False,32</CLI>
                                  <ELN>1</ELN>
                                  <LOOT>0</LOOT>
                                  <LOMN>3</LOMN>
                                  <LOMCN>1</LOMCN>
                                  <LOSN>1</LOSN>
                                  <LOEN>24</LOEN>
                                  <LOCN>32</LOCN>
                                </LnkInProps>
                              </LnkIn>
                            </Ctg>
                            <Ctg>
                              <CtgProps>
                                <R>5</R>
                              </CtgProps>
                              <LnkIn>
                                <LnkInProps>
                                  <MN>18</MN>
                                  <CLI>1,1,47,False,33</CLI>
                                  <ELN>1</ELN>
                                  <LOOT>0</LOOT>
                                  <LOMN>3</LOMN>
                                  <LOMCN>1</LOMCN>
                                  <LOSN>1</LOSN>
                                  <LOEN>24</LOEN>
                                  <LOCN>33</LOCN>
                                </LnkInProps>
                              </LnkIn>
                            </Ctg>
                            <Ctg>
                              <CtgProps>
                                <R>5</R>
                              </CtgProps>
                              <LnkIn>
                                <LnkInProps>
                                  <MN>18</MN>
                                  <CLI>1,1,47,False,34</CLI>
                                  <ELN>1</ELN>
                                  <LOOT>0</LOOT>
                                  <LOMN>3</LOMN>
                                  <LOMCN>1</LOMCN>
                                  <LOSN>1</LOSN>
                                  <LOEN>24</LOEN>
                                  <LOCN>34</LOCN>
                                </LnkInProps>
                              </LnkIn>
                            </Ctg>
                            <Ctg>
                              <CtgProps>
                                <R>5</R>
                              </CtgProps>
                              <LnkIn>
                                <LnkInProps>
                                  <MN>18</MN>
                                  <CLI>1,1,47,False,35</CLI>
                                  <ELN>1</ELN>
                                  <LOOT>0</LOOT>
                                  <LOMN>3</LOMN>
                                  <LOMCN>1</LOMCN>
                                  <LOSN>1</LOSN>
                                  <LOEN>24</LOEN>
                                  <LOCN>35</LOCN>
                                </LnkInProps>
                              </LnkIn>
                            </Ctg>
                          </Ctgs>
                        </SubTtl>
                      </SubTtls>
                      <TtlCtg/>
                      <ElmtLnksIn>
                        <ElmtLnk>
                          <ElmtLnkProps>
                            <ELI>1,1,47</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2,1,1,1,0,0,TRUE,TRUE§Z¿]]></VOFFF>
                              </ClmnBlkPtProps>
                            </ClmnBlkPt>
                          </ClmnBlkPts>
                        </ClmnBlk>
                        <ClmnBlk>
                          <ClmnBlkProps>
                            <FCPT>0</FCPT>
                            <FCN>15</FCN>
                            <LCPT>0</LCPT>
                            <LCN>15</LCN>
                          </ClmnBlkProps>
                          <ClmnBlkPts>
                            <ClmnBlkPt>
                              <ClmnBlkPtProps>
                                <CBPT>5</CBPT>
                                <ST>18</ST>
                                <VOFFF><![CDATA[=§A¿0,1,0,1,32,1,1,1,0,0,TRUE,TRUE§Z¿]]></VOFFF>
                              </ClmnBlkPtProps>
                            </ClmnBlkPt>
                          </ClmnBlkPts>
                        </ClmnBlk>
                        <ClmnBlk>
                          <ClmnBlkProps>
                            <FCPT>0</FCPT>
                            <FCN>17</FCN>
                            <LCPT>0</LCPT>
                            <LCN>17</LCN>
                          </ClmnBlkProps>
                          <ClmnBlkPts>
                            <ClmnBlkPt>
                              <ClmnBlkPtProps>
                                <CBPT>5</CBPT>
                                <ST>18</ST>
                                <VOFFF><![CDATA[=§A¿0,1,0,1,32,1,1,2,0,0,TRUE,TRUE§Z¿]]></VOFFF>
                              </ClmnBlkPtProps>
                            </ClmnBlkPt>
                          </ClmnBlkPts>
                        </ClmnBlk>
                        <ClmnBlk>
                          <ClmnBlkProps>
                            <FCPT>0</FCPT>
                            <FCN>19</FCN>
                            <LCPT>0</LCPT>
                            <LCN>19</LCN>
                          </ClmnBlkProps>
                          <ClmnBlkPts>
                            <ClmnBlkPt>
                              <ClmnBlkPtProps>
                                <CBPT>5</CBPT>
                                <ST>18</ST>
                                <VOFFF><![CDATA[=§A¿0,1,0,1,32,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1,1,51,1,1</CBPLI>
                                    <ELN>1</ELN>
                                    <FFF><![CDATA[=§A¿10,FALSE,0,1,0,FALSE§Z¿]]></FFF>
                                  </LnkInFormProps>
                                </LnkInForm>
                              </LnkInForms>
                            </ClmnBlkPt>
                            <ClmnBlkPt>
                              <ClmnBlkPtProps>
                                <CBPT>1</CBPT>
                                <ST>6</ST>
                                <VOFFF><![CDATA[="Total "&§A¿0,1,0,1,5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18</MN>
                                  <CLI>1,1,51,False,1</CLI>
                                  <ELN>1</ELN>
                                  <LOOT>0</LOOT>
                                  <LOMN>3</LOMN>
                                  <LOMCN>1</LOMCN>
                                  <LOSN>1</LOSN>
                                  <LOEN>29</LOEN>
                                  <LOCN>1</LOCN>
                                </LnkInProps>
                              </LnkIn>
                            </Ctg>
                            <Ctg>
                              <CtgProps>
                                <R>4</R>
                              </CtgProps>
                              <LnkIn>
                                <LnkInProps>
                                  <MN>18</MN>
                                  <CLI>1,1,51,False,2</CLI>
                                  <ELN>1</ELN>
                                  <LOOT>0</LOOT>
                                  <LOMN>3</LOMN>
                                  <LOMCN>1</LOMCN>
                                  <LOSN>1</LOSN>
                                  <LOEN>29</LOEN>
                                  <LOCN>2</LOCN>
                                </LnkInProps>
                              </LnkIn>
                            </Ctg>
                            <Ctg>
                              <CtgProps>
                                <R>5</R>
                              </CtgProps>
                              <LnkIn>
                                <LnkInProps>
                                  <MN>18</MN>
                                  <CLI>1,1,51,False,3</CLI>
                                  <ELN>1</ELN>
                                  <LOOT>0</LOOT>
                                  <LOMN>3</LOMN>
                                  <LOMCN>1</LOMCN>
                                  <LOSN>1</LOSN>
                                  <LOEN>29</LOEN>
                                  <LOCN>3</LOCN>
                                </LnkInProps>
                              </LnkIn>
                            </Ctg>
                            <Ctg>
                              <CtgProps>
                                <R>5</R>
                              </CtgProps>
                              <LnkIn>
                                <LnkInProps>
                                  <MN>18</MN>
                                  <CLI>1,1,51,False,4</CLI>
                                  <ELN>1</ELN>
                                  <LOOT>0</LOOT>
                                  <LOMN>3</LOMN>
                                  <LOMCN>1</LOMCN>
                                  <LOSN>1</LOSN>
                                  <LOEN>29</LOEN>
                                  <LOCN>4</LOCN>
                                </LnkInProps>
                              </LnkIn>
                            </Ctg>
                            <Ctg>
                              <CtgProps>
                                <R>5</R>
                              </CtgProps>
                              <LnkIn>
                                <LnkInProps>
                                  <MN>18</MN>
                                  <CLI>1,1,51,False,5</CLI>
                                  <ELN>1</ELN>
                                  <LOOT>0</LOOT>
                                  <LOMN>3</LOMN>
                                  <LOMCN>1</LOMCN>
                                  <LOSN>1</LOSN>
                                  <LOEN>29</LOEN>
                                  <LOCN>5</LOCN>
                                </LnkInProps>
                              </LnkIn>
                            </Ctg>
                            <Ctg>
                              <CtgProps>
                                <R>5</R>
                              </CtgProps>
                              <LnkIn>
                                <LnkInProps>
                                  <MN>18</MN>
                                  <CLI>1,1,51,False,6</CLI>
                                  <ELN>1</ELN>
                                  <LOOT>0</LOOT>
                                  <LOMN>3</LOMN>
                                  <LOMCN>1</LOMCN>
                                  <LOSN>1</LOSN>
                                  <LOEN>29</LOEN>
                                  <LOCN>6</LOCN>
                                </LnkInProps>
                              </LnkIn>
                            </Ctg>
                            <Ctg>
                              <CtgProps>
                                <R>5</R>
                              </CtgProps>
                              <LnkIn>
                                <LnkInProps>
                                  <MN>18</MN>
                                  <CLI>1,1,51,False,7</CLI>
                                  <ELN>1</ELN>
                                  <LOOT>0</LOOT>
                                  <LOMN>3</LOMN>
                                  <LOMCN>1</LOMCN>
                                  <LOSN>1</LOSN>
                                  <LOEN>29</LOEN>
                                  <LOCN>7</LOCN>
                                </LnkInProps>
                              </LnkIn>
                            </Ctg>
                            <Ctg>
                              <CtgProps>
                                <R>5</R>
                              </CtgProps>
                              <LnkIn>
                                <LnkInProps>
                                  <MN>18</MN>
                                  <CLI>1,1,51,False,8</CLI>
                                  <ELN>1</ELN>
                                  <LOOT>0</LOOT>
                                  <LOMN>3</LOMN>
                                  <LOMCN>1</LOMCN>
                                  <LOSN>1</LOSN>
                                  <LOEN>29</LOEN>
                                  <LOCN>8</LOCN>
                                </LnkInProps>
                              </LnkIn>
                            </Ctg>
                            <Ctg>
                              <CtgProps>
                                <R>5</R>
                              </CtgProps>
                              <LnkIn>
                                <LnkInProps>
                                  <MN>18</MN>
                                  <CLI>1,1,51,False,9</CLI>
                                  <ELN>1</ELN>
                                  <LOOT>0</LOOT>
                                  <LOMN>3</LOMN>
                                  <LOMCN>1</LOMCN>
                                  <LOSN>1</LOSN>
                                  <LOEN>29</LOEN>
                                  <LOCN>9</LOCN>
                                </LnkInProps>
                              </LnkIn>
                            </Ctg>
                            <Ctg>
                              <CtgProps>
                                <R>5</R>
                              </CtgProps>
                              <LnkIn>
                                <LnkInProps>
                                  <MN>18</MN>
                                  <CLI>1,1,51,False,10</CLI>
                                  <ELN>1</ELN>
                                  <LOOT>0</LOOT>
                                  <LOMN>3</LOMN>
                                  <LOMCN>1</LOMCN>
                                  <LOSN>1</LOSN>
                                  <LOEN>29</LOEN>
                                  <LOCN>10</LOCN>
                                </LnkInProps>
                              </LnkIn>
                            </Ctg>
                            <Ctg>
                              <CtgProps>
                                <R>5</R>
                              </CtgProps>
                              <LnkIn>
                                <LnkInProps>
                                  <MN>18</MN>
                                  <CLI>1,1,51,False,11</CLI>
                                  <ELN>1</ELN>
                                  <LOOT>0</LOOT>
                                  <LOMN>3</LOMN>
                                  <LOMCN>1</LOMCN>
                                  <LOSN>1</LOSN>
                                  <LOEN>29</LOEN>
                                  <LOCN>11</LOCN>
                                </LnkInProps>
                              </LnkIn>
                            </Ctg>
                            <Ctg>
                              <CtgProps>
                                <R>5</R>
                              </CtgProps>
                              <LnkIn>
                                <LnkInProps>
                                  <MN>18</MN>
                                  <CLI>1,1,51,False,12</CLI>
                                  <ELN>1</ELN>
                                  <LOOT>0</LOOT>
                                  <LOMN>3</LOMN>
                                  <LOMCN>1</LOMCN>
                                  <LOSN>1</LOSN>
                                  <LOEN>29</LOEN>
                                  <LOCN>12</LOCN>
                                </LnkInProps>
                              </LnkIn>
                            </Ctg>
                            <Ctg>
                              <CtgProps>
                                <R>5</R>
                              </CtgProps>
                              <LnkIn>
                                <LnkInProps>
                                  <MN>18</MN>
                                  <CLI>1,1,51,False,13</CLI>
                                  <ELN>1</ELN>
                                  <LOOT>0</LOOT>
                                  <LOMN>3</LOMN>
                                  <LOMCN>1</LOMCN>
                                  <LOSN>1</LOSN>
                                  <LOEN>29</LOEN>
                                  <LOCN>13</LOCN>
                                </LnkInProps>
                              </LnkIn>
                            </Ctg>
                            <Ctg>
                              <CtgProps>
                                <R>5</R>
                              </CtgProps>
                              <LnkIn>
                                <LnkInProps>
                                  <MN>18</MN>
                                  <CLI>1,1,51,False,14</CLI>
                                  <ELN>1</ELN>
                                  <LOOT>0</LOOT>
                                  <LOMN>3</LOMN>
                                  <LOMCN>1</LOMCN>
                                  <LOSN>1</LOSN>
                                  <LOEN>29</LOEN>
                                  <LOCN>14</LOCN>
                                </LnkInProps>
                              </LnkIn>
                            </Ctg>
                            <Ctg>
                              <CtgProps>
                                <R>5</R>
                              </CtgProps>
                              <LnkIn>
                                <LnkInProps>
                                  <MN>18</MN>
                                  <CLI>1,1,51,False,15</CLI>
                                  <ELN>1</ELN>
                                  <LOOT>0</LOOT>
                                  <LOMN>3</LOMN>
                                  <LOMCN>1</LOMCN>
                                  <LOSN>1</LOSN>
                                  <LOEN>29</LOEN>
                                  <LOCN>15</LOCN>
                                </LnkInProps>
                              </LnkIn>
                            </Ctg>
                            <Ctg>
                              <CtgProps>
                                <R>5</R>
                              </CtgProps>
                              <LnkIn>
                                <LnkInProps>
                                  <MN>18</MN>
                                  <CLI>1,1,51,False,16</CLI>
                                  <ELN>1</ELN>
                                  <LOOT>0</LOOT>
                                  <LOMN>3</LOMN>
                                  <LOMCN>1</LOMCN>
                                  <LOSN>1</LOSN>
                                  <LOEN>29</LOEN>
                                  <LOCN>16</LOCN>
                                </LnkInProps>
                              </LnkIn>
                            </Ctg>
                            <Ctg>
                              <CtgProps>
                                <R>5</R>
                              </CtgProps>
                              <LnkIn>
                                <LnkInProps>
                                  <MN>18</MN>
                                  <CLI>1,1,51,False,17</CLI>
                                  <ELN>1</ELN>
                                  <LOOT>0</LOOT>
                                  <LOMN>3</LOMN>
                                  <LOMCN>1</LOMCN>
                                  <LOSN>1</LOSN>
                                  <LOEN>29</LOEN>
                                  <LOCN>17</LOCN>
                                </LnkInProps>
                              </LnkIn>
                            </Ctg>
                            <Ctg>
                              <CtgProps>
                                <R>5</R>
                              </CtgProps>
                              <LnkIn>
                                <LnkInProps>
                                  <MN>18</MN>
                                  <CLI>1,1,51,False,18</CLI>
                                  <ELN>1</ELN>
                                  <LOOT>0</LOOT>
                                  <LOMN>3</LOMN>
                                  <LOMCN>1</LOMCN>
                                  <LOSN>1</LOSN>
                                  <LOEN>29</LOEN>
                                  <LOCN>18</LOCN>
                                </LnkInProps>
                              </LnkIn>
                            </Ctg>
                            <Ctg>
                              <CtgProps>
                                <R>5</R>
                              </CtgProps>
                              <LnkIn>
                                <LnkInProps>
                                  <MN>18</MN>
                                  <CLI>1,1,51,False,19</CLI>
                                  <ELN>1</ELN>
                                  <LOOT>0</LOOT>
                                  <LOMN>3</LOMN>
                                  <LOMCN>1</LOMCN>
                                  <LOSN>1</LOSN>
                                  <LOEN>29</LOEN>
                                  <LOCN>19</LOCN>
                                </LnkInProps>
                              </LnkIn>
                            </Ctg>
                            <Ctg>
                              <CtgProps>
                                <R>5</R>
                              </CtgProps>
                              <LnkIn>
                                <LnkInProps>
                                  <MN>18</MN>
                                  <CLI>1,1,51,False,20</CLI>
                                  <ELN>1</ELN>
                                  <LOOT>0</LOOT>
                                  <LOMN>3</LOMN>
                                  <LOMCN>1</LOMCN>
                                  <LOSN>1</LOSN>
                                  <LOEN>29</LOEN>
                                  <LOCN>20</LOCN>
                                </LnkInProps>
                              </LnkIn>
                            </Ctg>
                            <Ctg>
                              <CtgProps>
                                <R>5</R>
                              </CtgProps>
                              <LnkIn>
                                <LnkInProps>
                                  <MN>18</MN>
                                  <CLI>1,1,51,False,21</CLI>
                                  <ELN>1</ELN>
                                  <LOOT>0</LOOT>
                                  <LOMN>3</LOMN>
                                  <LOMCN>1</LOMCN>
                                  <LOSN>1</LOSN>
                                  <LOEN>29</LOEN>
                                  <LOCN>21</LOCN>
                                </LnkInProps>
                              </LnkIn>
                            </Ctg>
                            <Ctg>
                              <CtgProps>
                                <R>5</R>
                              </CtgProps>
                              <LnkIn>
                                <LnkInProps>
                                  <MN>18</MN>
                                  <CLI>1,1,51,False,22</CLI>
                                  <ELN>1</ELN>
                                  <LOOT>0</LOOT>
                                  <LOMN>3</LOMN>
                                  <LOMCN>1</LOMCN>
                                  <LOSN>1</LOSN>
                                  <LOEN>29</LOEN>
                                  <LOCN>22</LOCN>
                                </LnkInProps>
                              </LnkIn>
                            </Ctg>
                            <Ctg>
                              <CtgProps>
                                <R>5</R>
                              </CtgProps>
                              <LnkIn>
                                <LnkInProps>
                                  <MN>18</MN>
                                  <CLI>1,1,51,False,23</CLI>
                                  <ELN>1</ELN>
                                  <LOOT>0</LOOT>
                                  <LOMN>3</LOMN>
                                  <LOMCN>1</LOMCN>
                                  <LOSN>1</LOSN>
                                  <LOEN>29</LOEN>
                                  <LOCN>23</LOCN>
                                </LnkInProps>
                              </LnkIn>
                            </Ctg>
                            <Ctg>
                              <CtgProps>
                                <R>5</R>
                              </CtgProps>
                              <LnkIn>
                                <LnkInProps>
                                  <MN>18</MN>
                                  <CLI>1,1,51,False,24</CLI>
                                  <ELN>1</ELN>
                                  <LOOT>0</LOOT>
                                  <LOMN>3</LOMN>
                                  <LOMCN>1</LOMCN>
                                  <LOSN>1</LOSN>
                                  <LOEN>29</LOEN>
                                  <LOCN>24</LOCN>
                                </LnkInProps>
                              </LnkIn>
                            </Ctg>
                            <Ctg>
                              <CtgProps>
                                <R>5</R>
                              </CtgProps>
                              <LnkIn>
                                <LnkInProps>
                                  <MN>18</MN>
                                  <CLI>1,1,51,False,25</CLI>
                                  <ELN>1</ELN>
                                  <LOOT>0</LOOT>
                                  <LOMN>3</LOMN>
                                  <LOMCN>1</LOMCN>
                                  <LOSN>1</LOSN>
                                  <LOEN>29</LOEN>
                                  <LOCN>25</LOCN>
                                </LnkInProps>
                              </LnkIn>
                            </Ctg>
                            <Ctg>
                              <CtgProps>
                                <R>5</R>
                              </CtgProps>
                              <LnkIn>
                                <LnkInProps>
                                  <MN>18</MN>
                                  <CLI>1,1,51,False,26</CLI>
                                  <ELN>1</ELN>
                                  <LOOT>0</LOOT>
                                  <LOMN>3</LOMN>
                                  <LOMCN>1</LOMCN>
                                  <LOSN>1</LOSN>
                                  <LOEN>29</LOEN>
                                  <LOCN>26</LOCN>
                                </LnkInProps>
                              </LnkIn>
                            </Ctg>
                            <Ctg>
                              <CtgProps>
                                <R>5</R>
                              </CtgProps>
                              <LnkIn>
                                <LnkInProps>
                                  <MN>18</MN>
                                  <CLI>1,1,51,False,27</CLI>
                                  <ELN>1</ELN>
                                  <LOOT>0</LOOT>
                                  <LOMN>3</LOMN>
                                  <LOMCN>1</LOMCN>
                                  <LOSN>1</LOSN>
                                  <LOEN>29</LOEN>
                                  <LOCN>27</LOCN>
                                </LnkInProps>
                              </LnkIn>
                            </Ctg>
                            <Ctg>
                              <CtgProps>
                                <R>5</R>
                              </CtgProps>
                              <LnkIn>
                                <LnkInProps>
                                  <MN>18</MN>
                                  <CLI>1,1,51,False,28</CLI>
                                  <ELN>1</ELN>
                                  <LOOT>0</LOOT>
                                  <LOMN>3</LOMN>
                                  <LOMCN>1</LOMCN>
                                  <LOSN>1</LOSN>
                                  <LOEN>29</LOEN>
                                  <LOCN>28</LOCN>
                                </LnkInProps>
                              </LnkIn>
                            </Ctg>
                            <Ctg>
                              <CtgProps>
                                <R>5</R>
                              </CtgProps>
                              <LnkIn>
                                <LnkInProps>
                                  <MN>18</MN>
                                  <CLI>1,1,51,False,29</CLI>
                                  <ELN>1</ELN>
                                  <LOOT>0</LOOT>
                                  <LOMN>3</LOMN>
                                  <LOMCN>1</LOMCN>
                                  <LOSN>1</LOSN>
                                  <LOEN>29</LOEN>
                                  <LOCN>29</LOCN>
                                </LnkInProps>
                              </LnkIn>
                            </Ctg>
                            <Ctg>
                              <CtgProps>
                                <R>5</R>
                              </CtgProps>
                              <LnkIn>
                                <LnkInProps>
                                  <MN>18</MN>
                                  <CLI>1,1,51,False,30</CLI>
                                  <ELN>1</ELN>
                                  <LOOT>0</LOOT>
                                  <LOMN>3</LOMN>
                                  <LOMCN>1</LOMCN>
                                  <LOSN>1</LOSN>
                                  <LOEN>29</LOEN>
                                  <LOCN>30</LOCN>
                                </LnkInProps>
                              </LnkIn>
                            </Ctg>
                            <Ctg>
                              <CtgProps>
                                <R>5</R>
                              </CtgProps>
                              <LnkIn>
                                <LnkInProps>
                                  <MN>18</MN>
                                  <CLI>1,1,51,False,31</CLI>
                                  <ELN>1</ELN>
                                  <LOOT>0</LOOT>
                                  <LOMN>3</LOMN>
                                  <LOMCN>1</LOMCN>
                                  <LOSN>1</LOSN>
                                  <LOEN>29</LOEN>
                                  <LOCN>31</LOCN>
                                </LnkInProps>
                              </LnkIn>
                            </Ctg>
                            <Ctg>
                              <CtgProps>
                                <R>5</R>
                              </CtgProps>
                              <LnkIn>
                                <LnkInProps>
                                  <MN>18</MN>
                                  <CLI>1,1,51,False,32</CLI>
                                  <ELN>1</ELN>
                                  <LOOT>0</LOOT>
                                  <LOMN>3</LOMN>
                                  <LOMCN>1</LOMCN>
                                  <LOSN>1</LOSN>
                                  <LOEN>29</LOEN>
                                  <LOCN>32</LOCN>
                                </LnkInProps>
                              </LnkIn>
                            </Ctg>
                            <Ctg>
                              <CtgProps>
                                <R>5</R>
                              </CtgProps>
                              <LnkIn>
                                <LnkInProps>
                                  <MN>18</MN>
                                  <CLI>1,1,51,False,33</CLI>
                                  <ELN>1</ELN>
                                  <LOOT>0</LOOT>
                                  <LOMN>3</LOMN>
                                  <LOMCN>1</LOMCN>
                                  <LOSN>1</LOSN>
                                  <LOEN>29</LOEN>
                                  <LOCN>33</LOCN>
                                </LnkInProps>
                              </LnkIn>
                            </Ctg>
                            <Ctg>
                              <CtgProps>
                                <R>5</R>
                              </CtgProps>
                              <LnkIn>
                                <LnkInProps>
                                  <MN>18</MN>
                                  <CLI>1,1,51,False,34</CLI>
                                  <ELN>1</ELN>
                                  <LOOT>0</LOOT>
                                  <LOMN>3</LOMN>
                                  <LOMCN>1</LOMCN>
                                  <LOSN>1</LOSN>
                                  <LOEN>29</LOEN>
                                  <LOCN>34</LOCN>
                                </LnkInProps>
                              </LnkIn>
                            </Ctg>
                            <Ctg>
                              <CtgProps>
                                <R>5</R>
                              </CtgProps>
                              <LnkIn>
                                <LnkInProps>
                                  <MN>18</MN>
                                  <CLI>1,1,51,False,35</CLI>
                                  <ELN>1</ELN>
                                  <LOOT>0</LOOT>
                                  <LOMN>3</LOMN>
                                  <LOMCN>1</LOMCN>
                                  <LOSN>1</LOSN>
                                  <LOEN>29</LOEN>
                                  <LOCN>35</LOCN>
                                </LnkInProps>
                              </LnkIn>
                            </Ctg>
                          </Ctgs>
                        </SubTtl>
                      </SubTtls>
                      <TtlCtg/>
                      <ElmtLnksIn>
                        <ElmtLnk>
                          <ElmtLnkProps>
                            <ELI>1,1,51</ELI>
                            <ELN>1</ELN>
                            <ELGN>6</ELGN>
                            <MLG>A4172745-D85C-404E-8029-461F8AE9358B</MLG>
                            <ICBI>1,2,3,4,5</ICBI>
                            <ILBN/>
                            <LIBN>0</LIBN>
                          </ElmtLnkProps>
                        </ElmtLnk>
                      </ElmtLnksIn>
                    </Elmt>
                  </Elmts>
                </Sect>
              </Sects>
              <Ctrls>
                <Ctrl>
                  <CtrlProps>
                    <MN>18</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18</MN>
                <MCN>2</MCN>
                <MCTK>BaseCase</MCTK>
                <RT><![CDATA[<ModuleName> - Assumptions]]></RT>
                <ERN>BPMMC64</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5</ST>
                                <VOFFF><![CDATA[Social Mobilisation]]></VOFFF>
                              </ClmnBlkPtProps>
                            </ClmnBlkPt>
                          </ClmnBlkPts>
                        </ClmnBlk>
                      </ClmnBlks>
                      <TtlCtg/>
                    </Elmt>
                    <Elmt>
                      <ElmtProps>
                        <CPT>2</CPT>
                      </ElmtProps>
                      <ClmnBlks>
                        <ClmnBlk>
                          <ClmnBlkProps>
                            <FCPT>3</FCPT>
                            <FCN>3</FCN>
                            <FCOT>0</FCOT>
                            <FCOC>0</FCOC>
                            <FCPTBMCN>3</FCPTBMCN>
                            <FCPTBN>2</FCPTBN>
                            <LCPT>3</LCPT>
                            <LCN>3</LCN>
                            <LCOT>0</LCOT>
                            <LCOC>0</LCOC>
                            <LCPTBMCN>3</LCPTBMCN>
                            <LCPTBN>2</LCPTBN>
                          </ClmnBlkProps>
                          <ClmnBlkPts>
                            <ClmnBlkPt>
                              <ClmnBlkPtProps>
                                <CBPT>5</CBPT>
                                <ST>6</ST>
                                <VOFFF><![CDATA[Number of Social Mobilisation Type 1 Activities]]></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18</MN>
                <MCN>3</MCN>
                <MCTK>OP</MCTK>
                <RT><![CDATA[<ModuleName> - Outputs]]></RT>
                <ERN>BPMMC65</ERN>
                <MCST>0</MCST>
                <IPMC>False</IPMC>
                <SN>29</SN>
                <LODS>False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37</CTHN>
                                <ST>3</ST>
                                <VOFFF><![CDATA[Social Mobilisation]]></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2,1,1,1,0,0,TRUE,TRUE§Z¿,§A¿0,1,0,1,32,1,1,2,0,0,TRUE,TRUE§Z¿)&")"]]></VOFFF>
                              </ClmnBlkPtProps>
                            </ClmnBlkPt>
                          </ClmnBlkPts>
                        </ClmnBlk>
                        <ClmnBlk>
                          <ClmnBlkProps>
                            <FCPT>0</FCPT>
                            <FCN>17</FCN>
                            <LCPT>0</LCPT>
                            <LCN>17</LCN>
                          </ClmnBlkProps>
                          <ClmnBlkPts>
                            <ClmnBlkPt>
                              <ClmnBlkPtProps>
                                <CBPT>5</CBPT>
                                <ST>6</ST>
                                <SON>2</SON>
                                <VOFFF><![CDATA[="FINANCIAL COST ("&IF(§A¿1,1,1,1,5,0,2,1,1§Z¿=2,§A¿0,1,0,1,32,1,1,1,0,0,TRUE,TRUE§Z¿,§A¿0,1,0,1,32,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7,2,1,-1,0,0,FALSE,FALSE§Z¿/§A¿0,1,0,1,32,2,1,2,0,0,TRUE,TRUE§Z¿,§A¿0,3,0,1,7,2,1,-1,0,0,FALSE,FALSE§Z¿*§A¿0,1,0,1,32,2,1,2,0,0,TRUE,TRUE§Z¿), 0)]]></VOFFF>
                              </ClmnBlkPtProps>
                            </ClmnBlkPt>
                          </ClmnBlkPts>
                        </ClmnBlk>
                        <ClmnBlk>
                          <ClmnBlkProps>
                            <FCPT>0</FCPT>
                            <FCN>17</FCN>
                            <LCPT>0</LCPT>
                            <LCN>17</LCN>
                          </ClmnBlkProps>
                          <ClmnBlkPts>
                            <ClmnBlkPt>
                              <ClmnBlkPtProps>
                                <CBPT>5</CBPT>
                                <ST>18</ST>
                                <SON>14</SON>
                                <VOFFF><![CDATA[=IFERROR(IF(§A¿1,1,1,1,5,0,2,1,1§Z¿=2,§A¿0,3,0,1,7,3,1,-1,0,0,FALSE,FALSE§Z¿/§A¿0,1,0,1,32,2,1,2,0,0,TRUE,TRUE§Z¿,§A¿0,3,0,1,7,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8,2,1,-1,0,0,FALSE,FALSE§Z¿/§A¿0,1,0,1,32,2,1,2,0,0,TRUE,TRUE§Z¿,§A¿0,3,0,1,8,2,1,-1,0,0,FALSE,FALSE§Z¿*§A¿0,1,0,1,32,2,1,2,0,0,TRUE,TRUE§Z¿), 0)]]></VOFFF>
                              </ClmnBlkPtProps>
                            </ClmnBlkPt>
                          </ClmnBlkPts>
                        </ClmnBlk>
                        <ClmnBlk>
                          <ClmnBlkProps>
                            <FCPT>0</FCPT>
                            <FCN>17</FCN>
                            <LCPT>0</LCPT>
                            <LCN>17</LCN>
                          </ClmnBlkProps>
                          <ClmnBlkPts>
                            <ClmnBlkPt>
                              <ClmnBlkPtProps>
                                <CBPT>5</CBPT>
                                <ST>18</ST>
                                <SON>14</SON>
                                <VOFFF><![CDATA[=IFERROR(IF(§A¿1,1,1,1,5,0,2,1,1§Z¿=2,§A¿0,3,0,1,8,3,1,-1,0,0,FALSE,FALSE§Z¿/§A¿0,1,0,1,32,2,1,2,0,0,TRUE,TRUE§Z¿,§A¿0,3,0,1,8,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15,1,1,-1,0,0,FALSE,FALSE§Z¿]]></VOFFF>
                              </ClmnBlkPtProps>
                            </ClmnBlkPt>
                          </ClmnBlkPts>
                        </ClmnBlk>
                        <ClmnBlk>
                          <ClmnBlkProps>
                            <FCPT>0</FCPT>
                            <FCN>10</FCN>
                            <LCPT>0</LCPT>
                            <LCN>10</LCN>
                          </ClmnBlkProps>
                          <ClmnBlkPts>
                            <ClmnBlkPt>
                              <ClmnBlkPtProps>
                                <CBPT>5</CBPT>
                                <ST>18</ST>
                                <SON>14</SON>
                                <VOFFF><![CDATA[=§A¿0,1,0,1,17,6,6,-1,0,0,FALSE,FALSE§Z¿]]></VOFFF>
                              </ClmnBlkPtProps>
                            </ClmnBlkPt>
                          </ClmnBlkPts>
                        </ClmnBlk>
                        <ClmnBlk>
                          <ClmnBlkProps>
                            <FCPT>0</FCPT>
                            <FCN>12</FCN>
                            <LCPT>0</LCPT>
                            <LCN>12</LCN>
                          </ClmnBlkProps>
                          <ClmnBlkPts>
                            <ClmnBlkPt>
                              <ClmnBlkPtProps>
                                <CBPT>5</CBPT>
                                <ST>18</ST>
                                <SON>14</SON>
                                <VOFFF><![CDATA[=§A¿0,1,0,1,17,7,6,-1,0,0,FALSE,FALSE§Z¿]]></VOFFF>
                              </ClmnBlkPtProps>
                            </ClmnBlkPt>
                          </ClmnBlkPts>
                        </ClmnBlk>
                        <ClmnBlk>
                          <ClmnBlkProps>
                            <FCPT>0</FCPT>
                            <FCN>15</FCN>
                            <LCPT>0</LCPT>
                            <LCN>15</LCN>
                          </ClmnBlkProps>
                          <ClmnBlkPts>
                            <ClmnBlkPt>
                              <ClmnBlkPtProps>
                                <CBPT>5</CBPT>
                                <ST>18</ST>
                                <SON>14</SON>
                                <VOFFF><![CDATA[=IFERROR(IF(§A¿1,1,1,1,5,0,2,1,1§Z¿=2,§A¿0,3,0,1,9,2,1,-1,0,0,FALSE,FALSE§Z¿/§A¿0,1,0,1,32,2,1,2,0,0,TRUE,TRUE§Z¿,§A¿0,3,0,1,9,2,1,-1,0,0,FALSE,FALSE§Z¿*§A¿0,1,0,1,32,2,1,2,0,0,TRUE,TRUE§Z¿), 0)]]></VOFFF>
                              </ClmnBlkPtProps>
                            </ClmnBlkPt>
                          </ClmnBlkPts>
                        </ClmnBlk>
                        <ClmnBlk>
                          <ClmnBlkProps>
                            <FCPT>0</FCPT>
                            <FCN>17</FCN>
                            <LCPT>0</LCPT>
                            <LCN>17</LCN>
                          </ClmnBlkProps>
                          <ClmnBlkPts>
                            <ClmnBlkPt>
                              <ClmnBlkPtProps>
                                <CBPT>5</CBPT>
                                <ST>18</ST>
                                <SON>14</SON>
                                <VOFFF><![CDATA[=IFERROR(IF(§A¿1,1,1,1,5,0,2,1,1§Z¿=2,§A¿0,3,0,1,9,3,1,-1,0,0,FALSE,FALSE§Z¿/§A¿0,1,0,1,32,2,1,2,0,0,TRUE,TRUE§Z¿,§A¿0,3,0,1,9,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19,1,1,-1,0,0,FALSE,FALSE§Z¿]]></VOFFF>
                              </ClmnBlkPtProps>
                            </ClmnBlkPt>
                          </ClmnBlkPts>
                        </ClmnBlk>
                        <ClmnBlk>
                          <ClmnBlkProps>
                            <FCPT>0</FCPT>
                            <FCN>10</FCN>
                            <LCPT>0</LCPT>
                            <LCN>10</LCN>
                          </ClmnBlkProps>
                          <ClmnBlkPts>
                            <ClmnBlkPt>
                              <ClmnBlkPtProps>
                                <CBPT>5</CBPT>
                                <ST>18</ST>
                                <SON>14</SON>
                                <VOFFF><![CDATA[=§A¿0,1,0,1,21,5,6,-1,0,0,FALSE,FALSE§Z¿]]></VOFFF>
                              </ClmnBlkPtProps>
                            </ClmnBlkPt>
                          </ClmnBlkPts>
                        </ClmnBlk>
                        <ClmnBlk>
                          <ClmnBlkProps>
                            <FCPT>0</FCPT>
                            <FCN>12</FCN>
                            <LCPT>0</LCPT>
                            <LCN>12</LCN>
                          </ClmnBlkProps>
                          <ClmnBlkPts>
                            <ClmnBlkPt>
                              <ClmnBlkPtProps>
                                <CBPT>5</CBPT>
                                <ST>18</ST>
                                <SON>14</SON>
                                <VOFFF><![CDATA[=§A¿0,1,0,1,21,6,6,-1,0,0,FALSE,FALSE§Z¿]]></VOFFF>
                              </ClmnBlkPtProps>
                            </ClmnBlkPt>
                          </ClmnBlkPts>
                        </ClmnBlk>
                        <ClmnBlk>
                          <ClmnBlkProps>
                            <FCPT>0</FCPT>
                            <FCN>15</FCN>
                            <LCPT>0</LCPT>
                            <LCN>15</LCN>
                          </ClmnBlkProps>
                          <ClmnBlkPts>
                            <ClmnBlkPt>
                              <ClmnBlkPtProps>
                                <CBPT>5</CBPT>
                                <ST>18</ST>
                                <SON>14</SON>
                                <VOFFF><![CDATA[=IFERROR(IF(§A¿1,1,1,1,5,0,2,1,1§Z¿=2,§A¿0,3,0,1,10,2,1,-1,0,0,FALSE,FALSE§Z¿/§A¿0,1,0,1,32,2,1,2,0,0,TRUE,TRUE§Z¿,§A¿0,3,0,1,10,2,1,-1,0,0,FALSE,FALSE§Z¿*§A¿0,1,0,1,32,2,1,2,0,0,TRUE,TRUE§Z¿), 0)]]></VOFFF>
                              </ClmnBlkPtProps>
                            </ClmnBlkPt>
                          </ClmnBlkPts>
                        </ClmnBlk>
                        <ClmnBlk>
                          <ClmnBlkProps>
                            <FCPT>0</FCPT>
                            <FCN>17</FCN>
                            <LCPT>0</LCPT>
                            <LCN>17</LCN>
                          </ClmnBlkProps>
                          <ClmnBlkPts>
                            <ClmnBlkPt>
                              <ClmnBlkPtProps>
                                <CBPT>5</CBPT>
                                <ST>18</ST>
                                <SON>14</SON>
                                <VOFFF><![CDATA[=IFERROR(IF(§A¿1,1,1,1,5,0,2,1,1§Z¿=2,§A¿0,3,0,1,10,3,1,-1,0,0,FALSE,FALSE§Z¿/§A¿0,1,0,1,32,2,1,2,0,0,TRUE,TRUE§Z¿,§A¿0,3,0,1,10,3,1,-1,0,0,FALSE,FALSE§Z¿*§A¿0,1,0,1,32,2,1,2,0,0,TRUE,TRUE§Z¿), 0)]]></VOFFF>
                              </ClmnBlkPtProps>
                            </ClmnBlkPt>
                          </ClmnBlkPts>
                        </ClmnBlk>
                      </ClmnBlks>
                      <TtlCtg/>
                    </Elmt>
                    <Elmt>
                      <ElmtProps>
                        <CPT>2</CPT>
                      </ElmtProps>
                      <ClmnBlks>
                        <ClmnBlk>
                          <ClmnBlkProps>
                            <FCPT>0</FCPT>
                            <FCN>4</FCN>
                            <LCPT>0</LCPT>
                            <LCN>4</LCN>
                          </ClmnBlkProps>
                          <ClmnBlkPts>
                            <ClmnBlkPt>
                              <ClmnBlkPtProps>
                                <CBPT>5</CBPT>
                                <ST>6</ST>
                                <VOFFF><![CDATA[=§A¿0,1,0,1,23,1,1,-1,0,0,FALSE,FALSE§Z¿]]></VOFFF>
                              </ClmnBlkPtProps>
                            </ClmnBlkPt>
                          </ClmnBlkPts>
                        </ClmnBlk>
                        <ClmnBlk>
                          <ClmnBlkProps>
                            <FCPT>0</FCPT>
                            <FCN>10</FCN>
                            <LCPT>0</LCPT>
                            <LCN>10</LCN>
                          </ClmnBlkProps>
                          <ClmnBlkPts>
                            <ClmnBlkPt>
                              <ClmnBlkPtProps>
                                <CBPT>5</CBPT>
                                <ST>18</ST>
                                <SON>14</SON>
                                <VOFFF><![CDATA[=§A¿0,1,0,1,25,6,6,-1,0,0,FALSE,FALSE§Z¿]]></VOFFF>
                              </ClmnBlkPtProps>
                            </ClmnBlkPt>
                          </ClmnBlkPts>
                        </ClmnBlk>
                        <ClmnBlk>
                          <ClmnBlkProps>
                            <FCPT>0</FCPT>
                            <FCN>12</FCN>
                            <LCPT>0</LCPT>
                            <LCN>12</LCN>
                          </ClmnBlkProps>
                          <ClmnBlkPts>
                            <ClmnBlkPt>
                              <ClmnBlkPtProps>
                                <CBPT>5</CBPT>
                                <ST>18</ST>
                                <SON>14</SON>
                                <VOFFF><![CDATA[=§A¿0,1,0,1,25,7,6,-1,0,0,FALSE,FALSE§Z¿]]></VOFFF>
                              </ClmnBlkPtProps>
                            </ClmnBlkPt>
                          </ClmnBlkPts>
                        </ClmnBlk>
                        <ClmnBlk>
                          <ClmnBlkProps>
                            <FCPT>0</FCPT>
                            <FCN>15</FCN>
                            <LCPT>0</LCPT>
                            <LCN>15</LCN>
                          </ClmnBlkProps>
                          <ClmnBlkPts>
                            <ClmnBlkPt>
                              <ClmnBlkPtProps>
                                <CBPT>5</CBPT>
                                <ST>18</ST>
                                <SON>14</SON>
                                <VOFFF><![CDATA[=IFERROR(IF(§A¿1,1,1,1,5,0,2,1,1§Z¿=2,§A¿0,3,0,1,11,2,1,-1,0,0,FALSE,FALSE§Z¿/§A¿0,1,0,1,32,2,1,2,0,0,TRUE,TRUE§Z¿,§A¿0,3,0,1,11,2,1,-1,0,0,FALSE,FALSE§Z¿*§A¿0,1,0,1,32,2,1,2,0,0,TRUE,TRUE§Z¿), 0)]]></VOFFF>
                              </ClmnBlkPtProps>
                            </ClmnBlkPt>
                          </ClmnBlkPts>
                        </ClmnBlk>
                        <ClmnBlk>
                          <ClmnBlkProps>
                            <FCPT>0</FCPT>
                            <FCN>17</FCN>
                            <LCPT>0</LCPT>
                            <LCN>17</LCN>
                          </ClmnBlkProps>
                          <ClmnBlkPts>
                            <ClmnBlkPt>
                              <ClmnBlkPtProps>
                                <CBPT>5</CBPT>
                                <ST>18</ST>
                                <SON>14</SON>
                                <VOFFF><![CDATA[=IFERROR(IF(§A¿1,1,1,1,5,0,2,1,1§Z¿=2,§A¿0,3,0,1,11,3,1,-1,0,0,FALSE,FALSE§Z¿/§A¿0,1,0,1,32,2,1,2,0,0,TRUE,TRUE§Z¿,§A¿0,3,0,1,11,3,1,-1,0,0,FALSE,FALSE§Z¿*§A¿0,1,0,1,32,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5,1,1,-1,0,0,FALSE,FALSE§Z¿&" Activity"]]></VOFFF>
                              </ClmnBlkPtProps>
                            </ClmnBlkPt>
                          </ClmnBlkPts>
                        </ClmnBlk>
                        <ClmnBlk>
                          <ClmnBlkProps>
                            <FCPT>0</FCPT>
                            <FCN>10</FCN>
                            <LCPT>0</LCPT>
                            <LCN>10</LCN>
                          </ClmnBlkProps>
                          <ClmnBlkPts>
                            <ClmnBlkPt>
                              <ClmnBlkPtProps>
                                <CBPT>5</CBPT>
                                <ST>18</ST>
                                <SON>17</SON>
                                <VOFFF><![CDATA[=SUM(§A¿0,3,1,1,7,2,1,-1,0,0,FALSE,FALSE,1,11,2,1,-1,0,0,FALSE,FALSE§Z¿)]]></VOFFF>
                              </ClmnBlkPtProps>
                            </ClmnBlkPt>
                          </ClmnBlkPts>
                        </ClmnBlk>
                        <ClmnBlk>
                          <ClmnBlkProps>
                            <FCPT>0</FCPT>
                            <FCN>12</FCN>
                            <LCPT>0</LCPT>
                            <LCN>12</LCN>
                          </ClmnBlkProps>
                          <ClmnBlkPts>
                            <ClmnBlkPt>
                              <ClmnBlkPtProps>
                                <CBPT>5</CBPT>
                                <ST>18</ST>
                                <SON>17</SON>
                                <VOFFF><![CDATA[=SUM(§A¿0,3,1,1,7,3,1,-1,0,0,FALSE,FALSE,1,11,3,1,-1,0,0,FALSE,FALSE§Z¿)]]></VOFFF>
                              </ClmnBlkPtProps>
                            </ClmnBlkPt>
                          </ClmnBlkPts>
                        </ClmnBlk>
                        <ClmnBlk>
                          <ClmnBlkProps>
                            <FCPT>0</FCPT>
                            <FCN>15</FCN>
                            <LCPT>0</LCPT>
                            <LCN>15</LCN>
                          </ClmnBlkProps>
                          <ClmnBlkPts>
                            <ClmnBlkPt>
                              <ClmnBlkPtProps>
                                <CBPT>5</CBPT>
                                <ST>18</ST>
                                <SON>18</SON>
                                <VOFFF><![CDATA[=SUM(§A¿0,3,1,1,7,4,1,-1,0,0,FALSE,FALSE,1,11,4,1,-1,0,0,FALSE,FALSE§Z¿)]]></VOFFF>
                              </ClmnBlkPtProps>
                            </ClmnBlkPt>
                          </ClmnBlkPts>
                        </ClmnBlk>
                        <ClmnBlk>
                          <ClmnBlkProps>
                            <FCPT>0</FCPT>
                            <FCN>17</FCN>
                            <LCPT>0</LCPT>
                            <LCN>17</LCN>
                          </ClmnBlkProps>
                          <ClmnBlkPts>
                            <ClmnBlkPt>
                              <ClmnBlkPtProps>
                                <CBPT>5</CBPT>
                                <ST>18</ST>
                                <SON>18</SON>
                                <VOFFF><![CDATA[=SUM(§A¿0,3,1,1,7,5,1,-1,0,0,FALSE,FALSE,1,11,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3,1,14,2,1</CBPLI>
                                    <MCN>3</MCN>
                                    <SN>1</SN>
                                    <EN>14</EN>
                                    <CN>0</CN>
                                    <CBN>2</CBN>
                                    <CBPN>1</CBPN>
                                    <PT>1</PT>
                                    <CBPRNT>6</CBPRNT>
                                    <NT>12</NT>
                                    <SP1><![CDATA[SOC_MOB_1]]></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5,1,1,-1,0,0,FALSE,FALSE§Z¿&" Activities"]]></VOFFF>
                              </ClmnBlkPtProps>
                            </ClmnBlkPt>
                          </ClmnBlkPts>
                        </ClmnBlk>
                        <ClmnBlk>
                          <ClmnBlkProps>
                            <FCPT>0</FCPT>
                            <FCN>10</FCN>
                            <LCPT>0</LCPT>
                            <LCN>10</LCN>
                          </ClmnBlkProps>
                          <ClmnBlkPts>
                            <ClmnBlkPt>
                              <ClmnBlkPtProps>
                                <CBPT>5</CBPT>
                                <ST>18</ST>
                                <SON>6</SON>
                                <VOFFF><![CDATA[=§A¿0,3,0,1,14,2,1,-1,0,0,TRUE,TRUE§Z¿*§A¿0,3,0,1,12,2,1,-1,0,0,FALSE,FALSE§Z¿]]></VOFFF>
                              </ClmnBlkPtProps>
                            </ClmnBlkPt>
                          </ClmnBlkPts>
                        </ClmnBlk>
                        <ClmnBlk>
                          <ClmnBlkProps>
                            <FCPT>0</FCPT>
                            <FCN>12</FCN>
                            <LCPT>0</LCPT>
                            <LCN>12</LCN>
                          </ClmnBlkProps>
                          <ClmnBlkPts>
                            <ClmnBlkPt>
                              <ClmnBlkPtProps>
                                <CBPT>5</CBPT>
                                <ST>18</ST>
                                <SON>6</SON>
                                <VOFFF><![CDATA[=§A¿0,3,0,1,14,2,1,-1,0,0,TRUE,TRUE§Z¿*§A¿0,3,0,1,12,3,1,-1,0,0,FALSE,FALSE§Z¿]]></VOFFF>
                              </ClmnBlkPtProps>
                            </ClmnBlkPt>
                          </ClmnBlkPts>
                        </ClmnBlk>
                        <ClmnBlk>
                          <ClmnBlkProps>
                            <FCPT>0</FCPT>
                            <FCN>15</FCN>
                            <LCPT>0</LCPT>
                            <LCN>15</LCN>
                          </ClmnBlkProps>
                          <ClmnBlkPts>
                            <ClmnBlkPt>
                              <ClmnBlkPtProps>
                                <CBPT>5</CBPT>
                                <ST>18</ST>
                                <SON>6</SON>
                                <VOFFF><![CDATA[=§A¿0,3,0,1,14,2,1,-1,0,0,TRUE,TRUE§Z¿*§A¿0,3,0,1,12,4,1,-1,0,0,FALSE,FALSE§Z¿]]></VOFFF>
                              </ClmnBlkPtProps>
                            </ClmnBlkPt>
                          </ClmnBlkPts>
                        </ClmnBlk>
                        <ClmnBlk>
                          <ClmnBlkProps>
                            <FCPT>0</FCPT>
                            <FCN>17</FCN>
                            <LCPT>0</LCPT>
                            <LCN>17</LCN>
                          </ClmnBlkProps>
                          <ClmnBlkPts>
                            <ClmnBlkPt>
                              <ClmnBlkPtProps>
                                <CBPT>5</CBPT>
                                <ST>18</ST>
                                <SON>6</SON>
                                <VOFFF><![CDATA[=§A¿0,3,0,1,14,2,1,-1,0,0,TRUE,TRUE§Z¿*§A¿0,3,0,1,12,5,1,-1,0,0,FALSE,FALSE§Z¿]]></VOFFF>
                              </ClmnBlkPtProps>
                            </ClmnBlkPt>
                          </ClmnBlkPts>
                        </ClmnBlk>
                      </ClmnBlks>
                      <TtlCtg/>
                    </Elmt>
                    <Elmt>
                      <ElmtProps>
                        <CPT>2</CPT>
                      </ElmtProps>
                      <ClmnBlks>
                        <ClmnBlk>
                          <ClmnBlkProps>
                            <FCPT>0</FCPT>
                            <FCN>2</FCN>
                            <LCPT>0</LCPT>
                            <LCN>18</LCN>
                          </ClmnBlkProps>
                          <ClmnBlkPts>
                            <ClmnBlkPt>
                              <ClmnBlkPtProps>
                                <CBPT>5</CBPT>
                                <ST>-1</ST>
                                <SON>16</SON>
                                <VOFFF/>
                              </ClmnBlkPtProps>
                            </ClmnBlkPt>
                          </ClmnBlkPts>
                        </ClmnBlk>
                      </ClmnBlks>
                      <TtlCtg/>
                    </Elmt>
                  </Elmts>
                </Sect>
              </Sects>
            </ModComp>
            <ModComp>
              <ModCompProps>
                <MN>18</MN>
                <MCN>4</MCN>
                <MCTK>LU</MCTK>
                <RT><![CDATA[<ModuleName> - Lookups]]></RT>
                <ERN>BPMMC66</ERN>
                <MCST>3</MCST>
                <IPMC>False</IPMC>
                <SN>44</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38</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2,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7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7,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7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0,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7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4,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7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7,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7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1,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7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8</MN>
            <MAG>608162F4-E730-403E-9DB1-20B06C6C3C25</MAG>
            <BN><![CDATA[PLUG_ACTIVITY]]></BN>
            <N><![CDATA[MOB-2]]></N>
            <TS><![CDATA[Annual]]></TS>
            <D><![CDATA[Assists with planning the cost of an activity. Should be used with Prices module.]]></D>
            <FS/>
            <R/>
            <GE/>
            <CA/>
            <VA/>
            <GST/>
            <DE/>
            <E/>
            <C/>
            <W/>
            <K/>
            <CO/>
            <V>1.0.0.0.</V>
            <AX/>
            <PMLO>False</PMLO>
            <IPMLO>False</IPMLO>
            <MACA>1</MACA>
            <RTSM>True</RTSM>
            <CC>True</CC>
            <X>False</X>
            <G>0831FA56-3C6C-4751-A4D5-F10FDF60FB7C</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19</MN>
                <MCN>1</MCN>
                <MCTK>BaseCase</MCTK>
                <RT><![CDATA[<ModuleName> - Assumptions]]></RT>
                <ERN>BPMMC67</ERN>
                <MCST>0</MCST>
                <IPMC>False</IPMC>
                <SN>19</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39</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8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SON>15</SON>
                                <VOFFF><![CDATA[=IF(§A¿1,1,1,1,5,0,2,1,1§Z¿=1,§A¿0,1,0,1,33,1,1,1,0,0,TRUE,TRUE§Z¿,§A¿0,1,0,1,33,1,1,2,0,0,TRUE,TRUE§Z¿)]]></VOFFF>
                              </ClmnBlkPtProps>
                            </ClmnBlkPt>
                          </ClmnBlkPts>
                        </ClmnBlk>
                        <ClmnBlk>
                          <ClmnBlkProps>
                            <FCPT>0</FCPT>
                            <FCN>15</FCN>
                            <LCPT>0</LCPT>
                            <LCN>15</LCN>
                          </ClmnBlkProps>
                          <ClmnBlkPts>
                            <ClmnBlkPt>
                              <ClmnBlkPtProps>
                                <CBPT>5</CBPT>
                                <ST>18</ST>
                                <SON>15</SON>
                                <VOFFF><![CDATA[=IF(§A¿1,1,1,1,5,0,2,1,1§Z¿=1,§A¿0,1,0,1,33,1,1,1,0,0,TRUE,TRUE§Z¿,§A¿0,1,0,1,33,1,1,2,0,0,TRUE,TRUE§Z¿)]]></VOFFF>
                              </ClmnBlkPtProps>
                            </ClmnBlkPt>
                          </ClmnBlkPts>
                        </ClmnBlk>
                        <ClmnBlk>
                          <ClmnBlkProps>
                            <FCPT>0</FCPT>
                            <FCN>17</FCN>
                            <LCPT>0</LCPT>
                            <LCN>17</LCN>
                          </ClmnBlkProps>
                          <ClmnBlkPts>
                            <ClmnBlkPt>
                              <ClmnBlkPtProps>
                                <CBPT>5</CBPT>
                                <ST>18</ST>
                                <SON>15</SON>
                                <VOFFF><![CDATA[=IF(§A¿1,1,1,1,5,0,2,1,1§Z¿=1,§A¿0,1,0,1,33,1,1,1,0,0,TRUE,TRUE§Z¿,§A¿0,1,0,1,33,1,1,2,0,0,TRUE,TRUE§Z¿)]]></VOFFF>
                              </ClmnBlkPtProps>
                            </ClmnBlkPt>
                          </ClmnBlkPts>
                        </ClmnBlk>
                        <ClmnBlk>
                          <ClmnBlkProps>
                            <FCPT>0</FCPT>
                            <FCN>19</FCN>
                            <LCPT>0</LCPT>
                            <LCN>19</LCN>
                          </ClmnBlkProps>
                          <ClmnBlkPts>
                            <ClmnBlkPt>
                              <ClmnBlkPtProps>
                                <CBPT>5</CBPT>
                                <ST>18</ST>
                                <SON>15</SON>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8,2,1,1,0,0,TRUE,TRUE,1,38,2,1,2,0,0,TRUE,TRUE§Z¿,MATCH(§A¿0,1,0,1,8,1,1,0,0,0,FALSE,FALSE§Z¿,§A¿1,1,4,1,13,0,1,1,1§Z¿,0)),INDEX(§A¿0,1,1,1,38,4,1,1,0,0,TRUE,TRUE,1,38,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8,3,1,1,0,0,TRUE,TRUE,1,38,3,1,2,0,0,TRUE,TRUE§Z¿,MATCH(§A¿0,1,0,1,8,1,1,0,0,0,FALSE,FALSE§Z¿,§A¿1,1,4,1,13,0,1,1,1§Z¿,0)),INDEX(§A¿0,1,1,1,38,5,1,1,0,0,TRUE,TRUE,1,38,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ClmnBlks>
                        <ClmnBlk>
                          <ClmnBlkProps>
                            <FCPT>0</FCPT>
                            <FCN>5</FCN>
                            <LCPT>0</LCPT>
                            <LCN>5</LCN>
                          </ClmnBlkProps>
                          <ClmnBlkPts>
                            <ClmnBlkPt>
                              <ClmnBlkPtProps>
                                <CBPT>5</CBPT>
                                <ST>6</ST>
                                <VOFFF><![CDATA[i]]></VOFFF>
                              </ClmnBlkPtProps>
                            </ClmnBlkPt>
                          </ClmnBlkPts>
                        </ClmnBlk>
                      </ClmnBlks>
                      <TtlCtg/>
                    </Elmt>
                    <Elmt>
                      <ElmtProps>
                        <CPT>2</CPT>
                      </ElmtProps>
                      <ClmnBlks>
                        <ClmnBlk>
                          <ClmnBlkProps>
                            <FCPT>0</FCPT>
                            <FCN>3</FCN>
                            <LCPT>0</LCPT>
                            <LCN>3</LCN>
                          </ClmnBlkProps>
                          <ClmnBlkPts>
                            <ClmnBlkPt>
                              <ClmnBlkPtProps>
                                <CBPT>5</CBPT>
                                <ST>4</ST>
                                <VOFFF><![CDATA[Allowances]]></VOFFF>
                              </ClmnBlkPtProps>
                            </ClmnBlkPt>
                          </ClmnBlkPts>
                        </ClmnBlk>
                        <ClmnBlk>
                          <ClmnBlkProps>
                            <FCPT>0</FCPT>
                            <FCN>13</FCN>
                            <LCPT>0</LCPT>
                            <LCN>13</LCN>
                          </ClmnBlkProps>
                          <ClmnBlkPts>
                            <ClmnBlkPt>
                              <ClmnBlkPtProps>
                                <CBPT>5</CBPT>
                                <ST>18</ST>
                                <SON>15</SON>
                                <VOFFF><![CDATA[=IF(§A¿1,1,1,1,5,0,2,1,1§Z¿=1,§A¿0,1,0,1,33,1,1,1,0,0,TRUE,TRUE§Z¿,§A¿0,1,0,1,33,1,1,2,0,0,TRUE,TRUE§Z¿)]]></VOFFF>
                              </ClmnBlkPtProps>
                            </ClmnBlkPt>
                          </ClmnBlkPts>
                        </ClmnBlk>
                        <ClmnBlk>
                          <ClmnBlkProps>
                            <FCPT>0</FCPT>
                            <FCN>15</FCN>
                            <LCPT>0</LCPT>
                            <LCN>15</LCN>
                          </ClmnBlkProps>
                          <ClmnBlkPts>
                            <ClmnBlkPt>
                              <ClmnBlkPtProps>
                                <CBPT>5</CBPT>
                                <ST>18</ST>
                                <SON>15</SON>
                                <VOFFF><![CDATA[=IF(§A¿1,1,1,1,5,0,2,1,1§Z¿=1,§A¿0,1,0,1,33,1,1,1,0,0,TRUE,TRUE§Z¿,§A¿0,1,0,1,33,1,1,2,0,0,TRUE,TRUE§Z¿)]]></VOFFF>
                              </ClmnBlkPtProps>
                            </ClmnBlkPt>
                          </ClmnBlkPts>
                        </ClmnBlk>
                        <ClmnBlk>
                          <ClmnBlkProps>
                            <FCPT>0</FCPT>
                            <FCN>17</FCN>
                            <LCPT>0</LCPT>
                            <LCN>17</LCN>
                          </ClmnBlkProps>
                          <ClmnBlkPts>
                            <ClmnBlkPt>
                              <ClmnBlkPtProps>
                                <CBPT>5</CBPT>
                                <ST>18</ST>
                                <SON>15</SON>
                                <VOFFF><![CDATA[=IF(§A¿1,1,1,1,5,0,2,1,1§Z¿=1,§A¿0,1,0,1,33,1,1,1,0,0,TRUE,TRUE§Z¿,§A¿0,1,0,1,33,1,1,2,0,0,TRUE,TRUE§Z¿)]]></VOFFF>
                              </ClmnBlkPtProps>
                            </ClmnBlkPt>
                          </ClmnBlkPts>
                        </ClmnBlk>
                        <ClmnBlk>
                          <ClmnBlkProps>
                            <FCPT>0</FCPT>
                            <FCN>19</FCN>
                            <LCPT>0</LCPT>
                            <LCN>19</LCN>
                          </ClmnBlkProps>
                          <ClmnBlkPts>
                            <ClmnBlkPt>
                              <ClmnBlkPtProps>
                                <CBPT>5</CBPT>
                                <ST>18</ST>
                                <SON>15</SON>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1,2,1,1,0,0,TRUE,TRUE,1,41,2,1,2,0,0,TRUE,TRUE§Z¿,MATCH(§A¿0,1,0,1,12,1,1,0,0,0,FALSE,FALSE§Z¿,§A¿1,1,4,1,17,0,1,1,1§Z¿,0)),INDEX(§A¿0,1,1,1,41,4,1,1,0,0,TRUE,TRUE,1,41,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1,3,1,1,0,0,TRUE,TRUE,1,41,3,1,2,0,0,TRUE,TRUE§Z¿,MATCH(§A¿0,1,0,1,12,1,1,0,0,0,FALSE,FALSE§Z¿,§A¿1,1,4,1,17,0,1,1,1§Z¿,0)),INDEX(§A¿0,1,1,1,41,5,1,1,0,0,TRUE,TRUE,1,41,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
                          <ClmnBlkProps>
                            <FCPT>0</FCPT>
                            <FCN>13</FCN>
                            <LCPT>0</LCPT>
                            <LCN>13</LCN>
                          </ClmnBlkProps>
                          <ClmnBlkPts>
                            <ClmnBlkPt>
                              <ClmnBlkPtProps>
                                <CBPT>5</CBPT>
                                <ST>18</ST>
                                <SON>15</SON>
                                <VOFFF><![CDATA[=IF(§A¿1,1,1,1,5,0,2,1,1§Z¿=1,§A¿0,1,0,1,33,1,1,1,0,0,TRUE,TRUE§Z¿,§A¿0,1,0,1,33,1,1,2,0,0,TRUE,TRUE§Z¿)]]></VOFFF>
                              </ClmnBlkPtProps>
                            </ClmnBlkPt>
                          </ClmnBlkPts>
                        </ClmnBlk>
                        <ClmnBlk>
                          <ClmnBlkProps>
                            <FCPT>0</FCPT>
                            <FCN>15</FCN>
                            <LCPT>0</LCPT>
                            <LCN>15</LCN>
                          </ClmnBlkProps>
                          <ClmnBlkPts>
                            <ClmnBlkPt>
                              <ClmnBlkPtProps>
                                <CBPT>5</CBPT>
                                <ST>18</ST>
                                <SON>15</SON>
                                <VOFFF><![CDATA[=IF(§A¿1,1,1,1,5,0,2,1,1§Z¿=1,§A¿0,1,0,1,33,1,1,1,0,0,TRUE,TRUE§Z¿,§A¿0,1,0,1,33,1,1,2,0,0,TRUE,TRUE§Z¿)]]></VOFFF>
                              </ClmnBlkPtProps>
                            </ClmnBlkPt>
                          </ClmnBlkPts>
                        </ClmnBlk>
                        <ClmnBlk>
                          <ClmnBlkProps>
                            <FCPT>0</FCPT>
                            <FCN>17</FCN>
                            <LCPT>0</LCPT>
                            <LCN>17</LCN>
                          </ClmnBlkProps>
                          <ClmnBlkPts>
                            <ClmnBlkPt>
                              <ClmnBlkPtProps>
                                <CBPT>5</CBPT>
                                <ST>18</ST>
                                <SON>15</SON>
                                <VOFFF><![CDATA[=IF(§A¿1,1,1,1,5,0,2,1,1§Z¿=1,§A¿0,1,0,1,33,1,1,1,0,0,TRUE,TRUE§Z¿,§A¿0,1,0,1,33,1,1,2,0,0,TRUE,TRUE§Z¿)]]></VOFFF>
                              </ClmnBlkPtProps>
                            </ClmnBlkPt>
                          </ClmnBlkPts>
                        </ClmnBlk>
                        <ClmnBlk>
                          <ClmnBlkProps>
                            <FCPT>0</FCPT>
                            <FCN>19</FCN>
                            <LCPT>0</LCPT>
                            <LCN>19</LCN>
                          </ClmnBlkProps>
                          <ClmnBlkPts>
                            <ClmnBlkPt>
                              <ClmnBlkPtProps>
                                <CBPT>5</CBPT>
                                <ST>18</ST>
                                <SON>15</SON>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5,2,1,1,0,0,TRUE,TRUE,1,45,2,1,2,0,0,TRUE,TRUE§Z¿,MATCH(§A¿0,1,0,1,18,1,1,0,0,0,FALSE,FALSE§Z¿,§A¿1,1,4,1,22,0,1,1,1§Z¿,0)),INDEX(§A¿0,1,1,1,45,4,1,1,0,0,TRUE,TRUE,1,45,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5,3,1,1,0,0,TRUE,TRUE,1,45,3,1,2,0,0,TRUE,TRUE§Z¿,MATCH(§A¿0,1,0,1,18,1,1,0,0,0,FALSE,FALSE§Z¿,§A¿1,1,4,1,22,0,1,1,1§Z¿,0)),INDEX(§A¿0,1,1,1,45,5,1,1,0,0,TRUE,TRUE,1,45,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13</FCN>
                            <LCPT>0</LCPT>
                            <LCN>13</LCN>
                          </ClmnBlkProps>
                          <ClmnBlkPts>
                            <ClmnBlkPt>
                              <ClmnBlkPtProps>
                                <CBPT>5</CBPT>
                                <ST>18</ST>
                                <SON>15</SON>
                                <VOFFF><![CDATA[=IF(§A¿1,1,1,1,5,0,2,1,1§Z¿=1,§A¿0,1,0,1,33,1,1,1,0,0,TRUE,TRUE§Z¿,§A¿0,1,0,1,33,1,1,2,0,0,TRUE,TRUE§Z¿)]]></VOFFF>
                              </ClmnBlkPtProps>
                            </ClmnBlkPt>
                          </ClmnBlkPts>
                        </ClmnBlk>
                        <ClmnBlk>
                          <ClmnBlkProps>
                            <FCPT>0</FCPT>
                            <FCN>15</FCN>
                            <LCPT>0</LCPT>
                            <LCN>15</LCN>
                          </ClmnBlkProps>
                          <ClmnBlkPts>
                            <ClmnBlkPt>
                              <ClmnBlkPtProps>
                                <CBPT>5</CBPT>
                                <ST>18</ST>
                                <SON>15</SON>
                                <VOFFF><![CDATA[=IF(§A¿1,1,1,1,5,0,2,1,1§Z¿=1,§A¿0,1,0,1,33,1,1,1,0,0,TRUE,TRUE§Z¿,§A¿0,1,0,1,33,1,1,2,0,0,TRUE,TRUE§Z¿)]]></VOFFF>
                              </ClmnBlkPtProps>
                            </ClmnBlkPt>
                          </ClmnBlkPts>
                        </ClmnBlk>
                        <ClmnBlk>
                          <ClmnBlkProps>
                            <FCPT>0</FCPT>
                            <FCN>17</FCN>
                            <LCPT>0</LCPT>
                            <LCN>17</LCN>
                          </ClmnBlkProps>
                          <ClmnBlkPts>
                            <ClmnBlkPt>
                              <ClmnBlkPtProps>
                                <CBPT>5</CBPT>
                                <ST>18</ST>
                                <SON>15</SON>
                                <VOFFF><![CDATA[=IF(§A¿1,1,1,1,5,0,2,1,1§Z¿=1,§A¿0,1,0,1,33,1,1,1,0,0,TRUE,TRUE§Z¿,§A¿0,1,0,1,33,1,1,2,0,0,TRUE,TRUE§Z¿)]]></VOFFF>
                              </ClmnBlkPtProps>
                            </ClmnBlkPt>
                          </ClmnBlkPts>
                        </ClmnBlk>
                        <ClmnBlk>
                          <ClmnBlkProps>
                            <FCPT>0</FCPT>
                            <FCN>19</FCN>
                            <LCPT>0</LCPT>
                            <LCN>19</LCN>
                          </ClmnBlkProps>
                          <ClmnBlkPts>
                            <ClmnBlkPt>
                              <ClmnBlkPtProps>
                                <CBPT>5</CBPT>
                                <ST>18</ST>
                                <SON>15</SON>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8,2,1,1,0,0,TRUE,TRUE,1,48,2,1,2,0,0,TRUE,TRUE§Z¿,MATCH(§A¿0,1,0,1,22,1,1,0,0,0,FALSE,FALSE§Z¿,§A¿1,1,4,1,27,0,1,1,1§Z¿,0)),INDEX(§A¿0,1,1,1,48,4,1,1,0,0,TRUE,TRUE,1,48,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8,3,1,1,0,0,TRUE,TRUE,1,48,3,1,2,0,0,TRUE,TRUE§Z¿,MATCH(§A¿0,1,0,1,22,1,1,0,0,0,FALSE,FALSE§Z¿,§A¿1,1,4,1,27,0,1,1,1§Z¿,0)),INDEX(§A¿0,1,1,1,48,5,1,1,0,0,TRUE,TRUE,1,48,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13</FCN>
                            <LCPT>0</LCPT>
                            <LCN>13</LCN>
                          </ClmnBlkProps>
                          <ClmnBlkPts>
                            <ClmnBlkPt>
                              <ClmnBlkPtProps>
                                <CBPT>5</CBPT>
                                <ST>18</ST>
                                <SON>15</SON>
                                <VOFFF><![CDATA[=IF(§A¿1,1,1,1,5,0,2,1,1§Z¿=1,§A¿0,1,0,1,33,1,1,1,0,0,TRUE,TRUE§Z¿,§A¿0,1,0,1,33,1,1,2,0,0,TRUE,TRUE§Z¿)]]></VOFFF>
                              </ClmnBlkPtProps>
                            </ClmnBlkPt>
                          </ClmnBlkPts>
                        </ClmnBlk>
                        <ClmnBlk>
                          <ClmnBlkProps>
                            <FCPT>0</FCPT>
                            <FCN>15</FCN>
                            <LCPT>0</LCPT>
                            <LCN>15</LCN>
                          </ClmnBlkProps>
                          <ClmnBlkPts>
                            <ClmnBlkPt>
                              <ClmnBlkPtProps>
                                <CBPT>5</CBPT>
                                <ST>18</ST>
                                <SON>15</SON>
                                <VOFFF><![CDATA[=IF(§A¿1,1,1,1,5,0,2,1,1§Z¿=1,§A¿0,1,0,1,33,1,1,1,0,0,TRUE,TRUE§Z¿,§A¿0,1,0,1,33,1,1,2,0,0,TRUE,TRUE§Z¿)]]></VOFFF>
                              </ClmnBlkPtProps>
                            </ClmnBlkPt>
                          </ClmnBlkPts>
                        </ClmnBlk>
                        <ClmnBlk>
                          <ClmnBlkProps>
                            <FCPT>0</FCPT>
                            <FCN>17</FCN>
                            <LCPT>0</LCPT>
                            <LCN>17</LCN>
                          </ClmnBlkProps>
                          <ClmnBlkPts>
                            <ClmnBlkPt>
                              <ClmnBlkPtProps>
                                <CBPT>5</CBPT>
                                <ST>18</ST>
                                <SON>15</SON>
                                <VOFFF><![CDATA[=IF(§A¿1,1,1,1,5,0,2,1,1§Z¿=1,§A¿0,1,0,1,33,1,1,1,0,0,TRUE,TRUE§Z¿,§A¿0,1,0,1,33,1,1,2,0,0,TRUE,TRUE§Z¿)]]></VOFFF>
                              </ClmnBlkPtProps>
                            </ClmnBlkPt>
                          </ClmnBlkPts>
                        </ClmnBlk>
                        <ClmnBlk>
                          <ClmnBlkProps>
                            <FCPT>0</FCPT>
                            <FCN>19</FCN>
                            <LCPT>0</LCPT>
                            <LCN>19</LCN>
                          </ClmnBlkProps>
                          <ClmnBlkPts>
                            <ClmnBlkPt>
                              <ClmnBlkPtProps>
                                <CBPT>5</CBPT>
                                <ST>18</ST>
                                <SON>15</SON>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1,1,26,1,1</CBPLI>
                                  <ADVT>-1</ADVT>
                                  <VT>3</VT>
                                  <AS>1</AS>
                                  <O>1</O>
                                  <F1FFF><![CDATA[=§A¿1,1,4,1,31,0,1,1,1§Z¿]]></F1FFF>
                                  <F2FFF/>
                                  <IB>True</IB>
                                  <ICDD>True</ICDD>
                                  <SI>True</SI>
                                  <IT/>
                                  <IM/>
                                  <SE>True</SE>
                                  <ET/>
                                  <EM/>
                                  <IMO>0</IMO>
                                </VdtnProps>
                              </Vdtn>
                            </ClmnBlkPt>
                            <ClmnBlkPt>
                              <ClmnBlkPtProps>
                                <CBPT>1</CBPT>
                                <ST>6</ST>
                                <MC>True</MC>
                                <VOFFF><![CDATA[="Total "&§A¿0,1,0,1,26,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2,2,1,1,0,0,TRUE,TRUE,1,52,2,1,2,0,0,TRUE,TRUE§Z¿,MATCH(§A¿0,1,0,1,26,1,1,0,0,0,FALSE,FALSE§Z¿,§A¿1,1,4,1,31,0,1,1,1§Z¿,0)),INDEX(§A¿0,1,1,1,52,4,1,1,0,0,TRUE,TRUE,1,52,4,1,2,0,0,TRUE,TRUE§Z¿,MATCH(§A¿0,1,0,1,26,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2,3,1,1,0,0,TRUE,TRUE,1,52,3,1,2,0,0,TRUE,TRUE§Z¿,MATCH(§A¿0,1,0,1,26,1,1,0,0,0,FALSE,FALSE§Z¿,§A¿1,1,4,1,31,0,1,1,1§Z¿,0)),INDEX(§A¿0,1,1,1,52,5,1,1,0,0,TRUE,TRUE,1,52,5,1,2,0,0,TRUE,TRUE§Z¿,MATCH(§A¿0,1,0,1,26,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6,2,1,0,0,0,FALSE,FALSE§Z¿*§A¿0,1,0,1,26,3,1,0,0,0,FALSE,FALSE§Z¿*§A¿0,1,0,1,26,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6,2,1,0,0,0,FALSE,FALSE§Z¿*§A¿0,1,0,1,26,3,1,0,0,0,FALSE,FALSE§Z¿*§A¿0,1,0,1,26,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3,1,1,1,0,0,TRUE,TRUE§Z¿,§A¿0,1,0,1,33,1,1,2,0,0,TRUE,TRUE§Z¿)&")"]]></VOFFF>
                              </ClmnBlkPtProps>
                            </ClmnBlkPt>
                          </ClmnBlkPts>
                        </ClmnBlk>
                        <ClmnBlk>
                          <ClmnBlkProps>
                            <FCPT>0</FCPT>
                            <FCN>23</FCN>
                            <LCPT>0</LCPT>
                            <LCN>23</LCN>
                          </ClmnBlkProps>
                          <ClmnBlkPts>
                            <ClmnBlkPt>
                              <ClmnBlkPtProps>
                                <CBPT>5</CBPT>
                                <ST>6</ST>
                                <SON>2</SON>
                                <VOFFF><![CDATA[="ECONOMIC COST ("&IF(§A¿1,1,1,1,5,0,2,1,1§Z¿=2,§A¿0,1,0,1,33,1,1,1,0,0,TRUE,TRUE§Z¿,§A¿0,1,0,1,33,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6,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6,7,6,-1,0,0,FALSE,FALSE§Z¿)]]></VOFFF>
                              </ClmnBlkPtProps>
                            </ClmnBlkPt>
                          </ClmnBlkPts>
                        </ClmnBlk>
                        <ClmnBlk>
                          <ClmnBlkProps>
                            <FCPT>0</FCPT>
                            <FCN>21</FCN>
                            <LCPT>0</LCPT>
                            <LCN>21</LCN>
                          </ClmnBlkProps>
                          <ClmnBlkPts>
                            <ClmnBlkPt>
                              <ClmnBlkPtProps>
                                <CBPT>5</CBPT>
                                <ST>18</ST>
                                <SON>6</SON>
                                <VOFFF><![CDATA[=IFERROR(IF(§A¿1,1,1,1,5,0,2,1,1§Z¿=2,§A¿0,1,0,1,29,2,1,-1,0,0,FALSE,TRUE§Z¿/§A¿0,1,0,1,33,2,1,2,0,0,TRUE,TRUE§Z¿,§A¿0,1,0,1,29,2,1,-1,0,0,FALSE,TRUE§Z¿*§A¿0,1,0,1,33,2,1,2,0,0,TRUE,TRUE§Z¿), 0)]]></VOFFF>
                              </ClmnBlkPtProps>
                            </ClmnBlkPt>
                          </ClmnBlkPts>
                        </ClmnBlk>
                        <ClmnBlk>
                          <ClmnBlkProps>
                            <FCPT>0</FCPT>
                            <FCN>23</FCN>
                            <LCPT>0</LCPT>
                            <LCN>23</LCN>
                          </ClmnBlkProps>
                          <ClmnBlkPts>
                            <ClmnBlkPt>
                              <ClmnBlkPtProps>
                                <CBPT>5</CBPT>
                                <ST>18</ST>
                                <SON>6</SON>
                                <VOFFF><![CDATA[=IFERROR(IF(§A¿1,1,1,1,5,0,2,1,1§Z¿=2,§A¿0,1,0,1,29,3,1,-1,0,0,FALSE,TRUE§Z¿/§A¿0,1,0,1,33,2,1,2,0,0,TRUE,TRUE§Z¿,§A¿0,1,0,1,29,3,1,-1,0,0,FALSE,TRUE§Z¿*§A¿0,1,0,1,33,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1,1,33,1,1</CBPLI>
                                    <ELN>1</ELN>
                                    <FFF><![CDATA[=§A¿10,FALSE,0,1,0,FALSE§Z¿]]></FFF>
                                  </LnkInFormProps>
                                </LnkInForm>
                              </LnkInForms>
                            </ClmnBlkPt>
                            <ClmnBlkPt>
                              <ClmnBlkPtProps>
                                <CBPT>1</CBPT>
                                <ST>6</ST>
                                <MC>True</MC>
                                <VOFFF><![CDATA[="Total "&§A¿0,1,0,1,33,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19</MN>
                                  <CLI>1,1,33,False,1</CLI>
                                  <ELN>1</ELN>
                                  <LOOT>0</LOOT>
                                  <LOMN>3</LOMN>
                                  <LOMCN>2</LOMCN>
                                  <LOSN>1</LOSN>
                                  <LOEN>4</LOEN>
                                  <LOCN>1</LOCN>
                                </LnkInProps>
                              </LnkIn>
                            </Ctg>
                            <Ctg>
                              <CtgProps>
                                <R>5</R>
                              </CtgProps>
                              <LnkIn>
                                <LnkInProps>
                                  <MN>19</MN>
                                  <CLI>1,1,33,False,2</CLI>
                                  <ELN>1</ELN>
                                  <LOOT>0</LOOT>
                                  <LOMN>3</LOMN>
                                  <LOMCN>2</LOMCN>
                                  <LOSN>1</LOSN>
                                  <LOEN>4</LOEN>
                                  <LOCN>2</LOCN>
                                </LnkInProps>
                              </LnkIn>
                            </Ctg>
                          </Ctgs>
                        </SubTtl>
                      </SubTtls>
                      <TtlCtg/>
                      <ElmtLnksIn>
                        <ElmtLnk>
                          <ElmtLnkProps>
                            <ELI>1,1,33</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4</ST>
                                <VOFFF><![CDATA[Resource Lists]]></VOFFF>
                              </ClmnBlkPtProps>
                            </ClmnBlkPt>
                          </ClmnBlkPts>
                        </ClmnBlk>
                      </ClmnBlk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1,1,38,1,1</CBPLI>
                                    <ELN>1</ELN>
                                    <FFF><![CDATA[=§A¿10,FALSE,0,1,0,FALSE§Z¿]]></FFF>
                                  </LnkInFormProps>
                                </LnkInForm>
                              </LnkInForms>
                            </ClmnBlkPt>
                            <ClmnBlkPt>
                              <ClmnBlkPtProps>
                                <CBPT>1</CBPT>
                                <ST>6</ST>
                                <VOFFF><![CDATA[="Total "&§A¿0,1,0,1,3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19</MN>
                                  <CLI>1,1,38,False,1</CLI>
                                  <ELN>1</ELN>
                                  <LOOT>0</LOOT>
                                  <LOMN>3</LOMN>
                                  <LOMCN>1</LOMCN>
                                  <LOSN>1</LOSN>
                                  <LOEN>10</LOEN>
                                  <LOCN>1</LOCN>
                                </LnkInProps>
                              </LnkIn>
                            </Ctg>
                            <Ctg>
                              <CtgProps>
                                <R>4</R>
                              </CtgProps>
                              <LnkIn>
                                <LnkInProps>
                                  <MN>19</MN>
                                  <CLI>1,1,38,False,2</CLI>
                                  <ELN>1</ELN>
                                  <LOOT>0</LOOT>
                                  <LOMN>3</LOMN>
                                  <LOMCN>1</LOMCN>
                                  <LOSN>1</LOSN>
                                  <LOEN>10</LOEN>
                                  <LOCN>2</LOCN>
                                </LnkInProps>
                              </LnkIn>
                            </Ctg>
                            <Ctg>
                              <CtgProps>
                                <R>4</R>
                              </CtgProps>
                              <LnkIn>
                                <LnkInProps>
                                  <MN>19</MN>
                                  <CLI>1,1,38,False,3</CLI>
                                  <ELN>1</ELN>
                                  <LOOT>0</LOOT>
                                  <LOMN>3</LOMN>
                                  <LOMCN>1</LOMCN>
                                  <LOSN>1</LOSN>
                                  <LOEN>10</LOEN>
                                  <LOCN>3</LOCN>
                                </LnkInProps>
                              </LnkIn>
                            </Ctg>
                            <Ctg>
                              <CtgProps>
                                <R>4</R>
                              </CtgProps>
                              <LnkIn>
                                <LnkInProps>
                                  <MN>19</MN>
                                  <CLI>1,1,38,False,4</CLI>
                                  <ELN>1</ELN>
                                  <LOOT>0</LOOT>
                                  <LOMN>3</LOMN>
                                  <LOMCN>1</LOMCN>
                                  <LOSN>1</LOSN>
                                  <LOEN>10</LOEN>
                                  <LOCN>4</LOCN>
                                </LnkInProps>
                              </LnkIn>
                            </Ctg>
                            <Ctg>
                              <CtgProps>
                                <R>4</R>
                              </CtgProps>
                              <LnkIn>
                                <LnkInProps>
                                  <MN>19</MN>
                                  <CLI>1,1,38,False,5</CLI>
                                  <ELN>1</ELN>
                                  <LOOT>0</LOOT>
                                  <LOMN>3</LOMN>
                                  <LOMCN>1</LOMCN>
                                  <LOSN>1</LOSN>
                                  <LOEN>10</LOEN>
                                  <LOCN>5</LOCN>
                                </LnkInProps>
                              </LnkIn>
                            </Ctg>
                            <Ctg>
                              <CtgProps>
                                <R>4</R>
                              </CtgProps>
                              <LnkIn>
                                <LnkInProps>
                                  <MN>19</MN>
                                  <CLI>1,1,38,False,6</CLI>
                                  <ELN>1</ELN>
                                  <LOOT>0</LOOT>
                                  <LOMN>3</LOMN>
                                  <LOMCN>1</LOMCN>
                                  <LOSN>1</LOSN>
                                  <LOEN>10</LOEN>
                                  <LOCN>6</LOCN>
                                </LnkInProps>
                              </LnkIn>
                            </Ctg>
                            <Ctg>
                              <CtgProps>
                                <R>4</R>
                              </CtgProps>
                              <LnkIn>
                                <LnkInProps>
                                  <MN>19</MN>
                                  <CLI>1,1,38,False,7</CLI>
                                  <ELN>1</ELN>
                                  <LOOT>0</LOOT>
                                  <LOMN>3</LOMN>
                                  <LOMCN>1</LOMCN>
                                  <LOSN>1</LOSN>
                                  <LOEN>10</LOEN>
                                  <LOCN>7</LOCN>
                                </LnkInProps>
                              </LnkIn>
                            </Ctg>
                            <Ctg>
                              <CtgProps>
                                <R>4</R>
                              </CtgProps>
                              <LnkIn>
                                <LnkInProps>
                                  <MN>19</MN>
                                  <CLI>1,1,38,False,8</CLI>
                                  <ELN>1</ELN>
                                  <LOOT>0</LOOT>
                                  <LOMN>3</LOMN>
                                  <LOMCN>1</LOMCN>
                                  <LOSN>1</LOSN>
                                  <LOEN>10</LOEN>
                                  <LOCN>8</LOCN>
                                </LnkInProps>
                              </LnkIn>
                            </Ctg>
                            <Ctg>
                              <CtgProps>
                                <R>4</R>
                              </CtgProps>
                              <LnkIn>
                                <LnkInProps>
                                  <MN>19</MN>
                                  <CLI>1,1,38,False,9</CLI>
                                  <ELN>1</ELN>
                                  <LOOT>0</LOOT>
                                  <LOMN>3</LOMN>
                                  <LOMCN>1</LOMCN>
                                  <LOSN>1</LOSN>
                                  <LOEN>10</LOEN>
                                  <LOCN>9</LOCN>
                                </LnkInProps>
                              </LnkIn>
                            </Ctg>
                            <Ctg>
                              <CtgProps>
                                <R>4</R>
                              </CtgProps>
                              <LnkIn>
                                <LnkInProps>
                                  <MN>19</MN>
                                  <CLI>1,1,38,False,10</CLI>
                                  <ELN>1</ELN>
                                  <LOOT>0</LOOT>
                                  <LOMN>3</LOMN>
                                  <LOMCN>1</LOMCN>
                                  <LOSN>1</LOSN>
                                  <LOEN>10</LOEN>
                                  <LOCN>10</LOCN>
                                </LnkInProps>
                              </LnkIn>
                            </Ctg>
                            <Ctg>
                              <CtgProps>
                                <R>4</R>
                              </CtgProps>
                              <LnkIn>
                                <LnkInProps>
                                  <MN>19</MN>
                                  <CLI>1,1,38,False,11</CLI>
                                  <ELN>1</ELN>
                                  <LOOT>0</LOOT>
                                  <LOMN>3</LOMN>
                                  <LOMCN>1</LOMCN>
                                  <LOSN>1</LOSN>
                                  <LOEN>10</LOEN>
                                  <LOCN>11</LOCN>
                                </LnkInProps>
                              </LnkIn>
                            </Ctg>
                            <Ctg>
                              <CtgProps>
                                <R>4</R>
                              </CtgProps>
                              <LnkIn>
                                <LnkInProps>
                                  <MN>19</MN>
                                  <CLI>1,1,38,False,12</CLI>
                                  <ELN>1</ELN>
                                  <LOOT>0</LOOT>
                                  <LOMN>3</LOMN>
                                  <LOMCN>1</LOMCN>
                                  <LOSN>1</LOSN>
                                  <LOEN>10</LOEN>
                                  <LOCN>12</LOCN>
                                </LnkInProps>
                              </LnkIn>
                            </Ctg>
                            <Ctg>
                              <CtgProps>
                                <R>4</R>
                              </CtgProps>
                              <LnkIn>
                                <LnkInProps>
                                  <MN>19</MN>
                                  <CLI>1,1,38,False,13</CLI>
                                  <ELN>1</ELN>
                                  <LOOT>0</LOOT>
                                  <LOMN>3</LOMN>
                                  <LOMCN>1</LOMCN>
                                  <LOSN>1</LOSN>
                                  <LOEN>10</LOEN>
                                  <LOCN>13</LOCN>
                                </LnkInProps>
                              </LnkIn>
                            </Ctg>
                            <Ctg>
                              <CtgProps>
                                <R>4</R>
                              </CtgProps>
                              <LnkIn>
                                <LnkInProps>
                                  <MN>19</MN>
                                  <CLI>1,1,38,False,14</CLI>
                                  <ELN>1</ELN>
                                  <LOOT>0</LOOT>
                                  <LOMN>3</LOMN>
                                  <LOMCN>1</LOMCN>
                                  <LOSN>1</LOSN>
                                  <LOEN>10</LOEN>
                                  <LOCN>14</LOCN>
                                </LnkInProps>
                              </LnkIn>
                            </Ctg>
                            <Ctg>
                              <CtgProps>
                                <R>5</R>
                              </CtgProps>
                              <LnkIn>
                                <LnkInProps>
                                  <MN>19</MN>
                                  <CLI>1,1,38,False,15</CLI>
                                  <ELN>1</ELN>
                                  <LOOT>0</LOOT>
                                  <LOMN>3</LOMN>
                                  <LOMCN>1</LOMCN>
                                  <LOSN>1</LOSN>
                                  <LOEN>10</LOEN>
                                  <LOCN>15</LOCN>
                                </LnkInProps>
                              </LnkIn>
                            </Ctg>
                            <Ctg>
                              <CtgProps>
                                <R>5</R>
                              </CtgProps>
                              <LnkIn>
                                <LnkInProps>
                                  <MN>19</MN>
                                  <CLI>1,1,38,False,16</CLI>
                                  <ELN>1</ELN>
                                  <LOOT>0</LOOT>
                                  <LOMN>3</LOMN>
                                  <LOMCN>1</LOMCN>
                                  <LOSN>1</LOSN>
                                  <LOEN>10</LOEN>
                                  <LOCN>16</LOCN>
                                </LnkInProps>
                              </LnkIn>
                            </Ctg>
                            <Ctg>
                              <CtgProps>
                                <R>5</R>
                              </CtgProps>
                              <LnkIn>
                                <LnkInProps>
                                  <MN>19</MN>
                                  <CLI>1,1,38,False,17</CLI>
                                  <ELN>1</ELN>
                                  <LOOT>0</LOOT>
                                  <LOMN>3</LOMN>
                                  <LOMCN>1</LOMCN>
                                  <LOSN>1</LOSN>
                                  <LOEN>10</LOEN>
                                  <LOCN>17</LOCN>
                                </LnkInProps>
                              </LnkIn>
                            </Ctg>
                            <Ctg>
                              <CtgProps>
                                <R>5</R>
                              </CtgProps>
                              <LnkIn>
                                <LnkInProps>
                                  <MN>19</MN>
                                  <CLI>1,1,38,False,18</CLI>
                                  <ELN>1</ELN>
                                  <LOOT>0</LOOT>
                                  <LOMN>3</LOMN>
                                  <LOMCN>1</LOMCN>
                                  <LOSN>1</LOSN>
                                  <LOEN>10</LOEN>
                                  <LOCN>18</LOCN>
                                </LnkInProps>
                              </LnkIn>
                            </Ctg>
                            <Ctg>
                              <CtgProps>
                                <R>5</R>
                              </CtgProps>
                              <LnkIn>
                                <LnkInProps>
                                  <MN>19</MN>
                                  <CLI>1,1,38,False,19</CLI>
                                  <ELN>1</ELN>
                                  <LOOT>0</LOOT>
                                  <LOMN>3</LOMN>
                                  <LOMCN>1</LOMCN>
                                  <LOSN>1</LOSN>
                                  <LOEN>10</LOEN>
                                  <LOCN>19</LOCN>
                                </LnkInProps>
                              </LnkIn>
                            </Ctg>
                            <Ctg>
                              <CtgProps>
                                <R>5</R>
                              </CtgProps>
                              <LnkIn>
                                <LnkInProps>
                                  <MN>19</MN>
                                  <CLI>1,1,38,False,20</CLI>
                                  <ELN>1</ELN>
                                  <LOOT>0</LOOT>
                                  <LOMN>3</LOMN>
                                  <LOMCN>1</LOMCN>
                                  <LOSN>1</LOSN>
                                  <LOEN>10</LOEN>
                                  <LOCN>20</LOCN>
                                </LnkInProps>
                              </LnkIn>
                            </Ctg>
                            <Ctg>
                              <CtgProps>
                                <R>5</R>
                              </CtgProps>
                              <LnkIn>
                                <LnkInProps>
                                  <MN>19</MN>
                                  <CLI>1,1,38,False,21</CLI>
                                  <ELN>1</ELN>
                                  <LOOT>0</LOOT>
                                  <LOMN>3</LOMN>
                                  <LOMCN>1</LOMCN>
                                  <LOSN>1</LOSN>
                                  <LOEN>10</LOEN>
                                  <LOCN>21</LOCN>
                                </LnkInProps>
                              </LnkIn>
                            </Ctg>
                            <Ctg>
                              <CtgProps>
                                <R>5</R>
                              </CtgProps>
                              <LnkIn>
                                <LnkInProps>
                                  <MN>19</MN>
                                  <CLI>1,1,38,False,22</CLI>
                                  <ELN>1</ELN>
                                  <LOOT>0</LOOT>
                                  <LOMN>3</LOMN>
                                  <LOMCN>1</LOMCN>
                                  <LOSN>1</LOSN>
                                  <LOEN>10</LOEN>
                                  <LOCN>22</LOCN>
                                </LnkInProps>
                              </LnkIn>
                            </Ctg>
                            <Ctg>
                              <CtgProps>
                                <R>5</R>
                              </CtgProps>
                              <LnkIn>
                                <LnkInProps>
                                  <MN>19</MN>
                                  <CLI>1,1,38,False,23</CLI>
                                  <ELN>1</ELN>
                                  <LOOT>0</LOOT>
                                  <LOMN>3</LOMN>
                                  <LOMCN>1</LOMCN>
                                  <LOSN>1</LOSN>
                                  <LOEN>10</LOEN>
                                  <LOCN>23</LOCN>
                                </LnkInProps>
                              </LnkIn>
                            </Ctg>
                            <Ctg>
                              <CtgProps>
                                <R>5</R>
                              </CtgProps>
                              <LnkIn>
                                <LnkInProps>
                                  <MN>19</MN>
                                  <CLI>1,1,38,False,24</CLI>
                                  <ELN>1</ELN>
                                  <LOOT>0</LOOT>
                                  <LOMN>3</LOMN>
                                  <LOMCN>1</LOMCN>
                                  <LOSN>1</LOSN>
                                  <LOEN>10</LOEN>
                                  <LOCN>24</LOCN>
                                </LnkInProps>
                              </LnkIn>
                            </Ctg>
                            <Ctg>
                              <CtgProps>
                                <R>5</R>
                              </CtgProps>
                              <LnkIn>
                                <LnkInProps>
                                  <MN>19</MN>
                                  <CLI>1,1,38,False,25</CLI>
                                  <ELN>1</ELN>
                                  <LOOT>0</LOOT>
                                  <LOMN>3</LOMN>
                                  <LOMCN>1</LOMCN>
                                  <LOSN>1</LOSN>
                                  <LOEN>10</LOEN>
                                  <LOCN>25</LOCN>
                                </LnkInProps>
                              </LnkIn>
                            </Ctg>
                            <Ctg>
                              <CtgProps>
                                <R>5</R>
                              </CtgProps>
                              <LnkIn>
                                <LnkInProps>
                                  <MN>19</MN>
                                  <CLI>1,1,38,False,26</CLI>
                                  <ELN>1</ELN>
                                  <LOOT>0</LOOT>
                                  <LOMN>3</LOMN>
                                  <LOMCN>1</LOMCN>
                                  <LOSN>1</LOSN>
                                  <LOEN>10</LOEN>
                                  <LOCN>26</LOCN>
                                </LnkInProps>
                              </LnkIn>
                            </Ctg>
                            <Ctg>
                              <CtgProps>
                                <R>5</R>
                              </CtgProps>
                              <LnkIn>
                                <LnkInProps>
                                  <MN>19</MN>
                                  <CLI>1,1,38,False,27</CLI>
                                  <ELN>1</ELN>
                                  <LOOT>0</LOOT>
                                  <LOMN>3</LOMN>
                                  <LOMCN>1</LOMCN>
                                  <LOSN>1</LOSN>
                                  <LOEN>10</LOEN>
                                  <LOCN>27</LOCN>
                                </LnkInProps>
                              </LnkIn>
                            </Ctg>
                            <Ctg>
                              <CtgProps>
                                <R>5</R>
                              </CtgProps>
                              <LnkIn>
                                <LnkInProps>
                                  <MN>19</MN>
                                  <CLI>1,1,38,False,28</CLI>
                                  <ELN>1</ELN>
                                  <LOOT>0</LOOT>
                                  <LOMN>3</LOMN>
                                  <LOMCN>1</LOMCN>
                                  <LOSN>1</LOSN>
                                  <LOEN>10</LOEN>
                                  <LOCN>28</LOCN>
                                </LnkInProps>
                              </LnkIn>
                            </Ctg>
                            <Ctg>
                              <CtgProps>
                                <R>5</R>
                              </CtgProps>
                              <LnkIn>
                                <LnkInProps>
                                  <MN>19</MN>
                                  <CLI>1,1,38,False,29</CLI>
                                  <ELN>1</ELN>
                                  <LOOT>0</LOOT>
                                  <LOMN>3</LOMN>
                                  <LOMCN>1</LOMCN>
                                  <LOSN>1</LOSN>
                                  <LOEN>10</LOEN>
                                  <LOCN>29</LOCN>
                                </LnkInProps>
                              </LnkIn>
                            </Ctg>
                            <Ctg>
                              <CtgProps>
                                <R>5</R>
                              </CtgProps>
                              <LnkIn>
                                <LnkInProps>
                                  <MN>19</MN>
                                  <CLI>1,1,38,False,30</CLI>
                                  <ELN>1</ELN>
                                  <LOOT>0</LOOT>
                                  <LOMN>3</LOMN>
                                  <LOMCN>1</LOMCN>
                                  <LOSN>1</LOSN>
                                  <LOEN>10</LOEN>
                                  <LOCN>30</LOCN>
                                </LnkInProps>
                              </LnkIn>
                            </Ctg>
                            <Ctg>
                              <CtgProps>
                                <R>5</R>
                              </CtgProps>
                              <LnkIn>
                                <LnkInProps>
                                  <MN>19</MN>
                                  <CLI>1,1,38,False,31</CLI>
                                  <ELN>1</ELN>
                                  <LOOT>0</LOOT>
                                  <LOMN>3</LOMN>
                                  <LOMCN>1</LOMCN>
                                  <LOSN>1</LOSN>
                                  <LOEN>10</LOEN>
                                  <LOCN>31</LOCN>
                                </LnkInProps>
                              </LnkIn>
                            </Ctg>
                            <Ctg>
                              <CtgProps>
                                <R>5</R>
                              </CtgProps>
                              <LnkIn>
                                <LnkInProps>
                                  <MN>19</MN>
                                  <CLI>1,1,38,False,32</CLI>
                                  <ELN>1</ELN>
                                  <LOOT>0</LOOT>
                                  <LOMN>3</LOMN>
                                  <LOMCN>1</LOMCN>
                                  <LOSN>1</LOSN>
                                  <LOEN>10</LOEN>
                                  <LOCN>32</LOCN>
                                </LnkInProps>
                              </LnkIn>
                            </Ctg>
                            <Ctg>
                              <CtgProps>
                                <R>5</R>
                              </CtgProps>
                              <LnkIn>
                                <LnkInProps>
                                  <MN>19</MN>
                                  <CLI>1,1,38,False,33</CLI>
                                  <ELN>1</ELN>
                                  <LOOT>0</LOOT>
                                  <LOMN>3</LOMN>
                                  <LOMCN>1</LOMCN>
                                  <LOSN>1</LOSN>
                                  <LOEN>10</LOEN>
                                  <LOCN>33</LOCN>
                                </LnkInProps>
                              </LnkIn>
                            </Ctg>
                            <Ctg>
                              <CtgProps>
                                <R>5</R>
                              </CtgProps>
                              <LnkIn>
                                <LnkInProps>
                                  <MN>19</MN>
                                  <CLI>1,1,38,False,34</CLI>
                                  <ELN>1</ELN>
                                  <LOOT>0</LOOT>
                                  <LOMN>3</LOMN>
                                  <LOMCN>1</LOMCN>
                                  <LOSN>1</LOSN>
                                  <LOEN>10</LOEN>
                                  <LOCN>34</LOCN>
                                </LnkInProps>
                              </LnkIn>
                            </Ctg>
                            <Ctg>
                              <CtgProps>
                                <R>5</R>
                              </CtgProps>
                              <LnkIn>
                                <LnkInProps>
                                  <MN>19</MN>
                                  <CLI>1,1,38,False,35</CLI>
                                  <ELN>1</ELN>
                                  <LOOT>0</LOOT>
                                  <LOMN>3</LOMN>
                                  <LOMCN>1</LOMCN>
                                  <LOSN>1</LOSN>
                                  <LOEN>10</LOEN>
                                  <LOCN>35</LOCN>
                                </LnkInProps>
                              </LnkIn>
                            </Ctg>
                          </Ctgs>
                        </SubTtl>
                      </SubTtls>
                      <TtlCtg/>
                      <ElmtLnksIn>
                        <ElmtLnk>
                          <ElmtLnkProps>
                            <ELI>1,1,38</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1,1,41,1,1</CBPLI>
                                    <ELN>1</ELN>
                                    <FFF><![CDATA[=§A¿10,FALSE,0,1,0,FALSE§Z¿]]></FFF>
                                  </LnkInFormProps>
                                </LnkInForm>
                              </LnkInForms>
                            </ClmnBlkPt>
                            <ClmnBlkPt>
                              <ClmnBlkPtProps>
                                <CBPT>1</CBPT>
                                <ST>6</ST>
                                <VOFFF><![CDATA[="Total "&§A¿0,1,0,1,4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19</MN>
                                  <CLI>1,1,41,False,1</CLI>
                                  <ELN>1</ELN>
                                  <LOOT>0</LOOT>
                                  <LOMN>3</LOMN>
                                  <LOMCN>1</LOMCN>
                                  <LOSN>1</LOSN>
                                  <LOEN>15</LOEN>
                                  <LOCN>1</LOCN>
                                </LnkInProps>
                              </LnkIn>
                            </Ctg>
                            <Ctg>
                              <CtgProps>
                                <R>4</R>
                              </CtgProps>
                              <LnkIn>
                                <LnkInProps>
                                  <MN>19</MN>
                                  <CLI>1,1,41,False,2</CLI>
                                  <ELN>1</ELN>
                                  <LOOT>0</LOOT>
                                  <LOMN>3</LOMN>
                                  <LOMCN>1</LOMCN>
                                  <LOSN>1</LOSN>
                                  <LOEN>15</LOEN>
                                  <LOCN>2</LOCN>
                                </LnkInProps>
                              </LnkIn>
                            </Ctg>
                            <Ctg>
                              <CtgProps>
                                <R>4</R>
                              </CtgProps>
                              <LnkIn>
                                <LnkInProps>
                                  <MN>19</MN>
                                  <CLI>1,1,41,False,3</CLI>
                                  <ELN>1</ELN>
                                  <LOOT>0</LOOT>
                                  <LOMN>3</LOMN>
                                  <LOMCN>1</LOMCN>
                                  <LOSN>1</LOSN>
                                  <LOEN>15</LOEN>
                                  <LOCN>3</LOCN>
                                </LnkInProps>
                              </LnkIn>
                            </Ctg>
                            <Ctg>
                              <CtgProps>
                                <R>4</R>
                              </CtgProps>
                              <LnkIn>
                                <LnkInProps>
                                  <MN>19</MN>
                                  <CLI>1,1,41,False,4</CLI>
                                  <ELN>1</ELN>
                                  <LOOT>0</LOOT>
                                  <LOMN>3</LOMN>
                                  <LOMCN>1</LOMCN>
                                  <LOSN>1</LOSN>
                                  <LOEN>15</LOEN>
                                  <LOCN>4</LOCN>
                                </LnkInProps>
                              </LnkIn>
                            </Ctg>
                            <Ctg>
                              <CtgProps>
                                <R>5</R>
                              </CtgProps>
                              <LnkIn>
                                <LnkInProps>
                                  <MN>19</MN>
                                  <CLI>1,1,41,False,5</CLI>
                                  <ELN>1</ELN>
                                  <LOOT>0</LOOT>
                                  <LOMN>3</LOMN>
                                  <LOMCN>1</LOMCN>
                                  <LOSN>1</LOSN>
                                  <LOEN>15</LOEN>
                                  <LOCN>5</LOCN>
                                </LnkInProps>
                              </LnkIn>
                            </Ctg>
                            <Ctg>
                              <CtgProps>
                                <R>5</R>
                              </CtgProps>
                              <LnkIn>
                                <LnkInProps>
                                  <MN>19</MN>
                                  <CLI>1,1,41,False,6</CLI>
                                  <ELN>1</ELN>
                                  <LOOT>0</LOOT>
                                  <LOMN>3</LOMN>
                                  <LOMCN>1</LOMCN>
                                  <LOSN>1</LOSN>
                                  <LOEN>15</LOEN>
                                  <LOCN>6</LOCN>
                                </LnkInProps>
                              </LnkIn>
                            </Ctg>
                            <Ctg>
                              <CtgProps>
                                <R>5</R>
                              </CtgProps>
                              <LnkIn>
                                <LnkInProps>
                                  <MN>19</MN>
                                  <CLI>1,1,41,False,7</CLI>
                                  <ELN>1</ELN>
                                  <LOOT>0</LOOT>
                                  <LOMN>3</LOMN>
                                  <LOMCN>1</LOMCN>
                                  <LOSN>1</LOSN>
                                  <LOEN>15</LOEN>
                                  <LOCN>7</LOCN>
                                </LnkInProps>
                              </LnkIn>
                            </Ctg>
                            <Ctg>
                              <CtgProps>
                                <R>5</R>
                              </CtgProps>
                              <LnkIn>
                                <LnkInProps>
                                  <MN>19</MN>
                                  <CLI>1,1,41,False,8</CLI>
                                  <ELN>1</ELN>
                                  <LOOT>0</LOOT>
                                  <LOMN>3</LOMN>
                                  <LOMCN>1</LOMCN>
                                  <LOSN>1</LOSN>
                                  <LOEN>15</LOEN>
                                  <LOCN>8</LOCN>
                                </LnkInProps>
                              </LnkIn>
                            </Ctg>
                            <Ctg>
                              <CtgProps>
                                <R>5</R>
                              </CtgProps>
                              <LnkIn>
                                <LnkInProps>
                                  <MN>19</MN>
                                  <CLI>1,1,41,False,9</CLI>
                                  <ELN>1</ELN>
                                  <LOOT>0</LOOT>
                                  <LOMN>3</LOMN>
                                  <LOMCN>1</LOMCN>
                                  <LOSN>1</LOSN>
                                  <LOEN>15</LOEN>
                                  <LOCN>9</LOCN>
                                </LnkInProps>
                              </LnkIn>
                            </Ctg>
                            <Ctg>
                              <CtgProps>
                                <R>5</R>
                              </CtgProps>
                              <LnkIn>
                                <LnkInProps>
                                  <MN>19</MN>
                                  <CLI>1,1,41,False,10</CLI>
                                  <ELN>1</ELN>
                                  <LOOT>0</LOOT>
                                  <LOMN>3</LOMN>
                                  <LOMCN>1</LOMCN>
                                  <LOSN>1</LOSN>
                                  <LOEN>15</LOEN>
                                  <LOCN>10</LOCN>
                                </LnkInProps>
                              </LnkIn>
                            </Ctg>
                            <Ctg>
                              <CtgProps>
                                <R>5</R>
                              </CtgProps>
                              <LnkIn>
                                <LnkInProps>
                                  <MN>19</MN>
                                  <CLI>1,1,41,False,11</CLI>
                                  <ELN>1</ELN>
                                  <LOOT>0</LOOT>
                                  <LOMN>3</LOMN>
                                  <LOMCN>1</LOMCN>
                                  <LOSN>1</LOSN>
                                  <LOEN>15</LOEN>
                                  <LOCN>11</LOCN>
                                </LnkInProps>
                              </LnkIn>
                            </Ctg>
                            <Ctg>
                              <CtgProps>
                                <R>5</R>
                              </CtgProps>
                              <LnkIn>
                                <LnkInProps>
                                  <MN>19</MN>
                                  <CLI>1,1,41,False,12</CLI>
                                  <ELN>1</ELN>
                                  <LOOT>0</LOOT>
                                  <LOMN>3</LOMN>
                                  <LOMCN>1</LOMCN>
                                  <LOSN>1</LOSN>
                                  <LOEN>15</LOEN>
                                  <LOCN>12</LOCN>
                                </LnkInProps>
                              </LnkIn>
                            </Ctg>
                            <Ctg>
                              <CtgProps>
                                <R>5</R>
                              </CtgProps>
                              <LnkIn>
                                <LnkInProps>
                                  <MN>19</MN>
                                  <CLI>1,1,41,False,13</CLI>
                                  <ELN>1</ELN>
                                  <LOOT>0</LOOT>
                                  <LOMN>3</LOMN>
                                  <LOMCN>1</LOMCN>
                                  <LOSN>1</LOSN>
                                  <LOEN>15</LOEN>
                                  <LOCN>13</LOCN>
                                </LnkInProps>
                              </LnkIn>
                            </Ctg>
                            <Ctg>
                              <CtgProps>
                                <R>5</R>
                              </CtgProps>
                              <LnkIn>
                                <LnkInProps>
                                  <MN>19</MN>
                                  <CLI>1,1,41,False,14</CLI>
                                  <ELN>1</ELN>
                                  <LOOT>0</LOOT>
                                  <LOMN>3</LOMN>
                                  <LOMCN>1</LOMCN>
                                  <LOSN>1</LOSN>
                                  <LOEN>15</LOEN>
                                  <LOCN>14</LOCN>
                                </LnkInProps>
                              </LnkIn>
                            </Ctg>
                            <Ctg>
                              <CtgProps>
                                <R>5</R>
                              </CtgProps>
                              <LnkIn>
                                <LnkInProps>
                                  <MN>19</MN>
                                  <CLI>1,1,41,False,15</CLI>
                                  <ELN>1</ELN>
                                  <LOOT>0</LOOT>
                                  <LOMN>3</LOMN>
                                  <LOMCN>1</LOMCN>
                                  <LOSN>1</LOSN>
                                  <LOEN>15</LOEN>
                                  <LOCN>15</LOCN>
                                </LnkInProps>
                              </LnkIn>
                            </Ctg>
                            <Ctg>
                              <CtgProps>
                                <R>5</R>
                              </CtgProps>
                              <LnkIn>
                                <LnkInProps>
                                  <MN>19</MN>
                                  <CLI>1,1,41,False,16</CLI>
                                  <ELN>1</ELN>
                                  <LOOT>0</LOOT>
                                  <LOMN>3</LOMN>
                                  <LOMCN>1</LOMCN>
                                  <LOSN>1</LOSN>
                                  <LOEN>15</LOEN>
                                  <LOCN>16</LOCN>
                                </LnkInProps>
                              </LnkIn>
                            </Ctg>
                            <Ctg>
                              <CtgProps>
                                <R>4</R>
                              </CtgProps>
                              <LnkIn>
                                <LnkInProps>
                                  <MN>19</MN>
                                  <CLI>1,1,41,False,17</CLI>
                                  <ELN>1</ELN>
                                  <LOOT>0</LOOT>
                                  <LOMN>3</LOMN>
                                  <LOMCN>1</LOMCN>
                                  <LOSN>1</LOSN>
                                  <LOEN>15</LOEN>
                                  <LOCN>17</LOCN>
                                </LnkInProps>
                              </LnkIn>
                            </Ctg>
                            <Ctg>
                              <CtgProps>
                                <R>4</R>
                              </CtgProps>
                              <LnkIn>
                                <LnkInProps>
                                  <MN>19</MN>
                                  <CLI>1,1,41,False,18</CLI>
                                  <ELN>1</ELN>
                                  <LOOT>0</LOOT>
                                  <LOMN>3</LOMN>
                                  <LOMCN>1</LOMCN>
                                  <LOSN>1</LOSN>
                                  <LOEN>15</LOEN>
                                  <LOCN>18</LOCN>
                                </LnkInProps>
                              </LnkIn>
                            </Ctg>
                            <Ctg>
                              <CtgProps>
                                <R>4</R>
                              </CtgProps>
                              <LnkIn>
                                <LnkInProps>
                                  <MN>19</MN>
                                  <CLI>1,1,41,False,19</CLI>
                                  <ELN>1</ELN>
                                  <LOOT>0</LOOT>
                                  <LOMN>3</LOMN>
                                  <LOMCN>1</LOMCN>
                                  <LOSN>1</LOSN>
                                  <LOEN>15</LOEN>
                                  <LOCN>19</LOCN>
                                </LnkInProps>
                              </LnkIn>
                            </Ctg>
                            <Ctg>
                              <CtgProps>
                                <R>4</R>
                              </CtgProps>
                              <LnkIn>
                                <LnkInProps>
                                  <MN>19</MN>
                                  <CLI>1,1,41,False,20</CLI>
                                  <ELN>1</ELN>
                                  <LOOT>0</LOOT>
                                  <LOMN>3</LOMN>
                                  <LOMCN>1</LOMCN>
                                  <LOSN>1</LOSN>
                                  <LOEN>15</LOEN>
                                  <LOCN>20</LOCN>
                                </LnkInProps>
                              </LnkIn>
                            </Ctg>
                            <Ctg>
                              <CtgProps>
                                <R>4</R>
                              </CtgProps>
                              <LnkIn>
                                <LnkInProps>
                                  <MN>19</MN>
                                  <CLI>1,1,41,False,21</CLI>
                                  <ELN>1</ELN>
                                  <LOOT>0</LOOT>
                                  <LOMN>3</LOMN>
                                  <LOMCN>1</LOMCN>
                                  <LOSN>1</LOSN>
                                  <LOEN>15</LOEN>
                                  <LOCN>21</LOCN>
                                </LnkInProps>
                              </LnkIn>
                            </Ctg>
                            <Ctg>
                              <CtgProps>
                                <R>4</R>
                              </CtgProps>
                              <LnkIn>
                                <LnkInProps>
                                  <MN>19</MN>
                                  <CLI>1,1,41,False,22</CLI>
                                  <ELN>1</ELN>
                                  <LOOT>0</LOOT>
                                  <LOMN>3</LOMN>
                                  <LOMCN>1</LOMCN>
                                  <LOSN>1</LOSN>
                                  <LOEN>15</LOEN>
                                  <LOCN>22</LOCN>
                                </LnkInProps>
                              </LnkIn>
                            </Ctg>
                            <Ctg>
                              <CtgProps>
                                <R>5</R>
                              </CtgProps>
                              <LnkIn>
                                <LnkInProps>
                                  <MN>19</MN>
                                  <CLI>1,1,41,False,23</CLI>
                                  <ELN>1</ELN>
                                  <LOOT>0</LOOT>
                                  <LOMN>3</LOMN>
                                  <LOMCN>1</LOMCN>
                                  <LOSN>1</LOSN>
                                  <LOEN>15</LOEN>
                                  <LOCN>23</LOCN>
                                </LnkInProps>
                              </LnkIn>
                            </Ctg>
                            <Ctg>
                              <CtgProps>
                                <R>5</R>
                              </CtgProps>
                              <LnkIn>
                                <LnkInProps>
                                  <MN>19</MN>
                                  <CLI>1,1,41,False,24</CLI>
                                  <ELN>1</ELN>
                                  <LOOT>0</LOOT>
                                  <LOMN>3</LOMN>
                                  <LOMCN>1</LOMCN>
                                  <LOSN>1</LOSN>
                                  <LOEN>15</LOEN>
                                  <LOCN>24</LOCN>
                                </LnkInProps>
                              </LnkIn>
                            </Ctg>
                            <Ctg>
                              <CtgProps>
                                <R>5</R>
                              </CtgProps>
                              <LnkIn>
                                <LnkInProps>
                                  <MN>19</MN>
                                  <CLI>1,1,41,False,25</CLI>
                                  <ELN>1</ELN>
                                  <LOOT>0</LOOT>
                                  <LOMN>3</LOMN>
                                  <LOMCN>1</LOMCN>
                                  <LOSN>1</LOSN>
                                  <LOEN>15</LOEN>
                                  <LOCN>25</LOCN>
                                </LnkInProps>
                              </LnkIn>
                            </Ctg>
                            <Ctg>
                              <CtgProps>
                                <R>5</R>
                              </CtgProps>
                              <LnkIn>
                                <LnkInProps>
                                  <MN>19</MN>
                                  <CLI>1,1,41,False,26</CLI>
                                  <ELN>1</ELN>
                                  <LOOT>0</LOOT>
                                  <LOMN>3</LOMN>
                                  <LOMCN>1</LOMCN>
                                  <LOSN>1</LOSN>
                                  <LOEN>15</LOEN>
                                  <LOCN>26</LOCN>
                                </LnkInProps>
                              </LnkIn>
                            </Ctg>
                            <Ctg>
                              <CtgProps>
                                <R>5</R>
                              </CtgProps>
                              <LnkIn>
                                <LnkInProps>
                                  <MN>19</MN>
                                  <CLI>1,1,41,False,27</CLI>
                                  <ELN>1</ELN>
                                  <LOOT>0</LOOT>
                                  <LOMN>3</LOMN>
                                  <LOMCN>1</LOMCN>
                                  <LOSN>1</LOSN>
                                  <LOEN>15</LOEN>
                                  <LOCN>27</LOCN>
                                </LnkInProps>
                              </LnkIn>
                            </Ctg>
                            <Ctg>
                              <CtgProps>
                                <R>5</R>
                              </CtgProps>
                              <LnkIn>
                                <LnkInProps>
                                  <MN>19</MN>
                                  <CLI>1,1,41,False,28</CLI>
                                  <ELN>1</ELN>
                                  <LOOT>0</LOOT>
                                  <LOMN>3</LOMN>
                                  <LOMCN>1</LOMCN>
                                  <LOSN>1</LOSN>
                                  <LOEN>15</LOEN>
                                  <LOCN>28</LOCN>
                                </LnkInProps>
                              </LnkIn>
                            </Ctg>
                            <Ctg>
                              <CtgProps>
                                <R>5</R>
                              </CtgProps>
                              <LnkIn>
                                <LnkInProps>
                                  <MN>19</MN>
                                  <CLI>1,1,41,False,29</CLI>
                                  <ELN>1</ELN>
                                  <LOOT>0</LOOT>
                                  <LOMN>3</LOMN>
                                  <LOMCN>1</LOMCN>
                                  <LOSN>1</LOSN>
                                  <LOEN>15</LOEN>
                                  <LOCN>29</LOCN>
                                </LnkInProps>
                              </LnkIn>
                            </Ctg>
                            <Ctg>
                              <CtgProps>
                                <R>5</R>
                              </CtgProps>
                              <LnkIn>
                                <LnkInProps>
                                  <MN>19</MN>
                                  <CLI>1,1,41,False,30</CLI>
                                  <ELN>1</ELN>
                                  <LOOT>0</LOOT>
                                  <LOMN>3</LOMN>
                                  <LOMCN>1</LOMCN>
                                  <LOSN>1</LOSN>
                                  <LOEN>15</LOEN>
                                  <LOCN>30</LOCN>
                                </LnkInProps>
                              </LnkIn>
                            </Ctg>
                            <Ctg>
                              <CtgProps>
                                <R>4</R>
                              </CtgProps>
                              <LnkIn>
                                <LnkInProps>
                                  <MN>19</MN>
                                  <CLI>1,1,41,False,31</CLI>
                                  <ELN>1</ELN>
                                  <LOOT>0</LOOT>
                                  <LOMN>3</LOMN>
                                  <LOMCN>1</LOMCN>
                                  <LOSN>1</LOSN>
                                  <LOEN>15</LOEN>
                                  <LOCN>31</LOCN>
                                </LnkInProps>
                              </LnkIn>
                            </Ctg>
                            <Ctg>
                              <CtgProps>
                                <R>4</R>
                              </CtgProps>
                              <LnkIn>
                                <LnkInProps>
                                  <MN>19</MN>
                                  <CLI>1,1,41,False,32</CLI>
                                  <ELN>1</ELN>
                                  <LOOT>0</LOOT>
                                  <LOMN>3</LOMN>
                                  <LOMCN>1</LOMCN>
                                  <LOSN>1</LOSN>
                                  <LOEN>15</LOEN>
                                  <LOCN>32</LOCN>
                                </LnkInProps>
                              </LnkIn>
                            </Ctg>
                            <Ctg>
                              <CtgProps>
                                <R>4</R>
                              </CtgProps>
                              <LnkIn>
                                <LnkInProps>
                                  <MN>19</MN>
                                  <CLI>1,1,41,False,33</CLI>
                                  <ELN>1</ELN>
                                  <LOOT>0</LOOT>
                                  <LOMN>3</LOMN>
                                  <LOMCN>1</LOMCN>
                                  <LOSN>1</LOSN>
                                  <LOEN>15</LOEN>
                                  <LOCN>33</LOCN>
                                </LnkInProps>
                              </LnkIn>
                            </Ctg>
                            <Ctg>
                              <CtgProps>
                                <R>4</R>
                              </CtgProps>
                              <LnkIn>
                                <LnkInProps>
                                  <MN>19</MN>
                                  <CLI>1,1,41,False,34</CLI>
                                  <ELN>1</ELN>
                                  <LOOT>0</LOOT>
                                  <LOMN>3</LOMN>
                                  <LOMCN>1</LOMCN>
                                  <LOSN>1</LOSN>
                                  <LOEN>15</LOEN>
                                  <LOCN>34</LOCN>
                                </LnkInProps>
                              </LnkIn>
                            </Ctg>
                            <Ctg>
                              <CtgProps>
                                <R>4</R>
                              </CtgProps>
                              <LnkIn>
                                <LnkInProps>
                                  <MN>19</MN>
                                  <CLI>1,1,41,False,35</CLI>
                                  <ELN>1</ELN>
                                  <LOOT>0</LOOT>
                                  <LOMN>3</LOMN>
                                  <LOMCN>1</LOMCN>
                                  <LOSN>1</LOSN>
                                  <LOEN>15</LOEN>
                                  <LOCN>35</LOCN>
                                </LnkInProps>
                              </LnkIn>
                            </Ctg>
                          </Ctgs>
                        </SubTtl>
                      </SubTtls>
                      <TtlCtg/>
                      <ElmtLnksIn>
                        <ElmtLnk>
                          <ElmtLnkProps>
                            <ELI>1,1,41</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1,1,45,1,1</CBPLI>
                                    <ELN>1</ELN>
                                    <FFF><![CDATA[=§A¿10,FALSE,0,1,0,FALSE§Z¿]]></FFF>
                                  </LnkInFormProps>
                                </LnkInForm>
                              </LnkInForms>
                            </ClmnBlkPt>
                            <ClmnBlkPt>
                              <ClmnBlkPtProps>
                                <CBPT>1</CBPT>
                                <ST>6</ST>
                                <VOFFF><![CDATA[="Total "&§A¿0,1,0,1,45,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1,1,45,3,1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1,1,45,4,1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1,1,45,5,1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19</MN>
                                  <CLI>1,1,45,False,1</CLI>
                                  <ELN>1</ELN>
                                  <LOOT>0</LOOT>
                                  <LOMN>3</LOMN>
                                  <LOMCN>1</LOMCN>
                                  <LOSN>1</LOSN>
                                  <LOEN>19</LOEN>
                                  <LOCN>1</LOCN>
                                </LnkInProps>
                              </LnkIn>
                            </Ctg>
                            <Ctg>
                              <CtgProps>
                                <R>4</R>
                              </CtgProps>
                              <LnkIn>
                                <LnkInProps>
                                  <MN>19</MN>
                                  <CLI>1,1,45,False,2</CLI>
                                  <ELN>1</ELN>
                                  <LOOT>0</LOOT>
                                  <LOMN>3</LOMN>
                                  <LOMCN>1</LOMCN>
                                  <LOSN>1</LOSN>
                                  <LOEN>19</LOEN>
                                  <LOCN>2</LOCN>
                                </LnkInProps>
                              </LnkIn>
                            </Ctg>
                            <Ctg>
                              <CtgProps>
                                <R>4</R>
                              </CtgProps>
                              <LnkIn>
                                <LnkInProps>
                                  <MN>19</MN>
                                  <CLI>1,1,45,False,3</CLI>
                                  <ELN>1</ELN>
                                  <LOOT>0</LOOT>
                                  <LOMN>3</LOMN>
                                  <LOMCN>1</LOMCN>
                                  <LOSN>1</LOSN>
                                  <LOEN>19</LOEN>
                                  <LOCN>3</LOCN>
                                </LnkInProps>
                              </LnkIn>
                            </Ctg>
                            <Ctg>
                              <CtgProps>
                                <R>4</R>
                              </CtgProps>
                              <LnkIn>
                                <LnkInProps>
                                  <MN>19</MN>
                                  <CLI>1,1,45,False,4</CLI>
                                  <ELN>1</ELN>
                                  <LOOT>0</LOOT>
                                  <LOMN>3</LOMN>
                                  <LOMCN>1</LOMCN>
                                  <LOSN>1</LOSN>
                                  <LOEN>19</LOEN>
                                  <LOCN>4</LOCN>
                                </LnkInProps>
                              </LnkIn>
                            </Ctg>
                            <Ctg>
                              <CtgProps>
                                <R>4</R>
                              </CtgProps>
                              <LnkIn>
                                <LnkInProps>
                                  <MN>19</MN>
                                  <CLI>1,1,45,False,5</CLI>
                                  <ELN>1</ELN>
                                  <LOOT>0</LOOT>
                                  <LOMN>3</LOMN>
                                  <LOMCN>1</LOMCN>
                                  <LOSN>1</LOSN>
                                  <LOEN>19</LOEN>
                                  <LOCN>5</LOCN>
                                </LnkInProps>
                              </LnkIn>
                            </Ctg>
                            <Ctg>
                              <CtgProps>
                                <R>4</R>
                              </CtgProps>
                              <LnkIn>
                                <LnkInProps>
                                  <MN>19</MN>
                                  <CLI>1,1,45,False,6</CLI>
                                  <ELN>1</ELN>
                                  <LOOT>0</LOOT>
                                  <LOMN>3</LOMN>
                                  <LOMCN>1</LOMCN>
                                  <LOSN>1</LOSN>
                                  <LOEN>19</LOEN>
                                  <LOCN>6</LOCN>
                                </LnkInProps>
                              </LnkIn>
                            </Ctg>
                            <Ctg>
                              <CtgProps>
                                <R>4</R>
                              </CtgProps>
                              <LnkIn>
                                <LnkInProps>
                                  <MN>19</MN>
                                  <CLI>1,1,45,False,7</CLI>
                                  <ELN>1</ELN>
                                  <LOOT>0</LOOT>
                                  <LOMN>3</LOMN>
                                  <LOMCN>1</LOMCN>
                                  <LOSN>1</LOSN>
                                  <LOEN>19</LOEN>
                                  <LOCN>7</LOCN>
                                </LnkInProps>
                              </LnkIn>
                            </Ctg>
                            <Ctg>
                              <CtgProps>
                                <R>4</R>
                              </CtgProps>
                              <LnkIn>
                                <LnkInProps>
                                  <MN>19</MN>
                                  <CLI>1,1,45,False,8</CLI>
                                  <ELN>1</ELN>
                                  <LOOT>0</LOOT>
                                  <LOMN>3</LOMN>
                                  <LOMCN>1</LOMCN>
                                  <LOSN>1</LOSN>
                                  <LOEN>19</LOEN>
                                  <LOCN>8</LOCN>
                                </LnkInProps>
                              </LnkIn>
                            </Ctg>
                            <Ctg>
                              <CtgProps>
                                <R>4</R>
                              </CtgProps>
                              <LnkIn>
                                <LnkInProps>
                                  <MN>19</MN>
                                  <CLI>1,1,45,False,9</CLI>
                                  <ELN>1</ELN>
                                  <LOOT>0</LOOT>
                                  <LOMN>3</LOMN>
                                  <LOMCN>1</LOMCN>
                                  <LOSN>1</LOSN>
                                  <LOEN>19</LOEN>
                                  <LOCN>9</LOCN>
                                </LnkInProps>
                              </LnkIn>
                            </Ctg>
                            <Ctg>
                              <CtgProps>
                                <R>4</R>
                              </CtgProps>
                              <LnkIn>
                                <LnkInProps>
                                  <MN>19</MN>
                                  <CLI>1,1,45,False,10</CLI>
                                  <ELN>1</ELN>
                                  <LOOT>0</LOOT>
                                  <LOMN>3</LOMN>
                                  <LOMCN>1</LOMCN>
                                  <LOSN>1</LOSN>
                                  <LOEN>19</LOEN>
                                  <LOCN>10</LOCN>
                                </LnkInProps>
                              </LnkIn>
                            </Ctg>
                            <Ctg>
                              <CtgProps>
                                <R>4</R>
                              </CtgProps>
                              <LnkIn>
                                <LnkInProps>
                                  <MN>19</MN>
                                  <CLI>1,1,45,False,11</CLI>
                                  <ELN>1</ELN>
                                  <LOOT>0</LOOT>
                                  <LOMN>3</LOMN>
                                  <LOMCN>1</LOMCN>
                                  <LOSN>1</LOSN>
                                  <LOEN>19</LOEN>
                                  <LOCN>11</LOCN>
                                </LnkInProps>
                              </LnkIn>
                            </Ctg>
                            <Ctg>
                              <CtgProps>
                                <R>4</R>
                              </CtgProps>
                              <LnkIn>
                                <LnkInProps>
                                  <MN>19</MN>
                                  <CLI>1,1,45,False,12</CLI>
                                  <ELN>1</ELN>
                                  <LOOT>0</LOOT>
                                  <LOMN>3</LOMN>
                                  <LOMCN>1</LOMCN>
                                  <LOSN>1</LOSN>
                                  <LOEN>19</LOEN>
                                  <LOCN>12</LOCN>
                                </LnkInProps>
                              </LnkIn>
                            </Ctg>
                            <Ctg>
                              <CtgProps>
                                <R>4</R>
                              </CtgProps>
                              <LnkIn>
                                <LnkInProps>
                                  <MN>19</MN>
                                  <CLI>1,1,45,False,13</CLI>
                                  <ELN>1</ELN>
                                  <LOOT>0</LOOT>
                                  <LOMN>3</LOMN>
                                  <LOMCN>1</LOMCN>
                                  <LOSN>1</LOSN>
                                  <LOEN>19</LOEN>
                                  <LOCN>13</LOCN>
                                </LnkInProps>
                              </LnkIn>
                            </Ctg>
                            <Ctg>
                              <CtgProps>
                                <R>4</R>
                              </CtgProps>
                              <LnkIn>
                                <LnkInProps>
                                  <MN>19</MN>
                                  <CLI>1,1,45,False,14</CLI>
                                  <ELN>1</ELN>
                                  <LOOT>0</LOOT>
                                  <LOMN>3</LOMN>
                                  <LOMCN>1</LOMCN>
                                  <LOSN>1</LOSN>
                                  <LOEN>19</LOEN>
                                  <LOCN>14</LOCN>
                                </LnkInProps>
                              </LnkIn>
                            </Ctg>
                            <Ctg>
                              <CtgProps>
                                <R>4</R>
                              </CtgProps>
                              <LnkIn>
                                <LnkInProps>
                                  <MN>19</MN>
                                  <CLI>1,1,45,False,15</CLI>
                                  <ELN>1</ELN>
                                  <LOOT>0</LOOT>
                                  <LOMN>3</LOMN>
                                  <LOMCN>1</LOMCN>
                                  <LOSN>1</LOSN>
                                  <LOEN>19</LOEN>
                                  <LOCN>15</LOCN>
                                </LnkInProps>
                              </LnkIn>
                            </Ctg>
                            <Ctg>
                              <CtgProps>
                                <R>5</R>
                              </CtgProps>
                              <LnkIn>
                                <LnkInProps>
                                  <MN>19</MN>
                                  <CLI>1,1,45,False,16</CLI>
                                  <ELN>1</ELN>
                                  <LOOT>0</LOOT>
                                  <LOMN>3</LOMN>
                                  <LOMCN>1</LOMCN>
                                  <LOSN>1</LOSN>
                                  <LOEN>19</LOEN>
                                  <LOCN>16</LOCN>
                                </LnkInProps>
                              </LnkIn>
                            </Ctg>
                            <Ctg>
                              <CtgProps>
                                <R>5</R>
                              </CtgProps>
                              <LnkIn>
                                <LnkInProps>
                                  <MN>19</MN>
                                  <CLI>1,1,45,False,17</CLI>
                                  <ELN>1</ELN>
                                  <LOOT>0</LOOT>
                                  <LOMN>3</LOMN>
                                  <LOMCN>1</LOMCN>
                                  <LOSN>1</LOSN>
                                  <LOEN>19</LOEN>
                                  <LOCN>17</LOCN>
                                </LnkInProps>
                              </LnkIn>
                            </Ctg>
                            <Ctg>
                              <CtgProps>
                                <R>5</R>
                              </CtgProps>
                              <LnkIn>
                                <LnkInProps>
                                  <MN>19</MN>
                                  <CLI>1,1,45,False,18</CLI>
                                  <ELN>1</ELN>
                                  <LOOT>0</LOOT>
                                  <LOMN>3</LOMN>
                                  <LOMCN>1</LOMCN>
                                  <LOSN>1</LOSN>
                                  <LOEN>19</LOEN>
                                  <LOCN>18</LOCN>
                                </LnkInProps>
                              </LnkIn>
                            </Ctg>
                            <Ctg>
                              <CtgProps>
                                <R>5</R>
                              </CtgProps>
                              <LnkIn>
                                <LnkInProps>
                                  <MN>19</MN>
                                  <CLI>1,1,45,False,19</CLI>
                                  <ELN>1</ELN>
                                  <LOOT>0</LOOT>
                                  <LOMN>3</LOMN>
                                  <LOMCN>1</LOMCN>
                                  <LOSN>1</LOSN>
                                  <LOEN>19</LOEN>
                                  <LOCN>19</LOCN>
                                </LnkInProps>
                              </LnkIn>
                            </Ctg>
                            <Ctg>
                              <CtgProps>
                                <R>5</R>
                              </CtgProps>
                              <LnkIn>
                                <LnkInProps>
                                  <MN>19</MN>
                                  <CLI>1,1,45,False,20</CLI>
                                  <ELN>1</ELN>
                                  <LOOT>0</LOOT>
                                  <LOMN>3</LOMN>
                                  <LOMCN>1</LOMCN>
                                  <LOSN>1</LOSN>
                                  <LOEN>19</LOEN>
                                  <LOCN>20</LOCN>
                                </LnkInProps>
                              </LnkIn>
                            </Ctg>
                            <Ctg>
                              <CtgProps>
                                <R>5</R>
                              </CtgProps>
                              <LnkIn>
                                <LnkInProps>
                                  <MN>19</MN>
                                  <CLI>1,1,45,False,21</CLI>
                                  <ELN>1</ELN>
                                  <LOOT>0</LOOT>
                                  <LOMN>3</LOMN>
                                  <LOMCN>1</LOMCN>
                                  <LOSN>1</LOSN>
                                  <LOEN>19</LOEN>
                                  <LOCN>21</LOCN>
                                </LnkInProps>
                              </LnkIn>
                            </Ctg>
                            <Ctg>
                              <CtgProps>
                                <R>5</R>
                              </CtgProps>
                              <LnkIn>
                                <LnkInProps>
                                  <MN>19</MN>
                                  <CLI>1,1,45,False,22</CLI>
                                  <ELN>1</ELN>
                                  <LOOT>0</LOOT>
                                  <LOMN>3</LOMN>
                                  <LOMCN>1</LOMCN>
                                  <LOSN>1</LOSN>
                                  <LOEN>19</LOEN>
                                  <LOCN>22</LOCN>
                                </LnkInProps>
                              </LnkIn>
                            </Ctg>
                            <Ctg>
                              <CtgProps>
                                <R>5</R>
                              </CtgProps>
                              <LnkIn>
                                <LnkInProps>
                                  <MN>19</MN>
                                  <CLI>1,1,45,False,23</CLI>
                                  <ELN>1</ELN>
                                  <LOOT>0</LOOT>
                                  <LOMN>3</LOMN>
                                  <LOMCN>1</LOMCN>
                                  <LOSN>1</LOSN>
                                  <LOEN>19</LOEN>
                                  <LOCN>23</LOCN>
                                </LnkInProps>
                              </LnkIn>
                            </Ctg>
                            <Ctg>
                              <CtgProps>
                                <R>5</R>
                              </CtgProps>
                              <LnkIn>
                                <LnkInProps>
                                  <MN>19</MN>
                                  <CLI>1,1,45,False,24</CLI>
                                  <ELN>1</ELN>
                                  <LOOT>0</LOOT>
                                  <LOMN>3</LOMN>
                                  <LOMCN>1</LOMCN>
                                  <LOSN>1</LOSN>
                                  <LOEN>19</LOEN>
                                  <LOCN>24</LOCN>
                                </LnkInProps>
                              </LnkIn>
                            </Ctg>
                            <Ctg>
                              <CtgProps>
                                <R>5</R>
                              </CtgProps>
                              <LnkIn>
                                <LnkInProps>
                                  <MN>19</MN>
                                  <CLI>1,1,45,False,25</CLI>
                                  <ELN>1</ELN>
                                  <LOOT>0</LOOT>
                                  <LOMN>3</LOMN>
                                  <LOMCN>1</LOMCN>
                                  <LOSN>1</LOSN>
                                  <LOEN>19</LOEN>
                                  <LOCN>25</LOCN>
                                </LnkInProps>
                              </LnkIn>
                            </Ctg>
                            <Ctg>
                              <CtgProps>
                                <R>5</R>
                              </CtgProps>
                              <LnkIn>
                                <LnkInProps>
                                  <MN>19</MN>
                                  <CLI>1,1,45,False,26</CLI>
                                  <ELN>1</ELN>
                                  <LOOT>0</LOOT>
                                  <LOMN>3</LOMN>
                                  <LOMCN>1</LOMCN>
                                  <LOSN>1</LOSN>
                                  <LOEN>19</LOEN>
                                  <LOCN>26</LOCN>
                                </LnkInProps>
                              </LnkIn>
                            </Ctg>
                            <Ctg>
                              <CtgProps>
                                <R>5</R>
                              </CtgProps>
                              <LnkIn>
                                <LnkInProps>
                                  <MN>19</MN>
                                  <CLI>1,1,45,False,27</CLI>
                                  <ELN>1</ELN>
                                  <LOOT>0</LOOT>
                                  <LOMN>3</LOMN>
                                  <LOMCN>1</LOMCN>
                                  <LOSN>1</LOSN>
                                  <LOEN>19</LOEN>
                                  <LOCN>27</LOCN>
                                </LnkInProps>
                              </LnkIn>
                            </Ctg>
                            <Ctg>
                              <CtgProps>
                                <R>5</R>
                              </CtgProps>
                              <LnkIn>
                                <LnkInProps>
                                  <MN>19</MN>
                                  <CLI>1,1,45,False,28</CLI>
                                  <ELN>1</ELN>
                                  <LOOT>0</LOOT>
                                  <LOMN>3</LOMN>
                                  <LOMCN>1</LOMCN>
                                  <LOSN>1</LOSN>
                                  <LOEN>19</LOEN>
                                  <LOCN>28</LOCN>
                                </LnkInProps>
                              </LnkIn>
                            </Ctg>
                            <Ctg>
                              <CtgProps>
                                <R>5</R>
                              </CtgProps>
                              <LnkIn>
                                <LnkInProps>
                                  <MN>19</MN>
                                  <CLI>1,1,45,False,29</CLI>
                                  <ELN>1</ELN>
                                  <LOOT>0</LOOT>
                                  <LOMN>3</LOMN>
                                  <LOMCN>1</LOMCN>
                                  <LOSN>1</LOSN>
                                  <LOEN>19</LOEN>
                                  <LOCN>29</LOCN>
                                </LnkInProps>
                              </LnkIn>
                            </Ctg>
                            <Ctg>
                              <CtgProps>
                                <R>5</R>
                              </CtgProps>
                              <LnkIn>
                                <LnkInProps>
                                  <MN>19</MN>
                                  <CLI>1,1,45,False,30</CLI>
                                  <ELN>1</ELN>
                                  <LOOT>0</LOOT>
                                  <LOMN>3</LOMN>
                                  <LOMCN>1</LOMCN>
                                  <LOSN>1</LOSN>
                                  <LOEN>19</LOEN>
                                  <LOCN>30</LOCN>
                                </LnkInProps>
                              </LnkIn>
                            </Ctg>
                            <Ctg>
                              <CtgProps>
                                <R>5</R>
                              </CtgProps>
                              <LnkIn>
                                <LnkInProps>
                                  <MN>19</MN>
                                  <CLI>1,1,45,False,31</CLI>
                                  <ELN>1</ELN>
                                  <LOOT>0</LOOT>
                                  <LOMN>3</LOMN>
                                  <LOMCN>1</LOMCN>
                                  <LOSN>1</LOSN>
                                  <LOEN>19</LOEN>
                                  <LOCN>31</LOCN>
                                </LnkInProps>
                              </LnkIn>
                            </Ctg>
                            <Ctg>
                              <CtgProps>
                                <R>5</R>
                              </CtgProps>
                              <LnkIn>
                                <LnkInProps>
                                  <MN>19</MN>
                                  <CLI>1,1,45,False,32</CLI>
                                  <ELN>1</ELN>
                                  <LOOT>0</LOOT>
                                  <LOMN>3</LOMN>
                                  <LOMCN>1</LOMCN>
                                  <LOSN>1</LOSN>
                                  <LOEN>19</LOEN>
                                  <LOCN>32</LOCN>
                                </LnkInProps>
                              </LnkIn>
                            </Ctg>
                            <Ctg>
                              <CtgProps>
                                <R>5</R>
                              </CtgProps>
                              <LnkIn>
                                <LnkInProps>
                                  <MN>19</MN>
                                  <CLI>1,1,45,False,33</CLI>
                                  <ELN>1</ELN>
                                  <LOOT>0</LOOT>
                                  <LOMN>3</LOMN>
                                  <LOMCN>1</LOMCN>
                                  <LOSN>1</LOSN>
                                  <LOEN>19</LOEN>
                                  <LOCN>33</LOCN>
                                </LnkInProps>
                              </LnkIn>
                            </Ctg>
                            <Ctg>
                              <CtgProps>
                                <R>5</R>
                              </CtgProps>
                              <LnkIn>
                                <LnkInProps>
                                  <MN>19</MN>
                                  <CLI>1,1,45,False,34</CLI>
                                  <ELN>1</ELN>
                                  <LOOT>0</LOOT>
                                  <LOMN>3</LOMN>
                                  <LOMCN>1</LOMCN>
                                  <LOSN>1</LOSN>
                                  <LOEN>19</LOEN>
                                  <LOCN>34</LOCN>
                                </LnkInProps>
                              </LnkIn>
                            </Ctg>
                            <Ctg>
                              <CtgProps>
                                <R>5</R>
                              </CtgProps>
                              <LnkIn>
                                <LnkInProps>
                                  <MN>19</MN>
                                  <CLI>1,1,45,False,35</CLI>
                                  <ELN>1</ELN>
                                  <LOOT>0</LOOT>
                                  <LOMN>3</LOMN>
                                  <LOMCN>1</LOMCN>
                                  <LOSN>1</LOSN>
                                  <LOEN>19</LOEN>
                                  <LOCN>35</LOCN>
                                </LnkInProps>
                              </LnkIn>
                            </Ctg>
                          </Ctgs>
                        </SubTtl>
                      </SubTtls>
                      <TtlCtg/>
                      <ElmtLnksIn>
                        <ElmtLnk>
                          <ElmtLnkProps>
                            <ELI>1,1,45</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1,1,48,1,1</CBPLI>
                                    <ELN>1</ELN>
                                    <FFF><![CDATA[=§A¿10,FALSE,0,1,0,FALSE§Z¿]]></FFF>
                                  </LnkInFormProps>
                                </LnkInForm>
                              </LnkInForms>
                            </ClmnBlkPt>
                            <ClmnBlkPt>
                              <ClmnBlkPtProps>
                                <CBPT>1</CBPT>
                                <ST>6</ST>
                                <VOFFF><![CDATA[="Total "&§A¿0,1,0,1,4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19</MN>
                                  <CLI>1,1,48,False,1</CLI>
                                  <ELN>1</ELN>
                                  <LOOT>0</LOOT>
                                  <LOMN>3</LOMN>
                                  <LOMCN>1</LOMCN>
                                  <LOSN>1</LOSN>
                                  <LOEN>24</LOEN>
                                  <LOCN>1</LOCN>
                                </LnkInProps>
                              </LnkIn>
                            </Ctg>
                            <Ctg>
                              <CtgProps>
                                <R>4</R>
                              </CtgProps>
                              <LnkIn>
                                <LnkInProps>
                                  <MN>19</MN>
                                  <CLI>1,1,48,False,2</CLI>
                                  <ELN>1</ELN>
                                  <LOOT>0</LOOT>
                                  <LOMN>3</LOMN>
                                  <LOMCN>1</LOMCN>
                                  <LOSN>1</LOSN>
                                  <LOEN>24</LOEN>
                                  <LOCN>2</LOCN>
                                </LnkInProps>
                              </LnkIn>
                            </Ctg>
                            <Ctg>
                              <CtgProps>
                                <R>4</R>
                              </CtgProps>
                              <LnkIn>
                                <LnkInProps>
                                  <MN>19</MN>
                                  <CLI>1,1,48,False,3</CLI>
                                  <ELN>1</ELN>
                                  <LOOT>0</LOOT>
                                  <LOMN>3</LOMN>
                                  <LOMCN>1</LOMCN>
                                  <LOSN>1</LOSN>
                                  <LOEN>24</LOEN>
                                  <LOCN>3</LOCN>
                                </LnkInProps>
                              </LnkIn>
                            </Ctg>
                            <Ctg>
                              <CtgProps>
                                <R>4</R>
                              </CtgProps>
                              <LnkIn>
                                <LnkInProps>
                                  <MN>19</MN>
                                  <CLI>1,1,48,False,4</CLI>
                                  <ELN>1</ELN>
                                  <LOOT>0</LOOT>
                                  <LOMN>3</LOMN>
                                  <LOMCN>1</LOMCN>
                                  <LOSN>1</LOSN>
                                  <LOEN>24</LOEN>
                                  <LOCN>4</LOCN>
                                </LnkInProps>
                              </LnkIn>
                            </Ctg>
                            <Ctg>
                              <CtgProps>
                                <R>4</R>
                              </CtgProps>
                              <LnkIn>
                                <LnkInProps>
                                  <MN>19</MN>
                                  <CLI>1,1,48,False,5</CLI>
                                  <ELN>1</ELN>
                                  <LOOT>0</LOOT>
                                  <LOMN>3</LOMN>
                                  <LOMCN>1</LOMCN>
                                  <LOSN>1</LOSN>
                                  <LOEN>24</LOEN>
                                  <LOCN>5</LOCN>
                                </LnkInProps>
                              </LnkIn>
                            </Ctg>
                            <Ctg>
                              <CtgProps>
                                <R>5</R>
                              </CtgProps>
                              <LnkIn>
                                <LnkInProps>
                                  <MN>19</MN>
                                  <CLI>1,1,48,False,6</CLI>
                                  <ELN>1</ELN>
                                  <LOOT>0</LOOT>
                                  <LOMN>3</LOMN>
                                  <LOMCN>1</LOMCN>
                                  <LOSN>1</LOSN>
                                  <LOEN>24</LOEN>
                                  <LOCN>6</LOCN>
                                </LnkInProps>
                              </LnkIn>
                            </Ctg>
                            <Ctg>
                              <CtgProps>
                                <R>5</R>
                              </CtgProps>
                              <LnkIn>
                                <LnkInProps>
                                  <MN>19</MN>
                                  <CLI>1,1,48,False,7</CLI>
                                  <ELN>1</ELN>
                                  <LOOT>0</LOOT>
                                  <LOMN>3</LOMN>
                                  <LOMCN>1</LOMCN>
                                  <LOSN>1</LOSN>
                                  <LOEN>24</LOEN>
                                  <LOCN>7</LOCN>
                                </LnkInProps>
                              </LnkIn>
                            </Ctg>
                            <Ctg>
                              <CtgProps>
                                <R>5</R>
                              </CtgProps>
                              <LnkIn>
                                <LnkInProps>
                                  <MN>19</MN>
                                  <CLI>1,1,48,False,8</CLI>
                                  <ELN>1</ELN>
                                  <LOOT>0</LOOT>
                                  <LOMN>3</LOMN>
                                  <LOMCN>1</LOMCN>
                                  <LOSN>1</LOSN>
                                  <LOEN>24</LOEN>
                                  <LOCN>8</LOCN>
                                </LnkInProps>
                              </LnkIn>
                            </Ctg>
                            <Ctg>
                              <CtgProps>
                                <R>5</R>
                              </CtgProps>
                              <LnkIn>
                                <LnkInProps>
                                  <MN>19</MN>
                                  <CLI>1,1,48,False,9</CLI>
                                  <ELN>1</ELN>
                                  <LOOT>0</LOOT>
                                  <LOMN>3</LOMN>
                                  <LOMCN>1</LOMCN>
                                  <LOSN>1</LOSN>
                                  <LOEN>24</LOEN>
                                  <LOCN>9</LOCN>
                                </LnkInProps>
                              </LnkIn>
                            </Ctg>
                            <Ctg>
                              <CtgProps>
                                <R>5</R>
                              </CtgProps>
                              <LnkIn>
                                <LnkInProps>
                                  <MN>19</MN>
                                  <CLI>1,1,48,False,10</CLI>
                                  <ELN>1</ELN>
                                  <LOOT>0</LOOT>
                                  <LOMN>3</LOMN>
                                  <LOMCN>1</LOMCN>
                                  <LOSN>1</LOSN>
                                  <LOEN>24</LOEN>
                                  <LOCN>10</LOCN>
                                </LnkInProps>
                              </LnkIn>
                            </Ctg>
                            <Ctg>
                              <CtgProps>
                                <R>5</R>
                              </CtgProps>
                              <LnkIn>
                                <LnkInProps>
                                  <MN>19</MN>
                                  <CLI>1,1,48,False,11</CLI>
                                  <ELN>1</ELN>
                                  <LOOT>0</LOOT>
                                  <LOMN>3</LOMN>
                                  <LOMCN>1</LOMCN>
                                  <LOSN>1</LOSN>
                                  <LOEN>24</LOEN>
                                  <LOCN>11</LOCN>
                                </LnkInProps>
                              </LnkIn>
                            </Ctg>
                            <Ctg>
                              <CtgProps>
                                <R>5</R>
                              </CtgProps>
                              <LnkIn>
                                <LnkInProps>
                                  <MN>19</MN>
                                  <CLI>1,1,48,False,12</CLI>
                                  <ELN>1</ELN>
                                  <LOOT>0</LOOT>
                                  <LOMN>3</LOMN>
                                  <LOMCN>1</LOMCN>
                                  <LOSN>1</LOSN>
                                  <LOEN>24</LOEN>
                                  <LOCN>12</LOCN>
                                </LnkInProps>
                              </LnkIn>
                            </Ctg>
                            <Ctg>
                              <CtgProps>
                                <R>5</R>
                              </CtgProps>
                              <LnkIn>
                                <LnkInProps>
                                  <MN>19</MN>
                                  <CLI>1,1,48,False,13</CLI>
                                  <ELN>1</ELN>
                                  <LOOT>0</LOOT>
                                  <LOMN>3</LOMN>
                                  <LOMCN>1</LOMCN>
                                  <LOSN>1</LOSN>
                                  <LOEN>24</LOEN>
                                  <LOCN>13</LOCN>
                                </LnkInProps>
                              </LnkIn>
                            </Ctg>
                            <Ctg>
                              <CtgProps>
                                <R>5</R>
                              </CtgProps>
                              <LnkIn>
                                <LnkInProps>
                                  <MN>19</MN>
                                  <CLI>1,1,48,False,14</CLI>
                                  <ELN>1</ELN>
                                  <LOOT>0</LOOT>
                                  <LOMN>3</LOMN>
                                  <LOMCN>1</LOMCN>
                                  <LOSN>1</LOSN>
                                  <LOEN>24</LOEN>
                                  <LOCN>14</LOCN>
                                </LnkInProps>
                              </LnkIn>
                            </Ctg>
                            <Ctg>
                              <CtgProps>
                                <R>5</R>
                              </CtgProps>
                              <LnkIn>
                                <LnkInProps>
                                  <MN>19</MN>
                                  <CLI>1,1,48,False,15</CLI>
                                  <ELN>1</ELN>
                                  <LOOT>0</LOOT>
                                  <LOMN>3</LOMN>
                                  <LOMCN>1</LOMCN>
                                  <LOSN>1</LOSN>
                                  <LOEN>24</LOEN>
                                  <LOCN>15</LOCN>
                                </LnkInProps>
                              </LnkIn>
                            </Ctg>
                            <Ctg>
                              <CtgProps>
                                <R>5</R>
                              </CtgProps>
                              <LnkIn>
                                <LnkInProps>
                                  <MN>19</MN>
                                  <CLI>1,1,48,False,16</CLI>
                                  <ELN>1</ELN>
                                  <LOOT>0</LOOT>
                                  <LOMN>3</LOMN>
                                  <LOMCN>1</LOMCN>
                                  <LOSN>1</LOSN>
                                  <LOEN>24</LOEN>
                                  <LOCN>16</LOCN>
                                </LnkInProps>
                              </LnkIn>
                            </Ctg>
                            <Ctg>
                              <CtgProps>
                                <R>5</R>
                              </CtgProps>
                              <LnkIn>
                                <LnkInProps>
                                  <MN>19</MN>
                                  <CLI>1,1,48,False,17</CLI>
                                  <ELN>1</ELN>
                                  <LOOT>0</LOOT>
                                  <LOMN>3</LOMN>
                                  <LOMCN>1</LOMCN>
                                  <LOSN>1</LOSN>
                                  <LOEN>24</LOEN>
                                  <LOCN>17</LOCN>
                                </LnkInProps>
                              </LnkIn>
                            </Ctg>
                            <Ctg>
                              <CtgProps>
                                <R>5</R>
                              </CtgProps>
                              <LnkIn>
                                <LnkInProps>
                                  <MN>19</MN>
                                  <CLI>1,1,48,False,18</CLI>
                                  <ELN>1</ELN>
                                  <LOOT>0</LOOT>
                                  <LOMN>3</LOMN>
                                  <LOMCN>1</LOMCN>
                                  <LOSN>1</LOSN>
                                  <LOEN>24</LOEN>
                                  <LOCN>18</LOCN>
                                </LnkInProps>
                              </LnkIn>
                            </Ctg>
                            <Ctg>
                              <CtgProps>
                                <R>5</R>
                              </CtgProps>
                              <LnkIn>
                                <LnkInProps>
                                  <MN>19</MN>
                                  <CLI>1,1,48,False,19</CLI>
                                  <ELN>1</ELN>
                                  <LOOT>0</LOOT>
                                  <LOMN>3</LOMN>
                                  <LOMCN>1</LOMCN>
                                  <LOSN>1</LOSN>
                                  <LOEN>24</LOEN>
                                  <LOCN>19</LOCN>
                                </LnkInProps>
                              </LnkIn>
                            </Ctg>
                            <Ctg>
                              <CtgProps>
                                <R>5</R>
                              </CtgProps>
                              <LnkIn>
                                <LnkInProps>
                                  <MN>19</MN>
                                  <CLI>1,1,48,False,20</CLI>
                                  <ELN>1</ELN>
                                  <LOOT>0</LOOT>
                                  <LOMN>3</LOMN>
                                  <LOMCN>1</LOMCN>
                                  <LOSN>1</LOSN>
                                  <LOEN>24</LOEN>
                                  <LOCN>20</LOCN>
                                </LnkInProps>
                              </LnkIn>
                            </Ctg>
                            <Ctg>
                              <CtgProps>
                                <R>5</R>
                              </CtgProps>
                              <LnkIn>
                                <LnkInProps>
                                  <MN>19</MN>
                                  <CLI>1,1,48,False,21</CLI>
                                  <ELN>1</ELN>
                                  <LOOT>0</LOOT>
                                  <LOMN>3</LOMN>
                                  <LOMCN>1</LOMCN>
                                  <LOSN>1</LOSN>
                                  <LOEN>24</LOEN>
                                  <LOCN>21</LOCN>
                                </LnkInProps>
                              </LnkIn>
                            </Ctg>
                            <Ctg>
                              <CtgProps>
                                <R>5</R>
                              </CtgProps>
                              <LnkIn>
                                <LnkInProps>
                                  <MN>19</MN>
                                  <CLI>1,1,48,False,22</CLI>
                                  <ELN>1</ELN>
                                  <LOOT>0</LOOT>
                                  <LOMN>3</LOMN>
                                  <LOMCN>1</LOMCN>
                                  <LOSN>1</LOSN>
                                  <LOEN>24</LOEN>
                                  <LOCN>22</LOCN>
                                </LnkInProps>
                              </LnkIn>
                            </Ctg>
                            <Ctg>
                              <CtgProps>
                                <R>5</R>
                              </CtgProps>
                              <LnkIn>
                                <LnkInProps>
                                  <MN>19</MN>
                                  <CLI>1,1,48,False,23</CLI>
                                  <ELN>1</ELN>
                                  <LOOT>0</LOOT>
                                  <LOMN>3</LOMN>
                                  <LOMCN>1</LOMCN>
                                  <LOSN>1</LOSN>
                                  <LOEN>24</LOEN>
                                  <LOCN>23</LOCN>
                                </LnkInProps>
                              </LnkIn>
                            </Ctg>
                            <Ctg>
                              <CtgProps>
                                <R>5</R>
                              </CtgProps>
                              <LnkIn>
                                <LnkInProps>
                                  <MN>19</MN>
                                  <CLI>1,1,48,False,24</CLI>
                                  <ELN>1</ELN>
                                  <LOOT>0</LOOT>
                                  <LOMN>3</LOMN>
                                  <LOMCN>1</LOMCN>
                                  <LOSN>1</LOSN>
                                  <LOEN>24</LOEN>
                                  <LOCN>24</LOCN>
                                </LnkInProps>
                              </LnkIn>
                            </Ctg>
                            <Ctg>
                              <CtgProps>
                                <R>5</R>
                              </CtgProps>
                              <LnkIn>
                                <LnkInProps>
                                  <MN>19</MN>
                                  <CLI>1,1,48,False,25</CLI>
                                  <ELN>1</ELN>
                                  <LOOT>0</LOOT>
                                  <LOMN>3</LOMN>
                                  <LOMCN>1</LOMCN>
                                  <LOSN>1</LOSN>
                                  <LOEN>24</LOEN>
                                  <LOCN>25</LOCN>
                                </LnkInProps>
                              </LnkIn>
                            </Ctg>
                            <Ctg>
                              <CtgProps>
                                <R>5</R>
                              </CtgProps>
                              <LnkIn>
                                <LnkInProps>
                                  <MN>19</MN>
                                  <CLI>1,1,48,False,26</CLI>
                                  <ELN>1</ELN>
                                  <LOOT>0</LOOT>
                                  <LOMN>3</LOMN>
                                  <LOMCN>1</LOMCN>
                                  <LOSN>1</LOSN>
                                  <LOEN>24</LOEN>
                                  <LOCN>26</LOCN>
                                </LnkInProps>
                              </LnkIn>
                            </Ctg>
                            <Ctg>
                              <CtgProps>
                                <R>5</R>
                              </CtgProps>
                              <LnkIn>
                                <LnkInProps>
                                  <MN>19</MN>
                                  <CLI>1,1,48,False,27</CLI>
                                  <ELN>1</ELN>
                                  <LOOT>0</LOOT>
                                  <LOMN>3</LOMN>
                                  <LOMCN>1</LOMCN>
                                  <LOSN>1</LOSN>
                                  <LOEN>24</LOEN>
                                  <LOCN>27</LOCN>
                                </LnkInProps>
                              </LnkIn>
                            </Ctg>
                            <Ctg>
                              <CtgProps>
                                <R>5</R>
                              </CtgProps>
                              <LnkIn>
                                <LnkInProps>
                                  <MN>19</MN>
                                  <CLI>1,1,48,False,28</CLI>
                                  <ELN>1</ELN>
                                  <LOOT>0</LOOT>
                                  <LOMN>3</LOMN>
                                  <LOMCN>1</LOMCN>
                                  <LOSN>1</LOSN>
                                  <LOEN>24</LOEN>
                                  <LOCN>28</LOCN>
                                </LnkInProps>
                              </LnkIn>
                            </Ctg>
                            <Ctg>
                              <CtgProps>
                                <R>5</R>
                              </CtgProps>
                              <LnkIn>
                                <LnkInProps>
                                  <MN>19</MN>
                                  <CLI>1,1,48,False,29</CLI>
                                  <ELN>1</ELN>
                                  <LOOT>0</LOOT>
                                  <LOMN>3</LOMN>
                                  <LOMCN>1</LOMCN>
                                  <LOSN>1</LOSN>
                                  <LOEN>24</LOEN>
                                  <LOCN>29</LOCN>
                                </LnkInProps>
                              </LnkIn>
                            </Ctg>
                            <Ctg>
                              <CtgProps>
                                <R>5</R>
                              </CtgProps>
                              <LnkIn>
                                <LnkInProps>
                                  <MN>19</MN>
                                  <CLI>1,1,48,False,30</CLI>
                                  <ELN>1</ELN>
                                  <LOOT>0</LOOT>
                                  <LOMN>3</LOMN>
                                  <LOMCN>1</LOMCN>
                                  <LOSN>1</LOSN>
                                  <LOEN>24</LOEN>
                                  <LOCN>30</LOCN>
                                </LnkInProps>
                              </LnkIn>
                            </Ctg>
                            <Ctg>
                              <CtgProps>
                                <R>5</R>
                              </CtgProps>
                              <LnkIn>
                                <LnkInProps>
                                  <MN>19</MN>
                                  <CLI>1,1,48,False,31</CLI>
                                  <ELN>1</ELN>
                                  <LOOT>0</LOOT>
                                  <LOMN>3</LOMN>
                                  <LOMCN>1</LOMCN>
                                  <LOSN>1</LOSN>
                                  <LOEN>24</LOEN>
                                  <LOCN>31</LOCN>
                                </LnkInProps>
                              </LnkIn>
                            </Ctg>
                            <Ctg>
                              <CtgProps>
                                <R>5</R>
                              </CtgProps>
                              <LnkIn>
                                <LnkInProps>
                                  <MN>19</MN>
                                  <CLI>1,1,48,False,32</CLI>
                                  <ELN>1</ELN>
                                  <LOOT>0</LOOT>
                                  <LOMN>3</LOMN>
                                  <LOMCN>1</LOMCN>
                                  <LOSN>1</LOSN>
                                  <LOEN>24</LOEN>
                                  <LOCN>32</LOCN>
                                </LnkInProps>
                              </LnkIn>
                            </Ctg>
                            <Ctg>
                              <CtgProps>
                                <R>5</R>
                              </CtgProps>
                              <LnkIn>
                                <LnkInProps>
                                  <MN>19</MN>
                                  <CLI>1,1,48,False,33</CLI>
                                  <ELN>1</ELN>
                                  <LOOT>0</LOOT>
                                  <LOMN>3</LOMN>
                                  <LOMCN>1</LOMCN>
                                  <LOSN>1</LOSN>
                                  <LOEN>24</LOEN>
                                  <LOCN>33</LOCN>
                                </LnkInProps>
                              </LnkIn>
                            </Ctg>
                            <Ctg>
                              <CtgProps>
                                <R>5</R>
                              </CtgProps>
                              <LnkIn>
                                <LnkInProps>
                                  <MN>19</MN>
                                  <CLI>1,1,48,False,34</CLI>
                                  <ELN>1</ELN>
                                  <LOOT>0</LOOT>
                                  <LOMN>3</LOMN>
                                  <LOMCN>1</LOMCN>
                                  <LOSN>1</LOSN>
                                  <LOEN>24</LOEN>
                                  <LOCN>34</LOCN>
                                </LnkInProps>
                              </LnkIn>
                            </Ctg>
                            <Ctg>
                              <CtgProps>
                                <R>5</R>
                              </CtgProps>
                              <LnkIn>
                                <LnkInProps>
                                  <MN>19</MN>
                                  <CLI>1,1,48,False,35</CLI>
                                  <ELN>1</ELN>
                                  <LOOT>0</LOOT>
                                  <LOMN>3</LOMN>
                                  <LOMCN>1</LOMCN>
                                  <LOSN>1</LOSN>
                                  <LOEN>24</LOEN>
                                  <LOCN>35</LOCN>
                                </LnkInProps>
                              </LnkIn>
                            </Ctg>
                          </Ctgs>
                        </SubTtl>
                      </SubTtls>
                      <TtlCtg/>
                      <ElmtLnksIn>
                        <ElmtLnk>
                          <ElmtLnkProps>
                            <ELI>1,1,48</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1,1,52,1,1</CBPLI>
                                    <ELN>1</ELN>
                                    <FFF><![CDATA[=§A¿10,FALSE,0,1,0,FALSE§Z¿]]></FFF>
                                  </LnkInFormProps>
                                </LnkInForm>
                              </LnkInForms>
                            </ClmnBlkPt>
                            <ClmnBlkPt>
                              <ClmnBlkPtProps>
                                <CBPT>1</CBPT>
                                <ST>6</ST>
                                <VOFFF><![CDATA[="Total "&§A¿0,1,0,1,5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19</MN>
                                  <CLI>1,1,52,False,1</CLI>
                                  <ELN>1</ELN>
                                  <LOOT>0</LOOT>
                                  <LOMN>3</LOMN>
                                  <LOMCN>1</LOMCN>
                                  <LOSN>1</LOSN>
                                  <LOEN>29</LOEN>
                                  <LOCN>1</LOCN>
                                </LnkInProps>
                              </LnkIn>
                            </Ctg>
                            <Ctg>
                              <CtgProps>
                                <R>4</R>
                              </CtgProps>
                              <LnkIn>
                                <LnkInProps>
                                  <MN>19</MN>
                                  <CLI>1,1,52,False,2</CLI>
                                  <ELN>1</ELN>
                                  <LOOT>0</LOOT>
                                  <LOMN>3</LOMN>
                                  <LOMCN>1</LOMCN>
                                  <LOSN>1</LOSN>
                                  <LOEN>29</LOEN>
                                  <LOCN>2</LOCN>
                                </LnkInProps>
                              </LnkIn>
                            </Ctg>
                            <Ctg>
                              <CtgProps>
                                <R>5</R>
                              </CtgProps>
                              <LnkIn>
                                <LnkInProps>
                                  <MN>19</MN>
                                  <CLI>1,1,52,False,3</CLI>
                                  <ELN>1</ELN>
                                  <LOOT>0</LOOT>
                                  <LOMN>3</LOMN>
                                  <LOMCN>1</LOMCN>
                                  <LOSN>1</LOSN>
                                  <LOEN>29</LOEN>
                                  <LOCN>3</LOCN>
                                </LnkInProps>
                              </LnkIn>
                            </Ctg>
                            <Ctg>
                              <CtgProps>
                                <R>5</R>
                              </CtgProps>
                              <LnkIn>
                                <LnkInProps>
                                  <MN>19</MN>
                                  <CLI>1,1,52,False,4</CLI>
                                  <ELN>1</ELN>
                                  <LOOT>0</LOOT>
                                  <LOMN>3</LOMN>
                                  <LOMCN>1</LOMCN>
                                  <LOSN>1</LOSN>
                                  <LOEN>29</LOEN>
                                  <LOCN>4</LOCN>
                                </LnkInProps>
                              </LnkIn>
                            </Ctg>
                            <Ctg>
                              <CtgProps>
                                <R>5</R>
                              </CtgProps>
                              <LnkIn>
                                <LnkInProps>
                                  <MN>19</MN>
                                  <CLI>1,1,52,False,5</CLI>
                                  <ELN>1</ELN>
                                  <LOOT>0</LOOT>
                                  <LOMN>3</LOMN>
                                  <LOMCN>1</LOMCN>
                                  <LOSN>1</LOSN>
                                  <LOEN>29</LOEN>
                                  <LOCN>5</LOCN>
                                </LnkInProps>
                              </LnkIn>
                            </Ctg>
                            <Ctg>
                              <CtgProps>
                                <R>5</R>
                              </CtgProps>
                              <LnkIn>
                                <LnkInProps>
                                  <MN>19</MN>
                                  <CLI>1,1,52,False,6</CLI>
                                  <ELN>1</ELN>
                                  <LOOT>0</LOOT>
                                  <LOMN>3</LOMN>
                                  <LOMCN>1</LOMCN>
                                  <LOSN>1</LOSN>
                                  <LOEN>29</LOEN>
                                  <LOCN>6</LOCN>
                                </LnkInProps>
                              </LnkIn>
                            </Ctg>
                            <Ctg>
                              <CtgProps>
                                <R>5</R>
                              </CtgProps>
                              <LnkIn>
                                <LnkInProps>
                                  <MN>19</MN>
                                  <CLI>1,1,52,False,7</CLI>
                                  <ELN>1</ELN>
                                  <LOOT>0</LOOT>
                                  <LOMN>3</LOMN>
                                  <LOMCN>1</LOMCN>
                                  <LOSN>1</LOSN>
                                  <LOEN>29</LOEN>
                                  <LOCN>7</LOCN>
                                </LnkInProps>
                              </LnkIn>
                            </Ctg>
                            <Ctg>
                              <CtgProps>
                                <R>5</R>
                              </CtgProps>
                              <LnkIn>
                                <LnkInProps>
                                  <MN>19</MN>
                                  <CLI>1,1,52,False,8</CLI>
                                  <ELN>1</ELN>
                                  <LOOT>0</LOOT>
                                  <LOMN>3</LOMN>
                                  <LOMCN>1</LOMCN>
                                  <LOSN>1</LOSN>
                                  <LOEN>29</LOEN>
                                  <LOCN>8</LOCN>
                                </LnkInProps>
                              </LnkIn>
                            </Ctg>
                            <Ctg>
                              <CtgProps>
                                <R>5</R>
                              </CtgProps>
                              <LnkIn>
                                <LnkInProps>
                                  <MN>19</MN>
                                  <CLI>1,1,52,False,9</CLI>
                                  <ELN>1</ELN>
                                  <LOOT>0</LOOT>
                                  <LOMN>3</LOMN>
                                  <LOMCN>1</LOMCN>
                                  <LOSN>1</LOSN>
                                  <LOEN>29</LOEN>
                                  <LOCN>9</LOCN>
                                </LnkInProps>
                              </LnkIn>
                            </Ctg>
                            <Ctg>
                              <CtgProps>
                                <R>5</R>
                              </CtgProps>
                              <LnkIn>
                                <LnkInProps>
                                  <MN>19</MN>
                                  <CLI>1,1,52,False,10</CLI>
                                  <ELN>1</ELN>
                                  <LOOT>0</LOOT>
                                  <LOMN>3</LOMN>
                                  <LOMCN>1</LOMCN>
                                  <LOSN>1</LOSN>
                                  <LOEN>29</LOEN>
                                  <LOCN>10</LOCN>
                                </LnkInProps>
                              </LnkIn>
                            </Ctg>
                            <Ctg>
                              <CtgProps>
                                <R>5</R>
                              </CtgProps>
                              <LnkIn>
                                <LnkInProps>
                                  <MN>19</MN>
                                  <CLI>1,1,52,False,11</CLI>
                                  <ELN>1</ELN>
                                  <LOOT>0</LOOT>
                                  <LOMN>3</LOMN>
                                  <LOMCN>1</LOMCN>
                                  <LOSN>1</LOSN>
                                  <LOEN>29</LOEN>
                                  <LOCN>11</LOCN>
                                </LnkInProps>
                              </LnkIn>
                            </Ctg>
                            <Ctg>
                              <CtgProps>
                                <R>5</R>
                              </CtgProps>
                              <LnkIn>
                                <LnkInProps>
                                  <MN>19</MN>
                                  <CLI>1,1,52,False,12</CLI>
                                  <ELN>1</ELN>
                                  <LOOT>0</LOOT>
                                  <LOMN>3</LOMN>
                                  <LOMCN>1</LOMCN>
                                  <LOSN>1</LOSN>
                                  <LOEN>29</LOEN>
                                  <LOCN>12</LOCN>
                                </LnkInProps>
                              </LnkIn>
                            </Ctg>
                            <Ctg>
                              <CtgProps>
                                <R>5</R>
                              </CtgProps>
                              <LnkIn>
                                <LnkInProps>
                                  <MN>19</MN>
                                  <CLI>1,1,52,False,13</CLI>
                                  <ELN>1</ELN>
                                  <LOOT>0</LOOT>
                                  <LOMN>3</LOMN>
                                  <LOMCN>1</LOMCN>
                                  <LOSN>1</LOSN>
                                  <LOEN>29</LOEN>
                                  <LOCN>13</LOCN>
                                </LnkInProps>
                              </LnkIn>
                            </Ctg>
                            <Ctg>
                              <CtgProps>
                                <R>5</R>
                              </CtgProps>
                              <LnkIn>
                                <LnkInProps>
                                  <MN>19</MN>
                                  <CLI>1,1,52,False,14</CLI>
                                  <ELN>1</ELN>
                                  <LOOT>0</LOOT>
                                  <LOMN>3</LOMN>
                                  <LOMCN>1</LOMCN>
                                  <LOSN>1</LOSN>
                                  <LOEN>29</LOEN>
                                  <LOCN>14</LOCN>
                                </LnkInProps>
                              </LnkIn>
                            </Ctg>
                            <Ctg>
                              <CtgProps>
                                <R>5</R>
                              </CtgProps>
                              <LnkIn>
                                <LnkInProps>
                                  <MN>19</MN>
                                  <CLI>1,1,52,False,15</CLI>
                                  <ELN>1</ELN>
                                  <LOOT>0</LOOT>
                                  <LOMN>3</LOMN>
                                  <LOMCN>1</LOMCN>
                                  <LOSN>1</LOSN>
                                  <LOEN>29</LOEN>
                                  <LOCN>15</LOCN>
                                </LnkInProps>
                              </LnkIn>
                            </Ctg>
                            <Ctg>
                              <CtgProps>
                                <R>5</R>
                              </CtgProps>
                              <LnkIn>
                                <LnkInProps>
                                  <MN>19</MN>
                                  <CLI>1,1,52,False,16</CLI>
                                  <ELN>1</ELN>
                                  <LOOT>0</LOOT>
                                  <LOMN>3</LOMN>
                                  <LOMCN>1</LOMCN>
                                  <LOSN>1</LOSN>
                                  <LOEN>29</LOEN>
                                  <LOCN>16</LOCN>
                                </LnkInProps>
                              </LnkIn>
                            </Ctg>
                            <Ctg>
                              <CtgProps>
                                <R>5</R>
                              </CtgProps>
                              <LnkIn>
                                <LnkInProps>
                                  <MN>19</MN>
                                  <CLI>1,1,52,False,17</CLI>
                                  <ELN>1</ELN>
                                  <LOOT>0</LOOT>
                                  <LOMN>3</LOMN>
                                  <LOMCN>1</LOMCN>
                                  <LOSN>1</LOSN>
                                  <LOEN>29</LOEN>
                                  <LOCN>17</LOCN>
                                </LnkInProps>
                              </LnkIn>
                            </Ctg>
                            <Ctg>
                              <CtgProps>
                                <R>5</R>
                              </CtgProps>
                              <LnkIn>
                                <LnkInProps>
                                  <MN>19</MN>
                                  <CLI>1,1,52,False,18</CLI>
                                  <ELN>1</ELN>
                                  <LOOT>0</LOOT>
                                  <LOMN>3</LOMN>
                                  <LOMCN>1</LOMCN>
                                  <LOSN>1</LOSN>
                                  <LOEN>29</LOEN>
                                  <LOCN>18</LOCN>
                                </LnkInProps>
                              </LnkIn>
                            </Ctg>
                            <Ctg>
                              <CtgProps>
                                <R>5</R>
                              </CtgProps>
                              <LnkIn>
                                <LnkInProps>
                                  <MN>19</MN>
                                  <CLI>1,1,52,False,19</CLI>
                                  <ELN>1</ELN>
                                  <LOOT>0</LOOT>
                                  <LOMN>3</LOMN>
                                  <LOMCN>1</LOMCN>
                                  <LOSN>1</LOSN>
                                  <LOEN>29</LOEN>
                                  <LOCN>19</LOCN>
                                </LnkInProps>
                              </LnkIn>
                            </Ctg>
                            <Ctg>
                              <CtgProps>
                                <R>5</R>
                              </CtgProps>
                              <LnkIn>
                                <LnkInProps>
                                  <MN>19</MN>
                                  <CLI>1,1,52,False,20</CLI>
                                  <ELN>1</ELN>
                                  <LOOT>0</LOOT>
                                  <LOMN>3</LOMN>
                                  <LOMCN>1</LOMCN>
                                  <LOSN>1</LOSN>
                                  <LOEN>29</LOEN>
                                  <LOCN>20</LOCN>
                                </LnkInProps>
                              </LnkIn>
                            </Ctg>
                            <Ctg>
                              <CtgProps>
                                <R>5</R>
                              </CtgProps>
                              <LnkIn>
                                <LnkInProps>
                                  <MN>19</MN>
                                  <CLI>1,1,52,False,21</CLI>
                                  <ELN>1</ELN>
                                  <LOOT>0</LOOT>
                                  <LOMN>3</LOMN>
                                  <LOMCN>1</LOMCN>
                                  <LOSN>1</LOSN>
                                  <LOEN>29</LOEN>
                                  <LOCN>21</LOCN>
                                </LnkInProps>
                              </LnkIn>
                            </Ctg>
                            <Ctg>
                              <CtgProps>
                                <R>5</R>
                              </CtgProps>
                              <LnkIn>
                                <LnkInProps>
                                  <MN>19</MN>
                                  <CLI>1,1,52,False,22</CLI>
                                  <ELN>1</ELN>
                                  <LOOT>0</LOOT>
                                  <LOMN>3</LOMN>
                                  <LOMCN>1</LOMCN>
                                  <LOSN>1</LOSN>
                                  <LOEN>29</LOEN>
                                  <LOCN>22</LOCN>
                                </LnkInProps>
                              </LnkIn>
                            </Ctg>
                            <Ctg>
                              <CtgProps>
                                <R>5</R>
                              </CtgProps>
                              <LnkIn>
                                <LnkInProps>
                                  <MN>19</MN>
                                  <CLI>1,1,52,False,23</CLI>
                                  <ELN>1</ELN>
                                  <LOOT>0</LOOT>
                                  <LOMN>3</LOMN>
                                  <LOMCN>1</LOMCN>
                                  <LOSN>1</LOSN>
                                  <LOEN>29</LOEN>
                                  <LOCN>23</LOCN>
                                </LnkInProps>
                              </LnkIn>
                            </Ctg>
                            <Ctg>
                              <CtgProps>
                                <R>5</R>
                              </CtgProps>
                              <LnkIn>
                                <LnkInProps>
                                  <MN>19</MN>
                                  <CLI>1,1,52,False,24</CLI>
                                  <ELN>1</ELN>
                                  <LOOT>0</LOOT>
                                  <LOMN>3</LOMN>
                                  <LOMCN>1</LOMCN>
                                  <LOSN>1</LOSN>
                                  <LOEN>29</LOEN>
                                  <LOCN>24</LOCN>
                                </LnkInProps>
                              </LnkIn>
                            </Ctg>
                            <Ctg>
                              <CtgProps>
                                <R>5</R>
                              </CtgProps>
                              <LnkIn>
                                <LnkInProps>
                                  <MN>19</MN>
                                  <CLI>1,1,52,False,25</CLI>
                                  <ELN>1</ELN>
                                  <LOOT>0</LOOT>
                                  <LOMN>3</LOMN>
                                  <LOMCN>1</LOMCN>
                                  <LOSN>1</LOSN>
                                  <LOEN>29</LOEN>
                                  <LOCN>25</LOCN>
                                </LnkInProps>
                              </LnkIn>
                            </Ctg>
                            <Ctg>
                              <CtgProps>
                                <R>5</R>
                              </CtgProps>
                              <LnkIn>
                                <LnkInProps>
                                  <MN>19</MN>
                                  <CLI>1,1,52,False,26</CLI>
                                  <ELN>1</ELN>
                                  <LOOT>0</LOOT>
                                  <LOMN>3</LOMN>
                                  <LOMCN>1</LOMCN>
                                  <LOSN>1</LOSN>
                                  <LOEN>29</LOEN>
                                  <LOCN>26</LOCN>
                                </LnkInProps>
                              </LnkIn>
                            </Ctg>
                            <Ctg>
                              <CtgProps>
                                <R>5</R>
                              </CtgProps>
                              <LnkIn>
                                <LnkInProps>
                                  <MN>19</MN>
                                  <CLI>1,1,52,False,27</CLI>
                                  <ELN>1</ELN>
                                  <LOOT>0</LOOT>
                                  <LOMN>3</LOMN>
                                  <LOMCN>1</LOMCN>
                                  <LOSN>1</LOSN>
                                  <LOEN>29</LOEN>
                                  <LOCN>27</LOCN>
                                </LnkInProps>
                              </LnkIn>
                            </Ctg>
                            <Ctg>
                              <CtgProps>
                                <R>5</R>
                              </CtgProps>
                              <LnkIn>
                                <LnkInProps>
                                  <MN>19</MN>
                                  <CLI>1,1,52,False,28</CLI>
                                  <ELN>1</ELN>
                                  <LOOT>0</LOOT>
                                  <LOMN>3</LOMN>
                                  <LOMCN>1</LOMCN>
                                  <LOSN>1</LOSN>
                                  <LOEN>29</LOEN>
                                  <LOCN>28</LOCN>
                                </LnkInProps>
                              </LnkIn>
                            </Ctg>
                            <Ctg>
                              <CtgProps>
                                <R>5</R>
                              </CtgProps>
                              <LnkIn>
                                <LnkInProps>
                                  <MN>19</MN>
                                  <CLI>1,1,52,False,29</CLI>
                                  <ELN>1</ELN>
                                  <LOOT>0</LOOT>
                                  <LOMN>3</LOMN>
                                  <LOMCN>1</LOMCN>
                                  <LOSN>1</LOSN>
                                  <LOEN>29</LOEN>
                                  <LOCN>29</LOCN>
                                </LnkInProps>
                              </LnkIn>
                            </Ctg>
                            <Ctg>
                              <CtgProps>
                                <R>5</R>
                              </CtgProps>
                              <LnkIn>
                                <LnkInProps>
                                  <MN>19</MN>
                                  <CLI>1,1,52,False,30</CLI>
                                  <ELN>1</ELN>
                                  <LOOT>0</LOOT>
                                  <LOMN>3</LOMN>
                                  <LOMCN>1</LOMCN>
                                  <LOSN>1</LOSN>
                                  <LOEN>29</LOEN>
                                  <LOCN>30</LOCN>
                                </LnkInProps>
                              </LnkIn>
                            </Ctg>
                            <Ctg>
                              <CtgProps>
                                <R>5</R>
                              </CtgProps>
                              <LnkIn>
                                <LnkInProps>
                                  <MN>19</MN>
                                  <CLI>1,1,52,False,31</CLI>
                                  <ELN>1</ELN>
                                  <LOOT>0</LOOT>
                                  <LOMN>3</LOMN>
                                  <LOMCN>1</LOMCN>
                                  <LOSN>1</LOSN>
                                  <LOEN>29</LOEN>
                                  <LOCN>31</LOCN>
                                </LnkInProps>
                              </LnkIn>
                            </Ctg>
                            <Ctg>
                              <CtgProps>
                                <R>5</R>
                              </CtgProps>
                              <LnkIn>
                                <LnkInProps>
                                  <MN>19</MN>
                                  <CLI>1,1,52,False,32</CLI>
                                  <ELN>1</ELN>
                                  <LOOT>0</LOOT>
                                  <LOMN>3</LOMN>
                                  <LOMCN>1</LOMCN>
                                  <LOSN>1</LOSN>
                                  <LOEN>29</LOEN>
                                  <LOCN>32</LOCN>
                                </LnkInProps>
                              </LnkIn>
                            </Ctg>
                            <Ctg>
                              <CtgProps>
                                <R>5</R>
                              </CtgProps>
                              <LnkIn>
                                <LnkInProps>
                                  <MN>19</MN>
                                  <CLI>1,1,52,False,33</CLI>
                                  <ELN>1</ELN>
                                  <LOOT>0</LOOT>
                                  <LOMN>3</LOMN>
                                  <LOMCN>1</LOMCN>
                                  <LOSN>1</LOSN>
                                  <LOEN>29</LOEN>
                                  <LOCN>33</LOCN>
                                </LnkInProps>
                              </LnkIn>
                            </Ctg>
                            <Ctg>
                              <CtgProps>
                                <R>5</R>
                              </CtgProps>
                              <LnkIn>
                                <LnkInProps>
                                  <MN>19</MN>
                                  <CLI>1,1,52,False,34</CLI>
                                  <ELN>1</ELN>
                                  <LOOT>0</LOOT>
                                  <LOMN>3</LOMN>
                                  <LOMCN>1</LOMCN>
                                  <LOSN>1</LOSN>
                                  <LOEN>29</LOEN>
                                  <LOCN>34</LOCN>
                                </LnkInProps>
                              </LnkIn>
                            </Ctg>
                            <Ctg>
                              <CtgProps>
                                <R>5</R>
                              </CtgProps>
                              <LnkIn>
                                <LnkInProps>
                                  <MN>19</MN>
                                  <CLI>1,1,52,False,35</CLI>
                                  <ELN>1</ELN>
                                  <LOOT>0</LOOT>
                                  <LOMN>3</LOMN>
                                  <LOMCN>1</LOMCN>
                                  <LOSN>1</LOSN>
                                  <LOEN>29</LOEN>
                                  <LOCN>35</LOCN>
                                </LnkInProps>
                              </LnkIn>
                            </Ctg>
                          </Ctgs>
                        </SubTtl>
                      </SubTtls>
                      <TtlCtg/>
                      <ElmtLnksIn>
                        <ElmtLnk>
                          <ElmtLnkProps>
                            <ELI>1,1,52</ELI>
                            <ELN>1</ELN>
                            <ELGN>6</ELGN>
                            <MLG>A4172745-D85C-404E-8029-461F8AE9358B</MLG>
                            <ICBI>1,2,3,4,5</ICBI>
                            <ILBN/>
                            <LIBN>0</LIBN>
                          </ElmtLnkProps>
                        </ElmtLnk>
                      </ElmtLnksIn>
                    </Elmt>
                  </Elmts>
                </Sect>
              </Sects>
              <Ctrls>
                <Ctrl>
                  <CtrlProps>
                    <MN>19</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19</MN>
                <MCN>2</MCN>
                <MCTK>BaseCase</MCTK>
                <RT><![CDATA[<ModuleName> - Assumptions]]></RT>
                <ERN>BPMMC68</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40</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19</MN>
                <MCN>3</MCN>
                <MCTK>OP</MCTK>
                <RT><![CDATA[<ModuleName> - Outputs]]></RT>
                <ERN>BPMMC69</ERN>
                <MCST>0</MCST>
                <IPMC>False</IPMC>
                <SN>29</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3,1,1,1,0,0,TRUE,TRUE§Z¿,§A¿0,1,0,1,33,1,1,2,0,0,TRUE,TRUE§Z¿)&")"]]></VOFFF>
                              </ClmnBlkPtProps>
                            </ClmnBlkPt>
                          </ClmnBlkPts>
                        </ClmnBlk>
                        <ClmnBlk>
                          <ClmnBlkProps>
                            <FCPT>0</FCPT>
                            <FCN>17</FCN>
                            <LCPT>0</LCPT>
                            <LCN>17</LCN>
                          </ClmnBlkProps>
                          <ClmnBlkPts>
                            <ClmnBlkPt>
                              <ClmnBlkPtProps>
                                <CBPT>5</CBPT>
                                <ST>6</ST>
                                <SON>2</SON>
                                <VOFFF><![CDATA[="FINANCIAL COST ("&IF(§A¿1,1,1,1,5,0,2,1,1§Z¿=2,§A¿0,1,0,1,33,1,1,1,0,0,TRUE,TRUE§Z¿,§A¿0,1,0,1,33,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3,2,1,2,0,0,TRUE,TRUE§Z¿,§A¿0,3,0,1,3,2,1,-1,0,0,FALSE,FALSE§Z¿*§A¿0,1,0,1,33,2,1,2,0,0,TRUE,TRUE§Z¿), 0)]]></VOFFF>
                              </ClmnBlkPtProps>
                            </ClmnBlkPt>
                          </ClmnBlkPts>
                        </ClmnBlk>
                        <ClmnBlk>
                          <ClmnBlkProps>
                            <FCPT>0</FCPT>
                            <FCN>17</FCN>
                            <LCPT>0</LCPT>
                            <LCN>17</LCN>
                          </ClmnBlkProps>
                          <ClmnBlkPts>
                            <ClmnBlkPt>
                              <ClmnBlkPtProps>
                                <CBPT>5</CBPT>
                                <ST>18</ST>
                                <SON>14</SON>
                                <VOFFF><![CDATA[=IFERROR(IF(§A¿1,1,1,1,5,0,2,1,1§Z¿=2,§A¿0,3,0,1,3,3,1,-1,0,0,FALSE,FALSE§Z¿/§A¿0,1,0,1,33,2,1,2,0,0,TRUE,TRUE§Z¿,§A¿0,3,0,1,3,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3,2,1,2,0,0,TRUE,TRUE§Z¿,§A¿0,3,0,1,4,2,1,-1,0,0,FALSE,FALSE§Z¿*§A¿0,1,0,1,33,2,1,2,0,0,TRUE,TRUE§Z¿), 0)]]></VOFFF>
                              </ClmnBlkPtProps>
                            </ClmnBlkPt>
                          </ClmnBlkPts>
                        </ClmnBlk>
                        <ClmnBlk>
                          <ClmnBlkProps>
                            <FCPT>0</FCPT>
                            <FCN>17</FCN>
                            <LCPT>0</LCPT>
                            <LCN>17</LCN>
                          </ClmnBlkProps>
                          <ClmnBlkPts>
                            <ClmnBlkPt>
                              <ClmnBlkPtProps>
                                <CBPT>5</CBPT>
                                <ST>18</ST>
                                <SON>14</SON>
                                <VOFFF><![CDATA[=IFERROR(IF(§A¿1,1,1,1,5,0,2,1,1§Z¿=2,§A¿0,3,0,1,4,3,1,-1,0,0,FALSE,FALSE§Z¿/§A¿0,1,0,1,33,2,1,2,0,0,TRUE,TRUE§Z¿,§A¿0,3,0,1,4,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3,2,1,2,0,0,TRUE,TRUE§Z¿,§A¿0,3,0,1,5,2,1,-1,0,0,FALSE,FALSE§Z¿*§A¿0,1,0,1,33,2,1,2,0,0,TRUE,TRUE§Z¿), 0)]]></VOFFF>
                              </ClmnBlkPtProps>
                            </ClmnBlkPt>
                          </ClmnBlkPts>
                        </ClmnBlk>
                        <ClmnBlk>
                          <ClmnBlkProps>
                            <FCPT>0</FCPT>
                            <FCN>17</FCN>
                            <LCPT>0</LCPT>
                            <LCN>17</LCN>
                          </ClmnBlkProps>
                          <ClmnBlkPts>
                            <ClmnBlkPt>
                              <ClmnBlkPtProps>
                                <CBPT>5</CBPT>
                                <ST>18</ST>
                                <SON>14</SON>
                                <VOFFF><![CDATA[=IFERROR(IF(§A¿1,1,1,1,5,0,2,1,1§Z¿=2,§A¿0,3,0,1,5,3,1,-1,0,0,FALSE,FALSE§Z¿/§A¿0,1,0,1,33,2,1,2,0,0,TRUE,TRUE§Z¿,§A¿0,3,0,1,5,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3,2,1,2,0,0,TRUE,TRUE§Z¿,§A¿0,3,0,1,6,2,1,-1,0,0,FALSE,FALSE§Z¿*§A¿0,1,0,1,33,2,1,2,0,0,TRUE,TRUE§Z¿), 0)]]></VOFFF>
                              </ClmnBlkPtProps>
                            </ClmnBlkPt>
                          </ClmnBlkPts>
                        </ClmnBlk>
                        <ClmnBlk>
                          <ClmnBlkProps>
                            <FCPT>0</FCPT>
                            <FCN>17</FCN>
                            <LCPT>0</LCPT>
                            <LCN>17</LCN>
                          </ClmnBlkProps>
                          <ClmnBlkPts>
                            <ClmnBlkPt>
                              <ClmnBlkPtProps>
                                <CBPT>5</CBPT>
                                <ST>18</ST>
                                <SON>14</SON>
                                <VOFFF><![CDATA[=IFERROR(IF(§A¿1,1,1,1,5,0,2,1,1§Z¿=2,§A¿0,3,0,1,6,3,1,-1,0,0,FALSE,FALSE§Z¿/§A¿0,1,0,1,33,2,1,2,0,0,TRUE,TRUE§Z¿,§A¿0,3,0,1,6,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6,6,6,-1,0,0,FALSE,FALSE§Z¿]]></VOFFF>
                              </ClmnBlkPtProps>
                            </ClmnBlkPt>
                          </ClmnBlkPts>
                        </ClmnBlk>
                        <ClmnBlk>
                          <ClmnBlkProps>
                            <FCPT>0</FCPT>
                            <FCN>12</FCN>
                            <LCPT>0</LCPT>
                            <LCN>12</LCN>
                          </ClmnBlkProps>
                          <ClmnBlkPts>
                            <ClmnBlkPt>
                              <ClmnBlkPtProps>
                                <CBPT>5</CBPT>
                                <ST>18</ST>
                                <SON>14</SON>
                                <VOFFF><![CDATA[=§A¿0,1,0,1,26,7,6,-1,0,0,FALSE,FALSE§Z¿]]></VOFFF>
                              </ClmnBlkPtProps>
                            </ClmnBlkPt>
                          </ClmnBlkPts>
                        </ClmnBlk>
                        <ClmnBlk>
                          <ClmnBlkProps>
                            <FCPT>0</FCPT>
                            <FCN>15</FCN>
                            <LCPT>0</LCPT>
                            <LCN>15</LCN>
                          </ClmnBlkProps>
                          <ClmnBlkPts>
                            <ClmnBlkPt>
                              <ClmnBlkPtProps>
                                <CBPT>5</CBPT>
                                <ST>18</ST>
                                <SON>14</SON>
                                <VOFFF><![CDATA[=IFERROR(IF(§A¿1,1,1,1,5,0,2,1,1§Z¿=2,§A¿0,3,0,1,7,2,1,-1,0,0,FALSE,FALSE§Z¿/§A¿0,1,0,1,33,2,1,2,0,0,TRUE,TRUE§Z¿,§A¿0,3,0,1,7,2,1,-1,0,0,FALSE,FALSE§Z¿*§A¿0,1,0,1,33,2,1,2,0,0,TRUE,TRUE§Z¿), 0)]]></VOFFF>
                              </ClmnBlkPtProps>
                            </ClmnBlkPt>
                          </ClmnBlkPts>
                        </ClmnBlk>
                        <ClmnBlk>
                          <ClmnBlkProps>
                            <FCPT>0</FCPT>
                            <FCN>17</FCN>
                            <LCPT>0</LCPT>
                            <LCN>17</LCN>
                          </ClmnBlkProps>
                          <ClmnBlkPts>
                            <ClmnBlkPt>
                              <ClmnBlkPtProps>
                                <CBPT>5</CBPT>
                                <ST>18</ST>
                                <SON>14</SON>
                                <VOFFF><![CDATA[=IFERROR(IF(§A¿1,1,1,1,5,0,2,1,1§Z¿=2,§A¿0,3,0,1,7,3,1,-1,0,0,FALSE,FALSE§Z¿/§A¿0,1,0,1,33,2,1,2,0,0,TRUE,TRUE§Z¿,§A¿0,3,0,1,7,3,1,-1,0,0,FALSE,FALSE§Z¿*§A¿0,1,0,1,33,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17</SON>
                                <VOFFF><![CDATA[=SUM(§A¿0,3,1,1,3,2,1,-1,0,0,FALSE,FALSE,1,7,2,1,-1,0,0,FALSE,FALSE§Z¿)]]></VOFFF>
                              </ClmnBlkPtProps>
                            </ClmnBlkPt>
                          </ClmnBlkPts>
                        </ClmnBlk>
                        <ClmnBlk>
                          <ClmnBlkProps>
                            <FCPT>0</FCPT>
                            <FCN>12</FCN>
                            <LCPT>0</LCPT>
                            <LCN>12</LCN>
                          </ClmnBlkProps>
                          <ClmnBlkPts>
                            <ClmnBlkPt>
                              <ClmnBlkPtProps>
                                <CBPT>5</CBPT>
                                <ST>18</ST>
                                <SON>17</SON>
                                <VOFFF><![CDATA[=SUM(§A¿0,3,1,1,3,3,1,-1,0,0,FALSE,FALSE,1,7,3,1,-1,0,0,FALSE,FALSE§Z¿)]]></VOFFF>
                              </ClmnBlkPtProps>
                            </ClmnBlkPt>
                          </ClmnBlkPts>
                        </ClmnBlk>
                        <ClmnBlk>
                          <ClmnBlkProps>
                            <FCPT>0</FCPT>
                            <FCN>15</FCN>
                            <LCPT>0</LCPT>
                            <LCN>15</LCN>
                          </ClmnBlkProps>
                          <ClmnBlkPts>
                            <ClmnBlkPt>
                              <ClmnBlkPtProps>
                                <CBPT>5</CBPT>
                                <ST>18</ST>
                                <SON>18</SON>
                                <VOFFF><![CDATA[=SUM(§A¿0,3,1,1,3,4,1,-1,0,0,FALSE,FALSE,1,7,4,1,-1,0,0,FALSE,FALSE§Z¿)]]></VOFFF>
                              </ClmnBlkPtProps>
                            </ClmnBlkPt>
                          </ClmnBlkPts>
                        </ClmnBlk>
                        <ClmnBlk>
                          <ClmnBlkProps>
                            <FCPT>0</FCPT>
                            <FCN>17</FCN>
                            <LCPT>0</LCPT>
                            <LCN>17</LCN>
                          </ClmnBlkProps>
                          <ClmnBlkPts>
                            <ClmnBlkPt>
                              <ClmnBlkPtProps>
                                <CBPT>5</CBPT>
                                <ST>18</ST>
                                <SON>18</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SOC_MOB_2]]></SP1>
                                    <SP2/>
                                    <FFF/>
                                    <CMT/>
                                  </RgeNmeProps>
                                </RgeNme>
                              </RgeNmes>
                            </ClmnBlkPt>
                          </ClmnBlkPts>
                        </ClmnBlk>
                        <ClmnBlk>
                          <ClmnBlkProps>
                            <FCPT>0</FCPT>
                            <FCN>18</FCN>
                            <LCPT>0</LCPT>
                            <LCN>18</LCN>
                          </ClmnBlkProps>
                          <ClmnBlkPts>
                            <ClmnBlkPt>
                              <ClmnBlkPtProps>
                                <CBPT>5</CBPT>
                                <ST>6</ST>
                                <VOFFF><![CDATA[   ]]></VOFFF>
                              </ClmnBlkPtProp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18</LCN>
                          </ClmnBlkProps>
                          <ClmnBlkPts>
                            <ClmnBlkPt>
                              <ClmnBlkPtProps>
                                <CBPT>5</CBPT>
                                <ST>-1</ST>
                                <SON>16</SON>
                                <VOFFF/>
                              </ClmnBlkPtProps>
                            </ClmnBlkPt>
                          </ClmnBlkPts>
                        </ClmnBlk>
                      </ClmnBlks>
                      <TtlCtg/>
                    </Elmt>
                  </Elmts>
                </Sect>
              </Sects>
            </ModComp>
            <ModComp>
              <ModCompProps>
                <MN>19</MN>
                <MCN>4</MCN>
                <MCTK>LU</MCTK>
                <RT><![CDATA[<ModuleName> - Lookups]]></RT>
                <ERN>BPMMC70</ERN>
                <MCST>3</MCST>
                <IPMC>False</IPMC>
                <SN>45</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42</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3,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8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8,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8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1,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8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5,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8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8,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8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2,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8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9</MN>
            <MAG>608162F4-E730-403E-9DB1-20B06C6C3C25</MAG>
            <BN><![CDATA[PLUG_ACTIVITY]]></BN>
            <N><![CDATA[MOB-3]]></N>
            <TS><![CDATA[Annual]]></TS>
            <D><![CDATA[Assists with planning the cost of an activity. Should be used with Prices module.]]></D>
            <FS/>
            <R/>
            <GE/>
            <CA/>
            <VA/>
            <GST/>
            <DE/>
            <E/>
            <C/>
            <W/>
            <K/>
            <CO/>
            <V>1.0.0.0.</V>
            <AX/>
            <PMLO>False</PMLO>
            <IPMLO>False</IPMLO>
            <MACA>1</MACA>
            <RTSM>True</RTSM>
            <CC>True</CC>
            <X>False</X>
            <G>9FC02520-FCB9-441E-9CAA-8B66331C27FB</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20</MN>
                <MCN>1</MCN>
                <MCTK>BaseCase</MCTK>
                <RT><![CDATA[<ModuleName> - Assumptions]]></RT>
                <ERN>BPMMC71</ERN>
                <MCST>0</MCST>
                <IPMC>False</IPMC>
                <SN>19</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43</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9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0]]></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20</MN>
                                  <CLI>1,1,34,False,1</CLI>
                                  <ELN>1</ELN>
                                  <LOOT>0</LOOT>
                                  <LOMN>3</LOMN>
                                  <LOMCN>2</LOMCN>
                                  <LOSN>1</LOSN>
                                  <LOEN>4</LOEN>
                                  <LOCN>1</LOCN>
                                </LnkInProps>
                              </LnkIn>
                            </Ctg>
                            <Ctg>
                              <CtgProps>
                                <R>5</R>
                              </CtgProps>
                              <LnkIn>
                                <LnkInProps>
                                  <MN>20</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4</ST>
                                <VOFFF><![CDATA[Resource Lists]]></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20</MN>
                                  <CLI>1,1,39,False,1</CLI>
                                  <ELN>1</ELN>
                                  <LOOT>0</LOOT>
                                  <LOMN>3</LOMN>
                                  <LOMCN>1</LOMCN>
                                  <LOSN>1</LOSN>
                                  <LOEN>10</LOEN>
                                  <LOCN>1</LOCN>
                                </LnkInProps>
                              </LnkIn>
                            </Ctg>
                            <Ctg>
                              <CtgProps>
                                <R>4</R>
                              </CtgProps>
                              <LnkIn>
                                <LnkInProps>
                                  <MN>20</MN>
                                  <CLI>1,1,39,False,2</CLI>
                                  <ELN>1</ELN>
                                  <LOOT>0</LOOT>
                                  <LOMN>3</LOMN>
                                  <LOMCN>1</LOMCN>
                                  <LOSN>1</LOSN>
                                  <LOEN>10</LOEN>
                                  <LOCN>2</LOCN>
                                </LnkInProps>
                              </LnkIn>
                            </Ctg>
                            <Ctg>
                              <CtgProps>
                                <R>4</R>
                              </CtgProps>
                              <LnkIn>
                                <LnkInProps>
                                  <MN>20</MN>
                                  <CLI>1,1,39,False,3</CLI>
                                  <ELN>1</ELN>
                                  <LOOT>0</LOOT>
                                  <LOMN>3</LOMN>
                                  <LOMCN>1</LOMCN>
                                  <LOSN>1</LOSN>
                                  <LOEN>10</LOEN>
                                  <LOCN>3</LOCN>
                                </LnkInProps>
                              </LnkIn>
                            </Ctg>
                            <Ctg>
                              <CtgProps>
                                <R>4</R>
                              </CtgProps>
                              <LnkIn>
                                <LnkInProps>
                                  <MN>20</MN>
                                  <CLI>1,1,39,False,4</CLI>
                                  <ELN>1</ELN>
                                  <LOOT>0</LOOT>
                                  <LOMN>3</LOMN>
                                  <LOMCN>1</LOMCN>
                                  <LOSN>1</LOSN>
                                  <LOEN>10</LOEN>
                                  <LOCN>4</LOCN>
                                </LnkInProps>
                              </LnkIn>
                            </Ctg>
                            <Ctg>
                              <CtgProps>
                                <R>4</R>
                              </CtgProps>
                              <LnkIn>
                                <LnkInProps>
                                  <MN>20</MN>
                                  <CLI>1,1,39,False,5</CLI>
                                  <ELN>1</ELN>
                                  <LOOT>0</LOOT>
                                  <LOMN>3</LOMN>
                                  <LOMCN>1</LOMCN>
                                  <LOSN>1</LOSN>
                                  <LOEN>10</LOEN>
                                  <LOCN>5</LOCN>
                                </LnkInProps>
                              </LnkIn>
                            </Ctg>
                            <Ctg>
                              <CtgProps>
                                <R>4</R>
                              </CtgProps>
                              <LnkIn>
                                <LnkInProps>
                                  <MN>20</MN>
                                  <CLI>1,1,39,False,6</CLI>
                                  <ELN>1</ELN>
                                  <LOOT>0</LOOT>
                                  <LOMN>3</LOMN>
                                  <LOMCN>1</LOMCN>
                                  <LOSN>1</LOSN>
                                  <LOEN>10</LOEN>
                                  <LOCN>6</LOCN>
                                </LnkInProps>
                              </LnkIn>
                            </Ctg>
                            <Ctg>
                              <CtgProps>
                                <R>4</R>
                              </CtgProps>
                              <LnkIn>
                                <LnkInProps>
                                  <MN>20</MN>
                                  <CLI>1,1,39,False,7</CLI>
                                  <ELN>1</ELN>
                                  <LOOT>0</LOOT>
                                  <LOMN>3</LOMN>
                                  <LOMCN>1</LOMCN>
                                  <LOSN>1</LOSN>
                                  <LOEN>10</LOEN>
                                  <LOCN>7</LOCN>
                                </LnkInProps>
                              </LnkIn>
                            </Ctg>
                            <Ctg>
                              <CtgProps>
                                <R>4</R>
                              </CtgProps>
                              <LnkIn>
                                <LnkInProps>
                                  <MN>20</MN>
                                  <CLI>1,1,39,False,8</CLI>
                                  <ELN>1</ELN>
                                  <LOOT>0</LOOT>
                                  <LOMN>3</LOMN>
                                  <LOMCN>1</LOMCN>
                                  <LOSN>1</LOSN>
                                  <LOEN>10</LOEN>
                                  <LOCN>8</LOCN>
                                </LnkInProps>
                              </LnkIn>
                            </Ctg>
                            <Ctg>
                              <CtgProps>
                                <R>4</R>
                              </CtgProps>
                              <LnkIn>
                                <LnkInProps>
                                  <MN>20</MN>
                                  <CLI>1,1,39,False,9</CLI>
                                  <ELN>1</ELN>
                                  <LOOT>0</LOOT>
                                  <LOMN>3</LOMN>
                                  <LOMCN>1</LOMCN>
                                  <LOSN>1</LOSN>
                                  <LOEN>10</LOEN>
                                  <LOCN>9</LOCN>
                                </LnkInProps>
                              </LnkIn>
                            </Ctg>
                            <Ctg>
                              <CtgProps>
                                <R>4</R>
                              </CtgProps>
                              <LnkIn>
                                <LnkInProps>
                                  <MN>20</MN>
                                  <CLI>1,1,39,False,10</CLI>
                                  <ELN>1</ELN>
                                  <LOOT>0</LOOT>
                                  <LOMN>3</LOMN>
                                  <LOMCN>1</LOMCN>
                                  <LOSN>1</LOSN>
                                  <LOEN>10</LOEN>
                                  <LOCN>10</LOCN>
                                </LnkInProps>
                              </LnkIn>
                            </Ctg>
                            <Ctg>
                              <CtgProps>
                                <R>4</R>
                              </CtgProps>
                              <LnkIn>
                                <LnkInProps>
                                  <MN>20</MN>
                                  <CLI>1,1,39,False,11</CLI>
                                  <ELN>1</ELN>
                                  <LOOT>0</LOOT>
                                  <LOMN>3</LOMN>
                                  <LOMCN>1</LOMCN>
                                  <LOSN>1</LOSN>
                                  <LOEN>10</LOEN>
                                  <LOCN>11</LOCN>
                                </LnkInProps>
                              </LnkIn>
                            </Ctg>
                            <Ctg>
                              <CtgProps>
                                <R>4</R>
                              </CtgProps>
                              <LnkIn>
                                <LnkInProps>
                                  <MN>20</MN>
                                  <CLI>1,1,39,False,12</CLI>
                                  <ELN>1</ELN>
                                  <LOOT>0</LOOT>
                                  <LOMN>3</LOMN>
                                  <LOMCN>1</LOMCN>
                                  <LOSN>1</LOSN>
                                  <LOEN>10</LOEN>
                                  <LOCN>12</LOCN>
                                </LnkInProps>
                              </LnkIn>
                            </Ctg>
                            <Ctg>
                              <CtgProps>
                                <R>4</R>
                              </CtgProps>
                              <LnkIn>
                                <LnkInProps>
                                  <MN>20</MN>
                                  <CLI>1,1,39,False,13</CLI>
                                  <ELN>1</ELN>
                                  <LOOT>0</LOOT>
                                  <LOMN>3</LOMN>
                                  <LOMCN>1</LOMCN>
                                  <LOSN>1</LOSN>
                                  <LOEN>10</LOEN>
                                  <LOCN>13</LOCN>
                                </LnkInProps>
                              </LnkIn>
                            </Ctg>
                            <Ctg>
                              <CtgProps>
                                <R>4</R>
                              </CtgProps>
                              <LnkIn>
                                <LnkInProps>
                                  <MN>20</MN>
                                  <CLI>1,1,39,False,14</CLI>
                                  <ELN>1</ELN>
                                  <LOOT>0</LOOT>
                                  <LOMN>3</LOMN>
                                  <LOMCN>1</LOMCN>
                                  <LOSN>1</LOSN>
                                  <LOEN>10</LOEN>
                                  <LOCN>14</LOCN>
                                </LnkInProps>
                              </LnkIn>
                            </Ctg>
                            <Ctg>
                              <CtgProps>
                                <R>5</R>
                              </CtgProps>
                              <LnkIn>
                                <LnkInProps>
                                  <MN>20</MN>
                                  <CLI>1,1,39,False,15</CLI>
                                  <ELN>1</ELN>
                                  <LOOT>0</LOOT>
                                  <LOMN>3</LOMN>
                                  <LOMCN>1</LOMCN>
                                  <LOSN>1</LOSN>
                                  <LOEN>10</LOEN>
                                  <LOCN>15</LOCN>
                                </LnkInProps>
                              </LnkIn>
                            </Ctg>
                            <Ctg>
                              <CtgProps>
                                <R>5</R>
                              </CtgProps>
                              <LnkIn>
                                <LnkInProps>
                                  <MN>20</MN>
                                  <CLI>1,1,39,False,16</CLI>
                                  <ELN>1</ELN>
                                  <LOOT>0</LOOT>
                                  <LOMN>3</LOMN>
                                  <LOMCN>1</LOMCN>
                                  <LOSN>1</LOSN>
                                  <LOEN>10</LOEN>
                                  <LOCN>16</LOCN>
                                </LnkInProps>
                              </LnkIn>
                            </Ctg>
                            <Ctg>
                              <CtgProps>
                                <R>5</R>
                              </CtgProps>
                              <LnkIn>
                                <LnkInProps>
                                  <MN>20</MN>
                                  <CLI>1,1,39,False,17</CLI>
                                  <ELN>1</ELN>
                                  <LOOT>0</LOOT>
                                  <LOMN>3</LOMN>
                                  <LOMCN>1</LOMCN>
                                  <LOSN>1</LOSN>
                                  <LOEN>10</LOEN>
                                  <LOCN>17</LOCN>
                                </LnkInProps>
                              </LnkIn>
                            </Ctg>
                            <Ctg>
                              <CtgProps>
                                <R>5</R>
                              </CtgProps>
                              <LnkIn>
                                <LnkInProps>
                                  <MN>20</MN>
                                  <CLI>1,1,39,False,18</CLI>
                                  <ELN>1</ELN>
                                  <LOOT>0</LOOT>
                                  <LOMN>3</LOMN>
                                  <LOMCN>1</LOMCN>
                                  <LOSN>1</LOSN>
                                  <LOEN>10</LOEN>
                                  <LOCN>18</LOCN>
                                </LnkInProps>
                              </LnkIn>
                            </Ctg>
                            <Ctg>
                              <CtgProps>
                                <R>5</R>
                              </CtgProps>
                              <LnkIn>
                                <LnkInProps>
                                  <MN>20</MN>
                                  <CLI>1,1,39,False,19</CLI>
                                  <ELN>1</ELN>
                                  <LOOT>0</LOOT>
                                  <LOMN>3</LOMN>
                                  <LOMCN>1</LOMCN>
                                  <LOSN>1</LOSN>
                                  <LOEN>10</LOEN>
                                  <LOCN>19</LOCN>
                                </LnkInProps>
                              </LnkIn>
                            </Ctg>
                            <Ctg>
                              <CtgProps>
                                <R>5</R>
                              </CtgProps>
                              <LnkIn>
                                <LnkInProps>
                                  <MN>20</MN>
                                  <CLI>1,1,39,False,20</CLI>
                                  <ELN>1</ELN>
                                  <LOOT>0</LOOT>
                                  <LOMN>3</LOMN>
                                  <LOMCN>1</LOMCN>
                                  <LOSN>1</LOSN>
                                  <LOEN>10</LOEN>
                                  <LOCN>20</LOCN>
                                </LnkInProps>
                              </LnkIn>
                            </Ctg>
                            <Ctg>
                              <CtgProps>
                                <R>5</R>
                              </CtgProps>
                              <LnkIn>
                                <LnkInProps>
                                  <MN>20</MN>
                                  <CLI>1,1,39,False,21</CLI>
                                  <ELN>1</ELN>
                                  <LOOT>0</LOOT>
                                  <LOMN>3</LOMN>
                                  <LOMCN>1</LOMCN>
                                  <LOSN>1</LOSN>
                                  <LOEN>10</LOEN>
                                  <LOCN>21</LOCN>
                                </LnkInProps>
                              </LnkIn>
                            </Ctg>
                            <Ctg>
                              <CtgProps>
                                <R>5</R>
                              </CtgProps>
                              <LnkIn>
                                <LnkInProps>
                                  <MN>20</MN>
                                  <CLI>1,1,39,False,22</CLI>
                                  <ELN>1</ELN>
                                  <LOOT>0</LOOT>
                                  <LOMN>3</LOMN>
                                  <LOMCN>1</LOMCN>
                                  <LOSN>1</LOSN>
                                  <LOEN>10</LOEN>
                                  <LOCN>22</LOCN>
                                </LnkInProps>
                              </LnkIn>
                            </Ctg>
                            <Ctg>
                              <CtgProps>
                                <R>5</R>
                              </CtgProps>
                              <LnkIn>
                                <LnkInProps>
                                  <MN>20</MN>
                                  <CLI>1,1,39,False,23</CLI>
                                  <ELN>1</ELN>
                                  <LOOT>0</LOOT>
                                  <LOMN>3</LOMN>
                                  <LOMCN>1</LOMCN>
                                  <LOSN>1</LOSN>
                                  <LOEN>10</LOEN>
                                  <LOCN>23</LOCN>
                                </LnkInProps>
                              </LnkIn>
                            </Ctg>
                            <Ctg>
                              <CtgProps>
                                <R>5</R>
                              </CtgProps>
                              <LnkIn>
                                <LnkInProps>
                                  <MN>20</MN>
                                  <CLI>1,1,39,False,24</CLI>
                                  <ELN>1</ELN>
                                  <LOOT>0</LOOT>
                                  <LOMN>3</LOMN>
                                  <LOMCN>1</LOMCN>
                                  <LOSN>1</LOSN>
                                  <LOEN>10</LOEN>
                                  <LOCN>24</LOCN>
                                </LnkInProps>
                              </LnkIn>
                            </Ctg>
                            <Ctg>
                              <CtgProps>
                                <R>5</R>
                              </CtgProps>
                              <LnkIn>
                                <LnkInProps>
                                  <MN>20</MN>
                                  <CLI>1,1,39,False,25</CLI>
                                  <ELN>1</ELN>
                                  <LOOT>0</LOOT>
                                  <LOMN>3</LOMN>
                                  <LOMCN>1</LOMCN>
                                  <LOSN>1</LOSN>
                                  <LOEN>10</LOEN>
                                  <LOCN>25</LOCN>
                                </LnkInProps>
                              </LnkIn>
                            </Ctg>
                            <Ctg>
                              <CtgProps>
                                <R>5</R>
                              </CtgProps>
                              <LnkIn>
                                <LnkInProps>
                                  <MN>20</MN>
                                  <CLI>1,1,39,False,26</CLI>
                                  <ELN>1</ELN>
                                  <LOOT>0</LOOT>
                                  <LOMN>3</LOMN>
                                  <LOMCN>1</LOMCN>
                                  <LOSN>1</LOSN>
                                  <LOEN>10</LOEN>
                                  <LOCN>26</LOCN>
                                </LnkInProps>
                              </LnkIn>
                            </Ctg>
                            <Ctg>
                              <CtgProps>
                                <R>5</R>
                              </CtgProps>
                              <LnkIn>
                                <LnkInProps>
                                  <MN>20</MN>
                                  <CLI>1,1,39,False,27</CLI>
                                  <ELN>1</ELN>
                                  <LOOT>0</LOOT>
                                  <LOMN>3</LOMN>
                                  <LOMCN>1</LOMCN>
                                  <LOSN>1</LOSN>
                                  <LOEN>10</LOEN>
                                  <LOCN>27</LOCN>
                                </LnkInProps>
                              </LnkIn>
                            </Ctg>
                            <Ctg>
                              <CtgProps>
                                <R>5</R>
                              </CtgProps>
                              <LnkIn>
                                <LnkInProps>
                                  <MN>20</MN>
                                  <CLI>1,1,39,False,28</CLI>
                                  <ELN>1</ELN>
                                  <LOOT>0</LOOT>
                                  <LOMN>3</LOMN>
                                  <LOMCN>1</LOMCN>
                                  <LOSN>1</LOSN>
                                  <LOEN>10</LOEN>
                                  <LOCN>28</LOCN>
                                </LnkInProps>
                              </LnkIn>
                            </Ctg>
                            <Ctg>
                              <CtgProps>
                                <R>5</R>
                              </CtgProps>
                              <LnkIn>
                                <LnkInProps>
                                  <MN>20</MN>
                                  <CLI>1,1,39,False,29</CLI>
                                  <ELN>1</ELN>
                                  <LOOT>0</LOOT>
                                  <LOMN>3</LOMN>
                                  <LOMCN>1</LOMCN>
                                  <LOSN>1</LOSN>
                                  <LOEN>10</LOEN>
                                  <LOCN>29</LOCN>
                                </LnkInProps>
                              </LnkIn>
                            </Ctg>
                            <Ctg>
                              <CtgProps>
                                <R>5</R>
                              </CtgProps>
                              <LnkIn>
                                <LnkInProps>
                                  <MN>20</MN>
                                  <CLI>1,1,39,False,30</CLI>
                                  <ELN>1</ELN>
                                  <LOOT>0</LOOT>
                                  <LOMN>3</LOMN>
                                  <LOMCN>1</LOMCN>
                                  <LOSN>1</LOSN>
                                  <LOEN>10</LOEN>
                                  <LOCN>30</LOCN>
                                </LnkInProps>
                              </LnkIn>
                            </Ctg>
                            <Ctg>
                              <CtgProps>
                                <R>5</R>
                              </CtgProps>
                              <LnkIn>
                                <LnkInProps>
                                  <MN>20</MN>
                                  <CLI>1,1,39,False,31</CLI>
                                  <ELN>1</ELN>
                                  <LOOT>0</LOOT>
                                  <LOMN>3</LOMN>
                                  <LOMCN>1</LOMCN>
                                  <LOSN>1</LOSN>
                                  <LOEN>10</LOEN>
                                  <LOCN>31</LOCN>
                                </LnkInProps>
                              </LnkIn>
                            </Ctg>
                            <Ctg>
                              <CtgProps>
                                <R>5</R>
                              </CtgProps>
                              <LnkIn>
                                <LnkInProps>
                                  <MN>20</MN>
                                  <CLI>1,1,39,False,32</CLI>
                                  <ELN>1</ELN>
                                  <LOOT>0</LOOT>
                                  <LOMN>3</LOMN>
                                  <LOMCN>1</LOMCN>
                                  <LOSN>1</LOSN>
                                  <LOEN>10</LOEN>
                                  <LOCN>32</LOCN>
                                </LnkInProps>
                              </LnkIn>
                            </Ctg>
                            <Ctg>
                              <CtgProps>
                                <R>5</R>
                              </CtgProps>
                              <LnkIn>
                                <LnkInProps>
                                  <MN>20</MN>
                                  <CLI>1,1,39,False,33</CLI>
                                  <ELN>1</ELN>
                                  <LOOT>0</LOOT>
                                  <LOMN>3</LOMN>
                                  <LOMCN>1</LOMCN>
                                  <LOSN>1</LOSN>
                                  <LOEN>10</LOEN>
                                  <LOCN>33</LOCN>
                                </LnkInProps>
                              </LnkIn>
                            </Ctg>
                            <Ctg>
                              <CtgProps>
                                <R>5</R>
                              </CtgProps>
                              <LnkIn>
                                <LnkInProps>
                                  <MN>20</MN>
                                  <CLI>1,1,39,False,34</CLI>
                                  <ELN>1</ELN>
                                  <LOOT>0</LOOT>
                                  <LOMN>3</LOMN>
                                  <LOMCN>1</LOMCN>
                                  <LOSN>1</LOSN>
                                  <LOEN>10</LOEN>
                                  <LOCN>34</LOCN>
                                </LnkInProps>
                              </LnkIn>
                            </Ctg>
                            <Ctg>
                              <CtgProps>
                                <R>5</R>
                              </CtgProps>
                              <LnkIn>
                                <LnkInProps>
                                  <MN>20</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20</MN>
                                  <CLI>1,1,42,False,1</CLI>
                                  <ELN>1</ELN>
                                  <LOOT>0</LOOT>
                                  <LOMN>3</LOMN>
                                  <LOMCN>1</LOMCN>
                                  <LOSN>1</LOSN>
                                  <LOEN>15</LOEN>
                                  <LOCN>1</LOCN>
                                </LnkInProps>
                              </LnkIn>
                            </Ctg>
                            <Ctg>
                              <CtgProps>
                                <R>4</R>
                              </CtgProps>
                              <LnkIn>
                                <LnkInProps>
                                  <MN>20</MN>
                                  <CLI>1,1,42,False,2</CLI>
                                  <ELN>1</ELN>
                                  <LOOT>0</LOOT>
                                  <LOMN>3</LOMN>
                                  <LOMCN>1</LOMCN>
                                  <LOSN>1</LOSN>
                                  <LOEN>15</LOEN>
                                  <LOCN>2</LOCN>
                                </LnkInProps>
                              </LnkIn>
                            </Ctg>
                            <Ctg>
                              <CtgProps>
                                <R>4</R>
                              </CtgProps>
                              <LnkIn>
                                <LnkInProps>
                                  <MN>20</MN>
                                  <CLI>1,1,42,False,3</CLI>
                                  <ELN>1</ELN>
                                  <LOOT>0</LOOT>
                                  <LOMN>3</LOMN>
                                  <LOMCN>1</LOMCN>
                                  <LOSN>1</LOSN>
                                  <LOEN>15</LOEN>
                                  <LOCN>3</LOCN>
                                </LnkInProps>
                              </LnkIn>
                            </Ctg>
                            <Ctg>
                              <CtgProps>
                                <R>4</R>
                              </CtgProps>
                              <LnkIn>
                                <LnkInProps>
                                  <MN>20</MN>
                                  <CLI>1,1,42,False,4</CLI>
                                  <ELN>1</ELN>
                                  <LOOT>0</LOOT>
                                  <LOMN>3</LOMN>
                                  <LOMCN>1</LOMCN>
                                  <LOSN>1</LOSN>
                                  <LOEN>15</LOEN>
                                  <LOCN>4</LOCN>
                                </LnkInProps>
                              </LnkIn>
                            </Ctg>
                            <Ctg>
                              <CtgProps>
                                <R>5</R>
                              </CtgProps>
                              <LnkIn>
                                <LnkInProps>
                                  <MN>20</MN>
                                  <CLI>1,1,42,False,5</CLI>
                                  <ELN>1</ELN>
                                  <LOOT>0</LOOT>
                                  <LOMN>3</LOMN>
                                  <LOMCN>1</LOMCN>
                                  <LOSN>1</LOSN>
                                  <LOEN>15</LOEN>
                                  <LOCN>5</LOCN>
                                </LnkInProps>
                              </LnkIn>
                            </Ctg>
                            <Ctg>
                              <CtgProps>
                                <R>5</R>
                              </CtgProps>
                              <LnkIn>
                                <LnkInProps>
                                  <MN>20</MN>
                                  <CLI>1,1,42,False,6</CLI>
                                  <ELN>1</ELN>
                                  <LOOT>0</LOOT>
                                  <LOMN>3</LOMN>
                                  <LOMCN>1</LOMCN>
                                  <LOSN>1</LOSN>
                                  <LOEN>15</LOEN>
                                  <LOCN>6</LOCN>
                                </LnkInProps>
                              </LnkIn>
                            </Ctg>
                            <Ctg>
                              <CtgProps>
                                <R>5</R>
                              </CtgProps>
                              <LnkIn>
                                <LnkInProps>
                                  <MN>20</MN>
                                  <CLI>1,1,42,False,7</CLI>
                                  <ELN>1</ELN>
                                  <LOOT>0</LOOT>
                                  <LOMN>3</LOMN>
                                  <LOMCN>1</LOMCN>
                                  <LOSN>1</LOSN>
                                  <LOEN>15</LOEN>
                                  <LOCN>7</LOCN>
                                </LnkInProps>
                              </LnkIn>
                            </Ctg>
                            <Ctg>
                              <CtgProps>
                                <R>5</R>
                              </CtgProps>
                              <LnkIn>
                                <LnkInProps>
                                  <MN>20</MN>
                                  <CLI>1,1,42,False,8</CLI>
                                  <ELN>1</ELN>
                                  <LOOT>0</LOOT>
                                  <LOMN>3</LOMN>
                                  <LOMCN>1</LOMCN>
                                  <LOSN>1</LOSN>
                                  <LOEN>15</LOEN>
                                  <LOCN>8</LOCN>
                                </LnkInProps>
                              </LnkIn>
                            </Ctg>
                            <Ctg>
                              <CtgProps>
                                <R>5</R>
                              </CtgProps>
                              <LnkIn>
                                <LnkInProps>
                                  <MN>20</MN>
                                  <CLI>1,1,42,False,9</CLI>
                                  <ELN>1</ELN>
                                  <LOOT>0</LOOT>
                                  <LOMN>3</LOMN>
                                  <LOMCN>1</LOMCN>
                                  <LOSN>1</LOSN>
                                  <LOEN>15</LOEN>
                                  <LOCN>9</LOCN>
                                </LnkInProps>
                              </LnkIn>
                            </Ctg>
                            <Ctg>
                              <CtgProps>
                                <R>5</R>
                              </CtgProps>
                              <LnkIn>
                                <LnkInProps>
                                  <MN>20</MN>
                                  <CLI>1,1,42,False,10</CLI>
                                  <ELN>1</ELN>
                                  <LOOT>0</LOOT>
                                  <LOMN>3</LOMN>
                                  <LOMCN>1</LOMCN>
                                  <LOSN>1</LOSN>
                                  <LOEN>15</LOEN>
                                  <LOCN>10</LOCN>
                                </LnkInProps>
                              </LnkIn>
                            </Ctg>
                            <Ctg>
                              <CtgProps>
                                <R>5</R>
                              </CtgProps>
                              <LnkIn>
                                <LnkInProps>
                                  <MN>20</MN>
                                  <CLI>1,1,42,False,11</CLI>
                                  <ELN>1</ELN>
                                  <LOOT>0</LOOT>
                                  <LOMN>3</LOMN>
                                  <LOMCN>1</LOMCN>
                                  <LOSN>1</LOSN>
                                  <LOEN>15</LOEN>
                                  <LOCN>11</LOCN>
                                </LnkInProps>
                              </LnkIn>
                            </Ctg>
                            <Ctg>
                              <CtgProps>
                                <R>5</R>
                              </CtgProps>
                              <LnkIn>
                                <LnkInProps>
                                  <MN>20</MN>
                                  <CLI>1,1,42,False,12</CLI>
                                  <ELN>1</ELN>
                                  <LOOT>0</LOOT>
                                  <LOMN>3</LOMN>
                                  <LOMCN>1</LOMCN>
                                  <LOSN>1</LOSN>
                                  <LOEN>15</LOEN>
                                  <LOCN>12</LOCN>
                                </LnkInProps>
                              </LnkIn>
                            </Ctg>
                            <Ctg>
                              <CtgProps>
                                <R>5</R>
                              </CtgProps>
                              <LnkIn>
                                <LnkInProps>
                                  <MN>20</MN>
                                  <CLI>1,1,42,False,13</CLI>
                                  <ELN>1</ELN>
                                  <LOOT>0</LOOT>
                                  <LOMN>3</LOMN>
                                  <LOMCN>1</LOMCN>
                                  <LOSN>1</LOSN>
                                  <LOEN>15</LOEN>
                                  <LOCN>13</LOCN>
                                </LnkInProps>
                              </LnkIn>
                            </Ctg>
                            <Ctg>
                              <CtgProps>
                                <R>5</R>
                              </CtgProps>
                              <LnkIn>
                                <LnkInProps>
                                  <MN>20</MN>
                                  <CLI>1,1,42,False,14</CLI>
                                  <ELN>1</ELN>
                                  <LOOT>0</LOOT>
                                  <LOMN>3</LOMN>
                                  <LOMCN>1</LOMCN>
                                  <LOSN>1</LOSN>
                                  <LOEN>15</LOEN>
                                  <LOCN>14</LOCN>
                                </LnkInProps>
                              </LnkIn>
                            </Ctg>
                            <Ctg>
                              <CtgProps>
                                <R>5</R>
                              </CtgProps>
                              <LnkIn>
                                <LnkInProps>
                                  <MN>20</MN>
                                  <CLI>1,1,42,False,15</CLI>
                                  <ELN>1</ELN>
                                  <LOOT>0</LOOT>
                                  <LOMN>3</LOMN>
                                  <LOMCN>1</LOMCN>
                                  <LOSN>1</LOSN>
                                  <LOEN>15</LOEN>
                                  <LOCN>15</LOCN>
                                </LnkInProps>
                              </LnkIn>
                            </Ctg>
                            <Ctg>
                              <CtgProps>
                                <R>5</R>
                              </CtgProps>
                              <LnkIn>
                                <LnkInProps>
                                  <MN>20</MN>
                                  <CLI>1,1,42,False,16</CLI>
                                  <ELN>1</ELN>
                                  <LOOT>0</LOOT>
                                  <LOMN>3</LOMN>
                                  <LOMCN>1</LOMCN>
                                  <LOSN>1</LOSN>
                                  <LOEN>15</LOEN>
                                  <LOCN>16</LOCN>
                                </LnkInProps>
                              </LnkIn>
                            </Ctg>
                            <Ctg>
                              <CtgProps>
                                <R>4</R>
                              </CtgProps>
                              <LnkIn>
                                <LnkInProps>
                                  <MN>20</MN>
                                  <CLI>1,1,42,False,17</CLI>
                                  <ELN>1</ELN>
                                  <LOOT>0</LOOT>
                                  <LOMN>3</LOMN>
                                  <LOMCN>1</LOMCN>
                                  <LOSN>1</LOSN>
                                  <LOEN>15</LOEN>
                                  <LOCN>17</LOCN>
                                </LnkInProps>
                              </LnkIn>
                            </Ctg>
                            <Ctg>
                              <CtgProps>
                                <R>4</R>
                              </CtgProps>
                              <LnkIn>
                                <LnkInProps>
                                  <MN>20</MN>
                                  <CLI>1,1,42,False,18</CLI>
                                  <ELN>1</ELN>
                                  <LOOT>0</LOOT>
                                  <LOMN>3</LOMN>
                                  <LOMCN>1</LOMCN>
                                  <LOSN>1</LOSN>
                                  <LOEN>15</LOEN>
                                  <LOCN>18</LOCN>
                                </LnkInProps>
                              </LnkIn>
                            </Ctg>
                            <Ctg>
                              <CtgProps>
                                <R>4</R>
                              </CtgProps>
                              <LnkIn>
                                <LnkInProps>
                                  <MN>20</MN>
                                  <CLI>1,1,42,False,19</CLI>
                                  <ELN>1</ELN>
                                  <LOOT>0</LOOT>
                                  <LOMN>3</LOMN>
                                  <LOMCN>1</LOMCN>
                                  <LOSN>1</LOSN>
                                  <LOEN>15</LOEN>
                                  <LOCN>19</LOCN>
                                </LnkInProps>
                              </LnkIn>
                            </Ctg>
                            <Ctg>
                              <CtgProps>
                                <R>4</R>
                              </CtgProps>
                              <LnkIn>
                                <LnkInProps>
                                  <MN>20</MN>
                                  <CLI>1,1,42,False,20</CLI>
                                  <ELN>1</ELN>
                                  <LOOT>0</LOOT>
                                  <LOMN>3</LOMN>
                                  <LOMCN>1</LOMCN>
                                  <LOSN>1</LOSN>
                                  <LOEN>15</LOEN>
                                  <LOCN>20</LOCN>
                                </LnkInProps>
                              </LnkIn>
                            </Ctg>
                            <Ctg>
                              <CtgProps>
                                <R>4</R>
                              </CtgProps>
                              <LnkIn>
                                <LnkInProps>
                                  <MN>20</MN>
                                  <CLI>1,1,42,False,21</CLI>
                                  <ELN>1</ELN>
                                  <LOOT>0</LOOT>
                                  <LOMN>3</LOMN>
                                  <LOMCN>1</LOMCN>
                                  <LOSN>1</LOSN>
                                  <LOEN>15</LOEN>
                                  <LOCN>21</LOCN>
                                </LnkInProps>
                              </LnkIn>
                            </Ctg>
                            <Ctg>
                              <CtgProps>
                                <R>4</R>
                              </CtgProps>
                              <LnkIn>
                                <LnkInProps>
                                  <MN>20</MN>
                                  <CLI>1,1,42,False,22</CLI>
                                  <ELN>1</ELN>
                                  <LOOT>0</LOOT>
                                  <LOMN>3</LOMN>
                                  <LOMCN>1</LOMCN>
                                  <LOSN>1</LOSN>
                                  <LOEN>15</LOEN>
                                  <LOCN>22</LOCN>
                                </LnkInProps>
                              </LnkIn>
                            </Ctg>
                            <Ctg>
                              <CtgProps>
                                <R>5</R>
                              </CtgProps>
                              <LnkIn>
                                <LnkInProps>
                                  <MN>20</MN>
                                  <CLI>1,1,42,False,23</CLI>
                                  <ELN>1</ELN>
                                  <LOOT>0</LOOT>
                                  <LOMN>3</LOMN>
                                  <LOMCN>1</LOMCN>
                                  <LOSN>1</LOSN>
                                  <LOEN>15</LOEN>
                                  <LOCN>23</LOCN>
                                </LnkInProps>
                              </LnkIn>
                            </Ctg>
                            <Ctg>
                              <CtgProps>
                                <R>5</R>
                              </CtgProps>
                              <LnkIn>
                                <LnkInProps>
                                  <MN>20</MN>
                                  <CLI>1,1,42,False,24</CLI>
                                  <ELN>1</ELN>
                                  <LOOT>0</LOOT>
                                  <LOMN>3</LOMN>
                                  <LOMCN>1</LOMCN>
                                  <LOSN>1</LOSN>
                                  <LOEN>15</LOEN>
                                  <LOCN>24</LOCN>
                                </LnkInProps>
                              </LnkIn>
                            </Ctg>
                            <Ctg>
                              <CtgProps>
                                <R>5</R>
                              </CtgProps>
                              <LnkIn>
                                <LnkInProps>
                                  <MN>20</MN>
                                  <CLI>1,1,42,False,25</CLI>
                                  <ELN>1</ELN>
                                  <LOOT>0</LOOT>
                                  <LOMN>3</LOMN>
                                  <LOMCN>1</LOMCN>
                                  <LOSN>1</LOSN>
                                  <LOEN>15</LOEN>
                                  <LOCN>25</LOCN>
                                </LnkInProps>
                              </LnkIn>
                            </Ctg>
                            <Ctg>
                              <CtgProps>
                                <R>5</R>
                              </CtgProps>
                              <LnkIn>
                                <LnkInProps>
                                  <MN>20</MN>
                                  <CLI>1,1,42,False,26</CLI>
                                  <ELN>1</ELN>
                                  <LOOT>0</LOOT>
                                  <LOMN>3</LOMN>
                                  <LOMCN>1</LOMCN>
                                  <LOSN>1</LOSN>
                                  <LOEN>15</LOEN>
                                  <LOCN>26</LOCN>
                                </LnkInProps>
                              </LnkIn>
                            </Ctg>
                            <Ctg>
                              <CtgProps>
                                <R>5</R>
                              </CtgProps>
                              <LnkIn>
                                <LnkInProps>
                                  <MN>20</MN>
                                  <CLI>1,1,42,False,27</CLI>
                                  <ELN>1</ELN>
                                  <LOOT>0</LOOT>
                                  <LOMN>3</LOMN>
                                  <LOMCN>1</LOMCN>
                                  <LOSN>1</LOSN>
                                  <LOEN>15</LOEN>
                                  <LOCN>27</LOCN>
                                </LnkInProps>
                              </LnkIn>
                            </Ctg>
                            <Ctg>
                              <CtgProps>
                                <R>5</R>
                              </CtgProps>
                              <LnkIn>
                                <LnkInProps>
                                  <MN>20</MN>
                                  <CLI>1,1,42,False,28</CLI>
                                  <ELN>1</ELN>
                                  <LOOT>0</LOOT>
                                  <LOMN>3</LOMN>
                                  <LOMCN>1</LOMCN>
                                  <LOSN>1</LOSN>
                                  <LOEN>15</LOEN>
                                  <LOCN>28</LOCN>
                                </LnkInProps>
                              </LnkIn>
                            </Ctg>
                            <Ctg>
                              <CtgProps>
                                <R>5</R>
                              </CtgProps>
                              <LnkIn>
                                <LnkInProps>
                                  <MN>20</MN>
                                  <CLI>1,1,42,False,29</CLI>
                                  <ELN>1</ELN>
                                  <LOOT>0</LOOT>
                                  <LOMN>3</LOMN>
                                  <LOMCN>1</LOMCN>
                                  <LOSN>1</LOSN>
                                  <LOEN>15</LOEN>
                                  <LOCN>29</LOCN>
                                </LnkInProps>
                              </LnkIn>
                            </Ctg>
                            <Ctg>
                              <CtgProps>
                                <R>5</R>
                              </CtgProps>
                              <LnkIn>
                                <LnkInProps>
                                  <MN>20</MN>
                                  <CLI>1,1,42,False,30</CLI>
                                  <ELN>1</ELN>
                                  <LOOT>0</LOOT>
                                  <LOMN>3</LOMN>
                                  <LOMCN>1</LOMCN>
                                  <LOSN>1</LOSN>
                                  <LOEN>15</LOEN>
                                  <LOCN>30</LOCN>
                                </LnkInProps>
                              </LnkIn>
                            </Ctg>
                            <Ctg>
                              <CtgProps>
                                <R>4</R>
                              </CtgProps>
                              <LnkIn>
                                <LnkInProps>
                                  <MN>20</MN>
                                  <CLI>1,1,42,False,31</CLI>
                                  <ELN>1</ELN>
                                  <LOOT>0</LOOT>
                                  <LOMN>3</LOMN>
                                  <LOMCN>1</LOMCN>
                                  <LOSN>1</LOSN>
                                  <LOEN>15</LOEN>
                                  <LOCN>31</LOCN>
                                </LnkInProps>
                              </LnkIn>
                            </Ctg>
                            <Ctg>
                              <CtgProps>
                                <R>4</R>
                              </CtgProps>
                              <LnkIn>
                                <LnkInProps>
                                  <MN>20</MN>
                                  <CLI>1,1,42,False,32</CLI>
                                  <ELN>1</ELN>
                                  <LOOT>0</LOOT>
                                  <LOMN>3</LOMN>
                                  <LOMCN>1</LOMCN>
                                  <LOSN>1</LOSN>
                                  <LOEN>15</LOEN>
                                  <LOCN>32</LOCN>
                                </LnkInProps>
                              </LnkIn>
                            </Ctg>
                            <Ctg>
                              <CtgProps>
                                <R>4</R>
                              </CtgProps>
                              <LnkIn>
                                <LnkInProps>
                                  <MN>20</MN>
                                  <CLI>1,1,42,False,33</CLI>
                                  <ELN>1</ELN>
                                  <LOOT>0</LOOT>
                                  <LOMN>3</LOMN>
                                  <LOMCN>1</LOMCN>
                                  <LOSN>1</LOSN>
                                  <LOEN>15</LOEN>
                                  <LOCN>33</LOCN>
                                </LnkInProps>
                              </LnkIn>
                            </Ctg>
                            <Ctg>
                              <CtgProps>
                                <R>4</R>
                              </CtgProps>
                              <LnkIn>
                                <LnkInProps>
                                  <MN>20</MN>
                                  <CLI>1,1,42,False,34</CLI>
                                  <ELN>1</ELN>
                                  <LOOT>0</LOOT>
                                  <LOMN>3</LOMN>
                                  <LOMCN>1</LOMCN>
                                  <LOSN>1</LOSN>
                                  <LOEN>15</LOEN>
                                  <LOCN>34</LOCN>
                                </LnkInProps>
                              </LnkIn>
                            </Ctg>
                            <Ctg>
                              <CtgProps>
                                <R>4</R>
                              </CtgProps>
                              <LnkIn>
                                <LnkInProps>
                                  <MN>20</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20</MN>
                                  <CLI>1,1,46,False,1</CLI>
                                  <ELN>1</ELN>
                                  <LOOT>0</LOOT>
                                  <LOMN>3</LOMN>
                                  <LOMCN>1</LOMCN>
                                  <LOSN>1</LOSN>
                                  <LOEN>19</LOEN>
                                  <LOCN>1</LOCN>
                                </LnkInProps>
                              </LnkIn>
                            </Ctg>
                            <Ctg>
                              <CtgProps>
                                <R>4</R>
                              </CtgProps>
                              <LnkIn>
                                <LnkInProps>
                                  <MN>20</MN>
                                  <CLI>1,1,46,False,2</CLI>
                                  <ELN>1</ELN>
                                  <LOOT>0</LOOT>
                                  <LOMN>3</LOMN>
                                  <LOMCN>1</LOMCN>
                                  <LOSN>1</LOSN>
                                  <LOEN>19</LOEN>
                                  <LOCN>2</LOCN>
                                </LnkInProps>
                              </LnkIn>
                            </Ctg>
                            <Ctg>
                              <CtgProps>
                                <R>4</R>
                              </CtgProps>
                              <LnkIn>
                                <LnkInProps>
                                  <MN>20</MN>
                                  <CLI>1,1,46,False,3</CLI>
                                  <ELN>1</ELN>
                                  <LOOT>0</LOOT>
                                  <LOMN>3</LOMN>
                                  <LOMCN>1</LOMCN>
                                  <LOSN>1</LOSN>
                                  <LOEN>19</LOEN>
                                  <LOCN>3</LOCN>
                                </LnkInProps>
                              </LnkIn>
                            </Ctg>
                            <Ctg>
                              <CtgProps>
                                <R>4</R>
                              </CtgProps>
                              <LnkIn>
                                <LnkInProps>
                                  <MN>20</MN>
                                  <CLI>1,1,46,False,4</CLI>
                                  <ELN>1</ELN>
                                  <LOOT>0</LOOT>
                                  <LOMN>3</LOMN>
                                  <LOMCN>1</LOMCN>
                                  <LOSN>1</LOSN>
                                  <LOEN>19</LOEN>
                                  <LOCN>4</LOCN>
                                </LnkInProps>
                              </LnkIn>
                            </Ctg>
                            <Ctg>
                              <CtgProps>
                                <R>4</R>
                              </CtgProps>
                              <LnkIn>
                                <LnkInProps>
                                  <MN>20</MN>
                                  <CLI>1,1,46,False,5</CLI>
                                  <ELN>1</ELN>
                                  <LOOT>0</LOOT>
                                  <LOMN>3</LOMN>
                                  <LOMCN>1</LOMCN>
                                  <LOSN>1</LOSN>
                                  <LOEN>19</LOEN>
                                  <LOCN>5</LOCN>
                                </LnkInProps>
                              </LnkIn>
                            </Ctg>
                            <Ctg>
                              <CtgProps>
                                <R>4</R>
                              </CtgProps>
                              <LnkIn>
                                <LnkInProps>
                                  <MN>20</MN>
                                  <CLI>1,1,46,False,6</CLI>
                                  <ELN>1</ELN>
                                  <LOOT>0</LOOT>
                                  <LOMN>3</LOMN>
                                  <LOMCN>1</LOMCN>
                                  <LOSN>1</LOSN>
                                  <LOEN>19</LOEN>
                                  <LOCN>6</LOCN>
                                </LnkInProps>
                              </LnkIn>
                            </Ctg>
                            <Ctg>
                              <CtgProps>
                                <R>4</R>
                              </CtgProps>
                              <LnkIn>
                                <LnkInProps>
                                  <MN>20</MN>
                                  <CLI>1,1,46,False,7</CLI>
                                  <ELN>1</ELN>
                                  <LOOT>0</LOOT>
                                  <LOMN>3</LOMN>
                                  <LOMCN>1</LOMCN>
                                  <LOSN>1</LOSN>
                                  <LOEN>19</LOEN>
                                  <LOCN>7</LOCN>
                                </LnkInProps>
                              </LnkIn>
                            </Ctg>
                            <Ctg>
                              <CtgProps>
                                <R>4</R>
                              </CtgProps>
                              <LnkIn>
                                <LnkInProps>
                                  <MN>20</MN>
                                  <CLI>1,1,46,False,8</CLI>
                                  <ELN>1</ELN>
                                  <LOOT>0</LOOT>
                                  <LOMN>3</LOMN>
                                  <LOMCN>1</LOMCN>
                                  <LOSN>1</LOSN>
                                  <LOEN>19</LOEN>
                                  <LOCN>8</LOCN>
                                </LnkInProps>
                              </LnkIn>
                            </Ctg>
                            <Ctg>
                              <CtgProps>
                                <R>4</R>
                              </CtgProps>
                              <LnkIn>
                                <LnkInProps>
                                  <MN>20</MN>
                                  <CLI>1,1,46,False,9</CLI>
                                  <ELN>1</ELN>
                                  <LOOT>0</LOOT>
                                  <LOMN>3</LOMN>
                                  <LOMCN>1</LOMCN>
                                  <LOSN>1</LOSN>
                                  <LOEN>19</LOEN>
                                  <LOCN>9</LOCN>
                                </LnkInProps>
                              </LnkIn>
                            </Ctg>
                            <Ctg>
                              <CtgProps>
                                <R>4</R>
                              </CtgProps>
                              <LnkIn>
                                <LnkInProps>
                                  <MN>20</MN>
                                  <CLI>1,1,46,False,10</CLI>
                                  <ELN>1</ELN>
                                  <LOOT>0</LOOT>
                                  <LOMN>3</LOMN>
                                  <LOMCN>1</LOMCN>
                                  <LOSN>1</LOSN>
                                  <LOEN>19</LOEN>
                                  <LOCN>10</LOCN>
                                </LnkInProps>
                              </LnkIn>
                            </Ctg>
                            <Ctg>
                              <CtgProps>
                                <R>4</R>
                              </CtgProps>
                              <LnkIn>
                                <LnkInProps>
                                  <MN>20</MN>
                                  <CLI>1,1,46,False,11</CLI>
                                  <ELN>1</ELN>
                                  <LOOT>0</LOOT>
                                  <LOMN>3</LOMN>
                                  <LOMCN>1</LOMCN>
                                  <LOSN>1</LOSN>
                                  <LOEN>19</LOEN>
                                  <LOCN>11</LOCN>
                                </LnkInProps>
                              </LnkIn>
                            </Ctg>
                            <Ctg>
                              <CtgProps>
                                <R>4</R>
                              </CtgProps>
                              <LnkIn>
                                <LnkInProps>
                                  <MN>20</MN>
                                  <CLI>1,1,46,False,12</CLI>
                                  <ELN>1</ELN>
                                  <LOOT>0</LOOT>
                                  <LOMN>3</LOMN>
                                  <LOMCN>1</LOMCN>
                                  <LOSN>1</LOSN>
                                  <LOEN>19</LOEN>
                                  <LOCN>12</LOCN>
                                </LnkInProps>
                              </LnkIn>
                            </Ctg>
                            <Ctg>
                              <CtgProps>
                                <R>4</R>
                              </CtgProps>
                              <LnkIn>
                                <LnkInProps>
                                  <MN>20</MN>
                                  <CLI>1,1,46,False,13</CLI>
                                  <ELN>1</ELN>
                                  <LOOT>0</LOOT>
                                  <LOMN>3</LOMN>
                                  <LOMCN>1</LOMCN>
                                  <LOSN>1</LOSN>
                                  <LOEN>19</LOEN>
                                  <LOCN>13</LOCN>
                                </LnkInProps>
                              </LnkIn>
                            </Ctg>
                            <Ctg>
                              <CtgProps>
                                <R>4</R>
                              </CtgProps>
                              <LnkIn>
                                <LnkInProps>
                                  <MN>20</MN>
                                  <CLI>1,1,46,False,14</CLI>
                                  <ELN>1</ELN>
                                  <LOOT>0</LOOT>
                                  <LOMN>3</LOMN>
                                  <LOMCN>1</LOMCN>
                                  <LOSN>1</LOSN>
                                  <LOEN>19</LOEN>
                                  <LOCN>14</LOCN>
                                </LnkInProps>
                              </LnkIn>
                            </Ctg>
                            <Ctg>
                              <CtgProps>
                                <R>4</R>
                              </CtgProps>
                              <LnkIn>
                                <LnkInProps>
                                  <MN>20</MN>
                                  <CLI>1,1,46,False,15</CLI>
                                  <ELN>1</ELN>
                                  <LOOT>0</LOOT>
                                  <LOMN>3</LOMN>
                                  <LOMCN>1</LOMCN>
                                  <LOSN>1</LOSN>
                                  <LOEN>19</LOEN>
                                  <LOCN>15</LOCN>
                                </LnkInProps>
                              </LnkIn>
                            </Ctg>
                            <Ctg>
                              <CtgProps>
                                <R>5</R>
                              </CtgProps>
                              <LnkIn>
                                <LnkInProps>
                                  <MN>20</MN>
                                  <CLI>1,1,46,False,16</CLI>
                                  <ELN>1</ELN>
                                  <LOOT>0</LOOT>
                                  <LOMN>3</LOMN>
                                  <LOMCN>1</LOMCN>
                                  <LOSN>1</LOSN>
                                  <LOEN>19</LOEN>
                                  <LOCN>16</LOCN>
                                </LnkInProps>
                              </LnkIn>
                            </Ctg>
                            <Ctg>
                              <CtgProps>
                                <R>5</R>
                              </CtgProps>
                              <LnkIn>
                                <LnkInProps>
                                  <MN>20</MN>
                                  <CLI>1,1,46,False,17</CLI>
                                  <ELN>1</ELN>
                                  <LOOT>0</LOOT>
                                  <LOMN>3</LOMN>
                                  <LOMCN>1</LOMCN>
                                  <LOSN>1</LOSN>
                                  <LOEN>19</LOEN>
                                  <LOCN>17</LOCN>
                                </LnkInProps>
                              </LnkIn>
                            </Ctg>
                            <Ctg>
                              <CtgProps>
                                <R>5</R>
                              </CtgProps>
                              <LnkIn>
                                <LnkInProps>
                                  <MN>20</MN>
                                  <CLI>1,1,46,False,18</CLI>
                                  <ELN>1</ELN>
                                  <LOOT>0</LOOT>
                                  <LOMN>3</LOMN>
                                  <LOMCN>1</LOMCN>
                                  <LOSN>1</LOSN>
                                  <LOEN>19</LOEN>
                                  <LOCN>18</LOCN>
                                </LnkInProps>
                              </LnkIn>
                            </Ctg>
                            <Ctg>
                              <CtgProps>
                                <R>5</R>
                              </CtgProps>
                              <LnkIn>
                                <LnkInProps>
                                  <MN>20</MN>
                                  <CLI>1,1,46,False,19</CLI>
                                  <ELN>1</ELN>
                                  <LOOT>0</LOOT>
                                  <LOMN>3</LOMN>
                                  <LOMCN>1</LOMCN>
                                  <LOSN>1</LOSN>
                                  <LOEN>19</LOEN>
                                  <LOCN>19</LOCN>
                                </LnkInProps>
                              </LnkIn>
                            </Ctg>
                            <Ctg>
                              <CtgProps>
                                <R>5</R>
                              </CtgProps>
                              <LnkIn>
                                <LnkInProps>
                                  <MN>20</MN>
                                  <CLI>1,1,46,False,20</CLI>
                                  <ELN>1</ELN>
                                  <LOOT>0</LOOT>
                                  <LOMN>3</LOMN>
                                  <LOMCN>1</LOMCN>
                                  <LOSN>1</LOSN>
                                  <LOEN>19</LOEN>
                                  <LOCN>20</LOCN>
                                </LnkInProps>
                              </LnkIn>
                            </Ctg>
                            <Ctg>
                              <CtgProps>
                                <R>5</R>
                              </CtgProps>
                              <LnkIn>
                                <LnkInProps>
                                  <MN>20</MN>
                                  <CLI>1,1,46,False,21</CLI>
                                  <ELN>1</ELN>
                                  <LOOT>0</LOOT>
                                  <LOMN>3</LOMN>
                                  <LOMCN>1</LOMCN>
                                  <LOSN>1</LOSN>
                                  <LOEN>19</LOEN>
                                  <LOCN>21</LOCN>
                                </LnkInProps>
                              </LnkIn>
                            </Ctg>
                            <Ctg>
                              <CtgProps>
                                <R>5</R>
                              </CtgProps>
                              <LnkIn>
                                <LnkInProps>
                                  <MN>20</MN>
                                  <CLI>1,1,46,False,22</CLI>
                                  <ELN>1</ELN>
                                  <LOOT>0</LOOT>
                                  <LOMN>3</LOMN>
                                  <LOMCN>1</LOMCN>
                                  <LOSN>1</LOSN>
                                  <LOEN>19</LOEN>
                                  <LOCN>22</LOCN>
                                </LnkInProps>
                              </LnkIn>
                            </Ctg>
                            <Ctg>
                              <CtgProps>
                                <R>5</R>
                              </CtgProps>
                              <LnkIn>
                                <LnkInProps>
                                  <MN>20</MN>
                                  <CLI>1,1,46,False,23</CLI>
                                  <ELN>1</ELN>
                                  <LOOT>0</LOOT>
                                  <LOMN>3</LOMN>
                                  <LOMCN>1</LOMCN>
                                  <LOSN>1</LOSN>
                                  <LOEN>19</LOEN>
                                  <LOCN>23</LOCN>
                                </LnkInProps>
                              </LnkIn>
                            </Ctg>
                            <Ctg>
                              <CtgProps>
                                <R>5</R>
                              </CtgProps>
                              <LnkIn>
                                <LnkInProps>
                                  <MN>20</MN>
                                  <CLI>1,1,46,False,24</CLI>
                                  <ELN>1</ELN>
                                  <LOOT>0</LOOT>
                                  <LOMN>3</LOMN>
                                  <LOMCN>1</LOMCN>
                                  <LOSN>1</LOSN>
                                  <LOEN>19</LOEN>
                                  <LOCN>24</LOCN>
                                </LnkInProps>
                              </LnkIn>
                            </Ctg>
                            <Ctg>
                              <CtgProps>
                                <R>5</R>
                              </CtgProps>
                              <LnkIn>
                                <LnkInProps>
                                  <MN>20</MN>
                                  <CLI>1,1,46,False,25</CLI>
                                  <ELN>1</ELN>
                                  <LOOT>0</LOOT>
                                  <LOMN>3</LOMN>
                                  <LOMCN>1</LOMCN>
                                  <LOSN>1</LOSN>
                                  <LOEN>19</LOEN>
                                  <LOCN>25</LOCN>
                                </LnkInProps>
                              </LnkIn>
                            </Ctg>
                            <Ctg>
                              <CtgProps>
                                <R>5</R>
                              </CtgProps>
                              <LnkIn>
                                <LnkInProps>
                                  <MN>20</MN>
                                  <CLI>1,1,46,False,26</CLI>
                                  <ELN>1</ELN>
                                  <LOOT>0</LOOT>
                                  <LOMN>3</LOMN>
                                  <LOMCN>1</LOMCN>
                                  <LOSN>1</LOSN>
                                  <LOEN>19</LOEN>
                                  <LOCN>26</LOCN>
                                </LnkInProps>
                              </LnkIn>
                            </Ctg>
                            <Ctg>
                              <CtgProps>
                                <R>5</R>
                              </CtgProps>
                              <LnkIn>
                                <LnkInProps>
                                  <MN>20</MN>
                                  <CLI>1,1,46,False,27</CLI>
                                  <ELN>1</ELN>
                                  <LOOT>0</LOOT>
                                  <LOMN>3</LOMN>
                                  <LOMCN>1</LOMCN>
                                  <LOSN>1</LOSN>
                                  <LOEN>19</LOEN>
                                  <LOCN>27</LOCN>
                                </LnkInProps>
                              </LnkIn>
                            </Ctg>
                            <Ctg>
                              <CtgProps>
                                <R>5</R>
                              </CtgProps>
                              <LnkIn>
                                <LnkInProps>
                                  <MN>20</MN>
                                  <CLI>1,1,46,False,28</CLI>
                                  <ELN>1</ELN>
                                  <LOOT>0</LOOT>
                                  <LOMN>3</LOMN>
                                  <LOMCN>1</LOMCN>
                                  <LOSN>1</LOSN>
                                  <LOEN>19</LOEN>
                                  <LOCN>28</LOCN>
                                </LnkInProps>
                              </LnkIn>
                            </Ctg>
                            <Ctg>
                              <CtgProps>
                                <R>5</R>
                              </CtgProps>
                              <LnkIn>
                                <LnkInProps>
                                  <MN>20</MN>
                                  <CLI>1,1,46,False,29</CLI>
                                  <ELN>1</ELN>
                                  <LOOT>0</LOOT>
                                  <LOMN>3</LOMN>
                                  <LOMCN>1</LOMCN>
                                  <LOSN>1</LOSN>
                                  <LOEN>19</LOEN>
                                  <LOCN>29</LOCN>
                                </LnkInProps>
                              </LnkIn>
                            </Ctg>
                            <Ctg>
                              <CtgProps>
                                <R>5</R>
                              </CtgProps>
                              <LnkIn>
                                <LnkInProps>
                                  <MN>20</MN>
                                  <CLI>1,1,46,False,30</CLI>
                                  <ELN>1</ELN>
                                  <LOOT>0</LOOT>
                                  <LOMN>3</LOMN>
                                  <LOMCN>1</LOMCN>
                                  <LOSN>1</LOSN>
                                  <LOEN>19</LOEN>
                                  <LOCN>30</LOCN>
                                </LnkInProps>
                              </LnkIn>
                            </Ctg>
                            <Ctg>
                              <CtgProps>
                                <R>5</R>
                              </CtgProps>
                              <LnkIn>
                                <LnkInProps>
                                  <MN>20</MN>
                                  <CLI>1,1,46,False,31</CLI>
                                  <ELN>1</ELN>
                                  <LOOT>0</LOOT>
                                  <LOMN>3</LOMN>
                                  <LOMCN>1</LOMCN>
                                  <LOSN>1</LOSN>
                                  <LOEN>19</LOEN>
                                  <LOCN>31</LOCN>
                                </LnkInProps>
                              </LnkIn>
                            </Ctg>
                            <Ctg>
                              <CtgProps>
                                <R>5</R>
                              </CtgProps>
                              <LnkIn>
                                <LnkInProps>
                                  <MN>20</MN>
                                  <CLI>1,1,46,False,32</CLI>
                                  <ELN>1</ELN>
                                  <LOOT>0</LOOT>
                                  <LOMN>3</LOMN>
                                  <LOMCN>1</LOMCN>
                                  <LOSN>1</LOSN>
                                  <LOEN>19</LOEN>
                                  <LOCN>32</LOCN>
                                </LnkInProps>
                              </LnkIn>
                            </Ctg>
                            <Ctg>
                              <CtgProps>
                                <R>5</R>
                              </CtgProps>
                              <LnkIn>
                                <LnkInProps>
                                  <MN>20</MN>
                                  <CLI>1,1,46,False,33</CLI>
                                  <ELN>1</ELN>
                                  <LOOT>0</LOOT>
                                  <LOMN>3</LOMN>
                                  <LOMCN>1</LOMCN>
                                  <LOSN>1</LOSN>
                                  <LOEN>19</LOEN>
                                  <LOCN>33</LOCN>
                                </LnkInProps>
                              </LnkIn>
                            </Ctg>
                            <Ctg>
                              <CtgProps>
                                <R>5</R>
                              </CtgProps>
                              <LnkIn>
                                <LnkInProps>
                                  <MN>20</MN>
                                  <CLI>1,1,46,False,34</CLI>
                                  <ELN>1</ELN>
                                  <LOOT>0</LOOT>
                                  <LOMN>3</LOMN>
                                  <LOMCN>1</LOMCN>
                                  <LOSN>1</LOSN>
                                  <LOEN>19</LOEN>
                                  <LOCN>34</LOCN>
                                </LnkInProps>
                              </LnkIn>
                            </Ctg>
                            <Ctg>
                              <CtgProps>
                                <R>5</R>
                              </CtgProps>
                              <LnkIn>
                                <LnkInProps>
                                  <MN>20</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20</MN>
                                  <CLI>1,1,49,False,1</CLI>
                                  <ELN>1</ELN>
                                  <LOOT>0</LOOT>
                                  <LOMN>3</LOMN>
                                  <LOMCN>1</LOMCN>
                                  <LOSN>1</LOSN>
                                  <LOEN>24</LOEN>
                                  <LOCN>1</LOCN>
                                </LnkInProps>
                              </LnkIn>
                            </Ctg>
                            <Ctg>
                              <CtgProps>
                                <R>4</R>
                              </CtgProps>
                              <LnkIn>
                                <LnkInProps>
                                  <MN>20</MN>
                                  <CLI>1,1,49,False,2</CLI>
                                  <ELN>1</ELN>
                                  <LOOT>0</LOOT>
                                  <LOMN>3</LOMN>
                                  <LOMCN>1</LOMCN>
                                  <LOSN>1</LOSN>
                                  <LOEN>24</LOEN>
                                  <LOCN>2</LOCN>
                                </LnkInProps>
                              </LnkIn>
                            </Ctg>
                            <Ctg>
                              <CtgProps>
                                <R>4</R>
                              </CtgProps>
                              <LnkIn>
                                <LnkInProps>
                                  <MN>20</MN>
                                  <CLI>1,1,49,False,3</CLI>
                                  <ELN>1</ELN>
                                  <LOOT>0</LOOT>
                                  <LOMN>3</LOMN>
                                  <LOMCN>1</LOMCN>
                                  <LOSN>1</LOSN>
                                  <LOEN>24</LOEN>
                                  <LOCN>3</LOCN>
                                </LnkInProps>
                              </LnkIn>
                            </Ctg>
                            <Ctg>
                              <CtgProps>
                                <R>4</R>
                              </CtgProps>
                              <LnkIn>
                                <LnkInProps>
                                  <MN>20</MN>
                                  <CLI>1,1,49,False,4</CLI>
                                  <ELN>1</ELN>
                                  <LOOT>0</LOOT>
                                  <LOMN>3</LOMN>
                                  <LOMCN>1</LOMCN>
                                  <LOSN>1</LOSN>
                                  <LOEN>24</LOEN>
                                  <LOCN>4</LOCN>
                                </LnkInProps>
                              </LnkIn>
                            </Ctg>
                            <Ctg>
                              <CtgProps>
                                <R>4</R>
                              </CtgProps>
                              <LnkIn>
                                <LnkInProps>
                                  <MN>20</MN>
                                  <CLI>1,1,49,False,5</CLI>
                                  <ELN>1</ELN>
                                  <LOOT>0</LOOT>
                                  <LOMN>3</LOMN>
                                  <LOMCN>1</LOMCN>
                                  <LOSN>1</LOSN>
                                  <LOEN>24</LOEN>
                                  <LOCN>5</LOCN>
                                </LnkInProps>
                              </LnkIn>
                            </Ctg>
                            <Ctg>
                              <CtgProps>
                                <R>5</R>
                              </CtgProps>
                              <LnkIn>
                                <LnkInProps>
                                  <MN>20</MN>
                                  <CLI>1,1,49,False,6</CLI>
                                  <ELN>1</ELN>
                                  <LOOT>0</LOOT>
                                  <LOMN>3</LOMN>
                                  <LOMCN>1</LOMCN>
                                  <LOSN>1</LOSN>
                                  <LOEN>24</LOEN>
                                  <LOCN>6</LOCN>
                                </LnkInProps>
                              </LnkIn>
                            </Ctg>
                            <Ctg>
                              <CtgProps>
                                <R>5</R>
                              </CtgProps>
                              <LnkIn>
                                <LnkInProps>
                                  <MN>20</MN>
                                  <CLI>1,1,49,False,7</CLI>
                                  <ELN>1</ELN>
                                  <LOOT>0</LOOT>
                                  <LOMN>3</LOMN>
                                  <LOMCN>1</LOMCN>
                                  <LOSN>1</LOSN>
                                  <LOEN>24</LOEN>
                                  <LOCN>7</LOCN>
                                </LnkInProps>
                              </LnkIn>
                            </Ctg>
                            <Ctg>
                              <CtgProps>
                                <R>5</R>
                              </CtgProps>
                              <LnkIn>
                                <LnkInProps>
                                  <MN>20</MN>
                                  <CLI>1,1,49,False,8</CLI>
                                  <ELN>1</ELN>
                                  <LOOT>0</LOOT>
                                  <LOMN>3</LOMN>
                                  <LOMCN>1</LOMCN>
                                  <LOSN>1</LOSN>
                                  <LOEN>24</LOEN>
                                  <LOCN>8</LOCN>
                                </LnkInProps>
                              </LnkIn>
                            </Ctg>
                            <Ctg>
                              <CtgProps>
                                <R>5</R>
                              </CtgProps>
                              <LnkIn>
                                <LnkInProps>
                                  <MN>20</MN>
                                  <CLI>1,1,49,False,9</CLI>
                                  <ELN>1</ELN>
                                  <LOOT>0</LOOT>
                                  <LOMN>3</LOMN>
                                  <LOMCN>1</LOMCN>
                                  <LOSN>1</LOSN>
                                  <LOEN>24</LOEN>
                                  <LOCN>9</LOCN>
                                </LnkInProps>
                              </LnkIn>
                            </Ctg>
                            <Ctg>
                              <CtgProps>
                                <R>5</R>
                              </CtgProps>
                              <LnkIn>
                                <LnkInProps>
                                  <MN>20</MN>
                                  <CLI>1,1,49,False,10</CLI>
                                  <ELN>1</ELN>
                                  <LOOT>0</LOOT>
                                  <LOMN>3</LOMN>
                                  <LOMCN>1</LOMCN>
                                  <LOSN>1</LOSN>
                                  <LOEN>24</LOEN>
                                  <LOCN>10</LOCN>
                                </LnkInProps>
                              </LnkIn>
                            </Ctg>
                            <Ctg>
                              <CtgProps>
                                <R>5</R>
                              </CtgProps>
                              <LnkIn>
                                <LnkInProps>
                                  <MN>20</MN>
                                  <CLI>1,1,49,False,11</CLI>
                                  <ELN>1</ELN>
                                  <LOOT>0</LOOT>
                                  <LOMN>3</LOMN>
                                  <LOMCN>1</LOMCN>
                                  <LOSN>1</LOSN>
                                  <LOEN>24</LOEN>
                                  <LOCN>11</LOCN>
                                </LnkInProps>
                              </LnkIn>
                            </Ctg>
                            <Ctg>
                              <CtgProps>
                                <R>5</R>
                              </CtgProps>
                              <LnkIn>
                                <LnkInProps>
                                  <MN>20</MN>
                                  <CLI>1,1,49,False,12</CLI>
                                  <ELN>1</ELN>
                                  <LOOT>0</LOOT>
                                  <LOMN>3</LOMN>
                                  <LOMCN>1</LOMCN>
                                  <LOSN>1</LOSN>
                                  <LOEN>24</LOEN>
                                  <LOCN>12</LOCN>
                                </LnkInProps>
                              </LnkIn>
                            </Ctg>
                            <Ctg>
                              <CtgProps>
                                <R>5</R>
                              </CtgProps>
                              <LnkIn>
                                <LnkInProps>
                                  <MN>20</MN>
                                  <CLI>1,1,49,False,13</CLI>
                                  <ELN>1</ELN>
                                  <LOOT>0</LOOT>
                                  <LOMN>3</LOMN>
                                  <LOMCN>1</LOMCN>
                                  <LOSN>1</LOSN>
                                  <LOEN>24</LOEN>
                                  <LOCN>13</LOCN>
                                </LnkInProps>
                              </LnkIn>
                            </Ctg>
                            <Ctg>
                              <CtgProps>
                                <R>5</R>
                              </CtgProps>
                              <LnkIn>
                                <LnkInProps>
                                  <MN>20</MN>
                                  <CLI>1,1,49,False,14</CLI>
                                  <ELN>1</ELN>
                                  <LOOT>0</LOOT>
                                  <LOMN>3</LOMN>
                                  <LOMCN>1</LOMCN>
                                  <LOSN>1</LOSN>
                                  <LOEN>24</LOEN>
                                  <LOCN>14</LOCN>
                                </LnkInProps>
                              </LnkIn>
                            </Ctg>
                            <Ctg>
                              <CtgProps>
                                <R>5</R>
                              </CtgProps>
                              <LnkIn>
                                <LnkInProps>
                                  <MN>20</MN>
                                  <CLI>1,1,49,False,15</CLI>
                                  <ELN>1</ELN>
                                  <LOOT>0</LOOT>
                                  <LOMN>3</LOMN>
                                  <LOMCN>1</LOMCN>
                                  <LOSN>1</LOSN>
                                  <LOEN>24</LOEN>
                                  <LOCN>15</LOCN>
                                </LnkInProps>
                              </LnkIn>
                            </Ctg>
                            <Ctg>
                              <CtgProps>
                                <R>5</R>
                              </CtgProps>
                              <LnkIn>
                                <LnkInProps>
                                  <MN>20</MN>
                                  <CLI>1,1,49,False,16</CLI>
                                  <ELN>1</ELN>
                                  <LOOT>0</LOOT>
                                  <LOMN>3</LOMN>
                                  <LOMCN>1</LOMCN>
                                  <LOSN>1</LOSN>
                                  <LOEN>24</LOEN>
                                  <LOCN>16</LOCN>
                                </LnkInProps>
                              </LnkIn>
                            </Ctg>
                            <Ctg>
                              <CtgProps>
                                <R>5</R>
                              </CtgProps>
                              <LnkIn>
                                <LnkInProps>
                                  <MN>20</MN>
                                  <CLI>1,1,49,False,17</CLI>
                                  <ELN>1</ELN>
                                  <LOOT>0</LOOT>
                                  <LOMN>3</LOMN>
                                  <LOMCN>1</LOMCN>
                                  <LOSN>1</LOSN>
                                  <LOEN>24</LOEN>
                                  <LOCN>17</LOCN>
                                </LnkInProps>
                              </LnkIn>
                            </Ctg>
                            <Ctg>
                              <CtgProps>
                                <R>5</R>
                              </CtgProps>
                              <LnkIn>
                                <LnkInProps>
                                  <MN>20</MN>
                                  <CLI>1,1,49,False,18</CLI>
                                  <ELN>1</ELN>
                                  <LOOT>0</LOOT>
                                  <LOMN>3</LOMN>
                                  <LOMCN>1</LOMCN>
                                  <LOSN>1</LOSN>
                                  <LOEN>24</LOEN>
                                  <LOCN>18</LOCN>
                                </LnkInProps>
                              </LnkIn>
                            </Ctg>
                            <Ctg>
                              <CtgProps>
                                <R>5</R>
                              </CtgProps>
                              <LnkIn>
                                <LnkInProps>
                                  <MN>20</MN>
                                  <CLI>1,1,49,False,19</CLI>
                                  <ELN>1</ELN>
                                  <LOOT>0</LOOT>
                                  <LOMN>3</LOMN>
                                  <LOMCN>1</LOMCN>
                                  <LOSN>1</LOSN>
                                  <LOEN>24</LOEN>
                                  <LOCN>19</LOCN>
                                </LnkInProps>
                              </LnkIn>
                            </Ctg>
                            <Ctg>
                              <CtgProps>
                                <R>5</R>
                              </CtgProps>
                              <LnkIn>
                                <LnkInProps>
                                  <MN>20</MN>
                                  <CLI>1,1,49,False,20</CLI>
                                  <ELN>1</ELN>
                                  <LOOT>0</LOOT>
                                  <LOMN>3</LOMN>
                                  <LOMCN>1</LOMCN>
                                  <LOSN>1</LOSN>
                                  <LOEN>24</LOEN>
                                  <LOCN>20</LOCN>
                                </LnkInProps>
                              </LnkIn>
                            </Ctg>
                            <Ctg>
                              <CtgProps>
                                <R>5</R>
                              </CtgProps>
                              <LnkIn>
                                <LnkInProps>
                                  <MN>20</MN>
                                  <CLI>1,1,49,False,21</CLI>
                                  <ELN>1</ELN>
                                  <LOOT>0</LOOT>
                                  <LOMN>3</LOMN>
                                  <LOMCN>1</LOMCN>
                                  <LOSN>1</LOSN>
                                  <LOEN>24</LOEN>
                                  <LOCN>21</LOCN>
                                </LnkInProps>
                              </LnkIn>
                            </Ctg>
                            <Ctg>
                              <CtgProps>
                                <R>5</R>
                              </CtgProps>
                              <LnkIn>
                                <LnkInProps>
                                  <MN>20</MN>
                                  <CLI>1,1,49,False,22</CLI>
                                  <ELN>1</ELN>
                                  <LOOT>0</LOOT>
                                  <LOMN>3</LOMN>
                                  <LOMCN>1</LOMCN>
                                  <LOSN>1</LOSN>
                                  <LOEN>24</LOEN>
                                  <LOCN>22</LOCN>
                                </LnkInProps>
                              </LnkIn>
                            </Ctg>
                            <Ctg>
                              <CtgProps>
                                <R>5</R>
                              </CtgProps>
                              <LnkIn>
                                <LnkInProps>
                                  <MN>20</MN>
                                  <CLI>1,1,49,False,23</CLI>
                                  <ELN>1</ELN>
                                  <LOOT>0</LOOT>
                                  <LOMN>3</LOMN>
                                  <LOMCN>1</LOMCN>
                                  <LOSN>1</LOSN>
                                  <LOEN>24</LOEN>
                                  <LOCN>23</LOCN>
                                </LnkInProps>
                              </LnkIn>
                            </Ctg>
                            <Ctg>
                              <CtgProps>
                                <R>5</R>
                              </CtgProps>
                              <LnkIn>
                                <LnkInProps>
                                  <MN>20</MN>
                                  <CLI>1,1,49,False,24</CLI>
                                  <ELN>1</ELN>
                                  <LOOT>0</LOOT>
                                  <LOMN>3</LOMN>
                                  <LOMCN>1</LOMCN>
                                  <LOSN>1</LOSN>
                                  <LOEN>24</LOEN>
                                  <LOCN>24</LOCN>
                                </LnkInProps>
                              </LnkIn>
                            </Ctg>
                            <Ctg>
                              <CtgProps>
                                <R>5</R>
                              </CtgProps>
                              <LnkIn>
                                <LnkInProps>
                                  <MN>20</MN>
                                  <CLI>1,1,49,False,25</CLI>
                                  <ELN>1</ELN>
                                  <LOOT>0</LOOT>
                                  <LOMN>3</LOMN>
                                  <LOMCN>1</LOMCN>
                                  <LOSN>1</LOSN>
                                  <LOEN>24</LOEN>
                                  <LOCN>25</LOCN>
                                </LnkInProps>
                              </LnkIn>
                            </Ctg>
                            <Ctg>
                              <CtgProps>
                                <R>5</R>
                              </CtgProps>
                              <LnkIn>
                                <LnkInProps>
                                  <MN>20</MN>
                                  <CLI>1,1,49,False,26</CLI>
                                  <ELN>1</ELN>
                                  <LOOT>0</LOOT>
                                  <LOMN>3</LOMN>
                                  <LOMCN>1</LOMCN>
                                  <LOSN>1</LOSN>
                                  <LOEN>24</LOEN>
                                  <LOCN>26</LOCN>
                                </LnkInProps>
                              </LnkIn>
                            </Ctg>
                            <Ctg>
                              <CtgProps>
                                <R>5</R>
                              </CtgProps>
                              <LnkIn>
                                <LnkInProps>
                                  <MN>20</MN>
                                  <CLI>1,1,49,False,27</CLI>
                                  <ELN>1</ELN>
                                  <LOOT>0</LOOT>
                                  <LOMN>3</LOMN>
                                  <LOMCN>1</LOMCN>
                                  <LOSN>1</LOSN>
                                  <LOEN>24</LOEN>
                                  <LOCN>27</LOCN>
                                </LnkInProps>
                              </LnkIn>
                            </Ctg>
                            <Ctg>
                              <CtgProps>
                                <R>5</R>
                              </CtgProps>
                              <LnkIn>
                                <LnkInProps>
                                  <MN>20</MN>
                                  <CLI>1,1,49,False,28</CLI>
                                  <ELN>1</ELN>
                                  <LOOT>0</LOOT>
                                  <LOMN>3</LOMN>
                                  <LOMCN>1</LOMCN>
                                  <LOSN>1</LOSN>
                                  <LOEN>24</LOEN>
                                  <LOCN>28</LOCN>
                                </LnkInProps>
                              </LnkIn>
                            </Ctg>
                            <Ctg>
                              <CtgProps>
                                <R>5</R>
                              </CtgProps>
                              <LnkIn>
                                <LnkInProps>
                                  <MN>20</MN>
                                  <CLI>1,1,49,False,29</CLI>
                                  <ELN>1</ELN>
                                  <LOOT>0</LOOT>
                                  <LOMN>3</LOMN>
                                  <LOMCN>1</LOMCN>
                                  <LOSN>1</LOSN>
                                  <LOEN>24</LOEN>
                                  <LOCN>29</LOCN>
                                </LnkInProps>
                              </LnkIn>
                            </Ctg>
                            <Ctg>
                              <CtgProps>
                                <R>5</R>
                              </CtgProps>
                              <LnkIn>
                                <LnkInProps>
                                  <MN>20</MN>
                                  <CLI>1,1,49,False,30</CLI>
                                  <ELN>1</ELN>
                                  <LOOT>0</LOOT>
                                  <LOMN>3</LOMN>
                                  <LOMCN>1</LOMCN>
                                  <LOSN>1</LOSN>
                                  <LOEN>24</LOEN>
                                  <LOCN>30</LOCN>
                                </LnkInProps>
                              </LnkIn>
                            </Ctg>
                            <Ctg>
                              <CtgProps>
                                <R>5</R>
                              </CtgProps>
                              <LnkIn>
                                <LnkInProps>
                                  <MN>20</MN>
                                  <CLI>1,1,49,False,31</CLI>
                                  <ELN>1</ELN>
                                  <LOOT>0</LOOT>
                                  <LOMN>3</LOMN>
                                  <LOMCN>1</LOMCN>
                                  <LOSN>1</LOSN>
                                  <LOEN>24</LOEN>
                                  <LOCN>31</LOCN>
                                </LnkInProps>
                              </LnkIn>
                            </Ctg>
                            <Ctg>
                              <CtgProps>
                                <R>5</R>
                              </CtgProps>
                              <LnkIn>
                                <LnkInProps>
                                  <MN>20</MN>
                                  <CLI>1,1,49,False,32</CLI>
                                  <ELN>1</ELN>
                                  <LOOT>0</LOOT>
                                  <LOMN>3</LOMN>
                                  <LOMCN>1</LOMCN>
                                  <LOSN>1</LOSN>
                                  <LOEN>24</LOEN>
                                  <LOCN>32</LOCN>
                                </LnkInProps>
                              </LnkIn>
                            </Ctg>
                            <Ctg>
                              <CtgProps>
                                <R>5</R>
                              </CtgProps>
                              <LnkIn>
                                <LnkInProps>
                                  <MN>20</MN>
                                  <CLI>1,1,49,False,33</CLI>
                                  <ELN>1</ELN>
                                  <LOOT>0</LOOT>
                                  <LOMN>3</LOMN>
                                  <LOMCN>1</LOMCN>
                                  <LOSN>1</LOSN>
                                  <LOEN>24</LOEN>
                                  <LOCN>33</LOCN>
                                </LnkInProps>
                              </LnkIn>
                            </Ctg>
                            <Ctg>
                              <CtgProps>
                                <R>5</R>
                              </CtgProps>
                              <LnkIn>
                                <LnkInProps>
                                  <MN>20</MN>
                                  <CLI>1,1,49,False,34</CLI>
                                  <ELN>1</ELN>
                                  <LOOT>0</LOOT>
                                  <LOMN>3</LOMN>
                                  <LOMCN>1</LOMCN>
                                  <LOSN>1</LOSN>
                                  <LOEN>24</LOEN>
                                  <LOCN>34</LOCN>
                                </LnkInProps>
                              </LnkIn>
                            </Ctg>
                            <Ctg>
                              <CtgProps>
                                <R>5</R>
                              </CtgProps>
                              <LnkIn>
                                <LnkInProps>
                                  <MN>20</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20</MN>
                                  <CLI>1,1,53,False,1</CLI>
                                  <ELN>1</ELN>
                                  <LOOT>0</LOOT>
                                  <LOMN>3</LOMN>
                                  <LOMCN>1</LOMCN>
                                  <LOSN>1</LOSN>
                                  <LOEN>29</LOEN>
                                  <LOCN>1</LOCN>
                                </LnkInProps>
                              </LnkIn>
                            </Ctg>
                            <Ctg>
                              <CtgProps>
                                <R>4</R>
                              </CtgProps>
                              <LnkIn>
                                <LnkInProps>
                                  <MN>20</MN>
                                  <CLI>1,1,53,False,2</CLI>
                                  <ELN>1</ELN>
                                  <LOOT>0</LOOT>
                                  <LOMN>3</LOMN>
                                  <LOMCN>1</LOMCN>
                                  <LOSN>1</LOSN>
                                  <LOEN>29</LOEN>
                                  <LOCN>2</LOCN>
                                </LnkInProps>
                              </LnkIn>
                            </Ctg>
                            <Ctg>
                              <CtgProps>
                                <R>5</R>
                              </CtgProps>
                              <LnkIn>
                                <LnkInProps>
                                  <MN>20</MN>
                                  <CLI>1,1,53,False,3</CLI>
                                  <ELN>1</ELN>
                                  <LOOT>0</LOOT>
                                  <LOMN>3</LOMN>
                                  <LOMCN>1</LOMCN>
                                  <LOSN>1</LOSN>
                                  <LOEN>29</LOEN>
                                  <LOCN>3</LOCN>
                                </LnkInProps>
                              </LnkIn>
                            </Ctg>
                            <Ctg>
                              <CtgProps>
                                <R>5</R>
                              </CtgProps>
                              <LnkIn>
                                <LnkInProps>
                                  <MN>20</MN>
                                  <CLI>1,1,53,False,4</CLI>
                                  <ELN>1</ELN>
                                  <LOOT>0</LOOT>
                                  <LOMN>3</LOMN>
                                  <LOMCN>1</LOMCN>
                                  <LOSN>1</LOSN>
                                  <LOEN>29</LOEN>
                                  <LOCN>4</LOCN>
                                </LnkInProps>
                              </LnkIn>
                            </Ctg>
                            <Ctg>
                              <CtgProps>
                                <R>5</R>
                              </CtgProps>
                              <LnkIn>
                                <LnkInProps>
                                  <MN>20</MN>
                                  <CLI>1,1,53,False,5</CLI>
                                  <ELN>1</ELN>
                                  <LOOT>0</LOOT>
                                  <LOMN>3</LOMN>
                                  <LOMCN>1</LOMCN>
                                  <LOSN>1</LOSN>
                                  <LOEN>29</LOEN>
                                  <LOCN>5</LOCN>
                                </LnkInProps>
                              </LnkIn>
                            </Ctg>
                            <Ctg>
                              <CtgProps>
                                <R>5</R>
                              </CtgProps>
                              <LnkIn>
                                <LnkInProps>
                                  <MN>20</MN>
                                  <CLI>1,1,53,False,6</CLI>
                                  <ELN>1</ELN>
                                  <LOOT>0</LOOT>
                                  <LOMN>3</LOMN>
                                  <LOMCN>1</LOMCN>
                                  <LOSN>1</LOSN>
                                  <LOEN>29</LOEN>
                                  <LOCN>6</LOCN>
                                </LnkInProps>
                              </LnkIn>
                            </Ctg>
                            <Ctg>
                              <CtgProps>
                                <R>5</R>
                              </CtgProps>
                              <LnkIn>
                                <LnkInProps>
                                  <MN>20</MN>
                                  <CLI>1,1,53,False,7</CLI>
                                  <ELN>1</ELN>
                                  <LOOT>0</LOOT>
                                  <LOMN>3</LOMN>
                                  <LOMCN>1</LOMCN>
                                  <LOSN>1</LOSN>
                                  <LOEN>29</LOEN>
                                  <LOCN>7</LOCN>
                                </LnkInProps>
                              </LnkIn>
                            </Ctg>
                            <Ctg>
                              <CtgProps>
                                <R>5</R>
                              </CtgProps>
                              <LnkIn>
                                <LnkInProps>
                                  <MN>20</MN>
                                  <CLI>1,1,53,False,8</CLI>
                                  <ELN>1</ELN>
                                  <LOOT>0</LOOT>
                                  <LOMN>3</LOMN>
                                  <LOMCN>1</LOMCN>
                                  <LOSN>1</LOSN>
                                  <LOEN>29</LOEN>
                                  <LOCN>8</LOCN>
                                </LnkInProps>
                              </LnkIn>
                            </Ctg>
                            <Ctg>
                              <CtgProps>
                                <R>5</R>
                              </CtgProps>
                              <LnkIn>
                                <LnkInProps>
                                  <MN>20</MN>
                                  <CLI>1,1,53,False,9</CLI>
                                  <ELN>1</ELN>
                                  <LOOT>0</LOOT>
                                  <LOMN>3</LOMN>
                                  <LOMCN>1</LOMCN>
                                  <LOSN>1</LOSN>
                                  <LOEN>29</LOEN>
                                  <LOCN>9</LOCN>
                                </LnkInProps>
                              </LnkIn>
                            </Ctg>
                            <Ctg>
                              <CtgProps>
                                <R>5</R>
                              </CtgProps>
                              <LnkIn>
                                <LnkInProps>
                                  <MN>20</MN>
                                  <CLI>1,1,53,False,10</CLI>
                                  <ELN>1</ELN>
                                  <LOOT>0</LOOT>
                                  <LOMN>3</LOMN>
                                  <LOMCN>1</LOMCN>
                                  <LOSN>1</LOSN>
                                  <LOEN>29</LOEN>
                                  <LOCN>10</LOCN>
                                </LnkInProps>
                              </LnkIn>
                            </Ctg>
                            <Ctg>
                              <CtgProps>
                                <R>5</R>
                              </CtgProps>
                              <LnkIn>
                                <LnkInProps>
                                  <MN>20</MN>
                                  <CLI>1,1,53,False,11</CLI>
                                  <ELN>1</ELN>
                                  <LOOT>0</LOOT>
                                  <LOMN>3</LOMN>
                                  <LOMCN>1</LOMCN>
                                  <LOSN>1</LOSN>
                                  <LOEN>29</LOEN>
                                  <LOCN>11</LOCN>
                                </LnkInProps>
                              </LnkIn>
                            </Ctg>
                            <Ctg>
                              <CtgProps>
                                <R>5</R>
                              </CtgProps>
                              <LnkIn>
                                <LnkInProps>
                                  <MN>20</MN>
                                  <CLI>1,1,53,False,12</CLI>
                                  <ELN>1</ELN>
                                  <LOOT>0</LOOT>
                                  <LOMN>3</LOMN>
                                  <LOMCN>1</LOMCN>
                                  <LOSN>1</LOSN>
                                  <LOEN>29</LOEN>
                                  <LOCN>12</LOCN>
                                </LnkInProps>
                              </LnkIn>
                            </Ctg>
                            <Ctg>
                              <CtgProps>
                                <R>5</R>
                              </CtgProps>
                              <LnkIn>
                                <LnkInProps>
                                  <MN>20</MN>
                                  <CLI>1,1,53,False,13</CLI>
                                  <ELN>1</ELN>
                                  <LOOT>0</LOOT>
                                  <LOMN>3</LOMN>
                                  <LOMCN>1</LOMCN>
                                  <LOSN>1</LOSN>
                                  <LOEN>29</LOEN>
                                  <LOCN>13</LOCN>
                                </LnkInProps>
                              </LnkIn>
                            </Ctg>
                            <Ctg>
                              <CtgProps>
                                <R>5</R>
                              </CtgProps>
                              <LnkIn>
                                <LnkInProps>
                                  <MN>20</MN>
                                  <CLI>1,1,53,False,14</CLI>
                                  <ELN>1</ELN>
                                  <LOOT>0</LOOT>
                                  <LOMN>3</LOMN>
                                  <LOMCN>1</LOMCN>
                                  <LOSN>1</LOSN>
                                  <LOEN>29</LOEN>
                                  <LOCN>14</LOCN>
                                </LnkInProps>
                              </LnkIn>
                            </Ctg>
                            <Ctg>
                              <CtgProps>
                                <R>5</R>
                              </CtgProps>
                              <LnkIn>
                                <LnkInProps>
                                  <MN>20</MN>
                                  <CLI>1,1,53,False,15</CLI>
                                  <ELN>1</ELN>
                                  <LOOT>0</LOOT>
                                  <LOMN>3</LOMN>
                                  <LOMCN>1</LOMCN>
                                  <LOSN>1</LOSN>
                                  <LOEN>29</LOEN>
                                  <LOCN>15</LOCN>
                                </LnkInProps>
                              </LnkIn>
                            </Ctg>
                            <Ctg>
                              <CtgProps>
                                <R>5</R>
                              </CtgProps>
                              <LnkIn>
                                <LnkInProps>
                                  <MN>20</MN>
                                  <CLI>1,1,53,False,16</CLI>
                                  <ELN>1</ELN>
                                  <LOOT>0</LOOT>
                                  <LOMN>3</LOMN>
                                  <LOMCN>1</LOMCN>
                                  <LOSN>1</LOSN>
                                  <LOEN>29</LOEN>
                                  <LOCN>16</LOCN>
                                </LnkInProps>
                              </LnkIn>
                            </Ctg>
                            <Ctg>
                              <CtgProps>
                                <R>5</R>
                              </CtgProps>
                              <LnkIn>
                                <LnkInProps>
                                  <MN>20</MN>
                                  <CLI>1,1,53,False,17</CLI>
                                  <ELN>1</ELN>
                                  <LOOT>0</LOOT>
                                  <LOMN>3</LOMN>
                                  <LOMCN>1</LOMCN>
                                  <LOSN>1</LOSN>
                                  <LOEN>29</LOEN>
                                  <LOCN>17</LOCN>
                                </LnkInProps>
                              </LnkIn>
                            </Ctg>
                            <Ctg>
                              <CtgProps>
                                <R>5</R>
                              </CtgProps>
                              <LnkIn>
                                <LnkInProps>
                                  <MN>20</MN>
                                  <CLI>1,1,53,False,18</CLI>
                                  <ELN>1</ELN>
                                  <LOOT>0</LOOT>
                                  <LOMN>3</LOMN>
                                  <LOMCN>1</LOMCN>
                                  <LOSN>1</LOSN>
                                  <LOEN>29</LOEN>
                                  <LOCN>18</LOCN>
                                </LnkInProps>
                              </LnkIn>
                            </Ctg>
                            <Ctg>
                              <CtgProps>
                                <R>5</R>
                              </CtgProps>
                              <LnkIn>
                                <LnkInProps>
                                  <MN>20</MN>
                                  <CLI>1,1,53,False,19</CLI>
                                  <ELN>1</ELN>
                                  <LOOT>0</LOOT>
                                  <LOMN>3</LOMN>
                                  <LOMCN>1</LOMCN>
                                  <LOSN>1</LOSN>
                                  <LOEN>29</LOEN>
                                  <LOCN>19</LOCN>
                                </LnkInProps>
                              </LnkIn>
                            </Ctg>
                            <Ctg>
                              <CtgProps>
                                <R>5</R>
                              </CtgProps>
                              <LnkIn>
                                <LnkInProps>
                                  <MN>20</MN>
                                  <CLI>1,1,53,False,20</CLI>
                                  <ELN>1</ELN>
                                  <LOOT>0</LOOT>
                                  <LOMN>3</LOMN>
                                  <LOMCN>1</LOMCN>
                                  <LOSN>1</LOSN>
                                  <LOEN>29</LOEN>
                                  <LOCN>20</LOCN>
                                </LnkInProps>
                              </LnkIn>
                            </Ctg>
                            <Ctg>
                              <CtgProps>
                                <R>5</R>
                              </CtgProps>
                              <LnkIn>
                                <LnkInProps>
                                  <MN>20</MN>
                                  <CLI>1,1,53,False,21</CLI>
                                  <ELN>1</ELN>
                                  <LOOT>0</LOOT>
                                  <LOMN>3</LOMN>
                                  <LOMCN>1</LOMCN>
                                  <LOSN>1</LOSN>
                                  <LOEN>29</LOEN>
                                  <LOCN>21</LOCN>
                                </LnkInProps>
                              </LnkIn>
                            </Ctg>
                            <Ctg>
                              <CtgProps>
                                <R>5</R>
                              </CtgProps>
                              <LnkIn>
                                <LnkInProps>
                                  <MN>20</MN>
                                  <CLI>1,1,53,False,22</CLI>
                                  <ELN>1</ELN>
                                  <LOOT>0</LOOT>
                                  <LOMN>3</LOMN>
                                  <LOMCN>1</LOMCN>
                                  <LOSN>1</LOSN>
                                  <LOEN>29</LOEN>
                                  <LOCN>22</LOCN>
                                </LnkInProps>
                              </LnkIn>
                            </Ctg>
                            <Ctg>
                              <CtgProps>
                                <R>5</R>
                              </CtgProps>
                              <LnkIn>
                                <LnkInProps>
                                  <MN>20</MN>
                                  <CLI>1,1,53,False,23</CLI>
                                  <ELN>1</ELN>
                                  <LOOT>0</LOOT>
                                  <LOMN>3</LOMN>
                                  <LOMCN>1</LOMCN>
                                  <LOSN>1</LOSN>
                                  <LOEN>29</LOEN>
                                  <LOCN>23</LOCN>
                                </LnkInProps>
                              </LnkIn>
                            </Ctg>
                            <Ctg>
                              <CtgProps>
                                <R>5</R>
                              </CtgProps>
                              <LnkIn>
                                <LnkInProps>
                                  <MN>20</MN>
                                  <CLI>1,1,53,False,24</CLI>
                                  <ELN>1</ELN>
                                  <LOOT>0</LOOT>
                                  <LOMN>3</LOMN>
                                  <LOMCN>1</LOMCN>
                                  <LOSN>1</LOSN>
                                  <LOEN>29</LOEN>
                                  <LOCN>24</LOCN>
                                </LnkInProps>
                              </LnkIn>
                            </Ctg>
                            <Ctg>
                              <CtgProps>
                                <R>5</R>
                              </CtgProps>
                              <LnkIn>
                                <LnkInProps>
                                  <MN>20</MN>
                                  <CLI>1,1,53,False,25</CLI>
                                  <ELN>1</ELN>
                                  <LOOT>0</LOOT>
                                  <LOMN>3</LOMN>
                                  <LOMCN>1</LOMCN>
                                  <LOSN>1</LOSN>
                                  <LOEN>29</LOEN>
                                  <LOCN>25</LOCN>
                                </LnkInProps>
                              </LnkIn>
                            </Ctg>
                            <Ctg>
                              <CtgProps>
                                <R>5</R>
                              </CtgProps>
                              <LnkIn>
                                <LnkInProps>
                                  <MN>20</MN>
                                  <CLI>1,1,53,False,26</CLI>
                                  <ELN>1</ELN>
                                  <LOOT>0</LOOT>
                                  <LOMN>3</LOMN>
                                  <LOMCN>1</LOMCN>
                                  <LOSN>1</LOSN>
                                  <LOEN>29</LOEN>
                                  <LOCN>26</LOCN>
                                </LnkInProps>
                              </LnkIn>
                            </Ctg>
                            <Ctg>
                              <CtgProps>
                                <R>5</R>
                              </CtgProps>
                              <LnkIn>
                                <LnkInProps>
                                  <MN>20</MN>
                                  <CLI>1,1,53,False,27</CLI>
                                  <ELN>1</ELN>
                                  <LOOT>0</LOOT>
                                  <LOMN>3</LOMN>
                                  <LOMCN>1</LOMCN>
                                  <LOSN>1</LOSN>
                                  <LOEN>29</LOEN>
                                  <LOCN>27</LOCN>
                                </LnkInProps>
                              </LnkIn>
                            </Ctg>
                            <Ctg>
                              <CtgProps>
                                <R>5</R>
                              </CtgProps>
                              <LnkIn>
                                <LnkInProps>
                                  <MN>20</MN>
                                  <CLI>1,1,53,False,28</CLI>
                                  <ELN>1</ELN>
                                  <LOOT>0</LOOT>
                                  <LOMN>3</LOMN>
                                  <LOMCN>1</LOMCN>
                                  <LOSN>1</LOSN>
                                  <LOEN>29</LOEN>
                                  <LOCN>28</LOCN>
                                </LnkInProps>
                              </LnkIn>
                            </Ctg>
                            <Ctg>
                              <CtgProps>
                                <R>5</R>
                              </CtgProps>
                              <LnkIn>
                                <LnkInProps>
                                  <MN>20</MN>
                                  <CLI>1,1,53,False,29</CLI>
                                  <ELN>1</ELN>
                                  <LOOT>0</LOOT>
                                  <LOMN>3</LOMN>
                                  <LOMCN>1</LOMCN>
                                  <LOSN>1</LOSN>
                                  <LOEN>29</LOEN>
                                  <LOCN>29</LOCN>
                                </LnkInProps>
                              </LnkIn>
                            </Ctg>
                            <Ctg>
                              <CtgProps>
                                <R>5</R>
                              </CtgProps>
                              <LnkIn>
                                <LnkInProps>
                                  <MN>20</MN>
                                  <CLI>1,1,53,False,30</CLI>
                                  <ELN>1</ELN>
                                  <LOOT>0</LOOT>
                                  <LOMN>3</LOMN>
                                  <LOMCN>1</LOMCN>
                                  <LOSN>1</LOSN>
                                  <LOEN>29</LOEN>
                                  <LOCN>30</LOCN>
                                </LnkInProps>
                              </LnkIn>
                            </Ctg>
                            <Ctg>
                              <CtgProps>
                                <R>5</R>
                              </CtgProps>
                              <LnkIn>
                                <LnkInProps>
                                  <MN>20</MN>
                                  <CLI>1,1,53,False,31</CLI>
                                  <ELN>1</ELN>
                                  <LOOT>0</LOOT>
                                  <LOMN>3</LOMN>
                                  <LOMCN>1</LOMCN>
                                  <LOSN>1</LOSN>
                                  <LOEN>29</LOEN>
                                  <LOCN>31</LOCN>
                                </LnkInProps>
                              </LnkIn>
                            </Ctg>
                            <Ctg>
                              <CtgProps>
                                <R>5</R>
                              </CtgProps>
                              <LnkIn>
                                <LnkInProps>
                                  <MN>20</MN>
                                  <CLI>1,1,53,False,32</CLI>
                                  <ELN>1</ELN>
                                  <LOOT>0</LOOT>
                                  <LOMN>3</LOMN>
                                  <LOMCN>1</LOMCN>
                                  <LOSN>1</LOSN>
                                  <LOEN>29</LOEN>
                                  <LOCN>32</LOCN>
                                </LnkInProps>
                              </LnkIn>
                            </Ctg>
                            <Ctg>
                              <CtgProps>
                                <R>5</R>
                              </CtgProps>
                              <LnkIn>
                                <LnkInProps>
                                  <MN>20</MN>
                                  <CLI>1,1,53,False,33</CLI>
                                  <ELN>1</ELN>
                                  <LOOT>0</LOOT>
                                  <LOMN>3</LOMN>
                                  <LOMCN>1</LOMCN>
                                  <LOSN>1</LOSN>
                                  <LOEN>29</LOEN>
                                  <LOCN>33</LOCN>
                                </LnkInProps>
                              </LnkIn>
                            </Ctg>
                            <Ctg>
                              <CtgProps>
                                <R>5</R>
                              </CtgProps>
                              <LnkIn>
                                <LnkInProps>
                                  <MN>20</MN>
                                  <CLI>1,1,53,False,34</CLI>
                                  <ELN>1</ELN>
                                  <LOOT>0</LOOT>
                                  <LOMN>3</LOMN>
                                  <LOMCN>1</LOMCN>
                                  <LOSN>1</LOSN>
                                  <LOEN>29</LOEN>
                                  <LOCN>34</LOCN>
                                </LnkInProps>
                              </LnkIn>
                            </Ctg>
                            <Ctg>
                              <CtgProps>
                                <R>5</R>
                              </CtgProps>
                              <LnkIn>
                                <LnkInProps>
                                  <MN>20</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20</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20</MN>
                <MCN>2</MCN>
                <MCTK>BaseCase</MCTK>
                <RT><![CDATA[<ModuleName> - Assumptions]]></RT>
                <ERN>BPMMC72</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44</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20</MN>
                <MCN>3</MCN>
                <MCTK>OP</MCTK>
                <RT><![CDATA[<ModuleName> - Outputs]]></RT>
                <ERN>BPMMC73</ERN>
                <MCST>0</MCST>
                <IPMC>False</IPMC>
                <SN>29</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17</SON>
                                <VOFFF><![CDATA[=SUM(§A¿0,3,1,1,3,2,1,-1,0,0,FALSE,FALSE,1,7,2,1,-1,0,0,FALSE,FALSE§Z¿)]]></VOFFF>
                              </ClmnBlkPtProps>
                            </ClmnBlkPt>
                          </ClmnBlkPts>
                        </ClmnBlk>
                        <ClmnBlk>
                          <ClmnBlkProps>
                            <FCPT>0</FCPT>
                            <FCN>12</FCN>
                            <LCPT>0</LCPT>
                            <LCN>12</LCN>
                          </ClmnBlkProps>
                          <ClmnBlkPts>
                            <ClmnBlkPt>
                              <ClmnBlkPtProps>
                                <CBPT>5</CBPT>
                                <ST>18</ST>
                                <SON>17</SON>
                                <VOFFF><![CDATA[=SUM(§A¿0,3,1,1,3,3,1,-1,0,0,FALSE,FALSE,1,7,3,1,-1,0,0,FALSE,FALSE§Z¿)]]></VOFFF>
                              </ClmnBlkPtProps>
                            </ClmnBlkPt>
                          </ClmnBlkPts>
                        </ClmnBlk>
                        <ClmnBlk>
                          <ClmnBlkProps>
                            <FCPT>0</FCPT>
                            <FCN>15</FCN>
                            <LCPT>0</LCPT>
                            <LCN>15</LCN>
                          </ClmnBlkProps>
                          <ClmnBlkPts>
                            <ClmnBlkPt>
                              <ClmnBlkPtProps>
                                <CBPT>5</CBPT>
                                <ST>18</ST>
                                <SON>18</SON>
                                <VOFFF><![CDATA[=SUM(§A¿0,3,1,1,3,4,1,-1,0,0,FALSE,FALSE,1,7,4,1,-1,0,0,FALSE,FALSE§Z¿)]]></VOFFF>
                              </ClmnBlkPtProps>
                            </ClmnBlkPt>
                          </ClmnBlkPts>
                        </ClmnBlk>
                        <ClmnBlk>
                          <ClmnBlkProps>
                            <FCPT>0</FCPT>
                            <FCN>17</FCN>
                            <LCPT>0</LCPT>
                            <LCN>17</LCN>
                          </ClmnBlkProps>
                          <ClmnBlkPts>
                            <ClmnBlkPt>
                              <ClmnBlkPtProps>
                                <CBPT>5</CBPT>
                                <ST>18</ST>
                                <SON>18</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SOC_MOB_3]]></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18</LCN>
                          </ClmnBlkProps>
                          <ClmnBlkPts>
                            <ClmnBlkPt>
                              <ClmnBlkPtProps>
                                <CBPT>5</CBPT>
                                <ST>-1</ST>
                                <SON>16</SON>
                                <VOFFF/>
                              </ClmnBlkPtProps>
                            </ClmnBlkPt>
                          </ClmnBlkPts>
                        </ClmnBlk>
                      </ClmnBlks>
                      <TtlCtg/>
                    </Elmt>
                  </Elmts>
                </Sect>
              </Sects>
            </ModComp>
            <ModComp>
              <ModCompProps>
                <MN>20</MN>
                <MCN>4</MCN>
                <MCTK>LU</MCTK>
                <RT><![CDATA[<ModuleName> - Lookups]]></RT>
                <ERN>BPMMC74</ERN>
                <MCST>3</MCST>
                <IPMC>False</IPMC>
                <SN>46</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46</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9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9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9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9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9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9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10</MN>
            <MAG>608162F4-E730-403E-9DB1-20B06C6C3C25</MAG>
            <BN><![CDATA[PLUG_ACTIVITY]]></BN>
            <N><![CDATA[MOB-4]]></N>
            <TS><![CDATA[Annual]]></TS>
            <D><![CDATA[Assists with planning the cost of an activity. Should be used with Prices module.]]></D>
            <FS/>
            <R/>
            <GE/>
            <CA/>
            <VA/>
            <GST/>
            <DE/>
            <E/>
            <C/>
            <W/>
            <K/>
            <CO/>
            <V>1.0.0.0.</V>
            <AX/>
            <PMLO>False</PMLO>
            <IPMLO>False</IPMLO>
            <MACA>1</MACA>
            <RTSM>True</RTSM>
            <CC>True</CC>
            <X>False</X>
            <G>7C423BD2-7065-49FA-9D18-2A13CA952299</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StlOvlyProps>
              <BdrOvlys>
                <BdrOvly>
                  <BdrOvlyProps>
                    <PT>1</PT>
                    <SON>16</SON>
                    <CBPLI/>
                    <FCN>0</FCN>
                    <I>True</I>
                    <BI>9</BI>
                    <LS>1</LS>
                    <W>2</W>
                  </BdrOvlyProps>
                </BdrOvly>
              </BdrOvlys>
            </StlOvly>
            <StlOvly>
              <StlOvlyProps>
                <SON>17</SON>
                <INF>True</INF>
                <NT>0</NT>
                <DP>0</DP>
                <CNF/>
              </StlOvlyProps>
              <FntOvly>
                <FntOvlyProps>
                  <PT>1</PT>
                  <SON>17</SON>
                  <CBPLI>0,0,0,0,0</CBPLI>
                  <FCN>0</FCN>
                  <CN>0</CN>
                  <IB>True</IB>
                  <B>False</B>
                </FntOvlyProps>
              </FntOvly>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IC>True</IC>
                  <B>False</B>
                  <CT>2</CT>
                  <CNU>2</CNU>
                  <CPR>0</CPR>
                  <TAS>0</TAS>
                </FntOvlyProps>
              </FntOvly>
              <BdrOvlys>
                <BdrOvly>
                  <BdrOvlyProps>
                    <PT>1</PT>
                    <SON>18</SON>
                    <CBPLI/>
                    <FCN>0</FCN>
                    <I>True</I>
                    <BI>8</BI>
                    <LS>1</LS>
                    <W>2</W>
                  </BdrOvlyProps>
                </BdrOvly>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21</MN>
                <MCN>1</MCN>
                <MCTK>BaseCase</MCTK>
                <RT><![CDATA[<ModuleName> - Assumptions]]></RT>
                <ERN>BPMMC75</ERN>
                <MCST>0</MCST>
                <IPMC>False</IPMC>
                <SN>19</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47</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0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3,1,1,1,0,0,TRUE,TRUE§Z¿,§A¿0,1,0,1,33,1,1,2,0,0,TRUE,TRUE§Z¿)]]></VOFFF>
                              </ClmnBlkPtProps>
                            </ClmnBlkPt>
                          </ClmnBlkPts>
                        </ClmnBlk>
                        <ClmnBlk>
                          <ClmnBlkProps>
                            <FCPT>0</FCPT>
                            <FCN>15</FCN>
                            <LCPT>0</LCPT>
                            <LCN>15</LCN>
                          </ClmnBlkProps>
                          <ClmnBlkPts>
                            <ClmnBlkPt>
                              <ClmnBlkPtProps>
                                <CBPT>5</CBPT>
                                <ST>18</ST>
                                <VOFFF><![CDATA[=IF(§A¿1,1,1,1,5,0,2,1,1§Z¿=1,§A¿0,1,0,1,33,1,1,1,0,0,TRUE,TRUE§Z¿,§A¿0,1,0,1,33,1,1,2,0,0,TRUE,TRUE§Z¿)]]></VOFFF>
                              </ClmnBlkPtProps>
                            </ClmnBlkPt>
                          </ClmnBlkPts>
                        </ClmnBlk>
                        <ClmnBlk>
                          <ClmnBlkProps>
                            <FCPT>0</FCPT>
                            <FCN>17</FCN>
                            <LCPT>0</LCPT>
                            <LCN>17</LCN>
                          </ClmnBlkProps>
                          <ClmnBlkPts>
                            <ClmnBlkPt>
                              <ClmnBlkPtProps>
                                <CBPT>5</CBPT>
                                <ST>18</ST>
                                <VOFFF><![CDATA[=IF(§A¿1,1,1,1,5,0,2,1,1§Z¿=1,§A¿0,1,0,1,33,1,1,1,0,0,TRUE,TRUE§Z¿,§A¿0,1,0,1,33,1,1,2,0,0,TRUE,TRUE§Z¿)]]></VOFFF>
                              </ClmnBlkPtProps>
                            </ClmnBlkPt>
                          </ClmnBlkPts>
                        </ClmnBlk>
                        <ClmnBlk>
                          <ClmnBlkProps>
                            <FCPT>0</FCPT>
                            <FCN>19</FCN>
                            <LCPT>0</LCPT>
                            <LCN>19</LCN>
                          </ClmnBlkProps>
                          <ClmnBlkPts>
                            <ClmnBlkPt>
                              <ClmnBlkPtProps>
                                <CBPT>5</CBPT>
                                <ST>18</ST>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8,2,1,1,0,0,TRUE,TRUE,1,38,2,1,2,0,0,TRUE,TRUE§Z¿,MATCH(§A¿0,1,0,1,8,1,1,0,0,0,FALSE,FALSE§Z¿,§A¿1,1,4,1,13,0,1,1,1§Z¿,0)),INDEX(§A¿0,1,1,1,38,4,1,1,0,0,TRUE,TRUE,1,38,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8,3,1,1,0,0,TRUE,TRUE,1,38,3,1,2,0,0,TRUE,TRUE§Z¿,MATCH(§A¿0,1,0,1,8,1,1,0,0,0,FALSE,FALSE§Z¿,§A¿1,1,4,1,13,0,1,1,1§Z¿,0)),INDEX(§A¿0,1,1,1,38,5,1,1,0,0,TRUE,TRUE,1,38,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
                          <ClmnBlkProps>
                            <FCPT>0</FCPT>
                            <FCN>13</FCN>
                            <LCPT>0</LCPT>
                            <LCN>13</LCN>
                          </ClmnBlkProps>
                          <ClmnBlkPts>
                            <ClmnBlkPt>
                              <ClmnBlkPtProps>
                                <CBPT>5</CBPT>
                                <ST>18</ST>
                                <VOFFF><![CDATA[=IF(§A¿1,1,1,1,5,0,2,1,1§Z¿=1,§A¿0,1,0,1,33,1,1,1,0,0,TRUE,TRUE§Z¿,§A¿0,1,0,1,33,1,1,2,0,0,TRUE,TRUE§Z¿)]]></VOFFF>
                              </ClmnBlkPtProps>
                            </ClmnBlkPt>
                          </ClmnBlkPts>
                        </ClmnBlk>
                        <ClmnBlk>
                          <ClmnBlkProps>
                            <FCPT>0</FCPT>
                            <FCN>15</FCN>
                            <LCPT>0</LCPT>
                            <LCN>15</LCN>
                          </ClmnBlkProps>
                          <ClmnBlkPts>
                            <ClmnBlkPt>
                              <ClmnBlkPtProps>
                                <CBPT>5</CBPT>
                                <ST>18</ST>
                                <VOFFF><![CDATA[=IF(§A¿1,1,1,1,5,0,2,1,1§Z¿=1,§A¿0,1,0,1,33,1,1,1,0,0,TRUE,TRUE§Z¿,§A¿0,1,0,1,33,1,1,2,0,0,TRUE,TRUE§Z¿)]]></VOFFF>
                              </ClmnBlkPtProps>
                            </ClmnBlkPt>
                          </ClmnBlkPts>
                        </ClmnBlk>
                        <ClmnBlk>
                          <ClmnBlkProps>
                            <FCPT>0</FCPT>
                            <FCN>17</FCN>
                            <LCPT>0</LCPT>
                            <LCN>17</LCN>
                          </ClmnBlkProps>
                          <ClmnBlkPts>
                            <ClmnBlkPt>
                              <ClmnBlkPtProps>
                                <CBPT>5</CBPT>
                                <ST>18</ST>
                                <VOFFF><![CDATA[=IF(§A¿1,1,1,1,5,0,2,1,1§Z¿=1,§A¿0,1,0,1,33,1,1,1,0,0,TRUE,TRUE§Z¿,§A¿0,1,0,1,33,1,1,2,0,0,TRUE,TRUE§Z¿)]]></VOFFF>
                              </ClmnBlkPtProps>
                            </ClmnBlkPt>
                          </ClmnBlkPts>
                        </ClmnBlk>
                        <ClmnBlk>
                          <ClmnBlkProps>
                            <FCPT>0</FCPT>
                            <FCN>19</FCN>
                            <LCPT>0</LCPT>
                            <LCN>19</LCN>
                          </ClmnBlkProps>
                          <ClmnBlkPts>
                            <ClmnBlkPt>
                              <ClmnBlkPtProps>
                                <CBPT>5</CBPT>
                                <ST>18</ST>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1,2,1,1,0,0,TRUE,TRUE,1,41,2,1,2,0,0,TRUE,TRUE§Z¿,MATCH(§A¿0,1,0,1,12,1,1,0,0,0,FALSE,FALSE§Z¿,§A¿1,1,4,1,17,0,1,1,1§Z¿,0)),INDEX(§A¿0,1,1,1,41,4,1,1,0,0,TRUE,TRUE,1,41,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1,3,1,1,0,0,TRUE,TRUE,1,41,3,1,2,0,0,TRUE,TRUE§Z¿,MATCH(§A¿0,1,0,1,12,1,1,0,0,0,FALSE,FALSE§Z¿,§A¿1,1,4,1,17,0,1,1,1§Z¿,0)),INDEX(§A¿0,1,1,1,41,5,1,1,0,0,TRUE,TRUE,1,41,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
                          <ClmnBlkProps>
                            <FCPT>0</FCPT>
                            <FCN>13</FCN>
                            <LCPT>0</LCPT>
                            <LCN>13</LCN>
                          </ClmnBlkProps>
                          <ClmnBlkPts>
                            <ClmnBlkPt>
                              <ClmnBlkPtProps>
                                <CBPT>5</CBPT>
                                <ST>18</ST>
                                <VOFFF><![CDATA[=IF(§A¿1,1,1,1,5,0,2,1,1§Z¿=1,§A¿0,1,0,1,33,1,1,1,0,0,TRUE,TRUE§Z¿,§A¿0,1,0,1,33,1,1,2,0,0,TRUE,TRUE§Z¿)]]></VOFFF>
                              </ClmnBlkPtProps>
                            </ClmnBlkPt>
                          </ClmnBlkPts>
                        </ClmnBlk>
                        <ClmnBlk>
                          <ClmnBlkProps>
                            <FCPT>0</FCPT>
                            <FCN>15</FCN>
                            <LCPT>0</LCPT>
                            <LCN>15</LCN>
                          </ClmnBlkProps>
                          <ClmnBlkPts>
                            <ClmnBlkPt>
                              <ClmnBlkPtProps>
                                <CBPT>5</CBPT>
                                <ST>18</ST>
                                <VOFFF><![CDATA[=IF(§A¿1,1,1,1,5,0,2,1,1§Z¿=1,§A¿0,1,0,1,33,1,1,1,0,0,TRUE,TRUE§Z¿,§A¿0,1,0,1,33,1,1,2,0,0,TRUE,TRUE§Z¿)]]></VOFFF>
                              </ClmnBlkPtProps>
                            </ClmnBlkPt>
                          </ClmnBlkPts>
                        </ClmnBlk>
                        <ClmnBlk>
                          <ClmnBlkProps>
                            <FCPT>0</FCPT>
                            <FCN>17</FCN>
                            <LCPT>0</LCPT>
                            <LCN>17</LCN>
                          </ClmnBlkProps>
                          <ClmnBlkPts>
                            <ClmnBlkPt>
                              <ClmnBlkPtProps>
                                <CBPT>5</CBPT>
                                <ST>18</ST>
                                <VOFFF><![CDATA[=IF(§A¿1,1,1,1,5,0,2,1,1§Z¿=1,§A¿0,1,0,1,33,1,1,1,0,0,TRUE,TRUE§Z¿,§A¿0,1,0,1,33,1,1,2,0,0,TRUE,TRUE§Z¿)]]></VOFFF>
                              </ClmnBlkPtProps>
                            </ClmnBlkPt>
                          </ClmnBlkPts>
                        </ClmnBlk>
                        <ClmnBlk>
                          <ClmnBlkProps>
                            <FCPT>0</FCPT>
                            <FCN>19</FCN>
                            <LCPT>0</LCPT>
                            <LCN>19</LCN>
                          </ClmnBlkProps>
                          <ClmnBlkPts>
                            <ClmnBlkPt>
                              <ClmnBlkPtProps>
                                <CBPT>5</CBPT>
                                <ST>18</ST>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5,2,1,1,0,0,TRUE,TRUE,1,45,2,1,2,0,0,TRUE,TRUE§Z¿,MATCH(§A¿0,1,0,1,18,1,1,0,0,0,FALSE,FALSE§Z¿,§A¿1,1,4,1,22,0,1,1,1§Z¿,0)),INDEX(§A¿0,1,1,1,45,4,1,1,0,0,TRUE,TRUE,1,45,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5,3,1,1,0,0,TRUE,TRUE,1,45,3,1,2,0,0,TRUE,TRUE§Z¿,MATCH(§A¿0,1,0,1,18,1,1,0,0,0,FALSE,FALSE§Z¿,§A¿1,1,4,1,22,0,1,1,1§Z¿,0)),INDEX(§A¿0,1,1,1,45,5,1,1,0,0,TRUE,TRUE,1,45,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13</FCN>
                            <LCPT>0</LCPT>
                            <LCN>13</LCN>
                          </ClmnBlkProps>
                          <ClmnBlkPts>
                            <ClmnBlkPt>
                              <ClmnBlkPtProps>
                                <CBPT>5</CBPT>
                                <ST>18</ST>
                                <VOFFF><![CDATA[=IF(§A¿1,1,1,1,5,0,2,1,1§Z¿=1,§A¿0,1,0,1,33,1,1,1,0,0,TRUE,TRUE§Z¿,§A¿0,1,0,1,33,1,1,2,0,0,TRUE,TRUE§Z¿)]]></VOFFF>
                              </ClmnBlkPtProps>
                            </ClmnBlkPt>
                          </ClmnBlkPts>
                        </ClmnBlk>
                        <ClmnBlk>
                          <ClmnBlkProps>
                            <FCPT>0</FCPT>
                            <FCN>15</FCN>
                            <LCPT>0</LCPT>
                            <LCN>15</LCN>
                          </ClmnBlkProps>
                          <ClmnBlkPts>
                            <ClmnBlkPt>
                              <ClmnBlkPtProps>
                                <CBPT>5</CBPT>
                                <ST>18</ST>
                                <VOFFF><![CDATA[=IF(§A¿1,1,1,1,5,0,2,1,1§Z¿=1,§A¿0,1,0,1,33,1,1,1,0,0,TRUE,TRUE§Z¿,§A¿0,1,0,1,33,1,1,2,0,0,TRUE,TRUE§Z¿)]]></VOFFF>
                              </ClmnBlkPtProps>
                            </ClmnBlkPt>
                          </ClmnBlkPts>
                        </ClmnBlk>
                        <ClmnBlk>
                          <ClmnBlkProps>
                            <FCPT>0</FCPT>
                            <FCN>17</FCN>
                            <LCPT>0</LCPT>
                            <LCN>17</LCN>
                          </ClmnBlkProps>
                          <ClmnBlkPts>
                            <ClmnBlkPt>
                              <ClmnBlkPtProps>
                                <CBPT>5</CBPT>
                                <ST>18</ST>
                                <VOFFF><![CDATA[=IF(§A¿1,1,1,1,5,0,2,1,1§Z¿=1,§A¿0,1,0,1,33,1,1,1,0,0,TRUE,TRUE§Z¿,§A¿0,1,0,1,33,1,1,2,0,0,TRUE,TRUE§Z¿)]]></VOFFF>
                              </ClmnBlkPtProps>
                            </ClmnBlkPt>
                          </ClmnBlkPts>
                        </ClmnBlk>
                        <ClmnBlk>
                          <ClmnBlkProps>
                            <FCPT>0</FCPT>
                            <FCN>19</FCN>
                            <LCPT>0</LCPT>
                            <LCN>19</LCN>
                          </ClmnBlkProps>
                          <ClmnBlkPts>
                            <ClmnBlkPt>
                              <ClmnBlkPtProps>
                                <CBPT>5</CBPT>
                                <ST>18</ST>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8,2,1,1,0,0,TRUE,TRUE,1,48,2,1,2,0,0,TRUE,TRUE§Z¿,MATCH(§A¿0,1,0,1,22,1,1,0,0,0,FALSE,FALSE§Z¿,§A¿1,1,4,1,27,0,1,1,1§Z¿,0)),INDEX(§A¿0,1,1,1,48,4,1,1,0,0,TRUE,TRUE,1,48,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8,3,1,1,0,0,TRUE,TRUE,1,48,3,1,2,0,0,TRUE,TRUE§Z¿,MATCH(§A¿0,1,0,1,22,1,1,0,0,0,FALSE,FALSE§Z¿,§A¿1,1,4,1,27,0,1,1,1§Z¿,0)),INDEX(§A¿0,1,1,1,48,5,1,1,0,0,TRUE,TRUE,1,48,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13</FCN>
                            <LCPT>0</LCPT>
                            <LCN>13</LCN>
                          </ClmnBlkProps>
                          <ClmnBlkPts>
                            <ClmnBlkPt>
                              <ClmnBlkPtProps>
                                <CBPT>5</CBPT>
                                <ST>18</ST>
                                <VOFFF><![CDATA[=IF(§A¿1,1,1,1,5,0,2,1,1§Z¿=1,§A¿0,1,0,1,33,1,1,1,0,0,TRUE,TRUE§Z¿,§A¿0,1,0,1,33,1,1,2,0,0,TRUE,TRUE§Z¿)]]></VOFFF>
                              </ClmnBlkPtProps>
                            </ClmnBlkPt>
                          </ClmnBlkPts>
                        </ClmnBlk>
                        <ClmnBlk>
                          <ClmnBlkProps>
                            <FCPT>0</FCPT>
                            <FCN>15</FCN>
                            <LCPT>0</LCPT>
                            <LCN>15</LCN>
                          </ClmnBlkProps>
                          <ClmnBlkPts>
                            <ClmnBlkPt>
                              <ClmnBlkPtProps>
                                <CBPT>5</CBPT>
                                <ST>18</ST>
                                <VOFFF><![CDATA[=IF(§A¿1,1,1,1,5,0,2,1,1§Z¿=1,§A¿0,1,0,1,33,1,1,1,0,0,TRUE,TRUE§Z¿,§A¿0,1,0,1,33,1,1,2,0,0,TRUE,TRUE§Z¿)]]></VOFFF>
                              </ClmnBlkPtProps>
                            </ClmnBlkPt>
                          </ClmnBlkPts>
                        </ClmnBlk>
                        <ClmnBlk>
                          <ClmnBlkProps>
                            <FCPT>0</FCPT>
                            <FCN>17</FCN>
                            <LCPT>0</LCPT>
                            <LCN>17</LCN>
                          </ClmnBlkProps>
                          <ClmnBlkPts>
                            <ClmnBlkPt>
                              <ClmnBlkPtProps>
                                <CBPT>5</CBPT>
                                <ST>18</ST>
                                <VOFFF><![CDATA[=IF(§A¿1,1,1,1,5,0,2,1,1§Z¿=1,§A¿0,1,0,1,33,1,1,1,0,0,TRUE,TRUE§Z¿,§A¿0,1,0,1,33,1,1,2,0,0,TRUE,TRUE§Z¿)]]></VOFFF>
                              </ClmnBlkPtProps>
                            </ClmnBlkPt>
                          </ClmnBlkPts>
                        </ClmnBlk>
                        <ClmnBlk>
                          <ClmnBlkProps>
                            <FCPT>0</FCPT>
                            <FCN>19</FCN>
                            <LCPT>0</LCPT>
                            <LCN>19</LCN>
                          </ClmnBlkProps>
                          <ClmnBlkPts>
                            <ClmnBlkPt>
                              <ClmnBlkPtProps>
                                <CBPT>5</CBPT>
                                <ST>18</ST>
                                <VOFFF><![CDATA[=IF(§A¿1,1,1,1,5,0,2,1,1§Z¿=1,§A¿0,1,0,1,33,1,1,1,0,0,TRUE,TRUE§Z¿,§A¿0,1,0,1,33,1,1,2,0,0,TRUE,TRUE§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1,1,26,1,1</CBPLI>
                                  <ADVT>-1</ADVT>
                                  <VT>3</VT>
                                  <AS>1</AS>
                                  <O>1</O>
                                  <F1FFF><![CDATA[=§A¿1,1,4,1,31,0,1,1,1§Z¿]]></F1FFF>
                                  <F2FFF/>
                                  <IB>True</IB>
                                  <ICDD>True</ICDD>
                                  <SI>True</SI>
                                  <IT/>
                                  <IM/>
                                  <SE>True</SE>
                                  <ET/>
                                  <EM/>
                                  <IMO>0</IMO>
                                </VdtnProps>
                              </Vdtn>
                            </ClmnBlkPt>
                            <ClmnBlkPt>
                              <ClmnBlkPtProps>
                                <CBPT>1</CBPT>
                                <ST>6</ST>
                                <MC>True</MC>
                                <VOFFF><![CDATA[="Total "&§A¿0,1,0,1,26,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2,2,1,1,0,0,TRUE,TRUE,1,52,2,1,2,0,0,TRUE,TRUE§Z¿,MATCH(§A¿0,1,0,1,26,1,1,0,0,0,FALSE,FALSE§Z¿,§A¿1,1,4,1,31,0,1,1,1§Z¿,0)),INDEX(§A¿0,1,1,1,52,4,1,1,0,0,TRUE,TRUE,1,52,4,1,2,0,0,TRUE,TRUE§Z¿,MATCH(§A¿0,1,0,1,26,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2,3,1,1,0,0,TRUE,TRUE,1,52,3,1,2,0,0,TRUE,TRUE§Z¿,MATCH(§A¿0,1,0,1,26,1,1,0,0,0,FALSE,FALSE§Z¿,§A¿1,1,4,1,31,0,1,1,1§Z¿,0)),INDEX(§A¿0,1,1,1,52,5,1,1,0,0,TRUE,TRUE,1,52,5,1,2,0,0,TRUE,TRUE§Z¿,MATCH(§A¿0,1,0,1,26,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6,2,1,0,0,0,FALSE,FALSE§Z¿*§A¿0,1,0,1,26,3,1,0,0,0,FALSE,FALSE§Z¿*§A¿0,1,0,1,26,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6,2,1,0,0,0,FALSE,FALSE§Z¿*§A¿0,1,0,1,26,3,1,0,0,0,FALSE,FALSE§Z¿*§A¿0,1,0,1,26,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3,1,1,1,0,0,TRUE,TRUE§Z¿,§A¿0,1,0,1,33,1,1,2,0,0,TRUE,TRUE§Z¿)&")"]]></VOFFF>
                              </ClmnBlkPtProps>
                            </ClmnBlkPt>
                          </ClmnBlkPts>
                        </ClmnBlk>
                        <ClmnBlk>
                          <ClmnBlkProps>
                            <FCPT>0</FCPT>
                            <FCN>23</FCN>
                            <LCPT>0</LCPT>
                            <LCN>23</LCN>
                          </ClmnBlkProps>
                          <ClmnBlkPts>
                            <ClmnBlkPt>
                              <ClmnBlkPtProps>
                                <CBPT>5</CBPT>
                                <ST>6</ST>
                                <SON>2</SON>
                                <VOFFF><![CDATA[="ECONOMIC COST ("&IF(§A¿1,1,1,1,5,0,2,1,1§Z¿=2,§A¿0,1,0,1,33,1,1,1,0,0,TRUE,TRUE§Z¿,§A¿0,1,0,1,33,1,1,2,0,0,TRUE,TRUE§Z¿)&")"]]></VOFFF>
                              </ClmnBlkPtProps>
                            </ClmnBlkPt>
                          </ClmnBlkPts>
                        </ClmnBlk>
                      </ClmnBlks>
                      <TtlCtg/>
                    </Elmt>
                    <Elmt>
                      <ElmtProps>
                        <CPT>2</CPT>
                      </ElmtProps>
                      <ClmnBlks>
                        <ClmnBlk>
                          <ClmnBlkProps>
                            <FCPT>0</FCPT>
                            <FCN>2</FCN>
                            <LCPT>0</LCPT>
                            <LCN>2</LCN>
                          </ClmnBlkProps>
                          <ClmnBlkPts>
                            <ClmnBlkPt>
                              <ClmnBlkPtProps>
                                <CBPT>5</CBPT>
                                <ST>5</ST>
                                <VOFFF><![CDATA[="Total Estimated Costs -"&§A¿0,1,0,1,3,1,1,-1,0,0,FALSE,FALSE§Z¿]]></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6,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6,7,6,-1,0,0,FALSE,FALSE§Z¿)]]></VOFFF>
                              </ClmnBlkPtProps>
                            </ClmnBlkPt>
                          </ClmnBlkPts>
                        </ClmnBlk>
                        <ClmnBlk>
                          <ClmnBlkProps>
                            <FCPT>0</FCPT>
                            <FCN>21</FCN>
                            <LCPT>0</LCPT>
                            <LCN>21</LCN>
                          </ClmnBlkProps>
                          <ClmnBlkPts>
                            <ClmnBlkPt>
                              <ClmnBlkPtProps>
                                <CBPT>5</CBPT>
                                <ST>18</ST>
                                <SON>6</SON>
                                <VOFFF><![CDATA[=IFERROR(IF(§A¿1,1,1,1,5,0,2,1,1§Z¿=2,§A¿0,1,0,1,29,2,1,-1,0,0,FALSE,TRUE§Z¿/§A¿0,1,0,1,33,2,1,2,0,0,TRUE,TRUE§Z¿,§A¿0,1,0,1,29,2,1,-1,0,0,FALSE,TRUE§Z¿*§A¿0,1,0,1,33,2,1,2,0,0,TRUE,TRUE§Z¿), 0)]]></VOFFF>
                              </ClmnBlkPtProps>
                            </ClmnBlkPt>
                          </ClmnBlkPts>
                        </ClmnBlk>
                        <ClmnBlk>
                          <ClmnBlkProps>
                            <FCPT>0</FCPT>
                            <FCN>23</FCN>
                            <LCPT>0</LCPT>
                            <LCN>23</LCN>
                          </ClmnBlkProps>
                          <ClmnBlkPts>
                            <ClmnBlkPt>
                              <ClmnBlkPtProps>
                                <CBPT>5</CBPT>
                                <ST>18</ST>
                                <SON>6</SON>
                                <VOFFF><![CDATA[=IFERROR(IF(§A¿1,1,1,1,5,0,2,1,1§Z¿=2,§A¿0,1,0,1,29,3,1,-1,0,0,FALSE,TRUE§Z¿/§A¿0,1,0,1,33,2,1,2,0,0,TRUE,TRUE§Z¿,§A¿0,1,0,1,29,3,1,-1,0,0,FALSE,TRUE§Z¿*§A¿0,1,0,1,33,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1,1,33,1,1</CBPLI>
                                    <ELN>1</ELN>
                                    <FFF><![CDATA[=§A¿10,FALSE,0,1,0,FALSE§Z¿]]></FFF>
                                  </LnkInFormProps>
                                </LnkInForm>
                              </LnkInForms>
                            </ClmnBlkPt>
                            <ClmnBlkPt>
                              <ClmnBlkPtProps>
                                <CBPT>1</CBPT>
                                <ST>6</ST>
                                <MC>True</MC>
                                <VOFFF><![CDATA[="Total "&§A¿0,1,0,1,33,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21</MN>
                                  <CLI>1,1,33,False,1</CLI>
                                  <ELN>1</ELN>
                                  <LOOT>0</LOOT>
                                  <LOMN>3</LOMN>
                                  <LOMCN>2</LOMCN>
                                  <LOSN>1</LOSN>
                                  <LOEN>4</LOEN>
                                  <LOCN>1</LOCN>
                                </LnkInProps>
                              </LnkIn>
                            </Ctg>
                            <Ctg>
                              <CtgProps>
                                <R>5</R>
                              </CtgProps>
                              <LnkIn>
                                <LnkInProps>
                                  <MN>21</MN>
                                  <CLI>1,1,33,False,2</CLI>
                                  <ELN>1</ELN>
                                  <LOOT>0</LOOT>
                                  <LOMN>3</LOMN>
                                  <LOMCN>2</LOMCN>
                                  <LOSN>1</LOSN>
                                  <LOEN>4</LOEN>
                                  <LOCN>2</LOCN>
                                </LnkInProps>
                              </LnkIn>
                            </Ctg>
                          </Ctgs>
                        </SubTtl>
                      </SubTtls>
                      <TtlCtg/>
                      <ElmtLnksIn>
                        <ElmtLnk>
                          <ElmtLnkProps>
                            <ELI>1,1,33</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1,1,38,1,1</CBPLI>
                                    <ELN>1</ELN>
                                    <FFF><![CDATA[=§A¿10,FALSE,0,1,0,FALSE§Z¿]]></FFF>
                                  </LnkInFormProps>
                                </LnkInForm>
                              </LnkInForms>
                            </ClmnBlkPt>
                            <ClmnBlkPt>
                              <ClmnBlkPtProps>
                                <CBPT>1</CBPT>
                                <ST>6</ST>
                                <VOFFF><![CDATA[="Total "&§A¿0,1,0,1,3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21</MN>
                                  <CLI>1,1,38,False,1</CLI>
                                  <ELN>1</ELN>
                                  <LOOT>0</LOOT>
                                  <LOMN>3</LOMN>
                                  <LOMCN>1</LOMCN>
                                  <LOSN>1</LOSN>
                                  <LOEN>10</LOEN>
                                  <LOCN>1</LOCN>
                                </LnkInProps>
                              </LnkIn>
                            </Ctg>
                            <Ctg>
                              <CtgProps>
                                <R>4</R>
                              </CtgProps>
                              <LnkIn>
                                <LnkInProps>
                                  <MN>21</MN>
                                  <CLI>1,1,38,False,2</CLI>
                                  <ELN>1</ELN>
                                  <LOOT>0</LOOT>
                                  <LOMN>3</LOMN>
                                  <LOMCN>1</LOMCN>
                                  <LOSN>1</LOSN>
                                  <LOEN>10</LOEN>
                                  <LOCN>2</LOCN>
                                </LnkInProps>
                              </LnkIn>
                            </Ctg>
                            <Ctg>
                              <CtgProps>
                                <R>4</R>
                              </CtgProps>
                              <LnkIn>
                                <LnkInProps>
                                  <MN>21</MN>
                                  <CLI>1,1,38,False,3</CLI>
                                  <ELN>1</ELN>
                                  <LOOT>0</LOOT>
                                  <LOMN>3</LOMN>
                                  <LOMCN>1</LOMCN>
                                  <LOSN>1</LOSN>
                                  <LOEN>10</LOEN>
                                  <LOCN>3</LOCN>
                                </LnkInProps>
                              </LnkIn>
                            </Ctg>
                            <Ctg>
                              <CtgProps>
                                <R>4</R>
                              </CtgProps>
                              <LnkIn>
                                <LnkInProps>
                                  <MN>21</MN>
                                  <CLI>1,1,38,False,4</CLI>
                                  <ELN>1</ELN>
                                  <LOOT>0</LOOT>
                                  <LOMN>3</LOMN>
                                  <LOMCN>1</LOMCN>
                                  <LOSN>1</LOSN>
                                  <LOEN>10</LOEN>
                                  <LOCN>4</LOCN>
                                </LnkInProps>
                              </LnkIn>
                            </Ctg>
                            <Ctg>
                              <CtgProps>
                                <R>4</R>
                              </CtgProps>
                              <LnkIn>
                                <LnkInProps>
                                  <MN>21</MN>
                                  <CLI>1,1,38,False,5</CLI>
                                  <ELN>1</ELN>
                                  <LOOT>0</LOOT>
                                  <LOMN>3</LOMN>
                                  <LOMCN>1</LOMCN>
                                  <LOSN>1</LOSN>
                                  <LOEN>10</LOEN>
                                  <LOCN>5</LOCN>
                                </LnkInProps>
                              </LnkIn>
                            </Ctg>
                            <Ctg>
                              <CtgProps>
                                <R>4</R>
                              </CtgProps>
                              <LnkIn>
                                <LnkInProps>
                                  <MN>21</MN>
                                  <CLI>1,1,38,False,6</CLI>
                                  <ELN>1</ELN>
                                  <LOOT>0</LOOT>
                                  <LOMN>3</LOMN>
                                  <LOMCN>1</LOMCN>
                                  <LOSN>1</LOSN>
                                  <LOEN>10</LOEN>
                                  <LOCN>6</LOCN>
                                </LnkInProps>
                              </LnkIn>
                            </Ctg>
                            <Ctg>
                              <CtgProps>
                                <R>4</R>
                              </CtgProps>
                              <LnkIn>
                                <LnkInProps>
                                  <MN>21</MN>
                                  <CLI>1,1,38,False,7</CLI>
                                  <ELN>1</ELN>
                                  <LOOT>0</LOOT>
                                  <LOMN>3</LOMN>
                                  <LOMCN>1</LOMCN>
                                  <LOSN>1</LOSN>
                                  <LOEN>10</LOEN>
                                  <LOCN>7</LOCN>
                                </LnkInProps>
                              </LnkIn>
                            </Ctg>
                            <Ctg>
                              <CtgProps>
                                <R>4</R>
                              </CtgProps>
                              <LnkIn>
                                <LnkInProps>
                                  <MN>21</MN>
                                  <CLI>1,1,38,False,8</CLI>
                                  <ELN>1</ELN>
                                  <LOOT>0</LOOT>
                                  <LOMN>3</LOMN>
                                  <LOMCN>1</LOMCN>
                                  <LOSN>1</LOSN>
                                  <LOEN>10</LOEN>
                                  <LOCN>8</LOCN>
                                </LnkInProps>
                              </LnkIn>
                            </Ctg>
                            <Ctg>
                              <CtgProps>
                                <R>4</R>
                              </CtgProps>
                              <LnkIn>
                                <LnkInProps>
                                  <MN>21</MN>
                                  <CLI>1,1,38,False,9</CLI>
                                  <ELN>1</ELN>
                                  <LOOT>0</LOOT>
                                  <LOMN>3</LOMN>
                                  <LOMCN>1</LOMCN>
                                  <LOSN>1</LOSN>
                                  <LOEN>10</LOEN>
                                  <LOCN>9</LOCN>
                                </LnkInProps>
                              </LnkIn>
                            </Ctg>
                            <Ctg>
                              <CtgProps>
                                <R>4</R>
                              </CtgProps>
                              <LnkIn>
                                <LnkInProps>
                                  <MN>21</MN>
                                  <CLI>1,1,38,False,10</CLI>
                                  <ELN>1</ELN>
                                  <LOOT>0</LOOT>
                                  <LOMN>3</LOMN>
                                  <LOMCN>1</LOMCN>
                                  <LOSN>1</LOSN>
                                  <LOEN>10</LOEN>
                                  <LOCN>10</LOCN>
                                </LnkInProps>
                              </LnkIn>
                            </Ctg>
                            <Ctg>
                              <CtgProps>
                                <R>4</R>
                              </CtgProps>
                              <LnkIn>
                                <LnkInProps>
                                  <MN>21</MN>
                                  <CLI>1,1,38,False,11</CLI>
                                  <ELN>1</ELN>
                                  <LOOT>0</LOOT>
                                  <LOMN>3</LOMN>
                                  <LOMCN>1</LOMCN>
                                  <LOSN>1</LOSN>
                                  <LOEN>10</LOEN>
                                  <LOCN>11</LOCN>
                                </LnkInProps>
                              </LnkIn>
                            </Ctg>
                            <Ctg>
                              <CtgProps>
                                <R>4</R>
                              </CtgProps>
                              <LnkIn>
                                <LnkInProps>
                                  <MN>21</MN>
                                  <CLI>1,1,38,False,12</CLI>
                                  <ELN>1</ELN>
                                  <LOOT>0</LOOT>
                                  <LOMN>3</LOMN>
                                  <LOMCN>1</LOMCN>
                                  <LOSN>1</LOSN>
                                  <LOEN>10</LOEN>
                                  <LOCN>12</LOCN>
                                </LnkInProps>
                              </LnkIn>
                            </Ctg>
                            <Ctg>
                              <CtgProps>
                                <R>4</R>
                              </CtgProps>
                              <LnkIn>
                                <LnkInProps>
                                  <MN>21</MN>
                                  <CLI>1,1,38,False,13</CLI>
                                  <ELN>1</ELN>
                                  <LOOT>0</LOOT>
                                  <LOMN>3</LOMN>
                                  <LOMCN>1</LOMCN>
                                  <LOSN>1</LOSN>
                                  <LOEN>10</LOEN>
                                  <LOCN>13</LOCN>
                                </LnkInProps>
                              </LnkIn>
                            </Ctg>
                            <Ctg>
                              <CtgProps>
                                <R>4</R>
                              </CtgProps>
                              <LnkIn>
                                <LnkInProps>
                                  <MN>21</MN>
                                  <CLI>1,1,38,False,14</CLI>
                                  <ELN>1</ELN>
                                  <LOOT>0</LOOT>
                                  <LOMN>3</LOMN>
                                  <LOMCN>1</LOMCN>
                                  <LOSN>1</LOSN>
                                  <LOEN>10</LOEN>
                                  <LOCN>14</LOCN>
                                </LnkInProps>
                              </LnkIn>
                            </Ctg>
                            <Ctg>
                              <CtgProps>
                                <R>5</R>
                              </CtgProps>
                              <LnkIn>
                                <LnkInProps>
                                  <MN>21</MN>
                                  <CLI>1,1,38,False,15</CLI>
                                  <ELN>1</ELN>
                                  <LOOT>0</LOOT>
                                  <LOMN>3</LOMN>
                                  <LOMCN>1</LOMCN>
                                  <LOSN>1</LOSN>
                                  <LOEN>10</LOEN>
                                  <LOCN>15</LOCN>
                                </LnkInProps>
                              </LnkIn>
                            </Ctg>
                            <Ctg>
                              <CtgProps>
                                <R>5</R>
                              </CtgProps>
                              <LnkIn>
                                <LnkInProps>
                                  <MN>21</MN>
                                  <CLI>1,1,38,False,16</CLI>
                                  <ELN>1</ELN>
                                  <LOOT>0</LOOT>
                                  <LOMN>3</LOMN>
                                  <LOMCN>1</LOMCN>
                                  <LOSN>1</LOSN>
                                  <LOEN>10</LOEN>
                                  <LOCN>16</LOCN>
                                </LnkInProps>
                              </LnkIn>
                            </Ctg>
                            <Ctg>
                              <CtgProps>
                                <R>5</R>
                              </CtgProps>
                              <LnkIn>
                                <LnkInProps>
                                  <MN>21</MN>
                                  <CLI>1,1,38,False,17</CLI>
                                  <ELN>1</ELN>
                                  <LOOT>0</LOOT>
                                  <LOMN>3</LOMN>
                                  <LOMCN>1</LOMCN>
                                  <LOSN>1</LOSN>
                                  <LOEN>10</LOEN>
                                  <LOCN>17</LOCN>
                                </LnkInProps>
                              </LnkIn>
                            </Ctg>
                            <Ctg>
                              <CtgProps>
                                <R>5</R>
                              </CtgProps>
                              <LnkIn>
                                <LnkInProps>
                                  <MN>21</MN>
                                  <CLI>1,1,38,False,18</CLI>
                                  <ELN>1</ELN>
                                  <LOOT>0</LOOT>
                                  <LOMN>3</LOMN>
                                  <LOMCN>1</LOMCN>
                                  <LOSN>1</LOSN>
                                  <LOEN>10</LOEN>
                                  <LOCN>18</LOCN>
                                </LnkInProps>
                              </LnkIn>
                            </Ctg>
                            <Ctg>
                              <CtgProps>
                                <R>5</R>
                              </CtgProps>
                              <LnkIn>
                                <LnkInProps>
                                  <MN>21</MN>
                                  <CLI>1,1,38,False,19</CLI>
                                  <ELN>1</ELN>
                                  <LOOT>0</LOOT>
                                  <LOMN>3</LOMN>
                                  <LOMCN>1</LOMCN>
                                  <LOSN>1</LOSN>
                                  <LOEN>10</LOEN>
                                  <LOCN>19</LOCN>
                                </LnkInProps>
                              </LnkIn>
                            </Ctg>
                            <Ctg>
                              <CtgProps>
                                <R>5</R>
                              </CtgProps>
                              <LnkIn>
                                <LnkInProps>
                                  <MN>21</MN>
                                  <CLI>1,1,38,False,20</CLI>
                                  <ELN>1</ELN>
                                  <LOOT>0</LOOT>
                                  <LOMN>3</LOMN>
                                  <LOMCN>1</LOMCN>
                                  <LOSN>1</LOSN>
                                  <LOEN>10</LOEN>
                                  <LOCN>20</LOCN>
                                </LnkInProps>
                              </LnkIn>
                            </Ctg>
                            <Ctg>
                              <CtgProps>
                                <R>5</R>
                              </CtgProps>
                              <LnkIn>
                                <LnkInProps>
                                  <MN>21</MN>
                                  <CLI>1,1,38,False,21</CLI>
                                  <ELN>1</ELN>
                                  <LOOT>0</LOOT>
                                  <LOMN>3</LOMN>
                                  <LOMCN>1</LOMCN>
                                  <LOSN>1</LOSN>
                                  <LOEN>10</LOEN>
                                  <LOCN>21</LOCN>
                                </LnkInProps>
                              </LnkIn>
                            </Ctg>
                            <Ctg>
                              <CtgProps>
                                <R>5</R>
                              </CtgProps>
                              <LnkIn>
                                <LnkInProps>
                                  <MN>21</MN>
                                  <CLI>1,1,38,False,22</CLI>
                                  <ELN>1</ELN>
                                  <LOOT>0</LOOT>
                                  <LOMN>3</LOMN>
                                  <LOMCN>1</LOMCN>
                                  <LOSN>1</LOSN>
                                  <LOEN>10</LOEN>
                                  <LOCN>22</LOCN>
                                </LnkInProps>
                              </LnkIn>
                            </Ctg>
                            <Ctg>
                              <CtgProps>
                                <R>5</R>
                              </CtgProps>
                              <LnkIn>
                                <LnkInProps>
                                  <MN>21</MN>
                                  <CLI>1,1,38,False,23</CLI>
                                  <ELN>1</ELN>
                                  <LOOT>0</LOOT>
                                  <LOMN>3</LOMN>
                                  <LOMCN>1</LOMCN>
                                  <LOSN>1</LOSN>
                                  <LOEN>10</LOEN>
                                  <LOCN>23</LOCN>
                                </LnkInProps>
                              </LnkIn>
                            </Ctg>
                            <Ctg>
                              <CtgProps>
                                <R>5</R>
                              </CtgProps>
                              <LnkIn>
                                <LnkInProps>
                                  <MN>21</MN>
                                  <CLI>1,1,38,False,24</CLI>
                                  <ELN>1</ELN>
                                  <LOOT>0</LOOT>
                                  <LOMN>3</LOMN>
                                  <LOMCN>1</LOMCN>
                                  <LOSN>1</LOSN>
                                  <LOEN>10</LOEN>
                                  <LOCN>24</LOCN>
                                </LnkInProps>
                              </LnkIn>
                            </Ctg>
                            <Ctg>
                              <CtgProps>
                                <R>5</R>
                              </CtgProps>
                              <LnkIn>
                                <LnkInProps>
                                  <MN>21</MN>
                                  <CLI>1,1,38,False,25</CLI>
                                  <ELN>1</ELN>
                                  <LOOT>0</LOOT>
                                  <LOMN>3</LOMN>
                                  <LOMCN>1</LOMCN>
                                  <LOSN>1</LOSN>
                                  <LOEN>10</LOEN>
                                  <LOCN>25</LOCN>
                                </LnkInProps>
                              </LnkIn>
                            </Ctg>
                            <Ctg>
                              <CtgProps>
                                <R>5</R>
                              </CtgProps>
                              <LnkIn>
                                <LnkInProps>
                                  <MN>21</MN>
                                  <CLI>1,1,38,False,26</CLI>
                                  <ELN>1</ELN>
                                  <LOOT>0</LOOT>
                                  <LOMN>3</LOMN>
                                  <LOMCN>1</LOMCN>
                                  <LOSN>1</LOSN>
                                  <LOEN>10</LOEN>
                                  <LOCN>26</LOCN>
                                </LnkInProps>
                              </LnkIn>
                            </Ctg>
                            <Ctg>
                              <CtgProps>
                                <R>5</R>
                              </CtgProps>
                              <LnkIn>
                                <LnkInProps>
                                  <MN>21</MN>
                                  <CLI>1,1,38,False,27</CLI>
                                  <ELN>1</ELN>
                                  <LOOT>0</LOOT>
                                  <LOMN>3</LOMN>
                                  <LOMCN>1</LOMCN>
                                  <LOSN>1</LOSN>
                                  <LOEN>10</LOEN>
                                  <LOCN>27</LOCN>
                                </LnkInProps>
                              </LnkIn>
                            </Ctg>
                            <Ctg>
                              <CtgProps>
                                <R>5</R>
                              </CtgProps>
                              <LnkIn>
                                <LnkInProps>
                                  <MN>21</MN>
                                  <CLI>1,1,38,False,28</CLI>
                                  <ELN>1</ELN>
                                  <LOOT>0</LOOT>
                                  <LOMN>3</LOMN>
                                  <LOMCN>1</LOMCN>
                                  <LOSN>1</LOSN>
                                  <LOEN>10</LOEN>
                                  <LOCN>28</LOCN>
                                </LnkInProps>
                              </LnkIn>
                            </Ctg>
                            <Ctg>
                              <CtgProps>
                                <R>5</R>
                              </CtgProps>
                              <LnkIn>
                                <LnkInProps>
                                  <MN>21</MN>
                                  <CLI>1,1,38,False,29</CLI>
                                  <ELN>1</ELN>
                                  <LOOT>0</LOOT>
                                  <LOMN>3</LOMN>
                                  <LOMCN>1</LOMCN>
                                  <LOSN>1</LOSN>
                                  <LOEN>10</LOEN>
                                  <LOCN>29</LOCN>
                                </LnkInProps>
                              </LnkIn>
                            </Ctg>
                            <Ctg>
                              <CtgProps>
                                <R>5</R>
                              </CtgProps>
                              <LnkIn>
                                <LnkInProps>
                                  <MN>21</MN>
                                  <CLI>1,1,38,False,30</CLI>
                                  <ELN>1</ELN>
                                  <LOOT>0</LOOT>
                                  <LOMN>3</LOMN>
                                  <LOMCN>1</LOMCN>
                                  <LOSN>1</LOSN>
                                  <LOEN>10</LOEN>
                                  <LOCN>30</LOCN>
                                </LnkInProps>
                              </LnkIn>
                            </Ctg>
                            <Ctg>
                              <CtgProps>
                                <R>5</R>
                              </CtgProps>
                              <LnkIn>
                                <LnkInProps>
                                  <MN>21</MN>
                                  <CLI>1,1,38,False,31</CLI>
                                  <ELN>1</ELN>
                                  <LOOT>0</LOOT>
                                  <LOMN>3</LOMN>
                                  <LOMCN>1</LOMCN>
                                  <LOSN>1</LOSN>
                                  <LOEN>10</LOEN>
                                  <LOCN>31</LOCN>
                                </LnkInProps>
                              </LnkIn>
                            </Ctg>
                            <Ctg>
                              <CtgProps>
                                <R>5</R>
                              </CtgProps>
                              <LnkIn>
                                <LnkInProps>
                                  <MN>21</MN>
                                  <CLI>1,1,38,False,32</CLI>
                                  <ELN>1</ELN>
                                  <LOOT>0</LOOT>
                                  <LOMN>3</LOMN>
                                  <LOMCN>1</LOMCN>
                                  <LOSN>1</LOSN>
                                  <LOEN>10</LOEN>
                                  <LOCN>32</LOCN>
                                </LnkInProps>
                              </LnkIn>
                            </Ctg>
                            <Ctg>
                              <CtgProps>
                                <R>5</R>
                              </CtgProps>
                              <LnkIn>
                                <LnkInProps>
                                  <MN>21</MN>
                                  <CLI>1,1,38,False,33</CLI>
                                  <ELN>1</ELN>
                                  <LOOT>0</LOOT>
                                  <LOMN>3</LOMN>
                                  <LOMCN>1</LOMCN>
                                  <LOSN>1</LOSN>
                                  <LOEN>10</LOEN>
                                  <LOCN>33</LOCN>
                                </LnkInProps>
                              </LnkIn>
                            </Ctg>
                            <Ctg>
                              <CtgProps>
                                <R>5</R>
                              </CtgProps>
                              <LnkIn>
                                <LnkInProps>
                                  <MN>21</MN>
                                  <CLI>1,1,38,False,34</CLI>
                                  <ELN>1</ELN>
                                  <LOOT>0</LOOT>
                                  <LOMN>3</LOMN>
                                  <LOMCN>1</LOMCN>
                                  <LOSN>1</LOSN>
                                  <LOEN>10</LOEN>
                                  <LOCN>34</LOCN>
                                </LnkInProps>
                              </LnkIn>
                            </Ctg>
                            <Ctg>
                              <CtgProps>
                                <R>5</R>
                              </CtgProps>
                              <LnkIn>
                                <LnkInProps>
                                  <MN>21</MN>
                                  <CLI>1,1,38,False,35</CLI>
                                  <ELN>1</ELN>
                                  <LOOT>0</LOOT>
                                  <LOMN>3</LOMN>
                                  <LOMCN>1</LOMCN>
                                  <LOSN>1</LOSN>
                                  <LOEN>10</LOEN>
                                  <LOCN>35</LOCN>
                                </LnkInProps>
                              </LnkIn>
                            </Ctg>
                          </Ctgs>
                        </SubTtl>
                      </SubTtls>
                      <TtlCtg/>
                      <ElmtLnksIn>
                        <ElmtLnk>
                          <ElmtLnkProps>
                            <ELI>1,1,38</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1,1,41,1,1</CBPLI>
                                    <ELN>1</ELN>
                                    <FFF><![CDATA[=§A¿10,FALSE,0,1,0,FALSE§Z¿]]></FFF>
                                  </LnkInFormProps>
                                </LnkInForm>
                              </LnkInForms>
                            </ClmnBlkPt>
                            <ClmnBlkPt>
                              <ClmnBlkPtProps>
                                <CBPT>1</CBPT>
                                <ST>6</ST>
                                <VOFFF><![CDATA[="Total "&§A¿0,1,0,1,41,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1,1,41,2,1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1,1,41,3,1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1,1,41,4,1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1,1,41,5,1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21</MN>
                                  <CLI>1,1,41,False,1</CLI>
                                  <ELN>1</ELN>
                                  <LOOT>0</LOOT>
                                  <LOMN>3</LOMN>
                                  <LOMCN>1</LOMCN>
                                  <LOSN>1</LOSN>
                                  <LOEN>15</LOEN>
                                  <LOCN>1</LOCN>
                                </LnkInProps>
                              </LnkIn>
                            </Ctg>
                            <Ctg>
                              <CtgProps>
                                <R>4</R>
                              </CtgProps>
                              <LnkIn>
                                <LnkInProps>
                                  <MN>21</MN>
                                  <CLI>1,1,41,False,2</CLI>
                                  <ELN>1</ELN>
                                  <LOOT>0</LOOT>
                                  <LOMN>3</LOMN>
                                  <LOMCN>1</LOMCN>
                                  <LOSN>1</LOSN>
                                  <LOEN>15</LOEN>
                                  <LOCN>2</LOCN>
                                </LnkInProps>
                              </LnkIn>
                            </Ctg>
                            <Ctg>
                              <CtgProps>
                                <R>4</R>
                              </CtgProps>
                              <LnkIn>
                                <LnkInProps>
                                  <MN>21</MN>
                                  <CLI>1,1,41,False,3</CLI>
                                  <ELN>1</ELN>
                                  <LOOT>0</LOOT>
                                  <LOMN>3</LOMN>
                                  <LOMCN>1</LOMCN>
                                  <LOSN>1</LOSN>
                                  <LOEN>15</LOEN>
                                  <LOCN>3</LOCN>
                                </LnkInProps>
                              </LnkIn>
                            </Ctg>
                            <Ctg>
                              <CtgProps>
                                <R>4</R>
                              </CtgProps>
                              <LnkIn>
                                <LnkInProps>
                                  <MN>21</MN>
                                  <CLI>1,1,41,False,4</CLI>
                                  <ELN>1</ELN>
                                  <LOOT>0</LOOT>
                                  <LOMN>3</LOMN>
                                  <LOMCN>1</LOMCN>
                                  <LOSN>1</LOSN>
                                  <LOEN>15</LOEN>
                                  <LOCN>4</LOCN>
                                </LnkInProps>
                              </LnkIn>
                            </Ctg>
                            <Ctg>
                              <CtgProps>
                                <R>5</R>
                              </CtgProps>
                              <LnkIn>
                                <LnkInProps>
                                  <MN>21</MN>
                                  <CLI>1,1,41,False,5</CLI>
                                  <ELN>1</ELN>
                                  <LOOT>0</LOOT>
                                  <LOMN>3</LOMN>
                                  <LOMCN>1</LOMCN>
                                  <LOSN>1</LOSN>
                                  <LOEN>15</LOEN>
                                  <LOCN>5</LOCN>
                                </LnkInProps>
                              </LnkIn>
                            </Ctg>
                            <Ctg>
                              <CtgProps>
                                <R>5</R>
                              </CtgProps>
                              <LnkIn>
                                <LnkInProps>
                                  <MN>21</MN>
                                  <CLI>1,1,41,False,6</CLI>
                                  <ELN>1</ELN>
                                  <LOOT>0</LOOT>
                                  <LOMN>3</LOMN>
                                  <LOMCN>1</LOMCN>
                                  <LOSN>1</LOSN>
                                  <LOEN>15</LOEN>
                                  <LOCN>6</LOCN>
                                </LnkInProps>
                              </LnkIn>
                            </Ctg>
                            <Ctg>
                              <CtgProps>
                                <R>5</R>
                              </CtgProps>
                              <LnkIn>
                                <LnkInProps>
                                  <MN>21</MN>
                                  <CLI>1,1,41,False,7</CLI>
                                  <ELN>1</ELN>
                                  <LOOT>0</LOOT>
                                  <LOMN>3</LOMN>
                                  <LOMCN>1</LOMCN>
                                  <LOSN>1</LOSN>
                                  <LOEN>15</LOEN>
                                  <LOCN>7</LOCN>
                                </LnkInProps>
                              </LnkIn>
                            </Ctg>
                            <Ctg>
                              <CtgProps>
                                <R>5</R>
                              </CtgProps>
                              <LnkIn>
                                <LnkInProps>
                                  <MN>21</MN>
                                  <CLI>1,1,41,False,8</CLI>
                                  <ELN>1</ELN>
                                  <LOOT>0</LOOT>
                                  <LOMN>3</LOMN>
                                  <LOMCN>1</LOMCN>
                                  <LOSN>1</LOSN>
                                  <LOEN>15</LOEN>
                                  <LOCN>8</LOCN>
                                </LnkInProps>
                              </LnkIn>
                            </Ctg>
                            <Ctg>
                              <CtgProps>
                                <R>5</R>
                              </CtgProps>
                              <LnkIn>
                                <LnkInProps>
                                  <MN>21</MN>
                                  <CLI>1,1,41,False,9</CLI>
                                  <ELN>1</ELN>
                                  <LOOT>0</LOOT>
                                  <LOMN>3</LOMN>
                                  <LOMCN>1</LOMCN>
                                  <LOSN>1</LOSN>
                                  <LOEN>15</LOEN>
                                  <LOCN>9</LOCN>
                                </LnkInProps>
                              </LnkIn>
                            </Ctg>
                            <Ctg>
                              <CtgProps>
                                <R>5</R>
                              </CtgProps>
                              <LnkIn>
                                <LnkInProps>
                                  <MN>21</MN>
                                  <CLI>1,1,41,False,10</CLI>
                                  <ELN>1</ELN>
                                  <LOOT>0</LOOT>
                                  <LOMN>3</LOMN>
                                  <LOMCN>1</LOMCN>
                                  <LOSN>1</LOSN>
                                  <LOEN>15</LOEN>
                                  <LOCN>10</LOCN>
                                </LnkInProps>
                              </LnkIn>
                            </Ctg>
                            <Ctg>
                              <CtgProps>
                                <R>5</R>
                              </CtgProps>
                              <LnkIn>
                                <LnkInProps>
                                  <MN>21</MN>
                                  <CLI>1,1,41,False,11</CLI>
                                  <ELN>1</ELN>
                                  <LOOT>0</LOOT>
                                  <LOMN>3</LOMN>
                                  <LOMCN>1</LOMCN>
                                  <LOSN>1</LOSN>
                                  <LOEN>15</LOEN>
                                  <LOCN>11</LOCN>
                                </LnkInProps>
                              </LnkIn>
                            </Ctg>
                            <Ctg>
                              <CtgProps>
                                <R>5</R>
                              </CtgProps>
                              <LnkIn>
                                <LnkInProps>
                                  <MN>21</MN>
                                  <CLI>1,1,41,False,12</CLI>
                                  <ELN>1</ELN>
                                  <LOOT>0</LOOT>
                                  <LOMN>3</LOMN>
                                  <LOMCN>1</LOMCN>
                                  <LOSN>1</LOSN>
                                  <LOEN>15</LOEN>
                                  <LOCN>12</LOCN>
                                </LnkInProps>
                              </LnkIn>
                            </Ctg>
                            <Ctg>
                              <CtgProps>
                                <R>5</R>
                              </CtgProps>
                              <LnkIn>
                                <LnkInProps>
                                  <MN>21</MN>
                                  <CLI>1,1,41,False,13</CLI>
                                  <ELN>1</ELN>
                                  <LOOT>0</LOOT>
                                  <LOMN>3</LOMN>
                                  <LOMCN>1</LOMCN>
                                  <LOSN>1</LOSN>
                                  <LOEN>15</LOEN>
                                  <LOCN>13</LOCN>
                                </LnkInProps>
                              </LnkIn>
                            </Ctg>
                            <Ctg>
                              <CtgProps>
                                <R>5</R>
                              </CtgProps>
                              <LnkIn>
                                <LnkInProps>
                                  <MN>21</MN>
                                  <CLI>1,1,41,False,14</CLI>
                                  <ELN>1</ELN>
                                  <LOOT>0</LOOT>
                                  <LOMN>3</LOMN>
                                  <LOMCN>1</LOMCN>
                                  <LOSN>1</LOSN>
                                  <LOEN>15</LOEN>
                                  <LOCN>14</LOCN>
                                </LnkInProps>
                              </LnkIn>
                            </Ctg>
                            <Ctg>
                              <CtgProps>
                                <R>5</R>
                              </CtgProps>
                              <LnkIn>
                                <LnkInProps>
                                  <MN>21</MN>
                                  <CLI>1,1,41,False,15</CLI>
                                  <ELN>1</ELN>
                                  <LOOT>0</LOOT>
                                  <LOMN>3</LOMN>
                                  <LOMCN>1</LOMCN>
                                  <LOSN>1</LOSN>
                                  <LOEN>15</LOEN>
                                  <LOCN>15</LOCN>
                                </LnkInProps>
                              </LnkIn>
                            </Ctg>
                            <Ctg>
                              <CtgProps>
                                <R>5</R>
                              </CtgProps>
                              <LnkIn>
                                <LnkInProps>
                                  <MN>21</MN>
                                  <CLI>1,1,41,False,16</CLI>
                                  <ELN>1</ELN>
                                  <LOOT>0</LOOT>
                                  <LOMN>3</LOMN>
                                  <LOMCN>1</LOMCN>
                                  <LOSN>1</LOSN>
                                  <LOEN>15</LOEN>
                                  <LOCN>16</LOCN>
                                </LnkInProps>
                              </LnkIn>
                            </Ctg>
                            <Ctg>
                              <CtgProps>
                                <R>4</R>
                              </CtgProps>
                              <LnkIn>
                                <LnkInProps>
                                  <MN>21</MN>
                                  <CLI>1,1,41,False,17</CLI>
                                  <ELN>1</ELN>
                                  <LOOT>0</LOOT>
                                  <LOMN>3</LOMN>
                                  <LOMCN>1</LOMCN>
                                  <LOSN>1</LOSN>
                                  <LOEN>15</LOEN>
                                  <LOCN>17</LOCN>
                                </LnkInProps>
                              </LnkIn>
                            </Ctg>
                            <Ctg>
                              <CtgProps>
                                <R>4</R>
                              </CtgProps>
                              <LnkIn>
                                <LnkInProps>
                                  <MN>21</MN>
                                  <CLI>1,1,41,False,18</CLI>
                                  <ELN>1</ELN>
                                  <LOOT>0</LOOT>
                                  <LOMN>3</LOMN>
                                  <LOMCN>1</LOMCN>
                                  <LOSN>1</LOSN>
                                  <LOEN>15</LOEN>
                                  <LOCN>18</LOCN>
                                </LnkInProps>
                              </LnkIn>
                            </Ctg>
                            <Ctg>
                              <CtgProps>
                                <R>4</R>
                              </CtgProps>
                              <LnkIn>
                                <LnkInProps>
                                  <MN>21</MN>
                                  <CLI>1,1,41,False,19</CLI>
                                  <ELN>1</ELN>
                                  <LOOT>0</LOOT>
                                  <LOMN>3</LOMN>
                                  <LOMCN>1</LOMCN>
                                  <LOSN>1</LOSN>
                                  <LOEN>15</LOEN>
                                  <LOCN>19</LOCN>
                                </LnkInProps>
                              </LnkIn>
                            </Ctg>
                            <Ctg>
                              <CtgProps>
                                <R>4</R>
                              </CtgProps>
                              <LnkIn>
                                <LnkInProps>
                                  <MN>21</MN>
                                  <CLI>1,1,41,False,20</CLI>
                                  <ELN>1</ELN>
                                  <LOOT>0</LOOT>
                                  <LOMN>3</LOMN>
                                  <LOMCN>1</LOMCN>
                                  <LOSN>1</LOSN>
                                  <LOEN>15</LOEN>
                                  <LOCN>20</LOCN>
                                </LnkInProps>
                              </LnkIn>
                            </Ctg>
                            <Ctg>
                              <CtgProps>
                                <R>4</R>
                              </CtgProps>
                              <LnkIn>
                                <LnkInProps>
                                  <MN>21</MN>
                                  <CLI>1,1,41,False,21</CLI>
                                  <ELN>1</ELN>
                                  <LOOT>0</LOOT>
                                  <LOMN>3</LOMN>
                                  <LOMCN>1</LOMCN>
                                  <LOSN>1</LOSN>
                                  <LOEN>15</LOEN>
                                  <LOCN>21</LOCN>
                                </LnkInProps>
                              </LnkIn>
                            </Ctg>
                            <Ctg>
                              <CtgProps>
                                <R>4</R>
                              </CtgProps>
                              <LnkIn>
                                <LnkInProps>
                                  <MN>21</MN>
                                  <CLI>1,1,41,False,22</CLI>
                                  <ELN>1</ELN>
                                  <LOOT>0</LOOT>
                                  <LOMN>3</LOMN>
                                  <LOMCN>1</LOMCN>
                                  <LOSN>1</LOSN>
                                  <LOEN>15</LOEN>
                                  <LOCN>22</LOCN>
                                </LnkInProps>
                              </LnkIn>
                            </Ctg>
                            <Ctg>
                              <CtgProps>
                                <R>5</R>
                              </CtgProps>
                              <LnkIn>
                                <LnkInProps>
                                  <MN>21</MN>
                                  <CLI>1,1,41,False,23</CLI>
                                  <ELN>1</ELN>
                                  <LOOT>0</LOOT>
                                  <LOMN>3</LOMN>
                                  <LOMCN>1</LOMCN>
                                  <LOSN>1</LOSN>
                                  <LOEN>15</LOEN>
                                  <LOCN>23</LOCN>
                                </LnkInProps>
                              </LnkIn>
                            </Ctg>
                            <Ctg>
                              <CtgProps>
                                <R>5</R>
                              </CtgProps>
                              <LnkIn>
                                <LnkInProps>
                                  <MN>21</MN>
                                  <CLI>1,1,41,False,24</CLI>
                                  <ELN>1</ELN>
                                  <LOOT>0</LOOT>
                                  <LOMN>3</LOMN>
                                  <LOMCN>1</LOMCN>
                                  <LOSN>1</LOSN>
                                  <LOEN>15</LOEN>
                                  <LOCN>24</LOCN>
                                </LnkInProps>
                              </LnkIn>
                            </Ctg>
                            <Ctg>
                              <CtgProps>
                                <R>5</R>
                              </CtgProps>
                              <LnkIn>
                                <LnkInProps>
                                  <MN>21</MN>
                                  <CLI>1,1,41,False,25</CLI>
                                  <ELN>1</ELN>
                                  <LOOT>0</LOOT>
                                  <LOMN>3</LOMN>
                                  <LOMCN>1</LOMCN>
                                  <LOSN>1</LOSN>
                                  <LOEN>15</LOEN>
                                  <LOCN>25</LOCN>
                                </LnkInProps>
                              </LnkIn>
                            </Ctg>
                            <Ctg>
                              <CtgProps>
                                <R>5</R>
                              </CtgProps>
                              <LnkIn>
                                <LnkInProps>
                                  <MN>21</MN>
                                  <CLI>1,1,41,False,26</CLI>
                                  <ELN>1</ELN>
                                  <LOOT>0</LOOT>
                                  <LOMN>3</LOMN>
                                  <LOMCN>1</LOMCN>
                                  <LOSN>1</LOSN>
                                  <LOEN>15</LOEN>
                                  <LOCN>26</LOCN>
                                </LnkInProps>
                              </LnkIn>
                            </Ctg>
                            <Ctg>
                              <CtgProps>
                                <R>5</R>
                              </CtgProps>
                              <LnkIn>
                                <LnkInProps>
                                  <MN>21</MN>
                                  <CLI>1,1,41,False,27</CLI>
                                  <ELN>1</ELN>
                                  <LOOT>0</LOOT>
                                  <LOMN>3</LOMN>
                                  <LOMCN>1</LOMCN>
                                  <LOSN>1</LOSN>
                                  <LOEN>15</LOEN>
                                  <LOCN>27</LOCN>
                                </LnkInProps>
                              </LnkIn>
                            </Ctg>
                            <Ctg>
                              <CtgProps>
                                <R>5</R>
                              </CtgProps>
                              <LnkIn>
                                <LnkInProps>
                                  <MN>21</MN>
                                  <CLI>1,1,41,False,28</CLI>
                                  <ELN>1</ELN>
                                  <LOOT>0</LOOT>
                                  <LOMN>3</LOMN>
                                  <LOMCN>1</LOMCN>
                                  <LOSN>1</LOSN>
                                  <LOEN>15</LOEN>
                                  <LOCN>28</LOCN>
                                </LnkInProps>
                              </LnkIn>
                            </Ctg>
                            <Ctg>
                              <CtgProps>
                                <R>5</R>
                              </CtgProps>
                              <LnkIn>
                                <LnkInProps>
                                  <MN>21</MN>
                                  <CLI>1,1,41,False,29</CLI>
                                  <ELN>1</ELN>
                                  <LOOT>0</LOOT>
                                  <LOMN>3</LOMN>
                                  <LOMCN>1</LOMCN>
                                  <LOSN>1</LOSN>
                                  <LOEN>15</LOEN>
                                  <LOCN>29</LOCN>
                                </LnkInProps>
                              </LnkIn>
                            </Ctg>
                            <Ctg>
                              <CtgProps>
                                <R>5</R>
                              </CtgProps>
                              <LnkIn>
                                <LnkInProps>
                                  <MN>21</MN>
                                  <CLI>1,1,41,False,30</CLI>
                                  <ELN>1</ELN>
                                  <LOOT>0</LOOT>
                                  <LOMN>3</LOMN>
                                  <LOMCN>1</LOMCN>
                                  <LOSN>1</LOSN>
                                  <LOEN>15</LOEN>
                                  <LOCN>30</LOCN>
                                </LnkInProps>
                              </LnkIn>
                            </Ctg>
                            <Ctg>
                              <CtgProps>
                                <R>4</R>
                              </CtgProps>
                              <LnkIn>
                                <LnkInProps>
                                  <MN>21</MN>
                                  <CLI>1,1,41,False,31</CLI>
                                  <ELN>1</ELN>
                                  <LOOT>0</LOOT>
                                  <LOMN>3</LOMN>
                                  <LOMCN>1</LOMCN>
                                  <LOSN>1</LOSN>
                                  <LOEN>15</LOEN>
                                  <LOCN>31</LOCN>
                                </LnkInProps>
                              </LnkIn>
                            </Ctg>
                            <Ctg>
                              <CtgProps>
                                <R>4</R>
                              </CtgProps>
                              <LnkIn>
                                <LnkInProps>
                                  <MN>21</MN>
                                  <CLI>1,1,41,False,32</CLI>
                                  <ELN>1</ELN>
                                  <LOOT>0</LOOT>
                                  <LOMN>3</LOMN>
                                  <LOMCN>1</LOMCN>
                                  <LOSN>1</LOSN>
                                  <LOEN>15</LOEN>
                                  <LOCN>32</LOCN>
                                </LnkInProps>
                              </LnkIn>
                            </Ctg>
                            <Ctg>
                              <CtgProps>
                                <R>4</R>
                              </CtgProps>
                              <LnkIn>
                                <LnkInProps>
                                  <MN>21</MN>
                                  <CLI>1,1,41,False,33</CLI>
                                  <ELN>1</ELN>
                                  <LOOT>0</LOOT>
                                  <LOMN>3</LOMN>
                                  <LOMCN>1</LOMCN>
                                  <LOSN>1</LOSN>
                                  <LOEN>15</LOEN>
                                  <LOCN>33</LOCN>
                                </LnkInProps>
                              </LnkIn>
                            </Ctg>
                            <Ctg>
                              <CtgProps>
                                <R>4</R>
                              </CtgProps>
                              <LnkIn>
                                <LnkInProps>
                                  <MN>21</MN>
                                  <CLI>1,1,41,False,34</CLI>
                                  <ELN>1</ELN>
                                  <LOOT>0</LOOT>
                                  <LOMN>3</LOMN>
                                  <LOMCN>1</LOMCN>
                                  <LOSN>1</LOSN>
                                  <LOEN>15</LOEN>
                                  <LOCN>34</LOCN>
                                </LnkInProps>
                              </LnkIn>
                            </Ctg>
                            <Ctg>
                              <CtgProps>
                                <R>4</R>
                              </CtgProps>
                              <LnkIn>
                                <LnkInProps>
                                  <MN>21</MN>
                                  <CLI>1,1,41,False,35</CLI>
                                  <ELN>1</ELN>
                                  <LOOT>0</LOOT>
                                  <LOMN>3</LOMN>
                                  <LOMCN>1</LOMCN>
                                  <LOSN>1</LOSN>
                                  <LOEN>15</LOEN>
                                  <LOCN>35</LOCN>
                                </LnkInProps>
                              </LnkIn>
                            </Ctg>
                          </Ctgs>
                        </SubTtl>
                      </SubTtls>
                      <TtlCtg/>
                      <ElmtLnksIn>
                        <ElmtLnk>
                          <ElmtLnkProps>
                            <ELI>1,1,41</ELI>
                            <ELN>1</ELN>
                            <ELGN>3</ELGN>
                            <MLG>9954C197-DC59-49F2-BACE-BDAFCC88813C</MLG>
                            <ICBI>1,2,3,4,5</ICBI>
                            <ILBN/>
                            <LIBN>0</LIBN>
                          </ElmtLnkProps>
                        </ElmtLnk>
                      </ElmtLnksIn>
                    </Elmt>
                    <Elmt>
                      <ElmtProps>
                        <CPT>2</CPT>
                      </ElmtProps>
                      <ClmnBlks>
                        <ClmnBlk>
                          <ClmnBlkProps>
                            <FCPT>0</FCPT>
                            <FCN>19</FCN>
                            <LCPT>0</LCPT>
                            <LCN>19</LCN>
                          </ClmnBlkProps>
                          <ClmnBlkPts>
                            <ClmnBlkPt>
                              <ClmnBlkPtProps>
                                <CBPT>5</CBPT>
                                <ST>6</ST>
                                <VOFFF><![CDATA[         ]]></VOFFF>
                              </ClmnBlkPtProps>
                            </ClmnBlkPt>
                          </ClmnBlkPts>
                        </ClmnBlk>
                      </ClmnBlk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1,1,45,1,1</CBPLI>
                                    <ELN>1</ELN>
                                    <FFF><![CDATA[=§A¿10,FALSE,0,1,0,FALSE§Z¿]]></FFF>
                                  </LnkInFormProps>
                                </LnkInForm>
                              </LnkInForms>
                            </ClmnBlkPt>
                            <ClmnBlkPt>
                              <ClmnBlkPtProps>
                                <CBPT>1</CBPT>
                                <ST>6</ST>
                                <VOFFF><![CDATA[="Total "&§A¿0,1,0,1,45,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1,1,45,3,1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1,1,45,4,1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1,1,45,5,1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21</MN>
                                  <CLI>1,1,45,False,1</CLI>
                                  <ELN>1</ELN>
                                  <LOOT>0</LOOT>
                                  <LOMN>3</LOMN>
                                  <LOMCN>1</LOMCN>
                                  <LOSN>1</LOSN>
                                  <LOEN>19</LOEN>
                                  <LOCN>1</LOCN>
                                </LnkInProps>
                              </LnkIn>
                            </Ctg>
                            <Ctg>
                              <CtgProps>
                                <R>4</R>
                              </CtgProps>
                              <LnkIn>
                                <LnkInProps>
                                  <MN>21</MN>
                                  <CLI>1,1,45,False,2</CLI>
                                  <ELN>1</ELN>
                                  <LOOT>0</LOOT>
                                  <LOMN>3</LOMN>
                                  <LOMCN>1</LOMCN>
                                  <LOSN>1</LOSN>
                                  <LOEN>19</LOEN>
                                  <LOCN>2</LOCN>
                                </LnkInProps>
                              </LnkIn>
                            </Ctg>
                            <Ctg>
                              <CtgProps>
                                <R>4</R>
                              </CtgProps>
                              <LnkIn>
                                <LnkInProps>
                                  <MN>21</MN>
                                  <CLI>1,1,45,False,3</CLI>
                                  <ELN>1</ELN>
                                  <LOOT>0</LOOT>
                                  <LOMN>3</LOMN>
                                  <LOMCN>1</LOMCN>
                                  <LOSN>1</LOSN>
                                  <LOEN>19</LOEN>
                                  <LOCN>3</LOCN>
                                </LnkInProps>
                              </LnkIn>
                            </Ctg>
                            <Ctg>
                              <CtgProps>
                                <R>4</R>
                              </CtgProps>
                              <LnkIn>
                                <LnkInProps>
                                  <MN>21</MN>
                                  <CLI>1,1,45,False,4</CLI>
                                  <ELN>1</ELN>
                                  <LOOT>0</LOOT>
                                  <LOMN>3</LOMN>
                                  <LOMCN>1</LOMCN>
                                  <LOSN>1</LOSN>
                                  <LOEN>19</LOEN>
                                  <LOCN>4</LOCN>
                                </LnkInProps>
                              </LnkIn>
                            </Ctg>
                            <Ctg>
                              <CtgProps>
                                <R>4</R>
                              </CtgProps>
                              <LnkIn>
                                <LnkInProps>
                                  <MN>21</MN>
                                  <CLI>1,1,45,False,5</CLI>
                                  <ELN>1</ELN>
                                  <LOOT>0</LOOT>
                                  <LOMN>3</LOMN>
                                  <LOMCN>1</LOMCN>
                                  <LOSN>1</LOSN>
                                  <LOEN>19</LOEN>
                                  <LOCN>5</LOCN>
                                </LnkInProps>
                              </LnkIn>
                            </Ctg>
                            <Ctg>
                              <CtgProps>
                                <R>4</R>
                              </CtgProps>
                              <LnkIn>
                                <LnkInProps>
                                  <MN>21</MN>
                                  <CLI>1,1,45,False,6</CLI>
                                  <ELN>1</ELN>
                                  <LOOT>0</LOOT>
                                  <LOMN>3</LOMN>
                                  <LOMCN>1</LOMCN>
                                  <LOSN>1</LOSN>
                                  <LOEN>19</LOEN>
                                  <LOCN>6</LOCN>
                                </LnkInProps>
                              </LnkIn>
                            </Ctg>
                            <Ctg>
                              <CtgProps>
                                <R>4</R>
                              </CtgProps>
                              <LnkIn>
                                <LnkInProps>
                                  <MN>21</MN>
                                  <CLI>1,1,45,False,7</CLI>
                                  <ELN>1</ELN>
                                  <LOOT>0</LOOT>
                                  <LOMN>3</LOMN>
                                  <LOMCN>1</LOMCN>
                                  <LOSN>1</LOSN>
                                  <LOEN>19</LOEN>
                                  <LOCN>7</LOCN>
                                </LnkInProps>
                              </LnkIn>
                            </Ctg>
                            <Ctg>
                              <CtgProps>
                                <R>4</R>
                              </CtgProps>
                              <LnkIn>
                                <LnkInProps>
                                  <MN>21</MN>
                                  <CLI>1,1,45,False,8</CLI>
                                  <ELN>1</ELN>
                                  <LOOT>0</LOOT>
                                  <LOMN>3</LOMN>
                                  <LOMCN>1</LOMCN>
                                  <LOSN>1</LOSN>
                                  <LOEN>19</LOEN>
                                  <LOCN>8</LOCN>
                                </LnkInProps>
                              </LnkIn>
                            </Ctg>
                            <Ctg>
                              <CtgProps>
                                <R>4</R>
                              </CtgProps>
                              <LnkIn>
                                <LnkInProps>
                                  <MN>21</MN>
                                  <CLI>1,1,45,False,9</CLI>
                                  <ELN>1</ELN>
                                  <LOOT>0</LOOT>
                                  <LOMN>3</LOMN>
                                  <LOMCN>1</LOMCN>
                                  <LOSN>1</LOSN>
                                  <LOEN>19</LOEN>
                                  <LOCN>9</LOCN>
                                </LnkInProps>
                              </LnkIn>
                            </Ctg>
                            <Ctg>
                              <CtgProps>
                                <R>4</R>
                              </CtgProps>
                              <LnkIn>
                                <LnkInProps>
                                  <MN>21</MN>
                                  <CLI>1,1,45,False,10</CLI>
                                  <ELN>1</ELN>
                                  <LOOT>0</LOOT>
                                  <LOMN>3</LOMN>
                                  <LOMCN>1</LOMCN>
                                  <LOSN>1</LOSN>
                                  <LOEN>19</LOEN>
                                  <LOCN>10</LOCN>
                                </LnkInProps>
                              </LnkIn>
                            </Ctg>
                            <Ctg>
                              <CtgProps>
                                <R>4</R>
                              </CtgProps>
                              <LnkIn>
                                <LnkInProps>
                                  <MN>21</MN>
                                  <CLI>1,1,45,False,11</CLI>
                                  <ELN>1</ELN>
                                  <LOOT>0</LOOT>
                                  <LOMN>3</LOMN>
                                  <LOMCN>1</LOMCN>
                                  <LOSN>1</LOSN>
                                  <LOEN>19</LOEN>
                                  <LOCN>11</LOCN>
                                </LnkInProps>
                              </LnkIn>
                            </Ctg>
                            <Ctg>
                              <CtgProps>
                                <R>4</R>
                              </CtgProps>
                              <LnkIn>
                                <LnkInProps>
                                  <MN>21</MN>
                                  <CLI>1,1,45,False,12</CLI>
                                  <ELN>1</ELN>
                                  <LOOT>0</LOOT>
                                  <LOMN>3</LOMN>
                                  <LOMCN>1</LOMCN>
                                  <LOSN>1</LOSN>
                                  <LOEN>19</LOEN>
                                  <LOCN>12</LOCN>
                                </LnkInProps>
                              </LnkIn>
                            </Ctg>
                            <Ctg>
                              <CtgProps>
                                <R>4</R>
                              </CtgProps>
                              <LnkIn>
                                <LnkInProps>
                                  <MN>21</MN>
                                  <CLI>1,1,45,False,13</CLI>
                                  <ELN>1</ELN>
                                  <LOOT>0</LOOT>
                                  <LOMN>3</LOMN>
                                  <LOMCN>1</LOMCN>
                                  <LOSN>1</LOSN>
                                  <LOEN>19</LOEN>
                                  <LOCN>13</LOCN>
                                </LnkInProps>
                              </LnkIn>
                            </Ctg>
                            <Ctg>
                              <CtgProps>
                                <R>4</R>
                              </CtgProps>
                              <LnkIn>
                                <LnkInProps>
                                  <MN>21</MN>
                                  <CLI>1,1,45,False,14</CLI>
                                  <ELN>1</ELN>
                                  <LOOT>0</LOOT>
                                  <LOMN>3</LOMN>
                                  <LOMCN>1</LOMCN>
                                  <LOSN>1</LOSN>
                                  <LOEN>19</LOEN>
                                  <LOCN>14</LOCN>
                                </LnkInProps>
                              </LnkIn>
                            </Ctg>
                            <Ctg>
                              <CtgProps>
                                <R>4</R>
                              </CtgProps>
                              <LnkIn>
                                <LnkInProps>
                                  <MN>21</MN>
                                  <CLI>1,1,45,False,15</CLI>
                                  <ELN>1</ELN>
                                  <LOOT>0</LOOT>
                                  <LOMN>3</LOMN>
                                  <LOMCN>1</LOMCN>
                                  <LOSN>1</LOSN>
                                  <LOEN>19</LOEN>
                                  <LOCN>15</LOCN>
                                </LnkInProps>
                              </LnkIn>
                            </Ctg>
                            <Ctg>
                              <CtgProps>
                                <R>5</R>
                              </CtgProps>
                              <LnkIn>
                                <LnkInProps>
                                  <MN>21</MN>
                                  <CLI>1,1,45,False,16</CLI>
                                  <ELN>1</ELN>
                                  <LOOT>0</LOOT>
                                  <LOMN>3</LOMN>
                                  <LOMCN>1</LOMCN>
                                  <LOSN>1</LOSN>
                                  <LOEN>19</LOEN>
                                  <LOCN>16</LOCN>
                                </LnkInProps>
                              </LnkIn>
                            </Ctg>
                            <Ctg>
                              <CtgProps>
                                <R>5</R>
                              </CtgProps>
                              <LnkIn>
                                <LnkInProps>
                                  <MN>21</MN>
                                  <CLI>1,1,45,False,17</CLI>
                                  <ELN>1</ELN>
                                  <LOOT>0</LOOT>
                                  <LOMN>3</LOMN>
                                  <LOMCN>1</LOMCN>
                                  <LOSN>1</LOSN>
                                  <LOEN>19</LOEN>
                                  <LOCN>17</LOCN>
                                </LnkInProps>
                              </LnkIn>
                            </Ctg>
                            <Ctg>
                              <CtgProps>
                                <R>5</R>
                              </CtgProps>
                              <LnkIn>
                                <LnkInProps>
                                  <MN>21</MN>
                                  <CLI>1,1,45,False,18</CLI>
                                  <ELN>1</ELN>
                                  <LOOT>0</LOOT>
                                  <LOMN>3</LOMN>
                                  <LOMCN>1</LOMCN>
                                  <LOSN>1</LOSN>
                                  <LOEN>19</LOEN>
                                  <LOCN>18</LOCN>
                                </LnkInProps>
                              </LnkIn>
                            </Ctg>
                            <Ctg>
                              <CtgProps>
                                <R>5</R>
                              </CtgProps>
                              <LnkIn>
                                <LnkInProps>
                                  <MN>21</MN>
                                  <CLI>1,1,45,False,19</CLI>
                                  <ELN>1</ELN>
                                  <LOOT>0</LOOT>
                                  <LOMN>3</LOMN>
                                  <LOMCN>1</LOMCN>
                                  <LOSN>1</LOSN>
                                  <LOEN>19</LOEN>
                                  <LOCN>19</LOCN>
                                </LnkInProps>
                              </LnkIn>
                            </Ctg>
                            <Ctg>
                              <CtgProps>
                                <R>5</R>
                              </CtgProps>
                              <LnkIn>
                                <LnkInProps>
                                  <MN>21</MN>
                                  <CLI>1,1,45,False,20</CLI>
                                  <ELN>1</ELN>
                                  <LOOT>0</LOOT>
                                  <LOMN>3</LOMN>
                                  <LOMCN>1</LOMCN>
                                  <LOSN>1</LOSN>
                                  <LOEN>19</LOEN>
                                  <LOCN>20</LOCN>
                                </LnkInProps>
                              </LnkIn>
                            </Ctg>
                            <Ctg>
                              <CtgProps>
                                <R>5</R>
                              </CtgProps>
                              <LnkIn>
                                <LnkInProps>
                                  <MN>21</MN>
                                  <CLI>1,1,45,False,21</CLI>
                                  <ELN>1</ELN>
                                  <LOOT>0</LOOT>
                                  <LOMN>3</LOMN>
                                  <LOMCN>1</LOMCN>
                                  <LOSN>1</LOSN>
                                  <LOEN>19</LOEN>
                                  <LOCN>21</LOCN>
                                </LnkInProps>
                              </LnkIn>
                            </Ctg>
                            <Ctg>
                              <CtgProps>
                                <R>5</R>
                              </CtgProps>
                              <LnkIn>
                                <LnkInProps>
                                  <MN>21</MN>
                                  <CLI>1,1,45,False,22</CLI>
                                  <ELN>1</ELN>
                                  <LOOT>0</LOOT>
                                  <LOMN>3</LOMN>
                                  <LOMCN>1</LOMCN>
                                  <LOSN>1</LOSN>
                                  <LOEN>19</LOEN>
                                  <LOCN>22</LOCN>
                                </LnkInProps>
                              </LnkIn>
                            </Ctg>
                            <Ctg>
                              <CtgProps>
                                <R>5</R>
                              </CtgProps>
                              <LnkIn>
                                <LnkInProps>
                                  <MN>21</MN>
                                  <CLI>1,1,45,False,23</CLI>
                                  <ELN>1</ELN>
                                  <LOOT>0</LOOT>
                                  <LOMN>3</LOMN>
                                  <LOMCN>1</LOMCN>
                                  <LOSN>1</LOSN>
                                  <LOEN>19</LOEN>
                                  <LOCN>23</LOCN>
                                </LnkInProps>
                              </LnkIn>
                            </Ctg>
                            <Ctg>
                              <CtgProps>
                                <R>5</R>
                              </CtgProps>
                              <LnkIn>
                                <LnkInProps>
                                  <MN>21</MN>
                                  <CLI>1,1,45,False,24</CLI>
                                  <ELN>1</ELN>
                                  <LOOT>0</LOOT>
                                  <LOMN>3</LOMN>
                                  <LOMCN>1</LOMCN>
                                  <LOSN>1</LOSN>
                                  <LOEN>19</LOEN>
                                  <LOCN>24</LOCN>
                                </LnkInProps>
                              </LnkIn>
                            </Ctg>
                            <Ctg>
                              <CtgProps>
                                <R>5</R>
                              </CtgProps>
                              <LnkIn>
                                <LnkInProps>
                                  <MN>21</MN>
                                  <CLI>1,1,45,False,25</CLI>
                                  <ELN>1</ELN>
                                  <LOOT>0</LOOT>
                                  <LOMN>3</LOMN>
                                  <LOMCN>1</LOMCN>
                                  <LOSN>1</LOSN>
                                  <LOEN>19</LOEN>
                                  <LOCN>25</LOCN>
                                </LnkInProps>
                              </LnkIn>
                            </Ctg>
                            <Ctg>
                              <CtgProps>
                                <R>5</R>
                              </CtgProps>
                              <LnkIn>
                                <LnkInProps>
                                  <MN>21</MN>
                                  <CLI>1,1,45,False,26</CLI>
                                  <ELN>1</ELN>
                                  <LOOT>0</LOOT>
                                  <LOMN>3</LOMN>
                                  <LOMCN>1</LOMCN>
                                  <LOSN>1</LOSN>
                                  <LOEN>19</LOEN>
                                  <LOCN>26</LOCN>
                                </LnkInProps>
                              </LnkIn>
                            </Ctg>
                            <Ctg>
                              <CtgProps>
                                <R>5</R>
                              </CtgProps>
                              <LnkIn>
                                <LnkInProps>
                                  <MN>21</MN>
                                  <CLI>1,1,45,False,27</CLI>
                                  <ELN>1</ELN>
                                  <LOOT>0</LOOT>
                                  <LOMN>3</LOMN>
                                  <LOMCN>1</LOMCN>
                                  <LOSN>1</LOSN>
                                  <LOEN>19</LOEN>
                                  <LOCN>27</LOCN>
                                </LnkInProps>
                              </LnkIn>
                            </Ctg>
                            <Ctg>
                              <CtgProps>
                                <R>5</R>
                              </CtgProps>
                              <LnkIn>
                                <LnkInProps>
                                  <MN>21</MN>
                                  <CLI>1,1,45,False,28</CLI>
                                  <ELN>1</ELN>
                                  <LOOT>0</LOOT>
                                  <LOMN>3</LOMN>
                                  <LOMCN>1</LOMCN>
                                  <LOSN>1</LOSN>
                                  <LOEN>19</LOEN>
                                  <LOCN>28</LOCN>
                                </LnkInProps>
                              </LnkIn>
                            </Ctg>
                            <Ctg>
                              <CtgProps>
                                <R>5</R>
                              </CtgProps>
                              <LnkIn>
                                <LnkInProps>
                                  <MN>21</MN>
                                  <CLI>1,1,45,False,29</CLI>
                                  <ELN>1</ELN>
                                  <LOOT>0</LOOT>
                                  <LOMN>3</LOMN>
                                  <LOMCN>1</LOMCN>
                                  <LOSN>1</LOSN>
                                  <LOEN>19</LOEN>
                                  <LOCN>29</LOCN>
                                </LnkInProps>
                              </LnkIn>
                            </Ctg>
                            <Ctg>
                              <CtgProps>
                                <R>5</R>
                              </CtgProps>
                              <LnkIn>
                                <LnkInProps>
                                  <MN>21</MN>
                                  <CLI>1,1,45,False,30</CLI>
                                  <ELN>1</ELN>
                                  <LOOT>0</LOOT>
                                  <LOMN>3</LOMN>
                                  <LOMCN>1</LOMCN>
                                  <LOSN>1</LOSN>
                                  <LOEN>19</LOEN>
                                  <LOCN>30</LOCN>
                                </LnkInProps>
                              </LnkIn>
                            </Ctg>
                            <Ctg>
                              <CtgProps>
                                <R>5</R>
                              </CtgProps>
                              <LnkIn>
                                <LnkInProps>
                                  <MN>21</MN>
                                  <CLI>1,1,45,False,31</CLI>
                                  <ELN>1</ELN>
                                  <LOOT>0</LOOT>
                                  <LOMN>3</LOMN>
                                  <LOMCN>1</LOMCN>
                                  <LOSN>1</LOSN>
                                  <LOEN>19</LOEN>
                                  <LOCN>31</LOCN>
                                </LnkInProps>
                              </LnkIn>
                            </Ctg>
                            <Ctg>
                              <CtgProps>
                                <R>5</R>
                              </CtgProps>
                              <LnkIn>
                                <LnkInProps>
                                  <MN>21</MN>
                                  <CLI>1,1,45,False,32</CLI>
                                  <ELN>1</ELN>
                                  <LOOT>0</LOOT>
                                  <LOMN>3</LOMN>
                                  <LOMCN>1</LOMCN>
                                  <LOSN>1</LOSN>
                                  <LOEN>19</LOEN>
                                  <LOCN>32</LOCN>
                                </LnkInProps>
                              </LnkIn>
                            </Ctg>
                            <Ctg>
                              <CtgProps>
                                <R>5</R>
                              </CtgProps>
                              <LnkIn>
                                <LnkInProps>
                                  <MN>21</MN>
                                  <CLI>1,1,45,False,33</CLI>
                                  <ELN>1</ELN>
                                  <LOOT>0</LOOT>
                                  <LOMN>3</LOMN>
                                  <LOMCN>1</LOMCN>
                                  <LOSN>1</LOSN>
                                  <LOEN>19</LOEN>
                                  <LOCN>33</LOCN>
                                </LnkInProps>
                              </LnkIn>
                            </Ctg>
                            <Ctg>
                              <CtgProps>
                                <R>5</R>
                              </CtgProps>
                              <LnkIn>
                                <LnkInProps>
                                  <MN>21</MN>
                                  <CLI>1,1,45,False,34</CLI>
                                  <ELN>1</ELN>
                                  <LOOT>0</LOOT>
                                  <LOMN>3</LOMN>
                                  <LOMCN>1</LOMCN>
                                  <LOSN>1</LOSN>
                                  <LOEN>19</LOEN>
                                  <LOCN>34</LOCN>
                                </LnkInProps>
                              </LnkIn>
                            </Ctg>
                            <Ctg>
                              <CtgProps>
                                <R>5</R>
                              </CtgProps>
                              <LnkIn>
                                <LnkInProps>
                                  <MN>21</MN>
                                  <CLI>1,1,45,False,35</CLI>
                                  <ELN>1</ELN>
                                  <LOOT>0</LOOT>
                                  <LOMN>3</LOMN>
                                  <LOMCN>1</LOMCN>
                                  <LOSN>1</LOSN>
                                  <LOEN>19</LOEN>
                                  <LOCN>35</LOCN>
                                </LnkInProps>
                              </LnkIn>
                            </Ctg>
                          </Ctgs>
                        </SubTtl>
                      </SubTtls>
                      <TtlCtg/>
                      <ElmtLnksIn>
                        <ElmtLnk>
                          <ElmtLnkProps>
                            <ELI>1,1,45</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1,1,48,1,1</CBPLI>
                                    <ELN>1</ELN>
                                    <FFF><![CDATA[=§A¿10,FALSE,0,1,0,FALSE§Z¿]]></FFF>
                                  </LnkInFormProps>
                                </LnkInForm>
                              </LnkInForms>
                            </ClmnBlkPt>
                            <ClmnBlkPt>
                              <ClmnBlkPtProps>
                                <CBPT>1</CBPT>
                                <ST>6</ST>
                                <VOFFF><![CDATA[="Total "&§A¿0,1,0,1,48,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1,1,48,3,1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1,1,48,4,1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1,1,48,5,1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21</MN>
                                  <CLI>1,1,48,False,1</CLI>
                                  <ELN>1</ELN>
                                  <LOOT>0</LOOT>
                                  <LOMN>3</LOMN>
                                  <LOMCN>1</LOMCN>
                                  <LOSN>1</LOSN>
                                  <LOEN>24</LOEN>
                                  <LOCN>1</LOCN>
                                </LnkInProps>
                              </LnkIn>
                            </Ctg>
                            <Ctg>
                              <CtgProps>
                                <R>4</R>
                              </CtgProps>
                              <LnkIn>
                                <LnkInProps>
                                  <MN>21</MN>
                                  <CLI>1,1,48,False,2</CLI>
                                  <ELN>1</ELN>
                                  <LOOT>0</LOOT>
                                  <LOMN>3</LOMN>
                                  <LOMCN>1</LOMCN>
                                  <LOSN>1</LOSN>
                                  <LOEN>24</LOEN>
                                  <LOCN>2</LOCN>
                                </LnkInProps>
                              </LnkIn>
                            </Ctg>
                            <Ctg>
                              <CtgProps>
                                <R>4</R>
                              </CtgProps>
                              <LnkIn>
                                <LnkInProps>
                                  <MN>21</MN>
                                  <CLI>1,1,48,False,3</CLI>
                                  <ELN>1</ELN>
                                  <LOOT>0</LOOT>
                                  <LOMN>3</LOMN>
                                  <LOMCN>1</LOMCN>
                                  <LOSN>1</LOSN>
                                  <LOEN>24</LOEN>
                                  <LOCN>3</LOCN>
                                </LnkInProps>
                              </LnkIn>
                            </Ctg>
                            <Ctg>
                              <CtgProps>
                                <R>4</R>
                              </CtgProps>
                              <LnkIn>
                                <LnkInProps>
                                  <MN>21</MN>
                                  <CLI>1,1,48,False,4</CLI>
                                  <ELN>1</ELN>
                                  <LOOT>0</LOOT>
                                  <LOMN>3</LOMN>
                                  <LOMCN>1</LOMCN>
                                  <LOSN>1</LOSN>
                                  <LOEN>24</LOEN>
                                  <LOCN>4</LOCN>
                                </LnkInProps>
                              </LnkIn>
                            </Ctg>
                            <Ctg>
                              <CtgProps>
                                <R>4</R>
                              </CtgProps>
                              <LnkIn>
                                <LnkInProps>
                                  <MN>21</MN>
                                  <CLI>1,1,48,False,5</CLI>
                                  <ELN>1</ELN>
                                  <LOOT>0</LOOT>
                                  <LOMN>3</LOMN>
                                  <LOMCN>1</LOMCN>
                                  <LOSN>1</LOSN>
                                  <LOEN>24</LOEN>
                                  <LOCN>5</LOCN>
                                </LnkInProps>
                              </LnkIn>
                            </Ctg>
                            <Ctg>
                              <CtgProps>
                                <R>5</R>
                              </CtgProps>
                              <LnkIn>
                                <LnkInProps>
                                  <MN>21</MN>
                                  <CLI>1,1,48,False,6</CLI>
                                  <ELN>1</ELN>
                                  <LOOT>0</LOOT>
                                  <LOMN>3</LOMN>
                                  <LOMCN>1</LOMCN>
                                  <LOSN>1</LOSN>
                                  <LOEN>24</LOEN>
                                  <LOCN>6</LOCN>
                                </LnkInProps>
                              </LnkIn>
                            </Ctg>
                            <Ctg>
                              <CtgProps>
                                <R>5</R>
                              </CtgProps>
                              <LnkIn>
                                <LnkInProps>
                                  <MN>21</MN>
                                  <CLI>1,1,48,False,7</CLI>
                                  <ELN>1</ELN>
                                  <LOOT>0</LOOT>
                                  <LOMN>3</LOMN>
                                  <LOMCN>1</LOMCN>
                                  <LOSN>1</LOSN>
                                  <LOEN>24</LOEN>
                                  <LOCN>7</LOCN>
                                </LnkInProps>
                              </LnkIn>
                            </Ctg>
                            <Ctg>
                              <CtgProps>
                                <R>5</R>
                              </CtgProps>
                              <LnkIn>
                                <LnkInProps>
                                  <MN>21</MN>
                                  <CLI>1,1,48,False,8</CLI>
                                  <ELN>1</ELN>
                                  <LOOT>0</LOOT>
                                  <LOMN>3</LOMN>
                                  <LOMCN>1</LOMCN>
                                  <LOSN>1</LOSN>
                                  <LOEN>24</LOEN>
                                  <LOCN>8</LOCN>
                                </LnkInProps>
                              </LnkIn>
                            </Ctg>
                            <Ctg>
                              <CtgProps>
                                <R>5</R>
                              </CtgProps>
                              <LnkIn>
                                <LnkInProps>
                                  <MN>21</MN>
                                  <CLI>1,1,48,False,9</CLI>
                                  <ELN>1</ELN>
                                  <LOOT>0</LOOT>
                                  <LOMN>3</LOMN>
                                  <LOMCN>1</LOMCN>
                                  <LOSN>1</LOSN>
                                  <LOEN>24</LOEN>
                                  <LOCN>9</LOCN>
                                </LnkInProps>
                              </LnkIn>
                            </Ctg>
                            <Ctg>
                              <CtgProps>
                                <R>5</R>
                              </CtgProps>
                              <LnkIn>
                                <LnkInProps>
                                  <MN>21</MN>
                                  <CLI>1,1,48,False,10</CLI>
                                  <ELN>1</ELN>
                                  <LOOT>0</LOOT>
                                  <LOMN>3</LOMN>
                                  <LOMCN>1</LOMCN>
                                  <LOSN>1</LOSN>
                                  <LOEN>24</LOEN>
                                  <LOCN>10</LOCN>
                                </LnkInProps>
                              </LnkIn>
                            </Ctg>
                            <Ctg>
                              <CtgProps>
                                <R>5</R>
                              </CtgProps>
                              <LnkIn>
                                <LnkInProps>
                                  <MN>21</MN>
                                  <CLI>1,1,48,False,11</CLI>
                                  <ELN>1</ELN>
                                  <LOOT>0</LOOT>
                                  <LOMN>3</LOMN>
                                  <LOMCN>1</LOMCN>
                                  <LOSN>1</LOSN>
                                  <LOEN>24</LOEN>
                                  <LOCN>11</LOCN>
                                </LnkInProps>
                              </LnkIn>
                            </Ctg>
                            <Ctg>
                              <CtgProps>
                                <R>5</R>
                              </CtgProps>
                              <LnkIn>
                                <LnkInProps>
                                  <MN>21</MN>
                                  <CLI>1,1,48,False,12</CLI>
                                  <ELN>1</ELN>
                                  <LOOT>0</LOOT>
                                  <LOMN>3</LOMN>
                                  <LOMCN>1</LOMCN>
                                  <LOSN>1</LOSN>
                                  <LOEN>24</LOEN>
                                  <LOCN>12</LOCN>
                                </LnkInProps>
                              </LnkIn>
                            </Ctg>
                            <Ctg>
                              <CtgProps>
                                <R>5</R>
                              </CtgProps>
                              <LnkIn>
                                <LnkInProps>
                                  <MN>21</MN>
                                  <CLI>1,1,48,False,13</CLI>
                                  <ELN>1</ELN>
                                  <LOOT>0</LOOT>
                                  <LOMN>3</LOMN>
                                  <LOMCN>1</LOMCN>
                                  <LOSN>1</LOSN>
                                  <LOEN>24</LOEN>
                                  <LOCN>13</LOCN>
                                </LnkInProps>
                              </LnkIn>
                            </Ctg>
                            <Ctg>
                              <CtgProps>
                                <R>5</R>
                              </CtgProps>
                              <LnkIn>
                                <LnkInProps>
                                  <MN>21</MN>
                                  <CLI>1,1,48,False,14</CLI>
                                  <ELN>1</ELN>
                                  <LOOT>0</LOOT>
                                  <LOMN>3</LOMN>
                                  <LOMCN>1</LOMCN>
                                  <LOSN>1</LOSN>
                                  <LOEN>24</LOEN>
                                  <LOCN>14</LOCN>
                                </LnkInProps>
                              </LnkIn>
                            </Ctg>
                            <Ctg>
                              <CtgProps>
                                <R>5</R>
                              </CtgProps>
                              <LnkIn>
                                <LnkInProps>
                                  <MN>21</MN>
                                  <CLI>1,1,48,False,15</CLI>
                                  <ELN>1</ELN>
                                  <LOOT>0</LOOT>
                                  <LOMN>3</LOMN>
                                  <LOMCN>1</LOMCN>
                                  <LOSN>1</LOSN>
                                  <LOEN>24</LOEN>
                                  <LOCN>15</LOCN>
                                </LnkInProps>
                              </LnkIn>
                            </Ctg>
                            <Ctg>
                              <CtgProps>
                                <R>5</R>
                              </CtgProps>
                              <LnkIn>
                                <LnkInProps>
                                  <MN>21</MN>
                                  <CLI>1,1,48,False,16</CLI>
                                  <ELN>1</ELN>
                                  <LOOT>0</LOOT>
                                  <LOMN>3</LOMN>
                                  <LOMCN>1</LOMCN>
                                  <LOSN>1</LOSN>
                                  <LOEN>24</LOEN>
                                  <LOCN>16</LOCN>
                                </LnkInProps>
                              </LnkIn>
                            </Ctg>
                            <Ctg>
                              <CtgProps>
                                <R>5</R>
                              </CtgProps>
                              <LnkIn>
                                <LnkInProps>
                                  <MN>21</MN>
                                  <CLI>1,1,48,False,17</CLI>
                                  <ELN>1</ELN>
                                  <LOOT>0</LOOT>
                                  <LOMN>3</LOMN>
                                  <LOMCN>1</LOMCN>
                                  <LOSN>1</LOSN>
                                  <LOEN>24</LOEN>
                                  <LOCN>17</LOCN>
                                </LnkInProps>
                              </LnkIn>
                            </Ctg>
                            <Ctg>
                              <CtgProps>
                                <R>5</R>
                              </CtgProps>
                              <LnkIn>
                                <LnkInProps>
                                  <MN>21</MN>
                                  <CLI>1,1,48,False,18</CLI>
                                  <ELN>1</ELN>
                                  <LOOT>0</LOOT>
                                  <LOMN>3</LOMN>
                                  <LOMCN>1</LOMCN>
                                  <LOSN>1</LOSN>
                                  <LOEN>24</LOEN>
                                  <LOCN>18</LOCN>
                                </LnkInProps>
                              </LnkIn>
                            </Ctg>
                            <Ctg>
                              <CtgProps>
                                <R>5</R>
                              </CtgProps>
                              <LnkIn>
                                <LnkInProps>
                                  <MN>21</MN>
                                  <CLI>1,1,48,False,19</CLI>
                                  <ELN>1</ELN>
                                  <LOOT>0</LOOT>
                                  <LOMN>3</LOMN>
                                  <LOMCN>1</LOMCN>
                                  <LOSN>1</LOSN>
                                  <LOEN>24</LOEN>
                                  <LOCN>19</LOCN>
                                </LnkInProps>
                              </LnkIn>
                            </Ctg>
                            <Ctg>
                              <CtgProps>
                                <R>5</R>
                              </CtgProps>
                              <LnkIn>
                                <LnkInProps>
                                  <MN>21</MN>
                                  <CLI>1,1,48,False,20</CLI>
                                  <ELN>1</ELN>
                                  <LOOT>0</LOOT>
                                  <LOMN>3</LOMN>
                                  <LOMCN>1</LOMCN>
                                  <LOSN>1</LOSN>
                                  <LOEN>24</LOEN>
                                  <LOCN>20</LOCN>
                                </LnkInProps>
                              </LnkIn>
                            </Ctg>
                            <Ctg>
                              <CtgProps>
                                <R>5</R>
                              </CtgProps>
                              <LnkIn>
                                <LnkInProps>
                                  <MN>21</MN>
                                  <CLI>1,1,48,False,21</CLI>
                                  <ELN>1</ELN>
                                  <LOOT>0</LOOT>
                                  <LOMN>3</LOMN>
                                  <LOMCN>1</LOMCN>
                                  <LOSN>1</LOSN>
                                  <LOEN>24</LOEN>
                                  <LOCN>21</LOCN>
                                </LnkInProps>
                              </LnkIn>
                            </Ctg>
                            <Ctg>
                              <CtgProps>
                                <R>5</R>
                              </CtgProps>
                              <LnkIn>
                                <LnkInProps>
                                  <MN>21</MN>
                                  <CLI>1,1,48,False,22</CLI>
                                  <ELN>1</ELN>
                                  <LOOT>0</LOOT>
                                  <LOMN>3</LOMN>
                                  <LOMCN>1</LOMCN>
                                  <LOSN>1</LOSN>
                                  <LOEN>24</LOEN>
                                  <LOCN>22</LOCN>
                                </LnkInProps>
                              </LnkIn>
                            </Ctg>
                            <Ctg>
                              <CtgProps>
                                <R>5</R>
                              </CtgProps>
                              <LnkIn>
                                <LnkInProps>
                                  <MN>21</MN>
                                  <CLI>1,1,48,False,23</CLI>
                                  <ELN>1</ELN>
                                  <LOOT>0</LOOT>
                                  <LOMN>3</LOMN>
                                  <LOMCN>1</LOMCN>
                                  <LOSN>1</LOSN>
                                  <LOEN>24</LOEN>
                                  <LOCN>23</LOCN>
                                </LnkInProps>
                              </LnkIn>
                            </Ctg>
                            <Ctg>
                              <CtgProps>
                                <R>5</R>
                              </CtgProps>
                              <LnkIn>
                                <LnkInProps>
                                  <MN>21</MN>
                                  <CLI>1,1,48,False,24</CLI>
                                  <ELN>1</ELN>
                                  <LOOT>0</LOOT>
                                  <LOMN>3</LOMN>
                                  <LOMCN>1</LOMCN>
                                  <LOSN>1</LOSN>
                                  <LOEN>24</LOEN>
                                  <LOCN>24</LOCN>
                                </LnkInProps>
                              </LnkIn>
                            </Ctg>
                            <Ctg>
                              <CtgProps>
                                <R>5</R>
                              </CtgProps>
                              <LnkIn>
                                <LnkInProps>
                                  <MN>21</MN>
                                  <CLI>1,1,48,False,25</CLI>
                                  <ELN>1</ELN>
                                  <LOOT>0</LOOT>
                                  <LOMN>3</LOMN>
                                  <LOMCN>1</LOMCN>
                                  <LOSN>1</LOSN>
                                  <LOEN>24</LOEN>
                                  <LOCN>25</LOCN>
                                </LnkInProps>
                              </LnkIn>
                            </Ctg>
                            <Ctg>
                              <CtgProps>
                                <R>5</R>
                              </CtgProps>
                              <LnkIn>
                                <LnkInProps>
                                  <MN>21</MN>
                                  <CLI>1,1,48,False,26</CLI>
                                  <ELN>1</ELN>
                                  <LOOT>0</LOOT>
                                  <LOMN>3</LOMN>
                                  <LOMCN>1</LOMCN>
                                  <LOSN>1</LOSN>
                                  <LOEN>24</LOEN>
                                  <LOCN>26</LOCN>
                                </LnkInProps>
                              </LnkIn>
                            </Ctg>
                            <Ctg>
                              <CtgProps>
                                <R>5</R>
                              </CtgProps>
                              <LnkIn>
                                <LnkInProps>
                                  <MN>21</MN>
                                  <CLI>1,1,48,False,27</CLI>
                                  <ELN>1</ELN>
                                  <LOOT>0</LOOT>
                                  <LOMN>3</LOMN>
                                  <LOMCN>1</LOMCN>
                                  <LOSN>1</LOSN>
                                  <LOEN>24</LOEN>
                                  <LOCN>27</LOCN>
                                </LnkInProps>
                              </LnkIn>
                            </Ctg>
                            <Ctg>
                              <CtgProps>
                                <R>5</R>
                              </CtgProps>
                              <LnkIn>
                                <LnkInProps>
                                  <MN>21</MN>
                                  <CLI>1,1,48,False,28</CLI>
                                  <ELN>1</ELN>
                                  <LOOT>0</LOOT>
                                  <LOMN>3</LOMN>
                                  <LOMCN>1</LOMCN>
                                  <LOSN>1</LOSN>
                                  <LOEN>24</LOEN>
                                  <LOCN>28</LOCN>
                                </LnkInProps>
                              </LnkIn>
                            </Ctg>
                            <Ctg>
                              <CtgProps>
                                <R>5</R>
                              </CtgProps>
                              <LnkIn>
                                <LnkInProps>
                                  <MN>21</MN>
                                  <CLI>1,1,48,False,29</CLI>
                                  <ELN>1</ELN>
                                  <LOOT>0</LOOT>
                                  <LOMN>3</LOMN>
                                  <LOMCN>1</LOMCN>
                                  <LOSN>1</LOSN>
                                  <LOEN>24</LOEN>
                                  <LOCN>29</LOCN>
                                </LnkInProps>
                              </LnkIn>
                            </Ctg>
                            <Ctg>
                              <CtgProps>
                                <R>5</R>
                              </CtgProps>
                              <LnkIn>
                                <LnkInProps>
                                  <MN>21</MN>
                                  <CLI>1,1,48,False,30</CLI>
                                  <ELN>1</ELN>
                                  <LOOT>0</LOOT>
                                  <LOMN>3</LOMN>
                                  <LOMCN>1</LOMCN>
                                  <LOSN>1</LOSN>
                                  <LOEN>24</LOEN>
                                  <LOCN>30</LOCN>
                                </LnkInProps>
                              </LnkIn>
                            </Ctg>
                            <Ctg>
                              <CtgProps>
                                <R>5</R>
                              </CtgProps>
                              <LnkIn>
                                <LnkInProps>
                                  <MN>21</MN>
                                  <CLI>1,1,48,False,31</CLI>
                                  <ELN>1</ELN>
                                  <LOOT>0</LOOT>
                                  <LOMN>3</LOMN>
                                  <LOMCN>1</LOMCN>
                                  <LOSN>1</LOSN>
                                  <LOEN>24</LOEN>
                                  <LOCN>31</LOCN>
                                </LnkInProps>
                              </LnkIn>
                            </Ctg>
                            <Ctg>
                              <CtgProps>
                                <R>5</R>
                              </CtgProps>
                              <LnkIn>
                                <LnkInProps>
                                  <MN>21</MN>
                                  <CLI>1,1,48,False,32</CLI>
                                  <ELN>1</ELN>
                                  <LOOT>0</LOOT>
                                  <LOMN>3</LOMN>
                                  <LOMCN>1</LOMCN>
                                  <LOSN>1</LOSN>
                                  <LOEN>24</LOEN>
                                  <LOCN>32</LOCN>
                                </LnkInProps>
                              </LnkIn>
                            </Ctg>
                            <Ctg>
                              <CtgProps>
                                <R>5</R>
                              </CtgProps>
                              <LnkIn>
                                <LnkInProps>
                                  <MN>21</MN>
                                  <CLI>1,1,48,False,33</CLI>
                                  <ELN>1</ELN>
                                  <LOOT>0</LOOT>
                                  <LOMN>3</LOMN>
                                  <LOMCN>1</LOMCN>
                                  <LOSN>1</LOSN>
                                  <LOEN>24</LOEN>
                                  <LOCN>33</LOCN>
                                </LnkInProps>
                              </LnkIn>
                            </Ctg>
                            <Ctg>
                              <CtgProps>
                                <R>5</R>
                              </CtgProps>
                              <LnkIn>
                                <LnkInProps>
                                  <MN>21</MN>
                                  <CLI>1,1,48,False,34</CLI>
                                  <ELN>1</ELN>
                                  <LOOT>0</LOOT>
                                  <LOMN>3</LOMN>
                                  <LOMCN>1</LOMCN>
                                  <LOSN>1</LOSN>
                                  <LOEN>24</LOEN>
                                  <LOCN>34</LOCN>
                                </LnkInProps>
                              </LnkIn>
                            </Ctg>
                            <Ctg>
                              <CtgProps>
                                <R>5</R>
                              </CtgProps>
                              <LnkIn>
                                <LnkInProps>
                                  <MN>21</MN>
                                  <CLI>1,1,48,False,35</CLI>
                                  <ELN>1</ELN>
                                  <LOOT>0</LOOT>
                                  <LOMN>3</LOMN>
                                  <LOMCN>1</LOMCN>
                                  <LOSN>1</LOSN>
                                  <LOEN>24</LOEN>
                                  <LOCN>35</LOCN>
                                </LnkInProps>
                              </LnkIn>
                            </Ctg>
                          </Ctgs>
                        </SubTtl>
                      </SubTtls>
                      <TtlCtg/>
                      <ElmtLnksIn>
                        <ElmtLnk>
                          <ElmtLnkProps>
                            <ELI>1,1,48</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3,1,1,1,0,0,TRUE,TRUE§Z¿]]></VOFFF>
                              </ClmnBlkPtProps>
                            </ClmnBlkPt>
                          </ClmnBlkPts>
                        </ClmnBlk>
                        <ClmnBlk>
                          <ClmnBlkProps>
                            <FCPT>0</FCPT>
                            <FCN>15</FCN>
                            <LCPT>0</LCPT>
                            <LCN>15</LCN>
                          </ClmnBlkProps>
                          <ClmnBlkPts>
                            <ClmnBlkPt>
                              <ClmnBlkPtProps>
                                <CBPT>5</CBPT>
                                <ST>18</ST>
                                <VOFFF><![CDATA[=§A¿0,1,0,1,33,1,1,1,0,0,TRUE,TRUE§Z¿]]></VOFFF>
                              </ClmnBlkPtProps>
                            </ClmnBlkPt>
                          </ClmnBlkPts>
                        </ClmnBlk>
                        <ClmnBlk>
                          <ClmnBlkProps>
                            <FCPT>0</FCPT>
                            <FCN>17</FCN>
                            <LCPT>0</LCPT>
                            <LCN>17</LCN>
                          </ClmnBlkProps>
                          <ClmnBlkPts>
                            <ClmnBlkPt>
                              <ClmnBlkPtProps>
                                <CBPT>5</CBPT>
                                <ST>18</ST>
                                <VOFFF><![CDATA[=§A¿0,1,0,1,33,1,1,2,0,0,TRUE,TRUE§Z¿]]></VOFFF>
                              </ClmnBlkPtProps>
                            </ClmnBlkPt>
                          </ClmnBlkPts>
                        </ClmnBlk>
                        <ClmnBlk>
                          <ClmnBlkProps>
                            <FCPT>0</FCPT>
                            <FCN>19</FCN>
                            <LCPT>0</LCPT>
                            <LCN>19</LCN>
                          </ClmnBlkProps>
                          <ClmnBlkPts>
                            <ClmnBlkPt>
                              <ClmnBlkPtProps>
                                <CBPT>5</CBPT>
                                <ST>18</ST>
                                <VOFFF><![CDATA[=§A¿0,1,0,1,33,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1,1,52,1,1</CBPLI>
                                    <ELN>1</ELN>
                                    <FFF><![CDATA[=§A¿10,FALSE,0,1,0,FALSE§Z¿]]></FFF>
                                  </LnkInFormProps>
                                </LnkInForm>
                              </LnkInForms>
                            </ClmnBlkPt>
                            <ClmnBlkPt>
                              <ClmnBlkPtProps>
                                <CBPT>1</CBPT>
                                <ST>6</ST>
                                <VOFFF><![CDATA[="Total "&§A¿0,1,0,1,5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21</MN>
                                  <CLI>1,1,52,False,1</CLI>
                                  <ELN>1</ELN>
                                  <LOOT>0</LOOT>
                                  <LOMN>3</LOMN>
                                  <LOMCN>1</LOMCN>
                                  <LOSN>1</LOSN>
                                  <LOEN>29</LOEN>
                                  <LOCN>1</LOCN>
                                </LnkInProps>
                              </LnkIn>
                            </Ctg>
                            <Ctg>
                              <CtgProps>
                                <R>4</R>
                              </CtgProps>
                              <LnkIn>
                                <LnkInProps>
                                  <MN>21</MN>
                                  <CLI>1,1,52,False,2</CLI>
                                  <ELN>1</ELN>
                                  <LOOT>0</LOOT>
                                  <LOMN>3</LOMN>
                                  <LOMCN>1</LOMCN>
                                  <LOSN>1</LOSN>
                                  <LOEN>29</LOEN>
                                  <LOCN>2</LOCN>
                                </LnkInProps>
                              </LnkIn>
                            </Ctg>
                            <Ctg>
                              <CtgProps>
                                <R>5</R>
                              </CtgProps>
                              <LnkIn>
                                <LnkInProps>
                                  <MN>21</MN>
                                  <CLI>1,1,52,False,3</CLI>
                                  <ELN>1</ELN>
                                  <LOOT>0</LOOT>
                                  <LOMN>3</LOMN>
                                  <LOMCN>1</LOMCN>
                                  <LOSN>1</LOSN>
                                  <LOEN>29</LOEN>
                                  <LOCN>3</LOCN>
                                </LnkInProps>
                              </LnkIn>
                            </Ctg>
                            <Ctg>
                              <CtgProps>
                                <R>5</R>
                              </CtgProps>
                              <LnkIn>
                                <LnkInProps>
                                  <MN>21</MN>
                                  <CLI>1,1,52,False,4</CLI>
                                  <ELN>1</ELN>
                                  <LOOT>0</LOOT>
                                  <LOMN>3</LOMN>
                                  <LOMCN>1</LOMCN>
                                  <LOSN>1</LOSN>
                                  <LOEN>29</LOEN>
                                  <LOCN>4</LOCN>
                                </LnkInProps>
                              </LnkIn>
                            </Ctg>
                            <Ctg>
                              <CtgProps>
                                <R>5</R>
                              </CtgProps>
                              <LnkIn>
                                <LnkInProps>
                                  <MN>21</MN>
                                  <CLI>1,1,52,False,5</CLI>
                                  <ELN>1</ELN>
                                  <LOOT>0</LOOT>
                                  <LOMN>3</LOMN>
                                  <LOMCN>1</LOMCN>
                                  <LOSN>1</LOSN>
                                  <LOEN>29</LOEN>
                                  <LOCN>5</LOCN>
                                </LnkInProps>
                              </LnkIn>
                            </Ctg>
                            <Ctg>
                              <CtgProps>
                                <R>5</R>
                              </CtgProps>
                              <LnkIn>
                                <LnkInProps>
                                  <MN>21</MN>
                                  <CLI>1,1,52,False,6</CLI>
                                  <ELN>1</ELN>
                                  <LOOT>0</LOOT>
                                  <LOMN>3</LOMN>
                                  <LOMCN>1</LOMCN>
                                  <LOSN>1</LOSN>
                                  <LOEN>29</LOEN>
                                  <LOCN>6</LOCN>
                                </LnkInProps>
                              </LnkIn>
                            </Ctg>
                            <Ctg>
                              <CtgProps>
                                <R>5</R>
                              </CtgProps>
                              <LnkIn>
                                <LnkInProps>
                                  <MN>21</MN>
                                  <CLI>1,1,52,False,7</CLI>
                                  <ELN>1</ELN>
                                  <LOOT>0</LOOT>
                                  <LOMN>3</LOMN>
                                  <LOMCN>1</LOMCN>
                                  <LOSN>1</LOSN>
                                  <LOEN>29</LOEN>
                                  <LOCN>7</LOCN>
                                </LnkInProps>
                              </LnkIn>
                            </Ctg>
                            <Ctg>
                              <CtgProps>
                                <R>5</R>
                              </CtgProps>
                              <LnkIn>
                                <LnkInProps>
                                  <MN>21</MN>
                                  <CLI>1,1,52,False,8</CLI>
                                  <ELN>1</ELN>
                                  <LOOT>0</LOOT>
                                  <LOMN>3</LOMN>
                                  <LOMCN>1</LOMCN>
                                  <LOSN>1</LOSN>
                                  <LOEN>29</LOEN>
                                  <LOCN>8</LOCN>
                                </LnkInProps>
                              </LnkIn>
                            </Ctg>
                            <Ctg>
                              <CtgProps>
                                <R>5</R>
                              </CtgProps>
                              <LnkIn>
                                <LnkInProps>
                                  <MN>21</MN>
                                  <CLI>1,1,52,False,9</CLI>
                                  <ELN>1</ELN>
                                  <LOOT>0</LOOT>
                                  <LOMN>3</LOMN>
                                  <LOMCN>1</LOMCN>
                                  <LOSN>1</LOSN>
                                  <LOEN>29</LOEN>
                                  <LOCN>9</LOCN>
                                </LnkInProps>
                              </LnkIn>
                            </Ctg>
                            <Ctg>
                              <CtgProps>
                                <R>5</R>
                              </CtgProps>
                              <LnkIn>
                                <LnkInProps>
                                  <MN>21</MN>
                                  <CLI>1,1,52,False,10</CLI>
                                  <ELN>1</ELN>
                                  <LOOT>0</LOOT>
                                  <LOMN>3</LOMN>
                                  <LOMCN>1</LOMCN>
                                  <LOSN>1</LOSN>
                                  <LOEN>29</LOEN>
                                  <LOCN>10</LOCN>
                                </LnkInProps>
                              </LnkIn>
                            </Ctg>
                            <Ctg>
                              <CtgProps>
                                <R>5</R>
                              </CtgProps>
                              <LnkIn>
                                <LnkInProps>
                                  <MN>21</MN>
                                  <CLI>1,1,52,False,11</CLI>
                                  <ELN>1</ELN>
                                  <LOOT>0</LOOT>
                                  <LOMN>3</LOMN>
                                  <LOMCN>1</LOMCN>
                                  <LOSN>1</LOSN>
                                  <LOEN>29</LOEN>
                                  <LOCN>11</LOCN>
                                </LnkInProps>
                              </LnkIn>
                            </Ctg>
                            <Ctg>
                              <CtgProps>
                                <R>5</R>
                              </CtgProps>
                              <LnkIn>
                                <LnkInProps>
                                  <MN>21</MN>
                                  <CLI>1,1,52,False,12</CLI>
                                  <ELN>1</ELN>
                                  <LOOT>0</LOOT>
                                  <LOMN>3</LOMN>
                                  <LOMCN>1</LOMCN>
                                  <LOSN>1</LOSN>
                                  <LOEN>29</LOEN>
                                  <LOCN>12</LOCN>
                                </LnkInProps>
                              </LnkIn>
                            </Ctg>
                            <Ctg>
                              <CtgProps>
                                <R>5</R>
                              </CtgProps>
                              <LnkIn>
                                <LnkInProps>
                                  <MN>21</MN>
                                  <CLI>1,1,52,False,13</CLI>
                                  <ELN>1</ELN>
                                  <LOOT>0</LOOT>
                                  <LOMN>3</LOMN>
                                  <LOMCN>1</LOMCN>
                                  <LOSN>1</LOSN>
                                  <LOEN>29</LOEN>
                                  <LOCN>13</LOCN>
                                </LnkInProps>
                              </LnkIn>
                            </Ctg>
                            <Ctg>
                              <CtgProps>
                                <R>5</R>
                              </CtgProps>
                              <LnkIn>
                                <LnkInProps>
                                  <MN>21</MN>
                                  <CLI>1,1,52,False,14</CLI>
                                  <ELN>1</ELN>
                                  <LOOT>0</LOOT>
                                  <LOMN>3</LOMN>
                                  <LOMCN>1</LOMCN>
                                  <LOSN>1</LOSN>
                                  <LOEN>29</LOEN>
                                  <LOCN>14</LOCN>
                                </LnkInProps>
                              </LnkIn>
                            </Ctg>
                            <Ctg>
                              <CtgProps>
                                <R>5</R>
                              </CtgProps>
                              <LnkIn>
                                <LnkInProps>
                                  <MN>21</MN>
                                  <CLI>1,1,52,False,15</CLI>
                                  <ELN>1</ELN>
                                  <LOOT>0</LOOT>
                                  <LOMN>3</LOMN>
                                  <LOMCN>1</LOMCN>
                                  <LOSN>1</LOSN>
                                  <LOEN>29</LOEN>
                                  <LOCN>15</LOCN>
                                </LnkInProps>
                              </LnkIn>
                            </Ctg>
                            <Ctg>
                              <CtgProps>
                                <R>5</R>
                              </CtgProps>
                              <LnkIn>
                                <LnkInProps>
                                  <MN>21</MN>
                                  <CLI>1,1,52,False,16</CLI>
                                  <ELN>1</ELN>
                                  <LOOT>0</LOOT>
                                  <LOMN>3</LOMN>
                                  <LOMCN>1</LOMCN>
                                  <LOSN>1</LOSN>
                                  <LOEN>29</LOEN>
                                  <LOCN>16</LOCN>
                                </LnkInProps>
                              </LnkIn>
                            </Ctg>
                            <Ctg>
                              <CtgProps>
                                <R>5</R>
                              </CtgProps>
                              <LnkIn>
                                <LnkInProps>
                                  <MN>21</MN>
                                  <CLI>1,1,52,False,17</CLI>
                                  <ELN>1</ELN>
                                  <LOOT>0</LOOT>
                                  <LOMN>3</LOMN>
                                  <LOMCN>1</LOMCN>
                                  <LOSN>1</LOSN>
                                  <LOEN>29</LOEN>
                                  <LOCN>17</LOCN>
                                </LnkInProps>
                              </LnkIn>
                            </Ctg>
                            <Ctg>
                              <CtgProps>
                                <R>5</R>
                              </CtgProps>
                              <LnkIn>
                                <LnkInProps>
                                  <MN>21</MN>
                                  <CLI>1,1,52,False,18</CLI>
                                  <ELN>1</ELN>
                                  <LOOT>0</LOOT>
                                  <LOMN>3</LOMN>
                                  <LOMCN>1</LOMCN>
                                  <LOSN>1</LOSN>
                                  <LOEN>29</LOEN>
                                  <LOCN>18</LOCN>
                                </LnkInProps>
                              </LnkIn>
                            </Ctg>
                            <Ctg>
                              <CtgProps>
                                <R>5</R>
                              </CtgProps>
                              <LnkIn>
                                <LnkInProps>
                                  <MN>21</MN>
                                  <CLI>1,1,52,False,19</CLI>
                                  <ELN>1</ELN>
                                  <LOOT>0</LOOT>
                                  <LOMN>3</LOMN>
                                  <LOMCN>1</LOMCN>
                                  <LOSN>1</LOSN>
                                  <LOEN>29</LOEN>
                                  <LOCN>19</LOCN>
                                </LnkInProps>
                              </LnkIn>
                            </Ctg>
                            <Ctg>
                              <CtgProps>
                                <R>5</R>
                              </CtgProps>
                              <LnkIn>
                                <LnkInProps>
                                  <MN>21</MN>
                                  <CLI>1,1,52,False,20</CLI>
                                  <ELN>1</ELN>
                                  <LOOT>0</LOOT>
                                  <LOMN>3</LOMN>
                                  <LOMCN>1</LOMCN>
                                  <LOSN>1</LOSN>
                                  <LOEN>29</LOEN>
                                  <LOCN>20</LOCN>
                                </LnkInProps>
                              </LnkIn>
                            </Ctg>
                            <Ctg>
                              <CtgProps>
                                <R>5</R>
                              </CtgProps>
                              <LnkIn>
                                <LnkInProps>
                                  <MN>21</MN>
                                  <CLI>1,1,52,False,21</CLI>
                                  <ELN>1</ELN>
                                  <LOOT>0</LOOT>
                                  <LOMN>3</LOMN>
                                  <LOMCN>1</LOMCN>
                                  <LOSN>1</LOSN>
                                  <LOEN>29</LOEN>
                                  <LOCN>21</LOCN>
                                </LnkInProps>
                              </LnkIn>
                            </Ctg>
                            <Ctg>
                              <CtgProps>
                                <R>5</R>
                              </CtgProps>
                              <LnkIn>
                                <LnkInProps>
                                  <MN>21</MN>
                                  <CLI>1,1,52,False,22</CLI>
                                  <ELN>1</ELN>
                                  <LOOT>0</LOOT>
                                  <LOMN>3</LOMN>
                                  <LOMCN>1</LOMCN>
                                  <LOSN>1</LOSN>
                                  <LOEN>29</LOEN>
                                  <LOCN>22</LOCN>
                                </LnkInProps>
                              </LnkIn>
                            </Ctg>
                            <Ctg>
                              <CtgProps>
                                <R>5</R>
                              </CtgProps>
                              <LnkIn>
                                <LnkInProps>
                                  <MN>21</MN>
                                  <CLI>1,1,52,False,23</CLI>
                                  <ELN>1</ELN>
                                  <LOOT>0</LOOT>
                                  <LOMN>3</LOMN>
                                  <LOMCN>1</LOMCN>
                                  <LOSN>1</LOSN>
                                  <LOEN>29</LOEN>
                                  <LOCN>23</LOCN>
                                </LnkInProps>
                              </LnkIn>
                            </Ctg>
                            <Ctg>
                              <CtgProps>
                                <R>5</R>
                              </CtgProps>
                              <LnkIn>
                                <LnkInProps>
                                  <MN>21</MN>
                                  <CLI>1,1,52,False,24</CLI>
                                  <ELN>1</ELN>
                                  <LOOT>0</LOOT>
                                  <LOMN>3</LOMN>
                                  <LOMCN>1</LOMCN>
                                  <LOSN>1</LOSN>
                                  <LOEN>29</LOEN>
                                  <LOCN>24</LOCN>
                                </LnkInProps>
                              </LnkIn>
                            </Ctg>
                            <Ctg>
                              <CtgProps>
                                <R>5</R>
                              </CtgProps>
                              <LnkIn>
                                <LnkInProps>
                                  <MN>21</MN>
                                  <CLI>1,1,52,False,25</CLI>
                                  <ELN>1</ELN>
                                  <LOOT>0</LOOT>
                                  <LOMN>3</LOMN>
                                  <LOMCN>1</LOMCN>
                                  <LOSN>1</LOSN>
                                  <LOEN>29</LOEN>
                                  <LOCN>25</LOCN>
                                </LnkInProps>
                              </LnkIn>
                            </Ctg>
                            <Ctg>
                              <CtgProps>
                                <R>5</R>
                              </CtgProps>
                              <LnkIn>
                                <LnkInProps>
                                  <MN>21</MN>
                                  <CLI>1,1,52,False,26</CLI>
                                  <ELN>1</ELN>
                                  <LOOT>0</LOOT>
                                  <LOMN>3</LOMN>
                                  <LOMCN>1</LOMCN>
                                  <LOSN>1</LOSN>
                                  <LOEN>29</LOEN>
                                  <LOCN>26</LOCN>
                                </LnkInProps>
                              </LnkIn>
                            </Ctg>
                            <Ctg>
                              <CtgProps>
                                <R>5</R>
                              </CtgProps>
                              <LnkIn>
                                <LnkInProps>
                                  <MN>21</MN>
                                  <CLI>1,1,52,False,27</CLI>
                                  <ELN>1</ELN>
                                  <LOOT>0</LOOT>
                                  <LOMN>3</LOMN>
                                  <LOMCN>1</LOMCN>
                                  <LOSN>1</LOSN>
                                  <LOEN>29</LOEN>
                                  <LOCN>27</LOCN>
                                </LnkInProps>
                              </LnkIn>
                            </Ctg>
                            <Ctg>
                              <CtgProps>
                                <R>5</R>
                              </CtgProps>
                              <LnkIn>
                                <LnkInProps>
                                  <MN>21</MN>
                                  <CLI>1,1,52,False,28</CLI>
                                  <ELN>1</ELN>
                                  <LOOT>0</LOOT>
                                  <LOMN>3</LOMN>
                                  <LOMCN>1</LOMCN>
                                  <LOSN>1</LOSN>
                                  <LOEN>29</LOEN>
                                  <LOCN>28</LOCN>
                                </LnkInProps>
                              </LnkIn>
                            </Ctg>
                            <Ctg>
                              <CtgProps>
                                <R>5</R>
                              </CtgProps>
                              <LnkIn>
                                <LnkInProps>
                                  <MN>21</MN>
                                  <CLI>1,1,52,False,29</CLI>
                                  <ELN>1</ELN>
                                  <LOOT>0</LOOT>
                                  <LOMN>3</LOMN>
                                  <LOMCN>1</LOMCN>
                                  <LOSN>1</LOSN>
                                  <LOEN>29</LOEN>
                                  <LOCN>29</LOCN>
                                </LnkInProps>
                              </LnkIn>
                            </Ctg>
                            <Ctg>
                              <CtgProps>
                                <R>5</R>
                              </CtgProps>
                              <LnkIn>
                                <LnkInProps>
                                  <MN>21</MN>
                                  <CLI>1,1,52,False,30</CLI>
                                  <ELN>1</ELN>
                                  <LOOT>0</LOOT>
                                  <LOMN>3</LOMN>
                                  <LOMCN>1</LOMCN>
                                  <LOSN>1</LOSN>
                                  <LOEN>29</LOEN>
                                  <LOCN>30</LOCN>
                                </LnkInProps>
                              </LnkIn>
                            </Ctg>
                            <Ctg>
                              <CtgProps>
                                <R>5</R>
                              </CtgProps>
                              <LnkIn>
                                <LnkInProps>
                                  <MN>21</MN>
                                  <CLI>1,1,52,False,31</CLI>
                                  <ELN>1</ELN>
                                  <LOOT>0</LOOT>
                                  <LOMN>3</LOMN>
                                  <LOMCN>1</LOMCN>
                                  <LOSN>1</LOSN>
                                  <LOEN>29</LOEN>
                                  <LOCN>31</LOCN>
                                </LnkInProps>
                              </LnkIn>
                            </Ctg>
                            <Ctg>
                              <CtgProps>
                                <R>5</R>
                              </CtgProps>
                              <LnkIn>
                                <LnkInProps>
                                  <MN>21</MN>
                                  <CLI>1,1,52,False,32</CLI>
                                  <ELN>1</ELN>
                                  <LOOT>0</LOOT>
                                  <LOMN>3</LOMN>
                                  <LOMCN>1</LOMCN>
                                  <LOSN>1</LOSN>
                                  <LOEN>29</LOEN>
                                  <LOCN>32</LOCN>
                                </LnkInProps>
                              </LnkIn>
                            </Ctg>
                            <Ctg>
                              <CtgProps>
                                <R>5</R>
                              </CtgProps>
                              <LnkIn>
                                <LnkInProps>
                                  <MN>21</MN>
                                  <CLI>1,1,52,False,33</CLI>
                                  <ELN>1</ELN>
                                  <LOOT>0</LOOT>
                                  <LOMN>3</LOMN>
                                  <LOMCN>1</LOMCN>
                                  <LOSN>1</LOSN>
                                  <LOEN>29</LOEN>
                                  <LOCN>33</LOCN>
                                </LnkInProps>
                              </LnkIn>
                            </Ctg>
                            <Ctg>
                              <CtgProps>
                                <R>5</R>
                              </CtgProps>
                              <LnkIn>
                                <LnkInProps>
                                  <MN>21</MN>
                                  <CLI>1,1,52,False,34</CLI>
                                  <ELN>1</ELN>
                                  <LOOT>0</LOOT>
                                  <LOMN>3</LOMN>
                                  <LOMCN>1</LOMCN>
                                  <LOSN>1</LOSN>
                                  <LOEN>29</LOEN>
                                  <LOCN>34</LOCN>
                                </LnkInProps>
                              </LnkIn>
                            </Ctg>
                            <Ctg>
                              <CtgProps>
                                <R>5</R>
                              </CtgProps>
                              <LnkIn>
                                <LnkInProps>
                                  <MN>21</MN>
                                  <CLI>1,1,52,False,35</CLI>
                                  <ELN>1</ELN>
                                  <LOOT>0</LOOT>
                                  <LOMN>3</LOMN>
                                  <LOMCN>1</LOMCN>
                                  <LOSN>1</LOSN>
                                  <LOEN>29</LOEN>
                                  <LOCN>35</LOCN>
                                </LnkInProps>
                              </LnkIn>
                            </Ctg>
                          </Ctgs>
                        </SubTtl>
                      </SubTtls>
                      <TtlCtg/>
                      <ElmtLnksIn>
                        <ElmtLnk>
                          <ElmtLnkProps>
                            <ELI>1,1,52</ELI>
                            <ELN>1</ELN>
                            <ELGN>6</ELGN>
                            <MLG>A4172745-D85C-404E-8029-461F8AE9358B</MLG>
                            <ICBI>1,2,3,4,5</ICBI>
                            <ILBN/>
                            <LIBN>0</LIBN>
                          </ElmtLnkProps>
                        </ElmtLnk>
                      </ElmtLnksIn>
                    </Elmt>
                  </Elmts>
                </Sect>
              </Sects>
              <Ctrls>
                <Ctrl>
                  <CtrlProps>
                    <MN>21</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21</MN>
                <MCN>2</MCN>
                <MCTK>BaseCase</MCTK>
                <RT><![CDATA[<ModuleName> - Assumptions]]></RT>
                <ERN>BPMMC76</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48</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21</MN>
                <MCN>3</MCN>
                <MCTK>OP</MCTK>
                <RT><![CDATA[<ModuleName> - Outputs]]></RT>
                <ERN>BPMMC77</ERN>
                <MCST>0</MCST>
                <IPMC>False</IPMC>
                <SN>29</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3,1,1,1,0,0,TRUE,TRUE§Z¿,§A¿0,1,0,1,33,1,1,2,0,0,TRUE,TRUE§Z¿)&")"]]></VOFFF>
                              </ClmnBlkPtProps>
                            </ClmnBlkPt>
                          </ClmnBlkPts>
                        </ClmnBlk>
                        <ClmnBlk>
                          <ClmnBlkProps>
                            <FCPT>0</FCPT>
                            <FCN>17</FCN>
                            <LCPT>0</LCPT>
                            <LCN>17</LCN>
                          </ClmnBlkProps>
                          <ClmnBlkPts>
                            <ClmnBlkPt>
                              <ClmnBlkPtProps>
                                <CBPT>5</CBPT>
                                <ST>6</ST>
                                <SON>2</SON>
                                <VOFFF><![CDATA[="FINANCIAL COST ("&IF(§A¿1,1,1,1,5,0,2,1,1§Z¿=2,§A¿0,1,0,1,33,1,1,1,0,0,TRUE,TRUE§Z¿,§A¿0,1,0,1,33,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3,2,1,2,0,0,TRUE,TRUE§Z¿,§A¿0,3,0,1,3,2,1,-1,0,0,FALSE,FALSE§Z¿*§A¿0,1,0,1,33,2,1,2,0,0,TRUE,TRUE§Z¿), 0)]]></VOFFF>
                              </ClmnBlkPtProps>
                            </ClmnBlkPt>
                          </ClmnBlkPts>
                        </ClmnBlk>
                        <ClmnBlk>
                          <ClmnBlkProps>
                            <FCPT>0</FCPT>
                            <FCN>17</FCN>
                            <LCPT>0</LCPT>
                            <LCN>17</LCN>
                          </ClmnBlkProps>
                          <ClmnBlkPts>
                            <ClmnBlkPt>
                              <ClmnBlkPtProps>
                                <CBPT>5</CBPT>
                                <ST>18</ST>
                                <SON>14</SON>
                                <VOFFF><![CDATA[=IFERROR(IF(§A¿1,1,1,1,5,0,2,1,1§Z¿=2,§A¿0,3,0,1,3,3,1,-1,0,0,FALSE,FALSE§Z¿/§A¿0,1,0,1,33,2,1,2,0,0,TRUE,TRUE§Z¿,§A¿0,3,0,1,3,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3,2,1,2,0,0,TRUE,TRUE§Z¿,§A¿0,3,0,1,4,2,1,-1,0,0,FALSE,FALSE§Z¿*§A¿0,1,0,1,33,2,1,2,0,0,TRUE,TRUE§Z¿), 0)]]></VOFFF>
                              </ClmnBlkPtProps>
                            </ClmnBlkPt>
                          </ClmnBlkPts>
                        </ClmnBlk>
                        <ClmnBlk>
                          <ClmnBlkProps>
                            <FCPT>0</FCPT>
                            <FCN>17</FCN>
                            <LCPT>0</LCPT>
                            <LCN>17</LCN>
                          </ClmnBlkProps>
                          <ClmnBlkPts>
                            <ClmnBlkPt>
                              <ClmnBlkPtProps>
                                <CBPT>5</CBPT>
                                <ST>18</ST>
                                <SON>14</SON>
                                <VOFFF><![CDATA[=IFERROR(IF(§A¿1,1,1,1,5,0,2,1,1§Z¿=2,§A¿0,3,0,1,4,3,1,-1,0,0,FALSE,FALSE§Z¿/§A¿0,1,0,1,33,2,1,2,0,0,TRUE,TRUE§Z¿,§A¿0,3,0,1,4,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3,2,1,2,0,0,TRUE,TRUE§Z¿,§A¿0,3,0,1,5,2,1,-1,0,0,FALSE,FALSE§Z¿*§A¿0,1,0,1,33,2,1,2,0,0,TRUE,TRUE§Z¿), 0)]]></VOFFF>
                              </ClmnBlkPtProps>
                            </ClmnBlkPt>
                          </ClmnBlkPts>
                        </ClmnBlk>
                        <ClmnBlk>
                          <ClmnBlkProps>
                            <FCPT>0</FCPT>
                            <FCN>17</FCN>
                            <LCPT>0</LCPT>
                            <LCN>17</LCN>
                          </ClmnBlkProps>
                          <ClmnBlkPts>
                            <ClmnBlkPt>
                              <ClmnBlkPtProps>
                                <CBPT>5</CBPT>
                                <ST>18</ST>
                                <SON>14</SON>
                                <VOFFF><![CDATA[=IFERROR(IF(§A¿1,1,1,1,5,0,2,1,1§Z¿=2,§A¿0,3,0,1,5,3,1,-1,0,0,FALSE,FALSE§Z¿/§A¿0,1,0,1,33,2,1,2,0,0,TRUE,TRUE§Z¿,§A¿0,3,0,1,5,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3,2,1,2,0,0,TRUE,TRUE§Z¿,§A¿0,3,0,1,6,2,1,-1,0,0,FALSE,FALSE§Z¿*§A¿0,1,0,1,33,2,1,2,0,0,TRUE,TRUE§Z¿), 0)]]></VOFFF>
                              </ClmnBlkPtProps>
                            </ClmnBlkPt>
                          </ClmnBlkPts>
                        </ClmnBlk>
                        <ClmnBlk>
                          <ClmnBlkProps>
                            <FCPT>0</FCPT>
                            <FCN>17</FCN>
                            <LCPT>0</LCPT>
                            <LCN>17</LCN>
                          </ClmnBlkProps>
                          <ClmnBlkPts>
                            <ClmnBlkPt>
                              <ClmnBlkPtProps>
                                <CBPT>5</CBPT>
                                <ST>18</ST>
                                <SON>14</SON>
                                <VOFFF><![CDATA[=IFERROR(IF(§A¿1,1,1,1,5,0,2,1,1§Z¿=2,§A¿0,3,0,1,6,3,1,-1,0,0,FALSE,FALSE§Z¿/§A¿0,1,0,1,33,2,1,2,0,0,TRUE,TRUE§Z¿,§A¿0,3,0,1,6,3,1,-1,0,0,FALSE,FALSE§Z¿*§A¿0,1,0,1,33,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6,6,6,-1,0,0,FALSE,FALSE§Z¿]]></VOFFF>
                              </ClmnBlkPtProps>
                            </ClmnBlkPt>
                          </ClmnBlkPts>
                        </ClmnBlk>
                        <ClmnBlk>
                          <ClmnBlkProps>
                            <FCPT>0</FCPT>
                            <FCN>12</FCN>
                            <LCPT>0</LCPT>
                            <LCN>12</LCN>
                          </ClmnBlkProps>
                          <ClmnBlkPts>
                            <ClmnBlkPt>
                              <ClmnBlkPtProps>
                                <CBPT>5</CBPT>
                                <ST>18</ST>
                                <SON>14</SON>
                                <VOFFF><![CDATA[=§A¿0,1,0,1,26,7,6,-1,0,0,FALSE,FALSE§Z¿]]></VOFFF>
                              </ClmnBlkPtProps>
                            </ClmnBlkPt>
                          </ClmnBlkPts>
                        </ClmnBlk>
                        <ClmnBlk>
                          <ClmnBlkProps>
                            <FCPT>0</FCPT>
                            <FCN>15</FCN>
                            <LCPT>0</LCPT>
                            <LCN>15</LCN>
                          </ClmnBlkProps>
                          <ClmnBlkPts>
                            <ClmnBlkPt>
                              <ClmnBlkPtProps>
                                <CBPT>5</CBPT>
                                <ST>18</ST>
                                <SON>14</SON>
                                <VOFFF><![CDATA[=IFERROR(IF(§A¿1,1,1,1,5,0,2,1,1§Z¿=2,§A¿0,3,0,1,7,2,1,-1,0,0,FALSE,FALSE§Z¿/§A¿0,1,0,1,33,2,1,2,0,0,TRUE,TRUE§Z¿,§A¿0,3,0,1,7,2,1,-1,0,0,FALSE,FALSE§Z¿*§A¿0,1,0,1,33,2,1,2,0,0,TRUE,TRUE§Z¿), 0)]]></VOFFF>
                              </ClmnBlkPtProps>
                            </ClmnBlkPt>
                          </ClmnBlkPts>
                        </ClmnBlk>
                        <ClmnBlk>
                          <ClmnBlkProps>
                            <FCPT>0</FCPT>
                            <FCN>17</FCN>
                            <LCPT>0</LCPT>
                            <LCN>17</LCN>
                          </ClmnBlkProps>
                          <ClmnBlkPts>
                            <ClmnBlkPt>
                              <ClmnBlkPtProps>
                                <CBPT>5</CBPT>
                                <ST>18</ST>
                                <SON>14</SON>
                                <VOFFF><![CDATA[=IFERROR(IF(§A¿1,1,1,1,5,0,2,1,1§Z¿=2,§A¿0,3,0,1,7,3,1,-1,0,0,FALSE,FALSE§Z¿/§A¿0,1,0,1,33,2,1,2,0,0,TRUE,TRUE§Z¿,§A¿0,3,0,1,7,3,1,-1,0,0,FALSE,FALSE§Z¿*§A¿0,1,0,1,33,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17</SON>
                                <VOFFF><![CDATA[=SUM(§A¿0,3,1,1,3,2,1,-1,0,0,FALSE,FALSE,1,7,2,1,-1,0,0,FALSE,FALSE§Z¿)]]></VOFFF>
                              </ClmnBlkPtProps>
                            </ClmnBlkPt>
                          </ClmnBlkPts>
                        </ClmnBlk>
                        <ClmnBlk>
                          <ClmnBlkProps>
                            <FCPT>0</FCPT>
                            <FCN>12</FCN>
                            <LCPT>0</LCPT>
                            <LCN>12</LCN>
                          </ClmnBlkProps>
                          <ClmnBlkPts>
                            <ClmnBlkPt>
                              <ClmnBlkPtProps>
                                <CBPT>5</CBPT>
                                <ST>18</ST>
                                <SON>17</SON>
                                <VOFFF><![CDATA[=SUM(§A¿0,3,1,1,3,3,1,-1,0,0,FALSE,FALSE,1,7,3,1,-1,0,0,FALSE,FALSE§Z¿)]]></VOFFF>
                              </ClmnBlkPtProps>
                            </ClmnBlkPt>
                          </ClmnBlkPts>
                        </ClmnBlk>
                        <ClmnBlk>
                          <ClmnBlkProps>
                            <FCPT>0</FCPT>
                            <FCN>15</FCN>
                            <LCPT>0</LCPT>
                            <LCN>15</LCN>
                          </ClmnBlkProps>
                          <ClmnBlkPts>
                            <ClmnBlkPt>
                              <ClmnBlkPtProps>
                                <CBPT>5</CBPT>
                                <ST>18</ST>
                                <SON>18</SON>
                                <VOFFF><![CDATA[=SUM(§A¿0,3,1,1,3,4,1,-1,0,0,FALSE,FALSE,1,7,4,1,-1,0,0,FALSE,FALSE§Z¿)]]></VOFFF>
                              </ClmnBlkPtProps>
                            </ClmnBlkPt>
                          </ClmnBlkPts>
                        </ClmnBlk>
                        <ClmnBlk>
                          <ClmnBlkProps>
                            <FCPT>0</FCPT>
                            <FCN>17</FCN>
                            <LCPT>0</LCPT>
                            <LCN>17</LCN>
                          </ClmnBlkProps>
                          <ClmnBlkPts>
                            <ClmnBlkPt>
                              <ClmnBlkPtProps>
                                <CBPT>5</CBPT>
                                <ST>18</ST>
                                <SON>18</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SOC_MOB_4]]></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1,1,3,1,10,0,2,1,1§Z¿*§A¿0,3,0,1,8,2,1,-1,0,0,FALSE,FALSE§Z¿]]></VOFFF>
                              </ClmnBlkPtProps>
                            </ClmnBlkPt>
                          </ClmnBlkPts>
                        </ClmnBlk>
                        <ClmnBlk>
                          <ClmnBlkProps>
                            <FCPT>0</FCPT>
                            <FCN>12</FCN>
                            <LCPT>0</LCPT>
                            <LCN>12</LCN>
                          </ClmnBlkProps>
                          <ClmnBlkPts>
                            <ClmnBlkPt>
                              <ClmnBlkPtProps>
                                <CBPT>5</CBPT>
                                <ST>18</ST>
                                <SON>6</SON>
                                <VOFFF><![CDATA[=§A¿1,1,3,1,10,0,2,1,1§Z¿*§A¿0,3,0,1,8,3,1,-1,0,0,FALSE,FALSE§Z¿]]></VOFFF>
                              </ClmnBlkPtProps>
                            </ClmnBlkPt>
                          </ClmnBlkPts>
                        </ClmnBlk>
                        <ClmnBlk>
                          <ClmnBlkProps>
                            <FCPT>0</FCPT>
                            <FCN>15</FCN>
                            <LCPT>0</LCPT>
                            <LCN>15</LCN>
                          </ClmnBlkProps>
                          <ClmnBlkPts>
                            <ClmnBlkPt>
                              <ClmnBlkPtProps>
                                <CBPT>5</CBPT>
                                <ST>18</ST>
                                <SON>6</SON>
                                <VOFFF><![CDATA[=§A¿1,1,3,1,10,0,2,1,1§Z¿*§A¿0,3,0,1,8,4,1,-1,0,0,FALSE,FALSE§Z¿]]></VOFFF>
                              </ClmnBlkPtProps>
                            </ClmnBlkPt>
                          </ClmnBlkPts>
                        </ClmnBlk>
                        <ClmnBlk>
                          <ClmnBlkProps>
                            <FCPT>0</FCPT>
                            <FCN>17</FCN>
                            <LCPT>0</LCPT>
                            <LCN>17</LCN>
                          </ClmnBlkProps>
                          <ClmnBlkPts>
                            <ClmnBlkPt>
                              <ClmnBlkPtProps>
                                <CBPT>5</CBPT>
                                <ST>18</ST>
                                <SON>6</SON>
                                <VOFFF><![CDATA[=§A¿1,1,3,1,10,0,2,1,1§Z¿*§A¿0,3,0,1,8,5,1,-1,0,0,FALSE,FALSE§Z¿]]></VOFFF>
                              </ClmnBlkPtProps>
                            </ClmnBlkPt>
                          </ClmnBlkPts>
                        </ClmnBlk>
                      </ClmnBlks>
                      <TtlCtg/>
                    </Elmt>
                    <Elmt>
                      <ElmtProps>
                        <CPT>2</CPT>
                      </ElmtProps>
                      <ClmnBlks>
                        <ClmnBlk>
                          <ClmnBlkProps>
                            <FCPT>0</FCPT>
                            <FCN>2</FCN>
                            <LCPT>0</LCPT>
                            <LCN>18</LCN>
                          </ClmnBlkProps>
                          <ClmnBlkPts>
                            <ClmnBlkPt>
                              <ClmnBlkPtProps>
                                <CBPT>5</CBPT>
                                <ST>-1</ST>
                                <SON>16</SON>
                                <VOFFF/>
                              </ClmnBlkPtProps>
                            </ClmnBlkPt>
                          </ClmnBlkPts>
                        </ClmnBlk>
                      </ClmnBlks>
                      <TtlCtg/>
                    </Elmt>
                  </Elmts>
                </Sect>
              </Sects>
            </ModComp>
            <ModComp>
              <ModCompProps>
                <MN>21</MN>
                <MCN>4</MCN>
                <MCTK>LU</MCTK>
                <RT><![CDATA[<ModuleName> - Lookups]]></RT>
                <ERN>BPMMC78</ERN>
                <MCST>3</MCST>
                <IPMC>False</IPMC>
                <SN>47</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50</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3,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0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8,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0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1,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0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5,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0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8,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0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2,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0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11</MN>
            <MAG>45338FE0-6C0B-4A55-A5AC-B1F2F9D32FCD</MAG>
            <BN><![CDATA[PLUG_ACTIVITY]]></BN>
            <N><![CDATA[ROUND1- TEAM CONFIGURATION A]]></N>
            <TS><![CDATA[Annual]]></TS>
            <D><![CDATA[Assists with planning the cost of an activity. Should be used with Prices module.]]></D>
            <FS/>
            <R/>
            <GE/>
            <CA/>
            <VA/>
            <GST/>
            <DE/>
            <E/>
            <C/>
            <W/>
            <K/>
            <CO/>
            <V>1.0.0.0.</V>
            <AX/>
            <PMLO>False</PMLO>
            <IPMLO>False</IPMLO>
            <MACA>1</MACA>
            <RTSM>True</RTSM>
            <CC>True</CC>
            <X>False</X>
            <G>B8C8B32E-518D-49B2-9639-5CD85DD522D6</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22</MN>
                <MCN>1</MCN>
                <MCTK>BaseCase</MCTK>
                <RT><![CDATA[<ModuleName> - Assumptions]]></RT>
                <ERN>BPMMC79</ERN>
                <MCST>0</MCST>
                <IPMC>False</IPMC>
                <SN>20</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51</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1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SON>1</SON>
                                <VOFFF><![CDATA[=IF(§A¿1,1,1,1,5,0,2,1,1§Z¿=1,§A¿0,1,0,1,34,1,1,1,0,0,TRUE,TRUE§Z¿,§A¿0,1,0,1,34,1,1,2,0,0,TRUE,TRUE§Z¿)]]></VOFFF>
                              </ClmnBlkPtProps>
                            </ClmnBlkPt>
                          </ClmnBlkPts>
                        </ClmnBlk>
                        <ClmnBlk>
                          <ClmnBlkProps>
                            <FCPT>0</FCPT>
                            <FCN>15</FCN>
                            <LCPT>0</LCPT>
                            <LCN>15</LCN>
                          </ClmnBlkProps>
                          <ClmnBlkPts>
                            <ClmnBlkPt>
                              <ClmnBlkPtProps>
                                <CBPT>5</CBPT>
                                <ST>18</ST>
                                <SON>1</SON>
                                <VOFFF><![CDATA[=IF(§A¿1,1,1,1,5,0,2,1,1§Z¿=1,§A¿0,1,0,1,34,1,1,1,0,0,TRUE,TRUE§Z¿,§A¿0,1,0,1,34,1,1,2,0,0,TRUE,TRUE§Z¿)]]></VOFFF>
                              </ClmnBlkPtProps>
                            </ClmnBlkPt>
                          </ClmnBlkPts>
                        </ClmnBlk>
                        <ClmnBlk>
                          <ClmnBlkProps>
                            <FCPT>0</FCPT>
                            <FCN>17</FCN>
                            <LCPT>0</LCPT>
                            <LCN>17</LCN>
                          </ClmnBlkProps>
                          <ClmnBlkPts>
                            <ClmnBlkPt>
                              <ClmnBlkPtProps>
                                <CBPT>5</CBPT>
                                <ST>18</ST>
                                <SON>1</SON>
                                <VOFFF><![CDATA[=IF(§A¿1,1,1,1,5,0,2,1,1§Z¿=1,§A¿0,1,0,1,34,1,1,1,0,0,TRUE,TRUE§Z¿,§A¿0,1,0,1,34,1,1,2,0,0,TRUE,TRUE§Z¿)]]></VOFFF>
                              </ClmnBlkPtProps>
                            </ClmnBlkPt>
                          </ClmnBlkPts>
                        </ClmnBlk>
                        <ClmnBlk>
                          <ClmnBlkProps>
                            <FCPT>0</FCPT>
                            <FCN>19</FCN>
                            <LCPT>0</LCPT>
                            <LCN>19</LCN>
                          </ClmnBlkProps>
                          <ClmnBlkPts>
                            <ClmnBlkPt>
                              <ClmnBlkPtProps>
                                <CBPT>5</CBPT>
                                <ST>18</ST>
                                <SON>1</SON>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22</MN>
                                  <CLI>1,1,34,False,1</CLI>
                                  <ELN>1</ELN>
                                  <LOOT>0</LOOT>
                                  <LOMN>3</LOMN>
                                  <LOMCN>2</LOMCN>
                                  <LOSN>1</LOSN>
                                  <LOEN>4</LOEN>
                                  <LOCN>1</LOCN>
                                </LnkInProps>
                              </LnkIn>
                            </Ctg>
                            <Ctg>
                              <CtgProps>
                                <R>5</R>
                              </CtgProps>
                              <LnkIn>
                                <LnkInProps>
                                  <MN>22</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22</MN>
                                  <CLI>1,1,39,False,1</CLI>
                                  <ELN>1</ELN>
                                  <LOOT>0</LOOT>
                                  <LOMN>3</LOMN>
                                  <LOMCN>1</LOMCN>
                                  <LOSN>1</LOSN>
                                  <LOEN>10</LOEN>
                                  <LOCN>1</LOCN>
                                </LnkInProps>
                              </LnkIn>
                            </Ctg>
                            <Ctg>
                              <CtgProps>
                                <R>4</R>
                              </CtgProps>
                              <LnkIn>
                                <LnkInProps>
                                  <MN>22</MN>
                                  <CLI>1,1,39,False,2</CLI>
                                  <ELN>1</ELN>
                                  <LOOT>0</LOOT>
                                  <LOMN>3</LOMN>
                                  <LOMCN>1</LOMCN>
                                  <LOSN>1</LOSN>
                                  <LOEN>10</LOEN>
                                  <LOCN>2</LOCN>
                                </LnkInProps>
                              </LnkIn>
                            </Ctg>
                            <Ctg>
                              <CtgProps>
                                <R>4</R>
                              </CtgProps>
                              <LnkIn>
                                <LnkInProps>
                                  <MN>22</MN>
                                  <CLI>1,1,39,False,3</CLI>
                                  <ELN>1</ELN>
                                  <LOOT>0</LOOT>
                                  <LOMN>3</LOMN>
                                  <LOMCN>1</LOMCN>
                                  <LOSN>1</LOSN>
                                  <LOEN>10</LOEN>
                                  <LOCN>3</LOCN>
                                </LnkInProps>
                              </LnkIn>
                            </Ctg>
                            <Ctg>
                              <CtgProps>
                                <R>4</R>
                              </CtgProps>
                              <LnkIn>
                                <LnkInProps>
                                  <MN>22</MN>
                                  <CLI>1,1,39,False,4</CLI>
                                  <ELN>1</ELN>
                                  <LOOT>0</LOOT>
                                  <LOMN>3</LOMN>
                                  <LOMCN>1</LOMCN>
                                  <LOSN>1</LOSN>
                                  <LOEN>10</LOEN>
                                  <LOCN>4</LOCN>
                                </LnkInProps>
                              </LnkIn>
                            </Ctg>
                            <Ctg>
                              <CtgProps>
                                <R>4</R>
                              </CtgProps>
                              <LnkIn>
                                <LnkInProps>
                                  <MN>22</MN>
                                  <CLI>1,1,39,False,5</CLI>
                                  <ELN>1</ELN>
                                  <LOOT>0</LOOT>
                                  <LOMN>3</LOMN>
                                  <LOMCN>1</LOMCN>
                                  <LOSN>1</LOSN>
                                  <LOEN>10</LOEN>
                                  <LOCN>5</LOCN>
                                </LnkInProps>
                              </LnkIn>
                            </Ctg>
                            <Ctg>
                              <CtgProps>
                                <R>4</R>
                              </CtgProps>
                              <LnkIn>
                                <LnkInProps>
                                  <MN>22</MN>
                                  <CLI>1,1,39,False,6</CLI>
                                  <ELN>1</ELN>
                                  <LOOT>0</LOOT>
                                  <LOMN>3</LOMN>
                                  <LOMCN>1</LOMCN>
                                  <LOSN>1</LOSN>
                                  <LOEN>10</LOEN>
                                  <LOCN>6</LOCN>
                                </LnkInProps>
                              </LnkIn>
                            </Ctg>
                            <Ctg>
                              <CtgProps>
                                <R>4</R>
                              </CtgProps>
                              <LnkIn>
                                <LnkInProps>
                                  <MN>22</MN>
                                  <CLI>1,1,39,False,7</CLI>
                                  <ELN>1</ELN>
                                  <LOOT>0</LOOT>
                                  <LOMN>3</LOMN>
                                  <LOMCN>1</LOMCN>
                                  <LOSN>1</LOSN>
                                  <LOEN>10</LOEN>
                                  <LOCN>7</LOCN>
                                </LnkInProps>
                              </LnkIn>
                            </Ctg>
                            <Ctg>
                              <CtgProps>
                                <R>4</R>
                              </CtgProps>
                              <LnkIn>
                                <LnkInProps>
                                  <MN>22</MN>
                                  <CLI>1,1,39,False,8</CLI>
                                  <ELN>1</ELN>
                                  <LOOT>0</LOOT>
                                  <LOMN>3</LOMN>
                                  <LOMCN>1</LOMCN>
                                  <LOSN>1</LOSN>
                                  <LOEN>10</LOEN>
                                  <LOCN>8</LOCN>
                                </LnkInProps>
                              </LnkIn>
                            </Ctg>
                            <Ctg>
                              <CtgProps>
                                <R>4</R>
                              </CtgProps>
                              <LnkIn>
                                <LnkInProps>
                                  <MN>22</MN>
                                  <CLI>1,1,39,False,9</CLI>
                                  <ELN>1</ELN>
                                  <LOOT>0</LOOT>
                                  <LOMN>3</LOMN>
                                  <LOMCN>1</LOMCN>
                                  <LOSN>1</LOSN>
                                  <LOEN>10</LOEN>
                                  <LOCN>9</LOCN>
                                </LnkInProps>
                              </LnkIn>
                            </Ctg>
                            <Ctg>
                              <CtgProps>
                                <R>4</R>
                              </CtgProps>
                              <LnkIn>
                                <LnkInProps>
                                  <MN>22</MN>
                                  <CLI>1,1,39,False,10</CLI>
                                  <ELN>1</ELN>
                                  <LOOT>0</LOOT>
                                  <LOMN>3</LOMN>
                                  <LOMCN>1</LOMCN>
                                  <LOSN>1</LOSN>
                                  <LOEN>10</LOEN>
                                  <LOCN>10</LOCN>
                                </LnkInProps>
                              </LnkIn>
                            </Ctg>
                            <Ctg>
                              <CtgProps>
                                <R>4</R>
                              </CtgProps>
                              <LnkIn>
                                <LnkInProps>
                                  <MN>22</MN>
                                  <CLI>1,1,39,False,11</CLI>
                                  <ELN>1</ELN>
                                  <LOOT>0</LOOT>
                                  <LOMN>3</LOMN>
                                  <LOMCN>1</LOMCN>
                                  <LOSN>1</LOSN>
                                  <LOEN>10</LOEN>
                                  <LOCN>11</LOCN>
                                </LnkInProps>
                              </LnkIn>
                            </Ctg>
                            <Ctg>
                              <CtgProps>
                                <R>4</R>
                              </CtgProps>
                              <LnkIn>
                                <LnkInProps>
                                  <MN>22</MN>
                                  <CLI>1,1,39,False,12</CLI>
                                  <ELN>1</ELN>
                                  <LOOT>0</LOOT>
                                  <LOMN>3</LOMN>
                                  <LOMCN>1</LOMCN>
                                  <LOSN>1</LOSN>
                                  <LOEN>10</LOEN>
                                  <LOCN>12</LOCN>
                                </LnkInProps>
                              </LnkIn>
                            </Ctg>
                            <Ctg>
                              <CtgProps>
                                <R>4</R>
                              </CtgProps>
                              <LnkIn>
                                <LnkInProps>
                                  <MN>22</MN>
                                  <CLI>1,1,39,False,13</CLI>
                                  <ELN>1</ELN>
                                  <LOOT>0</LOOT>
                                  <LOMN>3</LOMN>
                                  <LOMCN>1</LOMCN>
                                  <LOSN>1</LOSN>
                                  <LOEN>10</LOEN>
                                  <LOCN>13</LOCN>
                                </LnkInProps>
                              </LnkIn>
                            </Ctg>
                            <Ctg>
                              <CtgProps>
                                <R>4</R>
                              </CtgProps>
                              <LnkIn>
                                <LnkInProps>
                                  <MN>22</MN>
                                  <CLI>1,1,39,False,14</CLI>
                                  <ELN>1</ELN>
                                  <LOOT>0</LOOT>
                                  <LOMN>3</LOMN>
                                  <LOMCN>1</LOMCN>
                                  <LOSN>1</LOSN>
                                  <LOEN>10</LOEN>
                                  <LOCN>14</LOCN>
                                </LnkInProps>
                              </LnkIn>
                            </Ctg>
                            <Ctg>
                              <CtgProps>
                                <R>5</R>
                              </CtgProps>
                              <LnkIn>
                                <LnkInProps>
                                  <MN>22</MN>
                                  <CLI>1,1,39,False,15</CLI>
                                  <ELN>1</ELN>
                                  <LOOT>0</LOOT>
                                  <LOMN>3</LOMN>
                                  <LOMCN>1</LOMCN>
                                  <LOSN>1</LOSN>
                                  <LOEN>10</LOEN>
                                  <LOCN>15</LOCN>
                                </LnkInProps>
                              </LnkIn>
                            </Ctg>
                            <Ctg>
                              <CtgProps>
                                <R>5</R>
                              </CtgProps>
                              <LnkIn>
                                <LnkInProps>
                                  <MN>22</MN>
                                  <CLI>1,1,39,False,16</CLI>
                                  <ELN>1</ELN>
                                  <LOOT>0</LOOT>
                                  <LOMN>3</LOMN>
                                  <LOMCN>1</LOMCN>
                                  <LOSN>1</LOSN>
                                  <LOEN>10</LOEN>
                                  <LOCN>16</LOCN>
                                </LnkInProps>
                              </LnkIn>
                            </Ctg>
                            <Ctg>
                              <CtgProps>
                                <R>5</R>
                              </CtgProps>
                              <LnkIn>
                                <LnkInProps>
                                  <MN>22</MN>
                                  <CLI>1,1,39,False,17</CLI>
                                  <ELN>1</ELN>
                                  <LOOT>0</LOOT>
                                  <LOMN>3</LOMN>
                                  <LOMCN>1</LOMCN>
                                  <LOSN>1</LOSN>
                                  <LOEN>10</LOEN>
                                  <LOCN>17</LOCN>
                                </LnkInProps>
                              </LnkIn>
                            </Ctg>
                            <Ctg>
                              <CtgProps>
                                <R>5</R>
                              </CtgProps>
                              <LnkIn>
                                <LnkInProps>
                                  <MN>22</MN>
                                  <CLI>1,1,39,False,18</CLI>
                                  <ELN>1</ELN>
                                  <LOOT>0</LOOT>
                                  <LOMN>3</LOMN>
                                  <LOMCN>1</LOMCN>
                                  <LOSN>1</LOSN>
                                  <LOEN>10</LOEN>
                                  <LOCN>18</LOCN>
                                </LnkInProps>
                              </LnkIn>
                            </Ctg>
                            <Ctg>
                              <CtgProps>
                                <R>5</R>
                              </CtgProps>
                              <LnkIn>
                                <LnkInProps>
                                  <MN>22</MN>
                                  <CLI>1,1,39,False,19</CLI>
                                  <ELN>1</ELN>
                                  <LOOT>0</LOOT>
                                  <LOMN>3</LOMN>
                                  <LOMCN>1</LOMCN>
                                  <LOSN>1</LOSN>
                                  <LOEN>10</LOEN>
                                  <LOCN>19</LOCN>
                                </LnkInProps>
                              </LnkIn>
                            </Ctg>
                            <Ctg>
                              <CtgProps>
                                <R>5</R>
                              </CtgProps>
                              <LnkIn>
                                <LnkInProps>
                                  <MN>22</MN>
                                  <CLI>1,1,39,False,20</CLI>
                                  <ELN>1</ELN>
                                  <LOOT>0</LOOT>
                                  <LOMN>3</LOMN>
                                  <LOMCN>1</LOMCN>
                                  <LOSN>1</LOSN>
                                  <LOEN>10</LOEN>
                                  <LOCN>20</LOCN>
                                </LnkInProps>
                              </LnkIn>
                            </Ctg>
                            <Ctg>
                              <CtgProps>
                                <R>5</R>
                              </CtgProps>
                              <LnkIn>
                                <LnkInProps>
                                  <MN>22</MN>
                                  <CLI>1,1,39,False,21</CLI>
                                  <ELN>1</ELN>
                                  <LOOT>0</LOOT>
                                  <LOMN>3</LOMN>
                                  <LOMCN>1</LOMCN>
                                  <LOSN>1</LOSN>
                                  <LOEN>10</LOEN>
                                  <LOCN>21</LOCN>
                                </LnkInProps>
                              </LnkIn>
                            </Ctg>
                            <Ctg>
                              <CtgProps>
                                <R>5</R>
                              </CtgProps>
                              <LnkIn>
                                <LnkInProps>
                                  <MN>22</MN>
                                  <CLI>1,1,39,False,22</CLI>
                                  <ELN>1</ELN>
                                  <LOOT>0</LOOT>
                                  <LOMN>3</LOMN>
                                  <LOMCN>1</LOMCN>
                                  <LOSN>1</LOSN>
                                  <LOEN>10</LOEN>
                                  <LOCN>22</LOCN>
                                </LnkInProps>
                              </LnkIn>
                            </Ctg>
                            <Ctg>
                              <CtgProps>
                                <R>5</R>
                              </CtgProps>
                              <LnkIn>
                                <LnkInProps>
                                  <MN>22</MN>
                                  <CLI>1,1,39,False,23</CLI>
                                  <ELN>1</ELN>
                                  <LOOT>0</LOOT>
                                  <LOMN>3</LOMN>
                                  <LOMCN>1</LOMCN>
                                  <LOSN>1</LOSN>
                                  <LOEN>10</LOEN>
                                  <LOCN>23</LOCN>
                                </LnkInProps>
                              </LnkIn>
                            </Ctg>
                            <Ctg>
                              <CtgProps>
                                <R>5</R>
                              </CtgProps>
                              <LnkIn>
                                <LnkInProps>
                                  <MN>22</MN>
                                  <CLI>1,1,39,False,24</CLI>
                                  <ELN>1</ELN>
                                  <LOOT>0</LOOT>
                                  <LOMN>3</LOMN>
                                  <LOMCN>1</LOMCN>
                                  <LOSN>1</LOSN>
                                  <LOEN>10</LOEN>
                                  <LOCN>24</LOCN>
                                </LnkInProps>
                              </LnkIn>
                            </Ctg>
                            <Ctg>
                              <CtgProps>
                                <R>5</R>
                              </CtgProps>
                              <LnkIn>
                                <LnkInProps>
                                  <MN>22</MN>
                                  <CLI>1,1,39,False,25</CLI>
                                  <ELN>1</ELN>
                                  <LOOT>0</LOOT>
                                  <LOMN>3</LOMN>
                                  <LOMCN>1</LOMCN>
                                  <LOSN>1</LOSN>
                                  <LOEN>10</LOEN>
                                  <LOCN>25</LOCN>
                                </LnkInProps>
                              </LnkIn>
                            </Ctg>
                            <Ctg>
                              <CtgProps>
                                <R>5</R>
                              </CtgProps>
                              <LnkIn>
                                <LnkInProps>
                                  <MN>22</MN>
                                  <CLI>1,1,39,False,26</CLI>
                                  <ELN>1</ELN>
                                  <LOOT>0</LOOT>
                                  <LOMN>3</LOMN>
                                  <LOMCN>1</LOMCN>
                                  <LOSN>1</LOSN>
                                  <LOEN>10</LOEN>
                                  <LOCN>26</LOCN>
                                </LnkInProps>
                              </LnkIn>
                            </Ctg>
                            <Ctg>
                              <CtgProps>
                                <R>5</R>
                              </CtgProps>
                              <LnkIn>
                                <LnkInProps>
                                  <MN>22</MN>
                                  <CLI>1,1,39,False,27</CLI>
                                  <ELN>1</ELN>
                                  <LOOT>0</LOOT>
                                  <LOMN>3</LOMN>
                                  <LOMCN>1</LOMCN>
                                  <LOSN>1</LOSN>
                                  <LOEN>10</LOEN>
                                  <LOCN>27</LOCN>
                                </LnkInProps>
                              </LnkIn>
                            </Ctg>
                            <Ctg>
                              <CtgProps>
                                <R>5</R>
                              </CtgProps>
                              <LnkIn>
                                <LnkInProps>
                                  <MN>22</MN>
                                  <CLI>1,1,39,False,28</CLI>
                                  <ELN>1</ELN>
                                  <LOOT>0</LOOT>
                                  <LOMN>3</LOMN>
                                  <LOMCN>1</LOMCN>
                                  <LOSN>1</LOSN>
                                  <LOEN>10</LOEN>
                                  <LOCN>28</LOCN>
                                </LnkInProps>
                              </LnkIn>
                            </Ctg>
                            <Ctg>
                              <CtgProps>
                                <R>5</R>
                              </CtgProps>
                              <LnkIn>
                                <LnkInProps>
                                  <MN>22</MN>
                                  <CLI>1,1,39,False,29</CLI>
                                  <ELN>1</ELN>
                                  <LOOT>0</LOOT>
                                  <LOMN>3</LOMN>
                                  <LOMCN>1</LOMCN>
                                  <LOSN>1</LOSN>
                                  <LOEN>10</LOEN>
                                  <LOCN>29</LOCN>
                                </LnkInProps>
                              </LnkIn>
                            </Ctg>
                            <Ctg>
                              <CtgProps>
                                <R>5</R>
                              </CtgProps>
                              <LnkIn>
                                <LnkInProps>
                                  <MN>22</MN>
                                  <CLI>1,1,39,False,30</CLI>
                                  <ELN>1</ELN>
                                  <LOOT>0</LOOT>
                                  <LOMN>3</LOMN>
                                  <LOMCN>1</LOMCN>
                                  <LOSN>1</LOSN>
                                  <LOEN>10</LOEN>
                                  <LOCN>30</LOCN>
                                </LnkInProps>
                              </LnkIn>
                            </Ctg>
                            <Ctg>
                              <CtgProps>
                                <R>5</R>
                              </CtgProps>
                              <LnkIn>
                                <LnkInProps>
                                  <MN>22</MN>
                                  <CLI>1,1,39,False,31</CLI>
                                  <ELN>1</ELN>
                                  <LOOT>0</LOOT>
                                  <LOMN>3</LOMN>
                                  <LOMCN>1</LOMCN>
                                  <LOSN>1</LOSN>
                                  <LOEN>10</LOEN>
                                  <LOCN>31</LOCN>
                                </LnkInProps>
                              </LnkIn>
                            </Ctg>
                            <Ctg>
                              <CtgProps>
                                <R>5</R>
                              </CtgProps>
                              <LnkIn>
                                <LnkInProps>
                                  <MN>22</MN>
                                  <CLI>1,1,39,False,32</CLI>
                                  <ELN>1</ELN>
                                  <LOOT>0</LOOT>
                                  <LOMN>3</LOMN>
                                  <LOMCN>1</LOMCN>
                                  <LOSN>1</LOSN>
                                  <LOEN>10</LOEN>
                                  <LOCN>32</LOCN>
                                </LnkInProps>
                              </LnkIn>
                            </Ctg>
                            <Ctg>
                              <CtgProps>
                                <R>5</R>
                              </CtgProps>
                              <LnkIn>
                                <LnkInProps>
                                  <MN>22</MN>
                                  <CLI>1,1,39,False,33</CLI>
                                  <ELN>1</ELN>
                                  <LOOT>0</LOOT>
                                  <LOMN>3</LOMN>
                                  <LOMCN>1</LOMCN>
                                  <LOSN>1</LOSN>
                                  <LOEN>10</LOEN>
                                  <LOCN>33</LOCN>
                                </LnkInProps>
                              </LnkIn>
                            </Ctg>
                            <Ctg>
                              <CtgProps>
                                <R>5</R>
                              </CtgProps>
                              <LnkIn>
                                <LnkInProps>
                                  <MN>22</MN>
                                  <CLI>1,1,39,False,34</CLI>
                                  <ELN>1</ELN>
                                  <LOOT>0</LOOT>
                                  <LOMN>3</LOMN>
                                  <LOMCN>1</LOMCN>
                                  <LOSN>1</LOSN>
                                  <LOEN>10</LOEN>
                                  <LOCN>34</LOCN>
                                </LnkInProps>
                              </LnkIn>
                            </Ctg>
                            <Ctg>
                              <CtgProps>
                                <R>5</R>
                              </CtgProps>
                              <LnkIn>
                                <LnkInProps>
                                  <MN>22</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22</MN>
                                  <CLI>1,1,42,False,1</CLI>
                                  <ELN>1</ELN>
                                  <LOOT>0</LOOT>
                                  <LOMN>3</LOMN>
                                  <LOMCN>1</LOMCN>
                                  <LOSN>1</LOSN>
                                  <LOEN>15</LOEN>
                                  <LOCN>1</LOCN>
                                </LnkInProps>
                              </LnkIn>
                            </Ctg>
                            <Ctg>
                              <CtgProps>
                                <R>4</R>
                              </CtgProps>
                              <LnkIn>
                                <LnkInProps>
                                  <MN>22</MN>
                                  <CLI>1,1,42,False,2</CLI>
                                  <ELN>1</ELN>
                                  <LOOT>0</LOOT>
                                  <LOMN>3</LOMN>
                                  <LOMCN>1</LOMCN>
                                  <LOSN>1</LOSN>
                                  <LOEN>15</LOEN>
                                  <LOCN>2</LOCN>
                                </LnkInProps>
                              </LnkIn>
                            </Ctg>
                            <Ctg>
                              <CtgProps>
                                <R>4</R>
                              </CtgProps>
                              <LnkIn>
                                <LnkInProps>
                                  <MN>22</MN>
                                  <CLI>1,1,42,False,3</CLI>
                                  <ELN>1</ELN>
                                  <LOOT>0</LOOT>
                                  <LOMN>3</LOMN>
                                  <LOMCN>1</LOMCN>
                                  <LOSN>1</LOSN>
                                  <LOEN>15</LOEN>
                                  <LOCN>3</LOCN>
                                </LnkInProps>
                              </LnkIn>
                            </Ctg>
                            <Ctg>
                              <CtgProps>
                                <R>4</R>
                              </CtgProps>
                              <LnkIn>
                                <LnkInProps>
                                  <MN>22</MN>
                                  <CLI>1,1,42,False,4</CLI>
                                  <ELN>1</ELN>
                                  <LOOT>0</LOOT>
                                  <LOMN>3</LOMN>
                                  <LOMCN>1</LOMCN>
                                  <LOSN>1</LOSN>
                                  <LOEN>15</LOEN>
                                  <LOCN>4</LOCN>
                                </LnkInProps>
                              </LnkIn>
                            </Ctg>
                            <Ctg>
                              <CtgProps>
                                <R>5</R>
                              </CtgProps>
                              <LnkIn>
                                <LnkInProps>
                                  <MN>22</MN>
                                  <CLI>1,1,42,False,5</CLI>
                                  <ELN>1</ELN>
                                  <LOOT>0</LOOT>
                                  <LOMN>3</LOMN>
                                  <LOMCN>1</LOMCN>
                                  <LOSN>1</LOSN>
                                  <LOEN>15</LOEN>
                                  <LOCN>5</LOCN>
                                </LnkInProps>
                              </LnkIn>
                            </Ctg>
                            <Ctg>
                              <CtgProps>
                                <R>5</R>
                              </CtgProps>
                              <LnkIn>
                                <LnkInProps>
                                  <MN>22</MN>
                                  <CLI>1,1,42,False,6</CLI>
                                  <ELN>1</ELN>
                                  <LOOT>0</LOOT>
                                  <LOMN>3</LOMN>
                                  <LOMCN>1</LOMCN>
                                  <LOSN>1</LOSN>
                                  <LOEN>15</LOEN>
                                  <LOCN>6</LOCN>
                                </LnkInProps>
                              </LnkIn>
                            </Ctg>
                            <Ctg>
                              <CtgProps>
                                <R>5</R>
                              </CtgProps>
                              <LnkIn>
                                <LnkInProps>
                                  <MN>22</MN>
                                  <CLI>1,1,42,False,7</CLI>
                                  <ELN>1</ELN>
                                  <LOOT>0</LOOT>
                                  <LOMN>3</LOMN>
                                  <LOMCN>1</LOMCN>
                                  <LOSN>1</LOSN>
                                  <LOEN>15</LOEN>
                                  <LOCN>7</LOCN>
                                </LnkInProps>
                              </LnkIn>
                            </Ctg>
                            <Ctg>
                              <CtgProps>
                                <R>5</R>
                              </CtgProps>
                              <LnkIn>
                                <LnkInProps>
                                  <MN>22</MN>
                                  <CLI>1,1,42,False,8</CLI>
                                  <ELN>1</ELN>
                                  <LOOT>0</LOOT>
                                  <LOMN>3</LOMN>
                                  <LOMCN>1</LOMCN>
                                  <LOSN>1</LOSN>
                                  <LOEN>15</LOEN>
                                  <LOCN>8</LOCN>
                                </LnkInProps>
                              </LnkIn>
                            </Ctg>
                            <Ctg>
                              <CtgProps>
                                <R>5</R>
                              </CtgProps>
                              <LnkIn>
                                <LnkInProps>
                                  <MN>22</MN>
                                  <CLI>1,1,42,False,9</CLI>
                                  <ELN>1</ELN>
                                  <LOOT>0</LOOT>
                                  <LOMN>3</LOMN>
                                  <LOMCN>1</LOMCN>
                                  <LOSN>1</LOSN>
                                  <LOEN>15</LOEN>
                                  <LOCN>9</LOCN>
                                </LnkInProps>
                              </LnkIn>
                            </Ctg>
                            <Ctg>
                              <CtgProps>
                                <R>5</R>
                              </CtgProps>
                              <LnkIn>
                                <LnkInProps>
                                  <MN>22</MN>
                                  <CLI>1,1,42,False,10</CLI>
                                  <ELN>1</ELN>
                                  <LOOT>0</LOOT>
                                  <LOMN>3</LOMN>
                                  <LOMCN>1</LOMCN>
                                  <LOSN>1</LOSN>
                                  <LOEN>15</LOEN>
                                  <LOCN>10</LOCN>
                                </LnkInProps>
                              </LnkIn>
                            </Ctg>
                            <Ctg>
                              <CtgProps>
                                <R>5</R>
                              </CtgProps>
                              <LnkIn>
                                <LnkInProps>
                                  <MN>22</MN>
                                  <CLI>1,1,42,False,11</CLI>
                                  <ELN>1</ELN>
                                  <LOOT>0</LOOT>
                                  <LOMN>3</LOMN>
                                  <LOMCN>1</LOMCN>
                                  <LOSN>1</LOSN>
                                  <LOEN>15</LOEN>
                                  <LOCN>11</LOCN>
                                </LnkInProps>
                              </LnkIn>
                            </Ctg>
                            <Ctg>
                              <CtgProps>
                                <R>5</R>
                              </CtgProps>
                              <LnkIn>
                                <LnkInProps>
                                  <MN>22</MN>
                                  <CLI>1,1,42,False,12</CLI>
                                  <ELN>1</ELN>
                                  <LOOT>0</LOOT>
                                  <LOMN>3</LOMN>
                                  <LOMCN>1</LOMCN>
                                  <LOSN>1</LOSN>
                                  <LOEN>15</LOEN>
                                  <LOCN>12</LOCN>
                                </LnkInProps>
                              </LnkIn>
                            </Ctg>
                            <Ctg>
                              <CtgProps>
                                <R>5</R>
                              </CtgProps>
                              <LnkIn>
                                <LnkInProps>
                                  <MN>22</MN>
                                  <CLI>1,1,42,False,13</CLI>
                                  <ELN>1</ELN>
                                  <LOOT>0</LOOT>
                                  <LOMN>3</LOMN>
                                  <LOMCN>1</LOMCN>
                                  <LOSN>1</LOSN>
                                  <LOEN>15</LOEN>
                                  <LOCN>13</LOCN>
                                </LnkInProps>
                              </LnkIn>
                            </Ctg>
                            <Ctg>
                              <CtgProps>
                                <R>5</R>
                              </CtgProps>
                              <LnkIn>
                                <LnkInProps>
                                  <MN>22</MN>
                                  <CLI>1,1,42,False,14</CLI>
                                  <ELN>1</ELN>
                                  <LOOT>0</LOOT>
                                  <LOMN>3</LOMN>
                                  <LOMCN>1</LOMCN>
                                  <LOSN>1</LOSN>
                                  <LOEN>15</LOEN>
                                  <LOCN>14</LOCN>
                                </LnkInProps>
                              </LnkIn>
                            </Ctg>
                            <Ctg>
                              <CtgProps>
                                <R>5</R>
                              </CtgProps>
                              <LnkIn>
                                <LnkInProps>
                                  <MN>22</MN>
                                  <CLI>1,1,42,False,15</CLI>
                                  <ELN>1</ELN>
                                  <LOOT>0</LOOT>
                                  <LOMN>3</LOMN>
                                  <LOMCN>1</LOMCN>
                                  <LOSN>1</LOSN>
                                  <LOEN>15</LOEN>
                                  <LOCN>15</LOCN>
                                </LnkInProps>
                              </LnkIn>
                            </Ctg>
                            <Ctg>
                              <CtgProps>
                                <R>5</R>
                              </CtgProps>
                              <LnkIn>
                                <LnkInProps>
                                  <MN>22</MN>
                                  <CLI>1,1,42,False,16</CLI>
                                  <ELN>1</ELN>
                                  <LOOT>0</LOOT>
                                  <LOMN>3</LOMN>
                                  <LOMCN>1</LOMCN>
                                  <LOSN>1</LOSN>
                                  <LOEN>15</LOEN>
                                  <LOCN>16</LOCN>
                                </LnkInProps>
                              </LnkIn>
                            </Ctg>
                            <Ctg>
                              <CtgProps>
                                <R>4</R>
                              </CtgProps>
                              <LnkIn>
                                <LnkInProps>
                                  <MN>22</MN>
                                  <CLI>1,1,42,False,17</CLI>
                                  <ELN>1</ELN>
                                  <LOOT>0</LOOT>
                                  <LOMN>3</LOMN>
                                  <LOMCN>1</LOMCN>
                                  <LOSN>1</LOSN>
                                  <LOEN>15</LOEN>
                                  <LOCN>17</LOCN>
                                </LnkInProps>
                              </LnkIn>
                            </Ctg>
                            <Ctg>
                              <CtgProps>
                                <R>4</R>
                              </CtgProps>
                              <LnkIn>
                                <LnkInProps>
                                  <MN>22</MN>
                                  <CLI>1,1,42,False,18</CLI>
                                  <ELN>1</ELN>
                                  <LOOT>0</LOOT>
                                  <LOMN>3</LOMN>
                                  <LOMCN>1</LOMCN>
                                  <LOSN>1</LOSN>
                                  <LOEN>15</LOEN>
                                  <LOCN>18</LOCN>
                                </LnkInProps>
                              </LnkIn>
                            </Ctg>
                            <Ctg>
                              <CtgProps>
                                <R>4</R>
                              </CtgProps>
                              <LnkIn>
                                <LnkInProps>
                                  <MN>22</MN>
                                  <CLI>1,1,42,False,19</CLI>
                                  <ELN>1</ELN>
                                  <LOOT>0</LOOT>
                                  <LOMN>3</LOMN>
                                  <LOMCN>1</LOMCN>
                                  <LOSN>1</LOSN>
                                  <LOEN>15</LOEN>
                                  <LOCN>19</LOCN>
                                </LnkInProps>
                              </LnkIn>
                            </Ctg>
                            <Ctg>
                              <CtgProps>
                                <R>4</R>
                              </CtgProps>
                              <LnkIn>
                                <LnkInProps>
                                  <MN>22</MN>
                                  <CLI>1,1,42,False,20</CLI>
                                  <ELN>1</ELN>
                                  <LOOT>0</LOOT>
                                  <LOMN>3</LOMN>
                                  <LOMCN>1</LOMCN>
                                  <LOSN>1</LOSN>
                                  <LOEN>15</LOEN>
                                  <LOCN>20</LOCN>
                                </LnkInProps>
                              </LnkIn>
                            </Ctg>
                            <Ctg>
                              <CtgProps>
                                <R>4</R>
                              </CtgProps>
                              <LnkIn>
                                <LnkInProps>
                                  <MN>22</MN>
                                  <CLI>1,1,42,False,21</CLI>
                                  <ELN>1</ELN>
                                  <LOOT>0</LOOT>
                                  <LOMN>3</LOMN>
                                  <LOMCN>1</LOMCN>
                                  <LOSN>1</LOSN>
                                  <LOEN>15</LOEN>
                                  <LOCN>21</LOCN>
                                </LnkInProps>
                              </LnkIn>
                            </Ctg>
                            <Ctg>
                              <CtgProps>
                                <R>4</R>
                              </CtgProps>
                              <LnkIn>
                                <LnkInProps>
                                  <MN>22</MN>
                                  <CLI>1,1,42,False,22</CLI>
                                  <ELN>1</ELN>
                                  <LOOT>0</LOOT>
                                  <LOMN>3</LOMN>
                                  <LOMCN>1</LOMCN>
                                  <LOSN>1</LOSN>
                                  <LOEN>15</LOEN>
                                  <LOCN>22</LOCN>
                                </LnkInProps>
                              </LnkIn>
                            </Ctg>
                            <Ctg>
                              <CtgProps>
                                <R>5</R>
                              </CtgProps>
                              <LnkIn>
                                <LnkInProps>
                                  <MN>22</MN>
                                  <CLI>1,1,42,False,23</CLI>
                                  <ELN>1</ELN>
                                  <LOOT>0</LOOT>
                                  <LOMN>3</LOMN>
                                  <LOMCN>1</LOMCN>
                                  <LOSN>1</LOSN>
                                  <LOEN>15</LOEN>
                                  <LOCN>23</LOCN>
                                </LnkInProps>
                              </LnkIn>
                            </Ctg>
                            <Ctg>
                              <CtgProps>
                                <R>5</R>
                              </CtgProps>
                              <LnkIn>
                                <LnkInProps>
                                  <MN>22</MN>
                                  <CLI>1,1,42,False,24</CLI>
                                  <ELN>1</ELN>
                                  <LOOT>0</LOOT>
                                  <LOMN>3</LOMN>
                                  <LOMCN>1</LOMCN>
                                  <LOSN>1</LOSN>
                                  <LOEN>15</LOEN>
                                  <LOCN>24</LOCN>
                                </LnkInProps>
                              </LnkIn>
                            </Ctg>
                            <Ctg>
                              <CtgProps>
                                <R>5</R>
                              </CtgProps>
                              <LnkIn>
                                <LnkInProps>
                                  <MN>22</MN>
                                  <CLI>1,1,42,False,25</CLI>
                                  <ELN>1</ELN>
                                  <LOOT>0</LOOT>
                                  <LOMN>3</LOMN>
                                  <LOMCN>1</LOMCN>
                                  <LOSN>1</LOSN>
                                  <LOEN>15</LOEN>
                                  <LOCN>25</LOCN>
                                </LnkInProps>
                              </LnkIn>
                            </Ctg>
                            <Ctg>
                              <CtgProps>
                                <R>5</R>
                              </CtgProps>
                              <LnkIn>
                                <LnkInProps>
                                  <MN>22</MN>
                                  <CLI>1,1,42,False,26</CLI>
                                  <ELN>1</ELN>
                                  <LOOT>0</LOOT>
                                  <LOMN>3</LOMN>
                                  <LOMCN>1</LOMCN>
                                  <LOSN>1</LOSN>
                                  <LOEN>15</LOEN>
                                  <LOCN>26</LOCN>
                                </LnkInProps>
                              </LnkIn>
                            </Ctg>
                            <Ctg>
                              <CtgProps>
                                <R>5</R>
                              </CtgProps>
                              <LnkIn>
                                <LnkInProps>
                                  <MN>22</MN>
                                  <CLI>1,1,42,False,27</CLI>
                                  <ELN>1</ELN>
                                  <LOOT>0</LOOT>
                                  <LOMN>3</LOMN>
                                  <LOMCN>1</LOMCN>
                                  <LOSN>1</LOSN>
                                  <LOEN>15</LOEN>
                                  <LOCN>27</LOCN>
                                </LnkInProps>
                              </LnkIn>
                            </Ctg>
                            <Ctg>
                              <CtgProps>
                                <R>5</R>
                              </CtgProps>
                              <LnkIn>
                                <LnkInProps>
                                  <MN>22</MN>
                                  <CLI>1,1,42,False,28</CLI>
                                  <ELN>1</ELN>
                                  <LOOT>0</LOOT>
                                  <LOMN>3</LOMN>
                                  <LOMCN>1</LOMCN>
                                  <LOSN>1</LOSN>
                                  <LOEN>15</LOEN>
                                  <LOCN>28</LOCN>
                                </LnkInProps>
                              </LnkIn>
                            </Ctg>
                            <Ctg>
                              <CtgProps>
                                <R>5</R>
                              </CtgProps>
                              <LnkIn>
                                <LnkInProps>
                                  <MN>22</MN>
                                  <CLI>1,1,42,False,29</CLI>
                                  <ELN>1</ELN>
                                  <LOOT>0</LOOT>
                                  <LOMN>3</LOMN>
                                  <LOMCN>1</LOMCN>
                                  <LOSN>1</LOSN>
                                  <LOEN>15</LOEN>
                                  <LOCN>29</LOCN>
                                </LnkInProps>
                              </LnkIn>
                            </Ctg>
                            <Ctg>
                              <CtgProps>
                                <R>5</R>
                              </CtgProps>
                              <LnkIn>
                                <LnkInProps>
                                  <MN>22</MN>
                                  <CLI>1,1,42,False,30</CLI>
                                  <ELN>1</ELN>
                                  <LOOT>0</LOOT>
                                  <LOMN>3</LOMN>
                                  <LOMCN>1</LOMCN>
                                  <LOSN>1</LOSN>
                                  <LOEN>15</LOEN>
                                  <LOCN>30</LOCN>
                                </LnkInProps>
                              </LnkIn>
                            </Ctg>
                            <Ctg>
                              <CtgProps>
                                <R>4</R>
                              </CtgProps>
                              <LnkIn>
                                <LnkInProps>
                                  <MN>22</MN>
                                  <CLI>1,1,42,False,31</CLI>
                                  <ELN>1</ELN>
                                  <LOOT>0</LOOT>
                                  <LOMN>3</LOMN>
                                  <LOMCN>1</LOMCN>
                                  <LOSN>1</LOSN>
                                  <LOEN>15</LOEN>
                                  <LOCN>31</LOCN>
                                </LnkInProps>
                              </LnkIn>
                            </Ctg>
                            <Ctg>
                              <CtgProps>
                                <R>4</R>
                              </CtgProps>
                              <LnkIn>
                                <LnkInProps>
                                  <MN>22</MN>
                                  <CLI>1,1,42,False,32</CLI>
                                  <ELN>1</ELN>
                                  <LOOT>0</LOOT>
                                  <LOMN>3</LOMN>
                                  <LOMCN>1</LOMCN>
                                  <LOSN>1</LOSN>
                                  <LOEN>15</LOEN>
                                  <LOCN>32</LOCN>
                                </LnkInProps>
                              </LnkIn>
                            </Ctg>
                            <Ctg>
                              <CtgProps>
                                <R>4</R>
                              </CtgProps>
                              <LnkIn>
                                <LnkInProps>
                                  <MN>22</MN>
                                  <CLI>1,1,42,False,33</CLI>
                                  <ELN>1</ELN>
                                  <LOOT>0</LOOT>
                                  <LOMN>3</LOMN>
                                  <LOMCN>1</LOMCN>
                                  <LOSN>1</LOSN>
                                  <LOEN>15</LOEN>
                                  <LOCN>33</LOCN>
                                </LnkInProps>
                              </LnkIn>
                            </Ctg>
                            <Ctg>
                              <CtgProps>
                                <R>4</R>
                              </CtgProps>
                              <LnkIn>
                                <LnkInProps>
                                  <MN>22</MN>
                                  <CLI>1,1,42,False,34</CLI>
                                  <ELN>1</ELN>
                                  <LOOT>0</LOOT>
                                  <LOMN>3</LOMN>
                                  <LOMCN>1</LOMCN>
                                  <LOSN>1</LOSN>
                                  <LOEN>15</LOEN>
                                  <LOCN>34</LOCN>
                                </LnkInProps>
                              </LnkIn>
                            </Ctg>
                            <Ctg>
                              <CtgProps>
                                <R>4</R>
                              </CtgProps>
                              <LnkIn>
                                <LnkInProps>
                                  <MN>22</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22</MN>
                                  <CLI>1,1,46,False,1</CLI>
                                  <ELN>1</ELN>
                                  <LOOT>0</LOOT>
                                  <LOMN>3</LOMN>
                                  <LOMCN>1</LOMCN>
                                  <LOSN>1</LOSN>
                                  <LOEN>19</LOEN>
                                  <LOCN>1</LOCN>
                                </LnkInProps>
                              </LnkIn>
                            </Ctg>
                            <Ctg>
                              <CtgProps>
                                <R>4</R>
                              </CtgProps>
                              <LnkIn>
                                <LnkInProps>
                                  <MN>22</MN>
                                  <CLI>1,1,46,False,2</CLI>
                                  <ELN>1</ELN>
                                  <LOOT>0</LOOT>
                                  <LOMN>3</LOMN>
                                  <LOMCN>1</LOMCN>
                                  <LOSN>1</LOSN>
                                  <LOEN>19</LOEN>
                                  <LOCN>2</LOCN>
                                </LnkInProps>
                              </LnkIn>
                            </Ctg>
                            <Ctg>
                              <CtgProps>
                                <R>4</R>
                              </CtgProps>
                              <LnkIn>
                                <LnkInProps>
                                  <MN>22</MN>
                                  <CLI>1,1,46,False,3</CLI>
                                  <ELN>1</ELN>
                                  <LOOT>0</LOOT>
                                  <LOMN>3</LOMN>
                                  <LOMCN>1</LOMCN>
                                  <LOSN>1</LOSN>
                                  <LOEN>19</LOEN>
                                  <LOCN>3</LOCN>
                                </LnkInProps>
                              </LnkIn>
                            </Ctg>
                            <Ctg>
                              <CtgProps>
                                <R>4</R>
                              </CtgProps>
                              <LnkIn>
                                <LnkInProps>
                                  <MN>22</MN>
                                  <CLI>1,1,46,False,4</CLI>
                                  <ELN>1</ELN>
                                  <LOOT>0</LOOT>
                                  <LOMN>3</LOMN>
                                  <LOMCN>1</LOMCN>
                                  <LOSN>1</LOSN>
                                  <LOEN>19</LOEN>
                                  <LOCN>4</LOCN>
                                </LnkInProps>
                              </LnkIn>
                            </Ctg>
                            <Ctg>
                              <CtgProps>
                                <R>4</R>
                              </CtgProps>
                              <LnkIn>
                                <LnkInProps>
                                  <MN>22</MN>
                                  <CLI>1,1,46,False,5</CLI>
                                  <ELN>1</ELN>
                                  <LOOT>0</LOOT>
                                  <LOMN>3</LOMN>
                                  <LOMCN>1</LOMCN>
                                  <LOSN>1</LOSN>
                                  <LOEN>19</LOEN>
                                  <LOCN>5</LOCN>
                                </LnkInProps>
                              </LnkIn>
                            </Ctg>
                            <Ctg>
                              <CtgProps>
                                <R>4</R>
                              </CtgProps>
                              <LnkIn>
                                <LnkInProps>
                                  <MN>22</MN>
                                  <CLI>1,1,46,False,6</CLI>
                                  <ELN>1</ELN>
                                  <LOOT>0</LOOT>
                                  <LOMN>3</LOMN>
                                  <LOMCN>1</LOMCN>
                                  <LOSN>1</LOSN>
                                  <LOEN>19</LOEN>
                                  <LOCN>6</LOCN>
                                </LnkInProps>
                              </LnkIn>
                            </Ctg>
                            <Ctg>
                              <CtgProps>
                                <R>4</R>
                              </CtgProps>
                              <LnkIn>
                                <LnkInProps>
                                  <MN>22</MN>
                                  <CLI>1,1,46,False,7</CLI>
                                  <ELN>1</ELN>
                                  <LOOT>0</LOOT>
                                  <LOMN>3</LOMN>
                                  <LOMCN>1</LOMCN>
                                  <LOSN>1</LOSN>
                                  <LOEN>19</LOEN>
                                  <LOCN>7</LOCN>
                                </LnkInProps>
                              </LnkIn>
                            </Ctg>
                            <Ctg>
                              <CtgProps>
                                <R>4</R>
                              </CtgProps>
                              <LnkIn>
                                <LnkInProps>
                                  <MN>22</MN>
                                  <CLI>1,1,46,False,8</CLI>
                                  <ELN>1</ELN>
                                  <LOOT>0</LOOT>
                                  <LOMN>3</LOMN>
                                  <LOMCN>1</LOMCN>
                                  <LOSN>1</LOSN>
                                  <LOEN>19</LOEN>
                                  <LOCN>8</LOCN>
                                </LnkInProps>
                              </LnkIn>
                            </Ctg>
                            <Ctg>
                              <CtgProps>
                                <R>4</R>
                              </CtgProps>
                              <LnkIn>
                                <LnkInProps>
                                  <MN>22</MN>
                                  <CLI>1,1,46,False,9</CLI>
                                  <ELN>1</ELN>
                                  <LOOT>0</LOOT>
                                  <LOMN>3</LOMN>
                                  <LOMCN>1</LOMCN>
                                  <LOSN>1</LOSN>
                                  <LOEN>19</LOEN>
                                  <LOCN>9</LOCN>
                                </LnkInProps>
                              </LnkIn>
                            </Ctg>
                            <Ctg>
                              <CtgProps>
                                <R>4</R>
                              </CtgProps>
                              <LnkIn>
                                <LnkInProps>
                                  <MN>22</MN>
                                  <CLI>1,1,46,False,10</CLI>
                                  <ELN>1</ELN>
                                  <LOOT>0</LOOT>
                                  <LOMN>3</LOMN>
                                  <LOMCN>1</LOMCN>
                                  <LOSN>1</LOSN>
                                  <LOEN>19</LOEN>
                                  <LOCN>10</LOCN>
                                </LnkInProps>
                              </LnkIn>
                            </Ctg>
                            <Ctg>
                              <CtgProps>
                                <R>4</R>
                              </CtgProps>
                              <LnkIn>
                                <LnkInProps>
                                  <MN>22</MN>
                                  <CLI>1,1,46,False,11</CLI>
                                  <ELN>1</ELN>
                                  <LOOT>0</LOOT>
                                  <LOMN>3</LOMN>
                                  <LOMCN>1</LOMCN>
                                  <LOSN>1</LOSN>
                                  <LOEN>19</LOEN>
                                  <LOCN>11</LOCN>
                                </LnkInProps>
                              </LnkIn>
                            </Ctg>
                            <Ctg>
                              <CtgProps>
                                <R>4</R>
                              </CtgProps>
                              <LnkIn>
                                <LnkInProps>
                                  <MN>22</MN>
                                  <CLI>1,1,46,False,12</CLI>
                                  <ELN>1</ELN>
                                  <LOOT>0</LOOT>
                                  <LOMN>3</LOMN>
                                  <LOMCN>1</LOMCN>
                                  <LOSN>1</LOSN>
                                  <LOEN>19</LOEN>
                                  <LOCN>12</LOCN>
                                </LnkInProps>
                              </LnkIn>
                            </Ctg>
                            <Ctg>
                              <CtgProps>
                                <R>4</R>
                              </CtgProps>
                              <LnkIn>
                                <LnkInProps>
                                  <MN>22</MN>
                                  <CLI>1,1,46,False,13</CLI>
                                  <ELN>1</ELN>
                                  <LOOT>0</LOOT>
                                  <LOMN>3</LOMN>
                                  <LOMCN>1</LOMCN>
                                  <LOSN>1</LOSN>
                                  <LOEN>19</LOEN>
                                  <LOCN>13</LOCN>
                                </LnkInProps>
                              </LnkIn>
                            </Ctg>
                            <Ctg>
                              <CtgProps>
                                <R>4</R>
                              </CtgProps>
                              <LnkIn>
                                <LnkInProps>
                                  <MN>22</MN>
                                  <CLI>1,1,46,False,14</CLI>
                                  <ELN>1</ELN>
                                  <LOOT>0</LOOT>
                                  <LOMN>3</LOMN>
                                  <LOMCN>1</LOMCN>
                                  <LOSN>1</LOSN>
                                  <LOEN>19</LOEN>
                                  <LOCN>14</LOCN>
                                </LnkInProps>
                              </LnkIn>
                            </Ctg>
                            <Ctg>
                              <CtgProps>
                                <R>4</R>
                              </CtgProps>
                              <LnkIn>
                                <LnkInProps>
                                  <MN>22</MN>
                                  <CLI>1,1,46,False,15</CLI>
                                  <ELN>1</ELN>
                                  <LOOT>0</LOOT>
                                  <LOMN>3</LOMN>
                                  <LOMCN>1</LOMCN>
                                  <LOSN>1</LOSN>
                                  <LOEN>19</LOEN>
                                  <LOCN>15</LOCN>
                                </LnkInProps>
                              </LnkIn>
                            </Ctg>
                            <Ctg>
                              <CtgProps>
                                <R>5</R>
                              </CtgProps>
                              <LnkIn>
                                <LnkInProps>
                                  <MN>22</MN>
                                  <CLI>1,1,46,False,16</CLI>
                                  <ELN>1</ELN>
                                  <LOOT>0</LOOT>
                                  <LOMN>3</LOMN>
                                  <LOMCN>1</LOMCN>
                                  <LOSN>1</LOSN>
                                  <LOEN>19</LOEN>
                                  <LOCN>16</LOCN>
                                </LnkInProps>
                              </LnkIn>
                            </Ctg>
                            <Ctg>
                              <CtgProps>
                                <R>5</R>
                              </CtgProps>
                              <LnkIn>
                                <LnkInProps>
                                  <MN>22</MN>
                                  <CLI>1,1,46,False,17</CLI>
                                  <ELN>1</ELN>
                                  <LOOT>0</LOOT>
                                  <LOMN>3</LOMN>
                                  <LOMCN>1</LOMCN>
                                  <LOSN>1</LOSN>
                                  <LOEN>19</LOEN>
                                  <LOCN>17</LOCN>
                                </LnkInProps>
                              </LnkIn>
                            </Ctg>
                            <Ctg>
                              <CtgProps>
                                <R>5</R>
                              </CtgProps>
                              <LnkIn>
                                <LnkInProps>
                                  <MN>22</MN>
                                  <CLI>1,1,46,False,18</CLI>
                                  <ELN>1</ELN>
                                  <LOOT>0</LOOT>
                                  <LOMN>3</LOMN>
                                  <LOMCN>1</LOMCN>
                                  <LOSN>1</LOSN>
                                  <LOEN>19</LOEN>
                                  <LOCN>18</LOCN>
                                </LnkInProps>
                              </LnkIn>
                            </Ctg>
                            <Ctg>
                              <CtgProps>
                                <R>5</R>
                              </CtgProps>
                              <LnkIn>
                                <LnkInProps>
                                  <MN>22</MN>
                                  <CLI>1,1,46,False,19</CLI>
                                  <ELN>1</ELN>
                                  <LOOT>0</LOOT>
                                  <LOMN>3</LOMN>
                                  <LOMCN>1</LOMCN>
                                  <LOSN>1</LOSN>
                                  <LOEN>19</LOEN>
                                  <LOCN>19</LOCN>
                                </LnkInProps>
                              </LnkIn>
                            </Ctg>
                            <Ctg>
                              <CtgProps>
                                <R>5</R>
                              </CtgProps>
                              <LnkIn>
                                <LnkInProps>
                                  <MN>22</MN>
                                  <CLI>1,1,46,False,20</CLI>
                                  <ELN>1</ELN>
                                  <LOOT>0</LOOT>
                                  <LOMN>3</LOMN>
                                  <LOMCN>1</LOMCN>
                                  <LOSN>1</LOSN>
                                  <LOEN>19</LOEN>
                                  <LOCN>20</LOCN>
                                </LnkInProps>
                              </LnkIn>
                            </Ctg>
                            <Ctg>
                              <CtgProps>
                                <R>5</R>
                              </CtgProps>
                              <LnkIn>
                                <LnkInProps>
                                  <MN>22</MN>
                                  <CLI>1,1,46,False,21</CLI>
                                  <ELN>1</ELN>
                                  <LOOT>0</LOOT>
                                  <LOMN>3</LOMN>
                                  <LOMCN>1</LOMCN>
                                  <LOSN>1</LOSN>
                                  <LOEN>19</LOEN>
                                  <LOCN>21</LOCN>
                                </LnkInProps>
                              </LnkIn>
                            </Ctg>
                            <Ctg>
                              <CtgProps>
                                <R>5</R>
                              </CtgProps>
                              <LnkIn>
                                <LnkInProps>
                                  <MN>22</MN>
                                  <CLI>1,1,46,False,22</CLI>
                                  <ELN>1</ELN>
                                  <LOOT>0</LOOT>
                                  <LOMN>3</LOMN>
                                  <LOMCN>1</LOMCN>
                                  <LOSN>1</LOSN>
                                  <LOEN>19</LOEN>
                                  <LOCN>22</LOCN>
                                </LnkInProps>
                              </LnkIn>
                            </Ctg>
                            <Ctg>
                              <CtgProps>
                                <R>5</R>
                              </CtgProps>
                              <LnkIn>
                                <LnkInProps>
                                  <MN>22</MN>
                                  <CLI>1,1,46,False,23</CLI>
                                  <ELN>1</ELN>
                                  <LOOT>0</LOOT>
                                  <LOMN>3</LOMN>
                                  <LOMCN>1</LOMCN>
                                  <LOSN>1</LOSN>
                                  <LOEN>19</LOEN>
                                  <LOCN>23</LOCN>
                                </LnkInProps>
                              </LnkIn>
                            </Ctg>
                            <Ctg>
                              <CtgProps>
                                <R>5</R>
                              </CtgProps>
                              <LnkIn>
                                <LnkInProps>
                                  <MN>22</MN>
                                  <CLI>1,1,46,False,24</CLI>
                                  <ELN>1</ELN>
                                  <LOOT>0</LOOT>
                                  <LOMN>3</LOMN>
                                  <LOMCN>1</LOMCN>
                                  <LOSN>1</LOSN>
                                  <LOEN>19</LOEN>
                                  <LOCN>24</LOCN>
                                </LnkInProps>
                              </LnkIn>
                            </Ctg>
                            <Ctg>
                              <CtgProps>
                                <R>5</R>
                              </CtgProps>
                              <LnkIn>
                                <LnkInProps>
                                  <MN>22</MN>
                                  <CLI>1,1,46,False,25</CLI>
                                  <ELN>1</ELN>
                                  <LOOT>0</LOOT>
                                  <LOMN>3</LOMN>
                                  <LOMCN>1</LOMCN>
                                  <LOSN>1</LOSN>
                                  <LOEN>19</LOEN>
                                  <LOCN>25</LOCN>
                                </LnkInProps>
                              </LnkIn>
                            </Ctg>
                            <Ctg>
                              <CtgProps>
                                <R>5</R>
                              </CtgProps>
                              <LnkIn>
                                <LnkInProps>
                                  <MN>22</MN>
                                  <CLI>1,1,46,False,26</CLI>
                                  <ELN>1</ELN>
                                  <LOOT>0</LOOT>
                                  <LOMN>3</LOMN>
                                  <LOMCN>1</LOMCN>
                                  <LOSN>1</LOSN>
                                  <LOEN>19</LOEN>
                                  <LOCN>26</LOCN>
                                </LnkInProps>
                              </LnkIn>
                            </Ctg>
                            <Ctg>
                              <CtgProps>
                                <R>5</R>
                              </CtgProps>
                              <LnkIn>
                                <LnkInProps>
                                  <MN>22</MN>
                                  <CLI>1,1,46,False,27</CLI>
                                  <ELN>1</ELN>
                                  <LOOT>0</LOOT>
                                  <LOMN>3</LOMN>
                                  <LOMCN>1</LOMCN>
                                  <LOSN>1</LOSN>
                                  <LOEN>19</LOEN>
                                  <LOCN>27</LOCN>
                                </LnkInProps>
                              </LnkIn>
                            </Ctg>
                            <Ctg>
                              <CtgProps>
                                <R>5</R>
                              </CtgProps>
                              <LnkIn>
                                <LnkInProps>
                                  <MN>22</MN>
                                  <CLI>1,1,46,False,28</CLI>
                                  <ELN>1</ELN>
                                  <LOOT>0</LOOT>
                                  <LOMN>3</LOMN>
                                  <LOMCN>1</LOMCN>
                                  <LOSN>1</LOSN>
                                  <LOEN>19</LOEN>
                                  <LOCN>28</LOCN>
                                </LnkInProps>
                              </LnkIn>
                            </Ctg>
                            <Ctg>
                              <CtgProps>
                                <R>5</R>
                              </CtgProps>
                              <LnkIn>
                                <LnkInProps>
                                  <MN>22</MN>
                                  <CLI>1,1,46,False,29</CLI>
                                  <ELN>1</ELN>
                                  <LOOT>0</LOOT>
                                  <LOMN>3</LOMN>
                                  <LOMCN>1</LOMCN>
                                  <LOSN>1</LOSN>
                                  <LOEN>19</LOEN>
                                  <LOCN>29</LOCN>
                                </LnkInProps>
                              </LnkIn>
                            </Ctg>
                            <Ctg>
                              <CtgProps>
                                <R>5</R>
                              </CtgProps>
                              <LnkIn>
                                <LnkInProps>
                                  <MN>22</MN>
                                  <CLI>1,1,46,False,30</CLI>
                                  <ELN>1</ELN>
                                  <LOOT>0</LOOT>
                                  <LOMN>3</LOMN>
                                  <LOMCN>1</LOMCN>
                                  <LOSN>1</LOSN>
                                  <LOEN>19</LOEN>
                                  <LOCN>30</LOCN>
                                </LnkInProps>
                              </LnkIn>
                            </Ctg>
                            <Ctg>
                              <CtgProps>
                                <R>5</R>
                              </CtgProps>
                              <LnkIn>
                                <LnkInProps>
                                  <MN>22</MN>
                                  <CLI>1,1,46,False,31</CLI>
                                  <ELN>1</ELN>
                                  <LOOT>0</LOOT>
                                  <LOMN>3</LOMN>
                                  <LOMCN>1</LOMCN>
                                  <LOSN>1</LOSN>
                                  <LOEN>19</LOEN>
                                  <LOCN>31</LOCN>
                                </LnkInProps>
                              </LnkIn>
                            </Ctg>
                            <Ctg>
                              <CtgProps>
                                <R>5</R>
                              </CtgProps>
                              <LnkIn>
                                <LnkInProps>
                                  <MN>22</MN>
                                  <CLI>1,1,46,False,32</CLI>
                                  <ELN>1</ELN>
                                  <LOOT>0</LOOT>
                                  <LOMN>3</LOMN>
                                  <LOMCN>1</LOMCN>
                                  <LOSN>1</LOSN>
                                  <LOEN>19</LOEN>
                                  <LOCN>32</LOCN>
                                </LnkInProps>
                              </LnkIn>
                            </Ctg>
                            <Ctg>
                              <CtgProps>
                                <R>5</R>
                              </CtgProps>
                              <LnkIn>
                                <LnkInProps>
                                  <MN>22</MN>
                                  <CLI>1,1,46,False,33</CLI>
                                  <ELN>1</ELN>
                                  <LOOT>0</LOOT>
                                  <LOMN>3</LOMN>
                                  <LOMCN>1</LOMCN>
                                  <LOSN>1</LOSN>
                                  <LOEN>19</LOEN>
                                  <LOCN>33</LOCN>
                                </LnkInProps>
                              </LnkIn>
                            </Ctg>
                            <Ctg>
                              <CtgProps>
                                <R>5</R>
                              </CtgProps>
                              <LnkIn>
                                <LnkInProps>
                                  <MN>22</MN>
                                  <CLI>1,1,46,False,34</CLI>
                                  <ELN>1</ELN>
                                  <LOOT>0</LOOT>
                                  <LOMN>3</LOMN>
                                  <LOMCN>1</LOMCN>
                                  <LOSN>1</LOSN>
                                  <LOEN>19</LOEN>
                                  <LOCN>34</LOCN>
                                </LnkInProps>
                              </LnkIn>
                            </Ctg>
                            <Ctg>
                              <CtgProps>
                                <R>5</R>
                              </CtgProps>
                              <LnkIn>
                                <LnkInProps>
                                  <MN>22</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22</MN>
                                  <CLI>1,1,49,False,1</CLI>
                                  <ELN>1</ELN>
                                  <LOOT>0</LOOT>
                                  <LOMN>3</LOMN>
                                  <LOMCN>1</LOMCN>
                                  <LOSN>1</LOSN>
                                  <LOEN>24</LOEN>
                                  <LOCN>1</LOCN>
                                </LnkInProps>
                              </LnkIn>
                            </Ctg>
                            <Ctg>
                              <CtgProps>
                                <R>4</R>
                              </CtgProps>
                              <LnkIn>
                                <LnkInProps>
                                  <MN>22</MN>
                                  <CLI>1,1,49,False,2</CLI>
                                  <ELN>1</ELN>
                                  <LOOT>0</LOOT>
                                  <LOMN>3</LOMN>
                                  <LOMCN>1</LOMCN>
                                  <LOSN>1</LOSN>
                                  <LOEN>24</LOEN>
                                  <LOCN>2</LOCN>
                                </LnkInProps>
                              </LnkIn>
                            </Ctg>
                            <Ctg>
                              <CtgProps>
                                <R>4</R>
                              </CtgProps>
                              <LnkIn>
                                <LnkInProps>
                                  <MN>22</MN>
                                  <CLI>1,1,49,False,3</CLI>
                                  <ELN>1</ELN>
                                  <LOOT>0</LOOT>
                                  <LOMN>3</LOMN>
                                  <LOMCN>1</LOMCN>
                                  <LOSN>1</LOSN>
                                  <LOEN>24</LOEN>
                                  <LOCN>3</LOCN>
                                </LnkInProps>
                              </LnkIn>
                            </Ctg>
                            <Ctg>
                              <CtgProps>
                                <R>4</R>
                              </CtgProps>
                              <LnkIn>
                                <LnkInProps>
                                  <MN>22</MN>
                                  <CLI>1,1,49,False,4</CLI>
                                  <ELN>1</ELN>
                                  <LOOT>0</LOOT>
                                  <LOMN>3</LOMN>
                                  <LOMCN>1</LOMCN>
                                  <LOSN>1</LOSN>
                                  <LOEN>24</LOEN>
                                  <LOCN>4</LOCN>
                                </LnkInProps>
                              </LnkIn>
                            </Ctg>
                            <Ctg>
                              <CtgProps>
                                <R>4</R>
                              </CtgProps>
                              <LnkIn>
                                <LnkInProps>
                                  <MN>22</MN>
                                  <CLI>1,1,49,False,5</CLI>
                                  <ELN>1</ELN>
                                  <LOOT>0</LOOT>
                                  <LOMN>3</LOMN>
                                  <LOMCN>1</LOMCN>
                                  <LOSN>1</LOSN>
                                  <LOEN>24</LOEN>
                                  <LOCN>5</LOCN>
                                </LnkInProps>
                              </LnkIn>
                            </Ctg>
                            <Ctg>
                              <CtgProps>
                                <R>5</R>
                              </CtgProps>
                              <LnkIn>
                                <LnkInProps>
                                  <MN>22</MN>
                                  <CLI>1,1,49,False,6</CLI>
                                  <ELN>1</ELN>
                                  <LOOT>0</LOOT>
                                  <LOMN>3</LOMN>
                                  <LOMCN>1</LOMCN>
                                  <LOSN>1</LOSN>
                                  <LOEN>24</LOEN>
                                  <LOCN>6</LOCN>
                                </LnkInProps>
                              </LnkIn>
                            </Ctg>
                            <Ctg>
                              <CtgProps>
                                <R>5</R>
                              </CtgProps>
                              <LnkIn>
                                <LnkInProps>
                                  <MN>22</MN>
                                  <CLI>1,1,49,False,7</CLI>
                                  <ELN>1</ELN>
                                  <LOOT>0</LOOT>
                                  <LOMN>3</LOMN>
                                  <LOMCN>1</LOMCN>
                                  <LOSN>1</LOSN>
                                  <LOEN>24</LOEN>
                                  <LOCN>7</LOCN>
                                </LnkInProps>
                              </LnkIn>
                            </Ctg>
                            <Ctg>
                              <CtgProps>
                                <R>5</R>
                              </CtgProps>
                              <LnkIn>
                                <LnkInProps>
                                  <MN>22</MN>
                                  <CLI>1,1,49,False,8</CLI>
                                  <ELN>1</ELN>
                                  <LOOT>0</LOOT>
                                  <LOMN>3</LOMN>
                                  <LOMCN>1</LOMCN>
                                  <LOSN>1</LOSN>
                                  <LOEN>24</LOEN>
                                  <LOCN>8</LOCN>
                                </LnkInProps>
                              </LnkIn>
                            </Ctg>
                            <Ctg>
                              <CtgProps>
                                <R>5</R>
                              </CtgProps>
                              <LnkIn>
                                <LnkInProps>
                                  <MN>22</MN>
                                  <CLI>1,1,49,False,9</CLI>
                                  <ELN>1</ELN>
                                  <LOOT>0</LOOT>
                                  <LOMN>3</LOMN>
                                  <LOMCN>1</LOMCN>
                                  <LOSN>1</LOSN>
                                  <LOEN>24</LOEN>
                                  <LOCN>9</LOCN>
                                </LnkInProps>
                              </LnkIn>
                            </Ctg>
                            <Ctg>
                              <CtgProps>
                                <R>5</R>
                              </CtgProps>
                              <LnkIn>
                                <LnkInProps>
                                  <MN>22</MN>
                                  <CLI>1,1,49,False,10</CLI>
                                  <ELN>1</ELN>
                                  <LOOT>0</LOOT>
                                  <LOMN>3</LOMN>
                                  <LOMCN>1</LOMCN>
                                  <LOSN>1</LOSN>
                                  <LOEN>24</LOEN>
                                  <LOCN>10</LOCN>
                                </LnkInProps>
                              </LnkIn>
                            </Ctg>
                            <Ctg>
                              <CtgProps>
                                <R>5</R>
                              </CtgProps>
                              <LnkIn>
                                <LnkInProps>
                                  <MN>22</MN>
                                  <CLI>1,1,49,False,11</CLI>
                                  <ELN>1</ELN>
                                  <LOOT>0</LOOT>
                                  <LOMN>3</LOMN>
                                  <LOMCN>1</LOMCN>
                                  <LOSN>1</LOSN>
                                  <LOEN>24</LOEN>
                                  <LOCN>11</LOCN>
                                </LnkInProps>
                              </LnkIn>
                            </Ctg>
                            <Ctg>
                              <CtgProps>
                                <R>5</R>
                              </CtgProps>
                              <LnkIn>
                                <LnkInProps>
                                  <MN>22</MN>
                                  <CLI>1,1,49,False,12</CLI>
                                  <ELN>1</ELN>
                                  <LOOT>0</LOOT>
                                  <LOMN>3</LOMN>
                                  <LOMCN>1</LOMCN>
                                  <LOSN>1</LOSN>
                                  <LOEN>24</LOEN>
                                  <LOCN>12</LOCN>
                                </LnkInProps>
                              </LnkIn>
                            </Ctg>
                            <Ctg>
                              <CtgProps>
                                <R>5</R>
                              </CtgProps>
                              <LnkIn>
                                <LnkInProps>
                                  <MN>22</MN>
                                  <CLI>1,1,49,False,13</CLI>
                                  <ELN>1</ELN>
                                  <LOOT>0</LOOT>
                                  <LOMN>3</LOMN>
                                  <LOMCN>1</LOMCN>
                                  <LOSN>1</LOSN>
                                  <LOEN>24</LOEN>
                                  <LOCN>13</LOCN>
                                </LnkInProps>
                              </LnkIn>
                            </Ctg>
                            <Ctg>
                              <CtgProps>
                                <R>5</R>
                              </CtgProps>
                              <LnkIn>
                                <LnkInProps>
                                  <MN>22</MN>
                                  <CLI>1,1,49,False,14</CLI>
                                  <ELN>1</ELN>
                                  <LOOT>0</LOOT>
                                  <LOMN>3</LOMN>
                                  <LOMCN>1</LOMCN>
                                  <LOSN>1</LOSN>
                                  <LOEN>24</LOEN>
                                  <LOCN>14</LOCN>
                                </LnkInProps>
                              </LnkIn>
                            </Ctg>
                            <Ctg>
                              <CtgProps>
                                <R>5</R>
                              </CtgProps>
                              <LnkIn>
                                <LnkInProps>
                                  <MN>22</MN>
                                  <CLI>1,1,49,False,15</CLI>
                                  <ELN>1</ELN>
                                  <LOOT>0</LOOT>
                                  <LOMN>3</LOMN>
                                  <LOMCN>1</LOMCN>
                                  <LOSN>1</LOSN>
                                  <LOEN>24</LOEN>
                                  <LOCN>15</LOCN>
                                </LnkInProps>
                              </LnkIn>
                            </Ctg>
                            <Ctg>
                              <CtgProps>
                                <R>5</R>
                              </CtgProps>
                              <LnkIn>
                                <LnkInProps>
                                  <MN>22</MN>
                                  <CLI>1,1,49,False,16</CLI>
                                  <ELN>1</ELN>
                                  <LOOT>0</LOOT>
                                  <LOMN>3</LOMN>
                                  <LOMCN>1</LOMCN>
                                  <LOSN>1</LOSN>
                                  <LOEN>24</LOEN>
                                  <LOCN>16</LOCN>
                                </LnkInProps>
                              </LnkIn>
                            </Ctg>
                            <Ctg>
                              <CtgProps>
                                <R>5</R>
                              </CtgProps>
                              <LnkIn>
                                <LnkInProps>
                                  <MN>22</MN>
                                  <CLI>1,1,49,False,17</CLI>
                                  <ELN>1</ELN>
                                  <LOOT>0</LOOT>
                                  <LOMN>3</LOMN>
                                  <LOMCN>1</LOMCN>
                                  <LOSN>1</LOSN>
                                  <LOEN>24</LOEN>
                                  <LOCN>17</LOCN>
                                </LnkInProps>
                              </LnkIn>
                            </Ctg>
                            <Ctg>
                              <CtgProps>
                                <R>5</R>
                              </CtgProps>
                              <LnkIn>
                                <LnkInProps>
                                  <MN>22</MN>
                                  <CLI>1,1,49,False,18</CLI>
                                  <ELN>1</ELN>
                                  <LOOT>0</LOOT>
                                  <LOMN>3</LOMN>
                                  <LOMCN>1</LOMCN>
                                  <LOSN>1</LOSN>
                                  <LOEN>24</LOEN>
                                  <LOCN>18</LOCN>
                                </LnkInProps>
                              </LnkIn>
                            </Ctg>
                            <Ctg>
                              <CtgProps>
                                <R>5</R>
                              </CtgProps>
                              <LnkIn>
                                <LnkInProps>
                                  <MN>22</MN>
                                  <CLI>1,1,49,False,19</CLI>
                                  <ELN>1</ELN>
                                  <LOOT>0</LOOT>
                                  <LOMN>3</LOMN>
                                  <LOMCN>1</LOMCN>
                                  <LOSN>1</LOSN>
                                  <LOEN>24</LOEN>
                                  <LOCN>19</LOCN>
                                </LnkInProps>
                              </LnkIn>
                            </Ctg>
                            <Ctg>
                              <CtgProps>
                                <R>5</R>
                              </CtgProps>
                              <LnkIn>
                                <LnkInProps>
                                  <MN>22</MN>
                                  <CLI>1,1,49,False,20</CLI>
                                  <ELN>1</ELN>
                                  <LOOT>0</LOOT>
                                  <LOMN>3</LOMN>
                                  <LOMCN>1</LOMCN>
                                  <LOSN>1</LOSN>
                                  <LOEN>24</LOEN>
                                  <LOCN>20</LOCN>
                                </LnkInProps>
                              </LnkIn>
                            </Ctg>
                            <Ctg>
                              <CtgProps>
                                <R>5</R>
                              </CtgProps>
                              <LnkIn>
                                <LnkInProps>
                                  <MN>22</MN>
                                  <CLI>1,1,49,False,21</CLI>
                                  <ELN>1</ELN>
                                  <LOOT>0</LOOT>
                                  <LOMN>3</LOMN>
                                  <LOMCN>1</LOMCN>
                                  <LOSN>1</LOSN>
                                  <LOEN>24</LOEN>
                                  <LOCN>21</LOCN>
                                </LnkInProps>
                              </LnkIn>
                            </Ctg>
                            <Ctg>
                              <CtgProps>
                                <R>5</R>
                              </CtgProps>
                              <LnkIn>
                                <LnkInProps>
                                  <MN>22</MN>
                                  <CLI>1,1,49,False,22</CLI>
                                  <ELN>1</ELN>
                                  <LOOT>0</LOOT>
                                  <LOMN>3</LOMN>
                                  <LOMCN>1</LOMCN>
                                  <LOSN>1</LOSN>
                                  <LOEN>24</LOEN>
                                  <LOCN>22</LOCN>
                                </LnkInProps>
                              </LnkIn>
                            </Ctg>
                            <Ctg>
                              <CtgProps>
                                <R>5</R>
                              </CtgProps>
                              <LnkIn>
                                <LnkInProps>
                                  <MN>22</MN>
                                  <CLI>1,1,49,False,23</CLI>
                                  <ELN>1</ELN>
                                  <LOOT>0</LOOT>
                                  <LOMN>3</LOMN>
                                  <LOMCN>1</LOMCN>
                                  <LOSN>1</LOSN>
                                  <LOEN>24</LOEN>
                                  <LOCN>23</LOCN>
                                </LnkInProps>
                              </LnkIn>
                            </Ctg>
                            <Ctg>
                              <CtgProps>
                                <R>5</R>
                              </CtgProps>
                              <LnkIn>
                                <LnkInProps>
                                  <MN>22</MN>
                                  <CLI>1,1,49,False,24</CLI>
                                  <ELN>1</ELN>
                                  <LOOT>0</LOOT>
                                  <LOMN>3</LOMN>
                                  <LOMCN>1</LOMCN>
                                  <LOSN>1</LOSN>
                                  <LOEN>24</LOEN>
                                  <LOCN>24</LOCN>
                                </LnkInProps>
                              </LnkIn>
                            </Ctg>
                            <Ctg>
                              <CtgProps>
                                <R>5</R>
                              </CtgProps>
                              <LnkIn>
                                <LnkInProps>
                                  <MN>22</MN>
                                  <CLI>1,1,49,False,25</CLI>
                                  <ELN>1</ELN>
                                  <LOOT>0</LOOT>
                                  <LOMN>3</LOMN>
                                  <LOMCN>1</LOMCN>
                                  <LOSN>1</LOSN>
                                  <LOEN>24</LOEN>
                                  <LOCN>25</LOCN>
                                </LnkInProps>
                              </LnkIn>
                            </Ctg>
                            <Ctg>
                              <CtgProps>
                                <R>5</R>
                              </CtgProps>
                              <LnkIn>
                                <LnkInProps>
                                  <MN>22</MN>
                                  <CLI>1,1,49,False,26</CLI>
                                  <ELN>1</ELN>
                                  <LOOT>0</LOOT>
                                  <LOMN>3</LOMN>
                                  <LOMCN>1</LOMCN>
                                  <LOSN>1</LOSN>
                                  <LOEN>24</LOEN>
                                  <LOCN>26</LOCN>
                                </LnkInProps>
                              </LnkIn>
                            </Ctg>
                            <Ctg>
                              <CtgProps>
                                <R>5</R>
                              </CtgProps>
                              <LnkIn>
                                <LnkInProps>
                                  <MN>22</MN>
                                  <CLI>1,1,49,False,27</CLI>
                                  <ELN>1</ELN>
                                  <LOOT>0</LOOT>
                                  <LOMN>3</LOMN>
                                  <LOMCN>1</LOMCN>
                                  <LOSN>1</LOSN>
                                  <LOEN>24</LOEN>
                                  <LOCN>27</LOCN>
                                </LnkInProps>
                              </LnkIn>
                            </Ctg>
                            <Ctg>
                              <CtgProps>
                                <R>5</R>
                              </CtgProps>
                              <LnkIn>
                                <LnkInProps>
                                  <MN>22</MN>
                                  <CLI>1,1,49,False,28</CLI>
                                  <ELN>1</ELN>
                                  <LOOT>0</LOOT>
                                  <LOMN>3</LOMN>
                                  <LOMCN>1</LOMCN>
                                  <LOSN>1</LOSN>
                                  <LOEN>24</LOEN>
                                  <LOCN>28</LOCN>
                                </LnkInProps>
                              </LnkIn>
                            </Ctg>
                            <Ctg>
                              <CtgProps>
                                <R>5</R>
                              </CtgProps>
                              <LnkIn>
                                <LnkInProps>
                                  <MN>22</MN>
                                  <CLI>1,1,49,False,29</CLI>
                                  <ELN>1</ELN>
                                  <LOOT>0</LOOT>
                                  <LOMN>3</LOMN>
                                  <LOMCN>1</LOMCN>
                                  <LOSN>1</LOSN>
                                  <LOEN>24</LOEN>
                                  <LOCN>29</LOCN>
                                </LnkInProps>
                              </LnkIn>
                            </Ctg>
                            <Ctg>
                              <CtgProps>
                                <R>5</R>
                              </CtgProps>
                              <LnkIn>
                                <LnkInProps>
                                  <MN>22</MN>
                                  <CLI>1,1,49,False,30</CLI>
                                  <ELN>1</ELN>
                                  <LOOT>0</LOOT>
                                  <LOMN>3</LOMN>
                                  <LOMCN>1</LOMCN>
                                  <LOSN>1</LOSN>
                                  <LOEN>24</LOEN>
                                  <LOCN>30</LOCN>
                                </LnkInProps>
                              </LnkIn>
                            </Ctg>
                            <Ctg>
                              <CtgProps>
                                <R>5</R>
                              </CtgProps>
                              <LnkIn>
                                <LnkInProps>
                                  <MN>22</MN>
                                  <CLI>1,1,49,False,31</CLI>
                                  <ELN>1</ELN>
                                  <LOOT>0</LOOT>
                                  <LOMN>3</LOMN>
                                  <LOMCN>1</LOMCN>
                                  <LOSN>1</LOSN>
                                  <LOEN>24</LOEN>
                                  <LOCN>31</LOCN>
                                </LnkInProps>
                              </LnkIn>
                            </Ctg>
                            <Ctg>
                              <CtgProps>
                                <R>5</R>
                              </CtgProps>
                              <LnkIn>
                                <LnkInProps>
                                  <MN>22</MN>
                                  <CLI>1,1,49,False,32</CLI>
                                  <ELN>1</ELN>
                                  <LOOT>0</LOOT>
                                  <LOMN>3</LOMN>
                                  <LOMCN>1</LOMCN>
                                  <LOSN>1</LOSN>
                                  <LOEN>24</LOEN>
                                  <LOCN>32</LOCN>
                                </LnkInProps>
                              </LnkIn>
                            </Ctg>
                            <Ctg>
                              <CtgProps>
                                <R>5</R>
                              </CtgProps>
                              <LnkIn>
                                <LnkInProps>
                                  <MN>22</MN>
                                  <CLI>1,1,49,False,33</CLI>
                                  <ELN>1</ELN>
                                  <LOOT>0</LOOT>
                                  <LOMN>3</LOMN>
                                  <LOMCN>1</LOMCN>
                                  <LOSN>1</LOSN>
                                  <LOEN>24</LOEN>
                                  <LOCN>33</LOCN>
                                </LnkInProps>
                              </LnkIn>
                            </Ctg>
                            <Ctg>
                              <CtgProps>
                                <R>5</R>
                              </CtgProps>
                              <LnkIn>
                                <LnkInProps>
                                  <MN>22</MN>
                                  <CLI>1,1,49,False,34</CLI>
                                  <ELN>1</ELN>
                                  <LOOT>0</LOOT>
                                  <LOMN>3</LOMN>
                                  <LOMCN>1</LOMCN>
                                  <LOSN>1</LOSN>
                                  <LOEN>24</LOEN>
                                  <LOCN>34</LOCN>
                                </LnkInProps>
                              </LnkIn>
                            </Ctg>
                            <Ctg>
                              <CtgProps>
                                <R>5</R>
                              </CtgProps>
                              <LnkIn>
                                <LnkInProps>
                                  <MN>22</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22</MN>
                                  <CLI>1,1,53,False,1</CLI>
                                  <ELN>1</ELN>
                                  <LOOT>0</LOOT>
                                  <LOMN>3</LOMN>
                                  <LOMCN>1</LOMCN>
                                  <LOSN>1</LOSN>
                                  <LOEN>29</LOEN>
                                  <LOCN>1</LOCN>
                                </LnkInProps>
                              </LnkIn>
                            </Ctg>
                            <Ctg>
                              <CtgProps>
                                <R>4</R>
                              </CtgProps>
                              <LnkIn>
                                <LnkInProps>
                                  <MN>22</MN>
                                  <CLI>1,1,53,False,2</CLI>
                                  <ELN>1</ELN>
                                  <LOOT>0</LOOT>
                                  <LOMN>3</LOMN>
                                  <LOMCN>1</LOMCN>
                                  <LOSN>1</LOSN>
                                  <LOEN>29</LOEN>
                                  <LOCN>2</LOCN>
                                </LnkInProps>
                              </LnkIn>
                            </Ctg>
                            <Ctg>
                              <CtgProps>
                                <R>5</R>
                              </CtgProps>
                              <LnkIn>
                                <LnkInProps>
                                  <MN>22</MN>
                                  <CLI>1,1,53,False,3</CLI>
                                  <ELN>1</ELN>
                                  <LOOT>0</LOOT>
                                  <LOMN>3</LOMN>
                                  <LOMCN>1</LOMCN>
                                  <LOSN>1</LOSN>
                                  <LOEN>29</LOEN>
                                  <LOCN>3</LOCN>
                                </LnkInProps>
                              </LnkIn>
                            </Ctg>
                            <Ctg>
                              <CtgProps>
                                <R>5</R>
                              </CtgProps>
                              <LnkIn>
                                <LnkInProps>
                                  <MN>22</MN>
                                  <CLI>1,1,53,False,4</CLI>
                                  <ELN>1</ELN>
                                  <LOOT>0</LOOT>
                                  <LOMN>3</LOMN>
                                  <LOMCN>1</LOMCN>
                                  <LOSN>1</LOSN>
                                  <LOEN>29</LOEN>
                                  <LOCN>4</LOCN>
                                </LnkInProps>
                              </LnkIn>
                            </Ctg>
                            <Ctg>
                              <CtgProps>
                                <R>5</R>
                              </CtgProps>
                              <LnkIn>
                                <LnkInProps>
                                  <MN>22</MN>
                                  <CLI>1,1,53,False,5</CLI>
                                  <ELN>1</ELN>
                                  <LOOT>0</LOOT>
                                  <LOMN>3</LOMN>
                                  <LOMCN>1</LOMCN>
                                  <LOSN>1</LOSN>
                                  <LOEN>29</LOEN>
                                  <LOCN>5</LOCN>
                                </LnkInProps>
                              </LnkIn>
                            </Ctg>
                            <Ctg>
                              <CtgProps>
                                <R>5</R>
                              </CtgProps>
                              <LnkIn>
                                <LnkInProps>
                                  <MN>22</MN>
                                  <CLI>1,1,53,False,6</CLI>
                                  <ELN>1</ELN>
                                  <LOOT>0</LOOT>
                                  <LOMN>3</LOMN>
                                  <LOMCN>1</LOMCN>
                                  <LOSN>1</LOSN>
                                  <LOEN>29</LOEN>
                                  <LOCN>6</LOCN>
                                </LnkInProps>
                              </LnkIn>
                            </Ctg>
                            <Ctg>
                              <CtgProps>
                                <R>5</R>
                              </CtgProps>
                              <LnkIn>
                                <LnkInProps>
                                  <MN>22</MN>
                                  <CLI>1,1,53,False,7</CLI>
                                  <ELN>1</ELN>
                                  <LOOT>0</LOOT>
                                  <LOMN>3</LOMN>
                                  <LOMCN>1</LOMCN>
                                  <LOSN>1</LOSN>
                                  <LOEN>29</LOEN>
                                  <LOCN>7</LOCN>
                                </LnkInProps>
                              </LnkIn>
                            </Ctg>
                            <Ctg>
                              <CtgProps>
                                <R>5</R>
                              </CtgProps>
                              <LnkIn>
                                <LnkInProps>
                                  <MN>22</MN>
                                  <CLI>1,1,53,False,8</CLI>
                                  <ELN>1</ELN>
                                  <LOOT>0</LOOT>
                                  <LOMN>3</LOMN>
                                  <LOMCN>1</LOMCN>
                                  <LOSN>1</LOSN>
                                  <LOEN>29</LOEN>
                                  <LOCN>8</LOCN>
                                </LnkInProps>
                              </LnkIn>
                            </Ctg>
                            <Ctg>
                              <CtgProps>
                                <R>5</R>
                              </CtgProps>
                              <LnkIn>
                                <LnkInProps>
                                  <MN>22</MN>
                                  <CLI>1,1,53,False,9</CLI>
                                  <ELN>1</ELN>
                                  <LOOT>0</LOOT>
                                  <LOMN>3</LOMN>
                                  <LOMCN>1</LOMCN>
                                  <LOSN>1</LOSN>
                                  <LOEN>29</LOEN>
                                  <LOCN>9</LOCN>
                                </LnkInProps>
                              </LnkIn>
                            </Ctg>
                            <Ctg>
                              <CtgProps>
                                <R>5</R>
                              </CtgProps>
                              <LnkIn>
                                <LnkInProps>
                                  <MN>22</MN>
                                  <CLI>1,1,53,False,10</CLI>
                                  <ELN>1</ELN>
                                  <LOOT>0</LOOT>
                                  <LOMN>3</LOMN>
                                  <LOMCN>1</LOMCN>
                                  <LOSN>1</LOSN>
                                  <LOEN>29</LOEN>
                                  <LOCN>10</LOCN>
                                </LnkInProps>
                              </LnkIn>
                            </Ctg>
                            <Ctg>
                              <CtgProps>
                                <R>5</R>
                              </CtgProps>
                              <LnkIn>
                                <LnkInProps>
                                  <MN>22</MN>
                                  <CLI>1,1,53,False,11</CLI>
                                  <ELN>1</ELN>
                                  <LOOT>0</LOOT>
                                  <LOMN>3</LOMN>
                                  <LOMCN>1</LOMCN>
                                  <LOSN>1</LOSN>
                                  <LOEN>29</LOEN>
                                  <LOCN>11</LOCN>
                                </LnkInProps>
                              </LnkIn>
                            </Ctg>
                            <Ctg>
                              <CtgProps>
                                <R>5</R>
                              </CtgProps>
                              <LnkIn>
                                <LnkInProps>
                                  <MN>22</MN>
                                  <CLI>1,1,53,False,12</CLI>
                                  <ELN>1</ELN>
                                  <LOOT>0</LOOT>
                                  <LOMN>3</LOMN>
                                  <LOMCN>1</LOMCN>
                                  <LOSN>1</LOSN>
                                  <LOEN>29</LOEN>
                                  <LOCN>12</LOCN>
                                </LnkInProps>
                              </LnkIn>
                            </Ctg>
                            <Ctg>
                              <CtgProps>
                                <R>5</R>
                              </CtgProps>
                              <LnkIn>
                                <LnkInProps>
                                  <MN>22</MN>
                                  <CLI>1,1,53,False,13</CLI>
                                  <ELN>1</ELN>
                                  <LOOT>0</LOOT>
                                  <LOMN>3</LOMN>
                                  <LOMCN>1</LOMCN>
                                  <LOSN>1</LOSN>
                                  <LOEN>29</LOEN>
                                  <LOCN>13</LOCN>
                                </LnkInProps>
                              </LnkIn>
                            </Ctg>
                            <Ctg>
                              <CtgProps>
                                <R>5</R>
                              </CtgProps>
                              <LnkIn>
                                <LnkInProps>
                                  <MN>22</MN>
                                  <CLI>1,1,53,False,14</CLI>
                                  <ELN>1</ELN>
                                  <LOOT>0</LOOT>
                                  <LOMN>3</LOMN>
                                  <LOMCN>1</LOMCN>
                                  <LOSN>1</LOSN>
                                  <LOEN>29</LOEN>
                                  <LOCN>14</LOCN>
                                </LnkInProps>
                              </LnkIn>
                            </Ctg>
                            <Ctg>
                              <CtgProps>
                                <R>5</R>
                              </CtgProps>
                              <LnkIn>
                                <LnkInProps>
                                  <MN>22</MN>
                                  <CLI>1,1,53,False,15</CLI>
                                  <ELN>1</ELN>
                                  <LOOT>0</LOOT>
                                  <LOMN>3</LOMN>
                                  <LOMCN>1</LOMCN>
                                  <LOSN>1</LOSN>
                                  <LOEN>29</LOEN>
                                  <LOCN>15</LOCN>
                                </LnkInProps>
                              </LnkIn>
                            </Ctg>
                            <Ctg>
                              <CtgProps>
                                <R>5</R>
                              </CtgProps>
                              <LnkIn>
                                <LnkInProps>
                                  <MN>22</MN>
                                  <CLI>1,1,53,False,16</CLI>
                                  <ELN>1</ELN>
                                  <LOOT>0</LOOT>
                                  <LOMN>3</LOMN>
                                  <LOMCN>1</LOMCN>
                                  <LOSN>1</LOSN>
                                  <LOEN>29</LOEN>
                                  <LOCN>16</LOCN>
                                </LnkInProps>
                              </LnkIn>
                            </Ctg>
                            <Ctg>
                              <CtgProps>
                                <R>5</R>
                              </CtgProps>
                              <LnkIn>
                                <LnkInProps>
                                  <MN>22</MN>
                                  <CLI>1,1,53,False,17</CLI>
                                  <ELN>1</ELN>
                                  <LOOT>0</LOOT>
                                  <LOMN>3</LOMN>
                                  <LOMCN>1</LOMCN>
                                  <LOSN>1</LOSN>
                                  <LOEN>29</LOEN>
                                  <LOCN>17</LOCN>
                                </LnkInProps>
                              </LnkIn>
                            </Ctg>
                            <Ctg>
                              <CtgProps>
                                <R>5</R>
                              </CtgProps>
                              <LnkIn>
                                <LnkInProps>
                                  <MN>22</MN>
                                  <CLI>1,1,53,False,18</CLI>
                                  <ELN>1</ELN>
                                  <LOOT>0</LOOT>
                                  <LOMN>3</LOMN>
                                  <LOMCN>1</LOMCN>
                                  <LOSN>1</LOSN>
                                  <LOEN>29</LOEN>
                                  <LOCN>18</LOCN>
                                </LnkInProps>
                              </LnkIn>
                            </Ctg>
                            <Ctg>
                              <CtgProps>
                                <R>5</R>
                              </CtgProps>
                              <LnkIn>
                                <LnkInProps>
                                  <MN>22</MN>
                                  <CLI>1,1,53,False,19</CLI>
                                  <ELN>1</ELN>
                                  <LOOT>0</LOOT>
                                  <LOMN>3</LOMN>
                                  <LOMCN>1</LOMCN>
                                  <LOSN>1</LOSN>
                                  <LOEN>29</LOEN>
                                  <LOCN>19</LOCN>
                                </LnkInProps>
                              </LnkIn>
                            </Ctg>
                            <Ctg>
                              <CtgProps>
                                <R>5</R>
                              </CtgProps>
                              <LnkIn>
                                <LnkInProps>
                                  <MN>22</MN>
                                  <CLI>1,1,53,False,20</CLI>
                                  <ELN>1</ELN>
                                  <LOOT>0</LOOT>
                                  <LOMN>3</LOMN>
                                  <LOMCN>1</LOMCN>
                                  <LOSN>1</LOSN>
                                  <LOEN>29</LOEN>
                                  <LOCN>20</LOCN>
                                </LnkInProps>
                              </LnkIn>
                            </Ctg>
                            <Ctg>
                              <CtgProps>
                                <R>5</R>
                              </CtgProps>
                              <LnkIn>
                                <LnkInProps>
                                  <MN>22</MN>
                                  <CLI>1,1,53,False,21</CLI>
                                  <ELN>1</ELN>
                                  <LOOT>0</LOOT>
                                  <LOMN>3</LOMN>
                                  <LOMCN>1</LOMCN>
                                  <LOSN>1</LOSN>
                                  <LOEN>29</LOEN>
                                  <LOCN>21</LOCN>
                                </LnkInProps>
                              </LnkIn>
                            </Ctg>
                            <Ctg>
                              <CtgProps>
                                <R>5</R>
                              </CtgProps>
                              <LnkIn>
                                <LnkInProps>
                                  <MN>22</MN>
                                  <CLI>1,1,53,False,22</CLI>
                                  <ELN>1</ELN>
                                  <LOOT>0</LOOT>
                                  <LOMN>3</LOMN>
                                  <LOMCN>1</LOMCN>
                                  <LOSN>1</LOSN>
                                  <LOEN>29</LOEN>
                                  <LOCN>22</LOCN>
                                </LnkInProps>
                              </LnkIn>
                            </Ctg>
                            <Ctg>
                              <CtgProps>
                                <R>5</R>
                              </CtgProps>
                              <LnkIn>
                                <LnkInProps>
                                  <MN>22</MN>
                                  <CLI>1,1,53,False,23</CLI>
                                  <ELN>1</ELN>
                                  <LOOT>0</LOOT>
                                  <LOMN>3</LOMN>
                                  <LOMCN>1</LOMCN>
                                  <LOSN>1</LOSN>
                                  <LOEN>29</LOEN>
                                  <LOCN>23</LOCN>
                                </LnkInProps>
                              </LnkIn>
                            </Ctg>
                            <Ctg>
                              <CtgProps>
                                <R>5</R>
                              </CtgProps>
                              <LnkIn>
                                <LnkInProps>
                                  <MN>22</MN>
                                  <CLI>1,1,53,False,24</CLI>
                                  <ELN>1</ELN>
                                  <LOOT>0</LOOT>
                                  <LOMN>3</LOMN>
                                  <LOMCN>1</LOMCN>
                                  <LOSN>1</LOSN>
                                  <LOEN>29</LOEN>
                                  <LOCN>24</LOCN>
                                </LnkInProps>
                              </LnkIn>
                            </Ctg>
                            <Ctg>
                              <CtgProps>
                                <R>5</R>
                              </CtgProps>
                              <LnkIn>
                                <LnkInProps>
                                  <MN>22</MN>
                                  <CLI>1,1,53,False,25</CLI>
                                  <ELN>1</ELN>
                                  <LOOT>0</LOOT>
                                  <LOMN>3</LOMN>
                                  <LOMCN>1</LOMCN>
                                  <LOSN>1</LOSN>
                                  <LOEN>29</LOEN>
                                  <LOCN>25</LOCN>
                                </LnkInProps>
                              </LnkIn>
                            </Ctg>
                            <Ctg>
                              <CtgProps>
                                <R>5</R>
                              </CtgProps>
                              <LnkIn>
                                <LnkInProps>
                                  <MN>22</MN>
                                  <CLI>1,1,53,False,26</CLI>
                                  <ELN>1</ELN>
                                  <LOOT>0</LOOT>
                                  <LOMN>3</LOMN>
                                  <LOMCN>1</LOMCN>
                                  <LOSN>1</LOSN>
                                  <LOEN>29</LOEN>
                                  <LOCN>26</LOCN>
                                </LnkInProps>
                              </LnkIn>
                            </Ctg>
                            <Ctg>
                              <CtgProps>
                                <R>5</R>
                              </CtgProps>
                              <LnkIn>
                                <LnkInProps>
                                  <MN>22</MN>
                                  <CLI>1,1,53,False,27</CLI>
                                  <ELN>1</ELN>
                                  <LOOT>0</LOOT>
                                  <LOMN>3</LOMN>
                                  <LOMCN>1</LOMCN>
                                  <LOSN>1</LOSN>
                                  <LOEN>29</LOEN>
                                  <LOCN>27</LOCN>
                                </LnkInProps>
                              </LnkIn>
                            </Ctg>
                            <Ctg>
                              <CtgProps>
                                <R>5</R>
                              </CtgProps>
                              <LnkIn>
                                <LnkInProps>
                                  <MN>22</MN>
                                  <CLI>1,1,53,False,28</CLI>
                                  <ELN>1</ELN>
                                  <LOOT>0</LOOT>
                                  <LOMN>3</LOMN>
                                  <LOMCN>1</LOMCN>
                                  <LOSN>1</LOSN>
                                  <LOEN>29</LOEN>
                                  <LOCN>28</LOCN>
                                </LnkInProps>
                              </LnkIn>
                            </Ctg>
                            <Ctg>
                              <CtgProps>
                                <R>5</R>
                              </CtgProps>
                              <LnkIn>
                                <LnkInProps>
                                  <MN>22</MN>
                                  <CLI>1,1,53,False,29</CLI>
                                  <ELN>1</ELN>
                                  <LOOT>0</LOOT>
                                  <LOMN>3</LOMN>
                                  <LOMCN>1</LOMCN>
                                  <LOSN>1</LOSN>
                                  <LOEN>29</LOEN>
                                  <LOCN>29</LOCN>
                                </LnkInProps>
                              </LnkIn>
                            </Ctg>
                            <Ctg>
                              <CtgProps>
                                <R>5</R>
                              </CtgProps>
                              <LnkIn>
                                <LnkInProps>
                                  <MN>22</MN>
                                  <CLI>1,1,53,False,30</CLI>
                                  <ELN>1</ELN>
                                  <LOOT>0</LOOT>
                                  <LOMN>3</LOMN>
                                  <LOMCN>1</LOMCN>
                                  <LOSN>1</LOSN>
                                  <LOEN>29</LOEN>
                                  <LOCN>30</LOCN>
                                </LnkInProps>
                              </LnkIn>
                            </Ctg>
                            <Ctg>
                              <CtgProps>
                                <R>5</R>
                              </CtgProps>
                              <LnkIn>
                                <LnkInProps>
                                  <MN>22</MN>
                                  <CLI>1,1,53,False,31</CLI>
                                  <ELN>1</ELN>
                                  <LOOT>0</LOOT>
                                  <LOMN>3</LOMN>
                                  <LOMCN>1</LOMCN>
                                  <LOSN>1</LOSN>
                                  <LOEN>29</LOEN>
                                  <LOCN>31</LOCN>
                                </LnkInProps>
                              </LnkIn>
                            </Ctg>
                            <Ctg>
                              <CtgProps>
                                <R>5</R>
                              </CtgProps>
                              <LnkIn>
                                <LnkInProps>
                                  <MN>22</MN>
                                  <CLI>1,1,53,False,32</CLI>
                                  <ELN>1</ELN>
                                  <LOOT>0</LOOT>
                                  <LOMN>3</LOMN>
                                  <LOMCN>1</LOMCN>
                                  <LOSN>1</LOSN>
                                  <LOEN>29</LOEN>
                                  <LOCN>32</LOCN>
                                </LnkInProps>
                              </LnkIn>
                            </Ctg>
                            <Ctg>
                              <CtgProps>
                                <R>5</R>
                              </CtgProps>
                              <LnkIn>
                                <LnkInProps>
                                  <MN>22</MN>
                                  <CLI>1,1,53,False,33</CLI>
                                  <ELN>1</ELN>
                                  <LOOT>0</LOOT>
                                  <LOMN>3</LOMN>
                                  <LOMCN>1</LOMCN>
                                  <LOSN>1</LOSN>
                                  <LOEN>29</LOEN>
                                  <LOCN>33</LOCN>
                                </LnkInProps>
                              </LnkIn>
                            </Ctg>
                            <Ctg>
                              <CtgProps>
                                <R>5</R>
                              </CtgProps>
                              <LnkIn>
                                <LnkInProps>
                                  <MN>22</MN>
                                  <CLI>1,1,53,False,34</CLI>
                                  <ELN>1</ELN>
                                  <LOOT>0</LOOT>
                                  <LOMN>3</LOMN>
                                  <LOMCN>1</LOMCN>
                                  <LOSN>1</LOSN>
                                  <LOEN>29</LOEN>
                                  <LOCN>34</LOCN>
                                </LnkInProps>
                              </LnkIn>
                            </Ctg>
                            <Ctg>
                              <CtgProps>
                                <R>5</R>
                              </CtgProps>
                              <LnkIn>
                                <LnkInProps>
                                  <MN>22</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22</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22</MN>
                <MCN>2</MCN>
                <MCTK>BaseCase</MCTK>
                <RT><![CDATA[<ModuleName> - Assumptions]]></RT>
                <ERN>BPMMC80</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52</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22</MN>
                <MCN>3</MCN>
                <MCTK>OP</MCTK>
                <RT><![CDATA[<ModuleName> - Outputs]]></RT>
                <ERN>BPMMC81</ERN>
                <MCST>0</MCST>
                <IPMC>False</IPMC>
                <SN>30</SN>
                <LODS>False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53</CTHN>
                                <ST>3</ST>
                                <VOFFF><![CDATA[Vaccination - Round 1]]></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8,2,1,-1,0,0,FALSE,FALSE§Z¿/§A¿0,1,0,1,34,2,1,2,0,0,TRUE,TRUE§Z¿,§A¿0,3,0,1,8,2,1,-1,0,0,FALSE,FALSE§Z¿*§A¿0,1,0,1,34,2,1,2,0,0,TRUE,TRUE§Z¿), 0)]]></VOFFF>
                              </ClmnBlkPtProps>
                            </ClmnBlkPt>
                          </ClmnBlkPts>
                        </ClmnBlk>
                        <ClmnBlk>
                          <ClmnBlkProps>
                            <FCPT>0</FCPT>
                            <FCN>17</FCN>
                            <LCPT>0</LCPT>
                            <LCN>17</LCN>
                          </ClmnBlkProps>
                          <ClmnBlkPts>
                            <ClmnBlkPt>
                              <ClmnBlkPtProps>
                                <CBPT>5</CBPT>
                                <ST>18</ST>
                                <SON>14</SON>
                                <VOFFF><![CDATA[=IFERROR(IF(§A¿1,1,1,1,5,0,2,1,1§Z¿=2,§A¿0,3,0,1,8,3,1,-1,0,0,FALSE,FALSE§Z¿/§A¿0,1,0,1,34,2,1,2,0,0,TRUE,TRUE§Z¿,§A¿0,3,0,1,8,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9,2,1,-1,0,0,FALSE,FALSE§Z¿/§A¿0,1,0,1,34,2,1,2,0,0,TRUE,TRUE§Z¿,§A¿0,3,0,1,9,2,1,-1,0,0,FALSE,FALSE§Z¿*§A¿0,1,0,1,34,2,1,2,0,0,TRUE,TRUE§Z¿), 0)]]></VOFFF>
                              </ClmnBlkPtProps>
                            </ClmnBlkPt>
                          </ClmnBlkPts>
                        </ClmnBlk>
                        <ClmnBlk>
                          <ClmnBlkProps>
                            <FCPT>0</FCPT>
                            <FCN>17</FCN>
                            <LCPT>0</LCPT>
                            <LCN>17</LCN>
                          </ClmnBlkProps>
                          <ClmnBlkPts>
                            <ClmnBlkPt>
                              <ClmnBlkPtProps>
                                <CBPT>5</CBPT>
                                <ST>18</ST>
                                <SON>14</SON>
                                <VOFFF><![CDATA[=IFERROR(IF(§A¿1,1,1,1,5,0,2,1,1§Z¿=2,§A¿0,3,0,1,9,3,1,-1,0,0,FALSE,FALSE§Z¿/§A¿0,1,0,1,34,2,1,2,0,0,TRUE,TRUE§Z¿,§A¿0,3,0,1,9,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10,2,1,-1,0,0,FALSE,FALSE§Z¿/§A¿0,1,0,1,34,2,1,2,0,0,TRUE,TRUE§Z¿,§A¿0,3,0,1,10,2,1,-1,0,0,FALSE,FALSE§Z¿*§A¿0,1,0,1,34,2,1,2,0,0,TRUE,TRUE§Z¿), 0)]]></VOFFF>
                              </ClmnBlkPtProps>
                            </ClmnBlkPt>
                          </ClmnBlkPts>
                        </ClmnBlk>
                        <ClmnBlk>
                          <ClmnBlkProps>
                            <FCPT>0</FCPT>
                            <FCN>17</FCN>
                            <LCPT>0</LCPT>
                            <LCN>17</LCN>
                          </ClmnBlkProps>
                          <ClmnBlkPts>
                            <ClmnBlkPt>
                              <ClmnBlkPtProps>
                                <CBPT>5</CBPT>
                                <ST>18</ST>
                                <SON>14</SON>
                                <VOFFF><![CDATA[=IFERROR(IF(§A¿1,1,1,1,5,0,2,1,1§Z¿=2,§A¿0,3,0,1,10,3,1,-1,0,0,FALSE,FALSE§Z¿/§A¿0,1,0,1,34,2,1,2,0,0,TRUE,TRUE§Z¿,§A¿0,3,0,1,10,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11,2,1,-1,0,0,FALSE,FALSE§Z¿/§A¿0,1,0,1,34,2,1,2,0,0,TRUE,TRUE§Z¿,§A¿0,3,0,1,11,2,1,-1,0,0,FALSE,FALSE§Z¿*§A¿0,1,0,1,34,2,1,2,0,0,TRUE,TRUE§Z¿), 0)]]></VOFFF>
                              </ClmnBlkPtProps>
                            </ClmnBlkPt>
                          </ClmnBlkPts>
                        </ClmnBlk>
                        <ClmnBlk>
                          <ClmnBlkProps>
                            <FCPT>0</FCPT>
                            <FCN>17</FCN>
                            <LCPT>0</LCPT>
                            <LCN>17</LCN>
                          </ClmnBlkProps>
                          <ClmnBlkPts>
                            <ClmnBlkPt>
                              <ClmnBlkPtProps>
                                <CBPT>5</CBPT>
                                <ST>18</ST>
                                <SON>14</SON>
                                <VOFFF><![CDATA[=IFERROR(IF(§A¿1,1,1,1,5,0,2,1,1§Z¿=2,§A¿0,3,0,1,11,3,1,-1,0,0,FALSE,FALSE§Z¿/§A¿0,1,0,1,34,2,1,2,0,0,TRUE,TRUE§Z¿,§A¿0,3,0,1,11,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5,1,1,-1,0,0,FALSE,FALSE§Z¿&" Activity"]]></VOFFF>
                              </ClmnBlkPtProps>
                            </ClmnBlkPt>
                          </ClmnBlkPts>
                        </ClmnBlk>
                        <ClmnBlk>
                          <ClmnBlkProps>
                            <FCPT>0</FCPT>
                            <FCN>10</FCN>
                            <LCPT>0</LCPT>
                            <LCN>10</LCN>
                          </ClmnBlkProps>
                          <ClmnBlkPts>
                            <ClmnBlkPt>
                              <ClmnBlkPtProps>
                                <CBPT>5</CBPT>
                                <ST>18</ST>
                                <SON>16</SON>
                                <VOFFF><![CDATA[=SUM(§A¿0,3,1,1,7,2,1,-1,0,0,FALSE,FALSE,1,11,2,1,-1,0,0,FALSE,FALSE§Z¿)]]></VOFFF>
                              </ClmnBlkPtProps>
                            </ClmnBlkPt>
                          </ClmnBlkPts>
                        </ClmnBlk>
                        <ClmnBlk>
                          <ClmnBlkProps>
                            <FCPT>0</FCPT>
                            <FCN>12</FCN>
                            <LCPT>0</LCPT>
                            <LCN>12</LCN>
                          </ClmnBlkProps>
                          <ClmnBlkPts>
                            <ClmnBlkPt>
                              <ClmnBlkPtProps>
                                <CBPT>5</CBPT>
                                <ST>18</ST>
                                <SON>16</SON>
                                <VOFFF><![CDATA[=SUM(§A¿0,3,1,1,7,3,1,-1,0,0,FALSE,FALSE,1,11,3,1,-1,0,0,FALSE,FALSE§Z¿)]]></VOFFF>
                              </ClmnBlkPtProps>
                            </ClmnBlkPt>
                          </ClmnBlkPts>
                        </ClmnBlk>
                        <ClmnBlk>
                          <ClmnBlkProps>
                            <FCPT>0</FCPT>
                            <FCN>15</FCN>
                            <LCPT>0</LCPT>
                            <LCN>15</LCN>
                          </ClmnBlkProps>
                          <ClmnBlkPts>
                            <ClmnBlkPt>
                              <ClmnBlkPtProps>
                                <CBPT>5</CBPT>
                                <ST>18</ST>
                                <SON>17</SON>
                                <VOFFF><![CDATA[=SUM(§A¿0,3,1,1,7,4,1,-1,0,0,FALSE,FALSE,1,11,4,1,-1,0,0,FALSE,FALSE§Z¿)]]></VOFFF>
                              </ClmnBlkPtProps>
                            </ClmnBlkPt>
                          </ClmnBlkPts>
                        </ClmnBlk>
                        <ClmnBlk>
                          <ClmnBlkProps>
                            <FCPT>0</FCPT>
                            <FCN>17</FCN>
                            <LCPT>0</LCPT>
                            <LCN>17</LCN>
                          </ClmnBlkProps>
                          <ClmnBlkPts>
                            <ClmnBlkPt>
                              <ClmnBlkPtProps>
                                <CBPT>5</CBPT>
                                <ST>18</ST>
                                <SON>17</SON>
                                <VOFFF><![CDATA[=SUM(§A¿0,3,1,1,7,5,1,-1,0,0,FALSE,FALSE,1,11,5,1,-1,0,0,FALSE,FALSE§Z¿)]]></VOFFF>
                              </ClmnBlkPtProps>
                            </ClmnBlkPt>
                          </ClmnBlkPts>
                        </ClmnBlk>
                      </ClmnBlks>
                      <TtlCtg/>
                    </Elmt>
                    <Elmt>
                      <ElmtProps>
                        <CPT>2</CPT>
                      </ElmtProps>
                      <TtlCtg/>
                    </Elmt>
                    <Elmt>
                      <ElmtProps>
                        <CPT>2</CPT>
                      </ElmtProps>
                      <ClmnBlks>
                        <ClmnBlk>
                          <ClmnBlkProps>
                            <FCPT>0</FCPT>
                            <FCN>4</FCN>
                            <LCPT>0</LCPT>
                            <LCN>4</LCN>
                          </ClmnBlkProps>
                          <ClmnBlkPts>
                            <ClmnBlkPt>
                              <ClmnBlkPtProps>
                                <CBPT>5</CBPT>
                                <ST>6</ST>
                                <VOFFF><![CDATA[Avg. Number of Vaccinations Administered per Team per Day]]></VOFFF>
                              </ClmnBlkPtProps>
                            </ClmnBlkPt>
                          </ClmnBlkPts>
                        </ClmnBlk>
                        <ClmnBlk>
                          <ClmnBlkProps>
                            <FCPT>0</FCPT>
                            <FCN>10</FCN>
                            <LCPT>0</LCPT>
                            <LCN>10</LCN>
                          </ClmnBlkProps>
                          <ClmnBlkPts>
                            <ClmnBlkPt>
                              <ClmnBlkPtProps>
                                <CBPT>5</CBPT>
                                <ST>11</ST>
                                <VOFFF><![CDATA[0]]></VOFFF>
                                <UDAV><![CDATA[0]]></UDAV>
                              </ClmnBlkPtProps>
                            </ClmnBlkPt>
                          </ClmnBlkPts>
                        </ClmnBlk>
                      </ClmnBlks>
                      <TtlCtg/>
                    </Elmt>
                    <Elmt>
                      <ElmtProps>
                        <CPT>2</CPT>
                      </ElmtProps>
                      <TtlCtg/>
                    </Elmt>
                    <Elmt>
                      <ElmtProps>
                        <CPT>2</CPT>
                      </ElmtProps>
                      <TtlCtg/>
                    </Elmt>
                    <Elmt>
                      <ElmtProps>
                        <CPT>2</CPT>
                      </ElmtProps>
                      <ClmnBlks>
                        <ClmnBlk>
                          <ClmnBlkProps>
                            <FCPT>0</FCPT>
                            <FCN>3</FCN>
                            <LCPT>0</LCPT>
                            <LCN>3</LCN>
                          </ClmnBlkProps>
                          <ClmnBlkPts>
                            <ClmnBlkPt>
                              <ClmnBlkPtProps>
                                <CBPT>5</CBPT>
                                <ST>6</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3,1,17,2,1</CBPLI>
                                    <MCN>3</MCN>
                                    <SN>1</SN>
                                    <EN>17</EN>
                                    <CN>0</CN>
                                    <CBN>2</CBN>
                                    <CBPN>1</CBPN>
                                    <PT>1</PT>
                                    <CBPRNT>6</CBPRNT>
                                    <NT>12</NT>
                                    <SP1><![CDATA[RND1_SITEA]]></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5,1,1,-1,0,0,FALSE,FALSE§Z¿&" Activities"]]></VOFFF>
                              </ClmnBlkPtProps>
                            </ClmnBlkPt>
                          </ClmnBlkPts>
                        </ClmnBlk>
                        <ClmnBlk>
                          <ClmnBlkProps>
                            <FCPT>0</FCPT>
                            <FCN>10</FCN>
                            <LCPT>0</LCPT>
                            <LCN>10</LCN>
                          </ClmnBlkProps>
                          <ClmnBlkPts>
                            <ClmnBlkPt>
                              <ClmnBlkPtProps>
                                <CBPT>5</CBPT>
                                <ST>18</ST>
                                <SON>6</SON>
                                <VOFFF><![CDATA[=§A¿0,3,0,1,17,2,1,-1,0,0,TRUE,TRUE§Z¿*§A¿0,3,0,1,12,2,1,-1,0,0,FALSE,FALSE§Z¿]]></VOFFF>
                              </ClmnBlkPtProps>
                            </ClmnBlkPt>
                          </ClmnBlkPts>
                        </ClmnBlk>
                        <ClmnBlk>
                          <ClmnBlkProps>
                            <FCPT>0</FCPT>
                            <FCN>12</FCN>
                            <LCPT>0</LCPT>
                            <LCN>12</LCN>
                          </ClmnBlkProps>
                          <ClmnBlkPts>
                            <ClmnBlkPt>
                              <ClmnBlkPtProps>
                                <CBPT>5</CBPT>
                                <ST>18</ST>
                                <SON>6</SON>
                                <VOFFF><![CDATA[=§A¿0,3,0,1,17,2,1,-1,0,0,TRUE,TRUE§Z¿*§A¿0,3,0,1,12,3,1,-1,0,0,FALSE,FALSE§Z¿]]></VOFFF>
                              </ClmnBlkPtProps>
                            </ClmnBlkPt>
                          </ClmnBlkPts>
                        </ClmnBlk>
                        <ClmnBlk>
                          <ClmnBlkProps>
                            <FCPT>0</FCPT>
                            <FCN>15</FCN>
                            <LCPT>0</LCPT>
                            <LCN>15</LCN>
                          </ClmnBlkProps>
                          <ClmnBlkPts>
                            <ClmnBlkPt>
                              <ClmnBlkPtProps>
                                <CBPT>5</CBPT>
                                <ST>18</ST>
                                <SON>6</SON>
                                <VOFFF><![CDATA[=§A¿0,3,0,1,17,2,1,-1,0,0,TRUE,TRUE§Z¿*§A¿0,3,0,1,12,4,1,-1,0,0,FALSE,FALSE§Z¿]]></VOFFF>
                              </ClmnBlkPtProps>
                            </ClmnBlkPt>
                          </ClmnBlkPts>
                        </ClmnBlk>
                        <ClmnBlk>
                          <ClmnBlkProps>
                            <FCPT>0</FCPT>
                            <FCN>17</FCN>
                            <LCPT>0</LCPT>
                            <LCN>17</LCN>
                          </ClmnBlkProps>
                          <ClmnBlkPts>
                            <ClmnBlkPt>
                              <ClmnBlkPtProps>
                                <CBPT>5</CBPT>
                                <ST>18</ST>
                                <SON>6</SON>
                                <VOFFF><![CDATA[=§A¿0,3,0,1,17,2,1,-1,0,0,TRUE,TRUE§Z¿*§A¿0,3,0,1,12,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22</MN>
                <MCN>4</MCN>
                <MCTK>LU</MCTK>
                <RT><![CDATA[<ModuleName> - Lookups]]></RT>
                <ERN>BPMMC82</ERN>
                <MCST>3</MCST>
                <IPMC>False</IPMC>
                <SN>48</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54</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1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1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1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1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1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1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12</MN>
            <MAG>45338FE0-6C0B-4A55-A5AC-B1F2F9D32FCD</MAG>
            <BN><![CDATA[PLUG_ACTIVITY]]></BN>
            <N><![CDATA[ROUND1- TEAM CONFIGURATION B]]></N>
            <TS><![CDATA[Annual]]></TS>
            <D><![CDATA[Assists with planning the cost of an activity. Should be used with Prices module.]]></D>
            <FS/>
            <R/>
            <GE/>
            <CA/>
            <VA/>
            <GST/>
            <DE/>
            <E/>
            <C/>
            <W/>
            <K/>
            <CO/>
            <V>1.0.0.0.</V>
            <AX/>
            <PMLO>False</PMLO>
            <IPMLO>False</IPMLO>
            <MACA>1</MACA>
            <RTSM>True</RTSM>
            <CC>True</CC>
            <X>False</X>
            <G>B93F0D0B-A97F-4A1C-9D2E-2FBC99BB56E1</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23</MN>
                <MCN>1</MCN>
                <MCTK>BaseCase</MCTK>
                <RT><![CDATA[<ModuleName> - Assumptions]]></RT>
                <ERN>BPMMC83</ERN>
                <MCST>0</MCST>
                <IPMC>False</IPMC>
                <SN>20</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55</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2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23</MN>
                                  <CLI>1,1,34,False,1</CLI>
                                  <ELN>1</ELN>
                                  <LOOT>0</LOOT>
                                  <LOMN>3</LOMN>
                                  <LOMCN>2</LOMCN>
                                  <LOSN>1</LOSN>
                                  <LOEN>4</LOEN>
                                  <LOCN>1</LOCN>
                                </LnkInProps>
                              </LnkIn>
                            </Ctg>
                            <Ctg>
                              <CtgProps>
                                <R>5</R>
                              </CtgProps>
                              <LnkIn>
                                <LnkInProps>
                                  <MN>23</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23</MN>
                                  <CLI>1,1,39,False,1</CLI>
                                  <ELN>1</ELN>
                                  <LOOT>0</LOOT>
                                  <LOMN>3</LOMN>
                                  <LOMCN>1</LOMCN>
                                  <LOSN>1</LOSN>
                                  <LOEN>10</LOEN>
                                  <LOCN>1</LOCN>
                                </LnkInProps>
                              </LnkIn>
                            </Ctg>
                            <Ctg>
                              <CtgProps>
                                <R>4</R>
                              </CtgProps>
                              <LnkIn>
                                <LnkInProps>
                                  <MN>23</MN>
                                  <CLI>1,1,39,False,2</CLI>
                                  <ELN>1</ELN>
                                  <LOOT>0</LOOT>
                                  <LOMN>3</LOMN>
                                  <LOMCN>1</LOMCN>
                                  <LOSN>1</LOSN>
                                  <LOEN>10</LOEN>
                                  <LOCN>2</LOCN>
                                </LnkInProps>
                              </LnkIn>
                            </Ctg>
                            <Ctg>
                              <CtgProps>
                                <R>4</R>
                              </CtgProps>
                              <LnkIn>
                                <LnkInProps>
                                  <MN>23</MN>
                                  <CLI>1,1,39,False,3</CLI>
                                  <ELN>1</ELN>
                                  <LOOT>0</LOOT>
                                  <LOMN>3</LOMN>
                                  <LOMCN>1</LOMCN>
                                  <LOSN>1</LOSN>
                                  <LOEN>10</LOEN>
                                  <LOCN>3</LOCN>
                                </LnkInProps>
                              </LnkIn>
                            </Ctg>
                            <Ctg>
                              <CtgProps>
                                <R>4</R>
                              </CtgProps>
                              <LnkIn>
                                <LnkInProps>
                                  <MN>23</MN>
                                  <CLI>1,1,39,False,4</CLI>
                                  <ELN>1</ELN>
                                  <LOOT>0</LOOT>
                                  <LOMN>3</LOMN>
                                  <LOMCN>1</LOMCN>
                                  <LOSN>1</LOSN>
                                  <LOEN>10</LOEN>
                                  <LOCN>4</LOCN>
                                </LnkInProps>
                              </LnkIn>
                            </Ctg>
                            <Ctg>
                              <CtgProps>
                                <R>4</R>
                              </CtgProps>
                              <LnkIn>
                                <LnkInProps>
                                  <MN>23</MN>
                                  <CLI>1,1,39,False,5</CLI>
                                  <ELN>1</ELN>
                                  <LOOT>0</LOOT>
                                  <LOMN>3</LOMN>
                                  <LOMCN>1</LOMCN>
                                  <LOSN>1</LOSN>
                                  <LOEN>10</LOEN>
                                  <LOCN>5</LOCN>
                                </LnkInProps>
                              </LnkIn>
                            </Ctg>
                            <Ctg>
                              <CtgProps>
                                <R>4</R>
                              </CtgProps>
                              <LnkIn>
                                <LnkInProps>
                                  <MN>23</MN>
                                  <CLI>1,1,39,False,6</CLI>
                                  <ELN>1</ELN>
                                  <LOOT>0</LOOT>
                                  <LOMN>3</LOMN>
                                  <LOMCN>1</LOMCN>
                                  <LOSN>1</LOSN>
                                  <LOEN>10</LOEN>
                                  <LOCN>6</LOCN>
                                </LnkInProps>
                              </LnkIn>
                            </Ctg>
                            <Ctg>
                              <CtgProps>
                                <R>4</R>
                              </CtgProps>
                              <LnkIn>
                                <LnkInProps>
                                  <MN>23</MN>
                                  <CLI>1,1,39,False,7</CLI>
                                  <ELN>1</ELN>
                                  <LOOT>0</LOOT>
                                  <LOMN>3</LOMN>
                                  <LOMCN>1</LOMCN>
                                  <LOSN>1</LOSN>
                                  <LOEN>10</LOEN>
                                  <LOCN>7</LOCN>
                                </LnkInProps>
                              </LnkIn>
                            </Ctg>
                            <Ctg>
                              <CtgProps>
                                <R>4</R>
                              </CtgProps>
                              <LnkIn>
                                <LnkInProps>
                                  <MN>23</MN>
                                  <CLI>1,1,39,False,8</CLI>
                                  <ELN>1</ELN>
                                  <LOOT>0</LOOT>
                                  <LOMN>3</LOMN>
                                  <LOMCN>1</LOMCN>
                                  <LOSN>1</LOSN>
                                  <LOEN>10</LOEN>
                                  <LOCN>8</LOCN>
                                </LnkInProps>
                              </LnkIn>
                            </Ctg>
                            <Ctg>
                              <CtgProps>
                                <R>4</R>
                              </CtgProps>
                              <LnkIn>
                                <LnkInProps>
                                  <MN>23</MN>
                                  <CLI>1,1,39,False,9</CLI>
                                  <ELN>1</ELN>
                                  <LOOT>0</LOOT>
                                  <LOMN>3</LOMN>
                                  <LOMCN>1</LOMCN>
                                  <LOSN>1</LOSN>
                                  <LOEN>10</LOEN>
                                  <LOCN>9</LOCN>
                                </LnkInProps>
                              </LnkIn>
                            </Ctg>
                            <Ctg>
                              <CtgProps>
                                <R>4</R>
                              </CtgProps>
                              <LnkIn>
                                <LnkInProps>
                                  <MN>23</MN>
                                  <CLI>1,1,39,False,10</CLI>
                                  <ELN>1</ELN>
                                  <LOOT>0</LOOT>
                                  <LOMN>3</LOMN>
                                  <LOMCN>1</LOMCN>
                                  <LOSN>1</LOSN>
                                  <LOEN>10</LOEN>
                                  <LOCN>10</LOCN>
                                </LnkInProps>
                              </LnkIn>
                            </Ctg>
                            <Ctg>
                              <CtgProps>
                                <R>4</R>
                              </CtgProps>
                              <LnkIn>
                                <LnkInProps>
                                  <MN>23</MN>
                                  <CLI>1,1,39,False,11</CLI>
                                  <ELN>1</ELN>
                                  <LOOT>0</LOOT>
                                  <LOMN>3</LOMN>
                                  <LOMCN>1</LOMCN>
                                  <LOSN>1</LOSN>
                                  <LOEN>10</LOEN>
                                  <LOCN>11</LOCN>
                                </LnkInProps>
                              </LnkIn>
                            </Ctg>
                            <Ctg>
                              <CtgProps>
                                <R>4</R>
                              </CtgProps>
                              <LnkIn>
                                <LnkInProps>
                                  <MN>23</MN>
                                  <CLI>1,1,39,False,12</CLI>
                                  <ELN>1</ELN>
                                  <LOOT>0</LOOT>
                                  <LOMN>3</LOMN>
                                  <LOMCN>1</LOMCN>
                                  <LOSN>1</LOSN>
                                  <LOEN>10</LOEN>
                                  <LOCN>12</LOCN>
                                </LnkInProps>
                              </LnkIn>
                            </Ctg>
                            <Ctg>
                              <CtgProps>
                                <R>4</R>
                              </CtgProps>
                              <LnkIn>
                                <LnkInProps>
                                  <MN>23</MN>
                                  <CLI>1,1,39,False,13</CLI>
                                  <ELN>1</ELN>
                                  <LOOT>0</LOOT>
                                  <LOMN>3</LOMN>
                                  <LOMCN>1</LOMCN>
                                  <LOSN>1</LOSN>
                                  <LOEN>10</LOEN>
                                  <LOCN>13</LOCN>
                                </LnkInProps>
                              </LnkIn>
                            </Ctg>
                            <Ctg>
                              <CtgProps>
                                <R>4</R>
                              </CtgProps>
                              <LnkIn>
                                <LnkInProps>
                                  <MN>23</MN>
                                  <CLI>1,1,39,False,14</CLI>
                                  <ELN>1</ELN>
                                  <LOOT>0</LOOT>
                                  <LOMN>3</LOMN>
                                  <LOMCN>1</LOMCN>
                                  <LOSN>1</LOSN>
                                  <LOEN>10</LOEN>
                                  <LOCN>14</LOCN>
                                </LnkInProps>
                              </LnkIn>
                            </Ctg>
                            <Ctg>
                              <CtgProps>
                                <R>5</R>
                              </CtgProps>
                              <LnkIn>
                                <LnkInProps>
                                  <MN>23</MN>
                                  <CLI>1,1,39,False,15</CLI>
                                  <ELN>1</ELN>
                                  <LOOT>0</LOOT>
                                  <LOMN>3</LOMN>
                                  <LOMCN>1</LOMCN>
                                  <LOSN>1</LOSN>
                                  <LOEN>10</LOEN>
                                  <LOCN>15</LOCN>
                                </LnkInProps>
                              </LnkIn>
                            </Ctg>
                            <Ctg>
                              <CtgProps>
                                <R>5</R>
                              </CtgProps>
                              <LnkIn>
                                <LnkInProps>
                                  <MN>23</MN>
                                  <CLI>1,1,39,False,16</CLI>
                                  <ELN>1</ELN>
                                  <LOOT>0</LOOT>
                                  <LOMN>3</LOMN>
                                  <LOMCN>1</LOMCN>
                                  <LOSN>1</LOSN>
                                  <LOEN>10</LOEN>
                                  <LOCN>16</LOCN>
                                </LnkInProps>
                              </LnkIn>
                            </Ctg>
                            <Ctg>
                              <CtgProps>
                                <R>5</R>
                              </CtgProps>
                              <LnkIn>
                                <LnkInProps>
                                  <MN>23</MN>
                                  <CLI>1,1,39,False,17</CLI>
                                  <ELN>1</ELN>
                                  <LOOT>0</LOOT>
                                  <LOMN>3</LOMN>
                                  <LOMCN>1</LOMCN>
                                  <LOSN>1</LOSN>
                                  <LOEN>10</LOEN>
                                  <LOCN>17</LOCN>
                                </LnkInProps>
                              </LnkIn>
                            </Ctg>
                            <Ctg>
                              <CtgProps>
                                <R>5</R>
                              </CtgProps>
                              <LnkIn>
                                <LnkInProps>
                                  <MN>23</MN>
                                  <CLI>1,1,39,False,18</CLI>
                                  <ELN>1</ELN>
                                  <LOOT>0</LOOT>
                                  <LOMN>3</LOMN>
                                  <LOMCN>1</LOMCN>
                                  <LOSN>1</LOSN>
                                  <LOEN>10</LOEN>
                                  <LOCN>18</LOCN>
                                </LnkInProps>
                              </LnkIn>
                            </Ctg>
                            <Ctg>
                              <CtgProps>
                                <R>5</R>
                              </CtgProps>
                              <LnkIn>
                                <LnkInProps>
                                  <MN>23</MN>
                                  <CLI>1,1,39,False,19</CLI>
                                  <ELN>1</ELN>
                                  <LOOT>0</LOOT>
                                  <LOMN>3</LOMN>
                                  <LOMCN>1</LOMCN>
                                  <LOSN>1</LOSN>
                                  <LOEN>10</LOEN>
                                  <LOCN>19</LOCN>
                                </LnkInProps>
                              </LnkIn>
                            </Ctg>
                            <Ctg>
                              <CtgProps>
                                <R>5</R>
                              </CtgProps>
                              <LnkIn>
                                <LnkInProps>
                                  <MN>23</MN>
                                  <CLI>1,1,39,False,20</CLI>
                                  <ELN>1</ELN>
                                  <LOOT>0</LOOT>
                                  <LOMN>3</LOMN>
                                  <LOMCN>1</LOMCN>
                                  <LOSN>1</LOSN>
                                  <LOEN>10</LOEN>
                                  <LOCN>20</LOCN>
                                </LnkInProps>
                              </LnkIn>
                            </Ctg>
                            <Ctg>
                              <CtgProps>
                                <R>5</R>
                              </CtgProps>
                              <LnkIn>
                                <LnkInProps>
                                  <MN>23</MN>
                                  <CLI>1,1,39,False,21</CLI>
                                  <ELN>1</ELN>
                                  <LOOT>0</LOOT>
                                  <LOMN>3</LOMN>
                                  <LOMCN>1</LOMCN>
                                  <LOSN>1</LOSN>
                                  <LOEN>10</LOEN>
                                  <LOCN>21</LOCN>
                                </LnkInProps>
                              </LnkIn>
                            </Ctg>
                            <Ctg>
                              <CtgProps>
                                <R>5</R>
                              </CtgProps>
                              <LnkIn>
                                <LnkInProps>
                                  <MN>23</MN>
                                  <CLI>1,1,39,False,22</CLI>
                                  <ELN>1</ELN>
                                  <LOOT>0</LOOT>
                                  <LOMN>3</LOMN>
                                  <LOMCN>1</LOMCN>
                                  <LOSN>1</LOSN>
                                  <LOEN>10</LOEN>
                                  <LOCN>22</LOCN>
                                </LnkInProps>
                              </LnkIn>
                            </Ctg>
                            <Ctg>
                              <CtgProps>
                                <R>5</R>
                              </CtgProps>
                              <LnkIn>
                                <LnkInProps>
                                  <MN>23</MN>
                                  <CLI>1,1,39,False,23</CLI>
                                  <ELN>1</ELN>
                                  <LOOT>0</LOOT>
                                  <LOMN>3</LOMN>
                                  <LOMCN>1</LOMCN>
                                  <LOSN>1</LOSN>
                                  <LOEN>10</LOEN>
                                  <LOCN>23</LOCN>
                                </LnkInProps>
                              </LnkIn>
                            </Ctg>
                            <Ctg>
                              <CtgProps>
                                <R>5</R>
                              </CtgProps>
                              <LnkIn>
                                <LnkInProps>
                                  <MN>23</MN>
                                  <CLI>1,1,39,False,24</CLI>
                                  <ELN>1</ELN>
                                  <LOOT>0</LOOT>
                                  <LOMN>3</LOMN>
                                  <LOMCN>1</LOMCN>
                                  <LOSN>1</LOSN>
                                  <LOEN>10</LOEN>
                                  <LOCN>24</LOCN>
                                </LnkInProps>
                              </LnkIn>
                            </Ctg>
                            <Ctg>
                              <CtgProps>
                                <R>5</R>
                              </CtgProps>
                              <LnkIn>
                                <LnkInProps>
                                  <MN>23</MN>
                                  <CLI>1,1,39,False,25</CLI>
                                  <ELN>1</ELN>
                                  <LOOT>0</LOOT>
                                  <LOMN>3</LOMN>
                                  <LOMCN>1</LOMCN>
                                  <LOSN>1</LOSN>
                                  <LOEN>10</LOEN>
                                  <LOCN>25</LOCN>
                                </LnkInProps>
                              </LnkIn>
                            </Ctg>
                            <Ctg>
                              <CtgProps>
                                <R>5</R>
                              </CtgProps>
                              <LnkIn>
                                <LnkInProps>
                                  <MN>23</MN>
                                  <CLI>1,1,39,False,26</CLI>
                                  <ELN>1</ELN>
                                  <LOOT>0</LOOT>
                                  <LOMN>3</LOMN>
                                  <LOMCN>1</LOMCN>
                                  <LOSN>1</LOSN>
                                  <LOEN>10</LOEN>
                                  <LOCN>26</LOCN>
                                </LnkInProps>
                              </LnkIn>
                            </Ctg>
                            <Ctg>
                              <CtgProps>
                                <R>5</R>
                              </CtgProps>
                              <LnkIn>
                                <LnkInProps>
                                  <MN>23</MN>
                                  <CLI>1,1,39,False,27</CLI>
                                  <ELN>1</ELN>
                                  <LOOT>0</LOOT>
                                  <LOMN>3</LOMN>
                                  <LOMCN>1</LOMCN>
                                  <LOSN>1</LOSN>
                                  <LOEN>10</LOEN>
                                  <LOCN>27</LOCN>
                                </LnkInProps>
                              </LnkIn>
                            </Ctg>
                            <Ctg>
                              <CtgProps>
                                <R>5</R>
                              </CtgProps>
                              <LnkIn>
                                <LnkInProps>
                                  <MN>23</MN>
                                  <CLI>1,1,39,False,28</CLI>
                                  <ELN>1</ELN>
                                  <LOOT>0</LOOT>
                                  <LOMN>3</LOMN>
                                  <LOMCN>1</LOMCN>
                                  <LOSN>1</LOSN>
                                  <LOEN>10</LOEN>
                                  <LOCN>28</LOCN>
                                </LnkInProps>
                              </LnkIn>
                            </Ctg>
                            <Ctg>
                              <CtgProps>
                                <R>5</R>
                              </CtgProps>
                              <LnkIn>
                                <LnkInProps>
                                  <MN>23</MN>
                                  <CLI>1,1,39,False,29</CLI>
                                  <ELN>1</ELN>
                                  <LOOT>0</LOOT>
                                  <LOMN>3</LOMN>
                                  <LOMCN>1</LOMCN>
                                  <LOSN>1</LOSN>
                                  <LOEN>10</LOEN>
                                  <LOCN>29</LOCN>
                                </LnkInProps>
                              </LnkIn>
                            </Ctg>
                            <Ctg>
                              <CtgProps>
                                <R>5</R>
                              </CtgProps>
                              <LnkIn>
                                <LnkInProps>
                                  <MN>23</MN>
                                  <CLI>1,1,39,False,30</CLI>
                                  <ELN>1</ELN>
                                  <LOOT>0</LOOT>
                                  <LOMN>3</LOMN>
                                  <LOMCN>1</LOMCN>
                                  <LOSN>1</LOSN>
                                  <LOEN>10</LOEN>
                                  <LOCN>30</LOCN>
                                </LnkInProps>
                              </LnkIn>
                            </Ctg>
                            <Ctg>
                              <CtgProps>
                                <R>5</R>
                              </CtgProps>
                              <LnkIn>
                                <LnkInProps>
                                  <MN>23</MN>
                                  <CLI>1,1,39,False,31</CLI>
                                  <ELN>1</ELN>
                                  <LOOT>0</LOOT>
                                  <LOMN>3</LOMN>
                                  <LOMCN>1</LOMCN>
                                  <LOSN>1</LOSN>
                                  <LOEN>10</LOEN>
                                  <LOCN>31</LOCN>
                                </LnkInProps>
                              </LnkIn>
                            </Ctg>
                            <Ctg>
                              <CtgProps>
                                <R>5</R>
                              </CtgProps>
                              <LnkIn>
                                <LnkInProps>
                                  <MN>23</MN>
                                  <CLI>1,1,39,False,32</CLI>
                                  <ELN>1</ELN>
                                  <LOOT>0</LOOT>
                                  <LOMN>3</LOMN>
                                  <LOMCN>1</LOMCN>
                                  <LOSN>1</LOSN>
                                  <LOEN>10</LOEN>
                                  <LOCN>32</LOCN>
                                </LnkInProps>
                              </LnkIn>
                            </Ctg>
                            <Ctg>
                              <CtgProps>
                                <R>5</R>
                              </CtgProps>
                              <LnkIn>
                                <LnkInProps>
                                  <MN>23</MN>
                                  <CLI>1,1,39,False,33</CLI>
                                  <ELN>1</ELN>
                                  <LOOT>0</LOOT>
                                  <LOMN>3</LOMN>
                                  <LOMCN>1</LOMCN>
                                  <LOSN>1</LOSN>
                                  <LOEN>10</LOEN>
                                  <LOCN>33</LOCN>
                                </LnkInProps>
                              </LnkIn>
                            </Ctg>
                            <Ctg>
                              <CtgProps>
                                <R>5</R>
                              </CtgProps>
                              <LnkIn>
                                <LnkInProps>
                                  <MN>23</MN>
                                  <CLI>1,1,39,False,34</CLI>
                                  <ELN>1</ELN>
                                  <LOOT>0</LOOT>
                                  <LOMN>3</LOMN>
                                  <LOMCN>1</LOMCN>
                                  <LOSN>1</LOSN>
                                  <LOEN>10</LOEN>
                                  <LOCN>34</LOCN>
                                </LnkInProps>
                              </LnkIn>
                            </Ctg>
                            <Ctg>
                              <CtgProps>
                                <R>5</R>
                              </CtgProps>
                              <LnkIn>
                                <LnkInProps>
                                  <MN>23</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23</MN>
                                  <CLI>1,1,42,False,1</CLI>
                                  <ELN>1</ELN>
                                  <LOOT>0</LOOT>
                                  <LOMN>3</LOMN>
                                  <LOMCN>1</LOMCN>
                                  <LOSN>1</LOSN>
                                  <LOEN>15</LOEN>
                                  <LOCN>1</LOCN>
                                </LnkInProps>
                              </LnkIn>
                            </Ctg>
                            <Ctg>
                              <CtgProps>
                                <R>4</R>
                              </CtgProps>
                              <LnkIn>
                                <LnkInProps>
                                  <MN>23</MN>
                                  <CLI>1,1,42,False,2</CLI>
                                  <ELN>1</ELN>
                                  <LOOT>0</LOOT>
                                  <LOMN>3</LOMN>
                                  <LOMCN>1</LOMCN>
                                  <LOSN>1</LOSN>
                                  <LOEN>15</LOEN>
                                  <LOCN>2</LOCN>
                                </LnkInProps>
                              </LnkIn>
                            </Ctg>
                            <Ctg>
                              <CtgProps>
                                <R>4</R>
                              </CtgProps>
                              <LnkIn>
                                <LnkInProps>
                                  <MN>23</MN>
                                  <CLI>1,1,42,False,3</CLI>
                                  <ELN>1</ELN>
                                  <LOOT>0</LOOT>
                                  <LOMN>3</LOMN>
                                  <LOMCN>1</LOMCN>
                                  <LOSN>1</LOSN>
                                  <LOEN>15</LOEN>
                                  <LOCN>3</LOCN>
                                </LnkInProps>
                              </LnkIn>
                            </Ctg>
                            <Ctg>
                              <CtgProps>
                                <R>4</R>
                              </CtgProps>
                              <LnkIn>
                                <LnkInProps>
                                  <MN>23</MN>
                                  <CLI>1,1,42,False,4</CLI>
                                  <ELN>1</ELN>
                                  <LOOT>0</LOOT>
                                  <LOMN>3</LOMN>
                                  <LOMCN>1</LOMCN>
                                  <LOSN>1</LOSN>
                                  <LOEN>15</LOEN>
                                  <LOCN>4</LOCN>
                                </LnkInProps>
                              </LnkIn>
                            </Ctg>
                            <Ctg>
                              <CtgProps>
                                <R>5</R>
                              </CtgProps>
                              <LnkIn>
                                <LnkInProps>
                                  <MN>23</MN>
                                  <CLI>1,1,42,False,5</CLI>
                                  <ELN>1</ELN>
                                  <LOOT>0</LOOT>
                                  <LOMN>3</LOMN>
                                  <LOMCN>1</LOMCN>
                                  <LOSN>1</LOSN>
                                  <LOEN>15</LOEN>
                                  <LOCN>5</LOCN>
                                </LnkInProps>
                              </LnkIn>
                            </Ctg>
                            <Ctg>
                              <CtgProps>
                                <R>5</R>
                              </CtgProps>
                              <LnkIn>
                                <LnkInProps>
                                  <MN>23</MN>
                                  <CLI>1,1,42,False,6</CLI>
                                  <ELN>1</ELN>
                                  <LOOT>0</LOOT>
                                  <LOMN>3</LOMN>
                                  <LOMCN>1</LOMCN>
                                  <LOSN>1</LOSN>
                                  <LOEN>15</LOEN>
                                  <LOCN>6</LOCN>
                                </LnkInProps>
                              </LnkIn>
                            </Ctg>
                            <Ctg>
                              <CtgProps>
                                <R>5</R>
                              </CtgProps>
                              <LnkIn>
                                <LnkInProps>
                                  <MN>23</MN>
                                  <CLI>1,1,42,False,7</CLI>
                                  <ELN>1</ELN>
                                  <LOOT>0</LOOT>
                                  <LOMN>3</LOMN>
                                  <LOMCN>1</LOMCN>
                                  <LOSN>1</LOSN>
                                  <LOEN>15</LOEN>
                                  <LOCN>7</LOCN>
                                </LnkInProps>
                              </LnkIn>
                            </Ctg>
                            <Ctg>
                              <CtgProps>
                                <R>5</R>
                              </CtgProps>
                              <LnkIn>
                                <LnkInProps>
                                  <MN>23</MN>
                                  <CLI>1,1,42,False,8</CLI>
                                  <ELN>1</ELN>
                                  <LOOT>0</LOOT>
                                  <LOMN>3</LOMN>
                                  <LOMCN>1</LOMCN>
                                  <LOSN>1</LOSN>
                                  <LOEN>15</LOEN>
                                  <LOCN>8</LOCN>
                                </LnkInProps>
                              </LnkIn>
                            </Ctg>
                            <Ctg>
                              <CtgProps>
                                <R>5</R>
                              </CtgProps>
                              <LnkIn>
                                <LnkInProps>
                                  <MN>23</MN>
                                  <CLI>1,1,42,False,9</CLI>
                                  <ELN>1</ELN>
                                  <LOOT>0</LOOT>
                                  <LOMN>3</LOMN>
                                  <LOMCN>1</LOMCN>
                                  <LOSN>1</LOSN>
                                  <LOEN>15</LOEN>
                                  <LOCN>9</LOCN>
                                </LnkInProps>
                              </LnkIn>
                            </Ctg>
                            <Ctg>
                              <CtgProps>
                                <R>5</R>
                              </CtgProps>
                              <LnkIn>
                                <LnkInProps>
                                  <MN>23</MN>
                                  <CLI>1,1,42,False,10</CLI>
                                  <ELN>1</ELN>
                                  <LOOT>0</LOOT>
                                  <LOMN>3</LOMN>
                                  <LOMCN>1</LOMCN>
                                  <LOSN>1</LOSN>
                                  <LOEN>15</LOEN>
                                  <LOCN>10</LOCN>
                                </LnkInProps>
                              </LnkIn>
                            </Ctg>
                            <Ctg>
                              <CtgProps>
                                <R>5</R>
                              </CtgProps>
                              <LnkIn>
                                <LnkInProps>
                                  <MN>23</MN>
                                  <CLI>1,1,42,False,11</CLI>
                                  <ELN>1</ELN>
                                  <LOOT>0</LOOT>
                                  <LOMN>3</LOMN>
                                  <LOMCN>1</LOMCN>
                                  <LOSN>1</LOSN>
                                  <LOEN>15</LOEN>
                                  <LOCN>11</LOCN>
                                </LnkInProps>
                              </LnkIn>
                            </Ctg>
                            <Ctg>
                              <CtgProps>
                                <R>5</R>
                              </CtgProps>
                              <LnkIn>
                                <LnkInProps>
                                  <MN>23</MN>
                                  <CLI>1,1,42,False,12</CLI>
                                  <ELN>1</ELN>
                                  <LOOT>0</LOOT>
                                  <LOMN>3</LOMN>
                                  <LOMCN>1</LOMCN>
                                  <LOSN>1</LOSN>
                                  <LOEN>15</LOEN>
                                  <LOCN>12</LOCN>
                                </LnkInProps>
                              </LnkIn>
                            </Ctg>
                            <Ctg>
                              <CtgProps>
                                <R>5</R>
                              </CtgProps>
                              <LnkIn>
                                <LnkInProps>
                                  <MN>23</MN>
                                  <CLI>1,1,42,False,13</CLI>
                                  <ELN>1</ELN>
                                  <LOOT>0</LOOT>
                                  <LOMN>3</LOMN>
                                  <LOMCN>1</LOMCN>
                                  <LOSN>1</LOSN>
                                  <LOEN>15</LOEN>
                                  <LOCN>13</LOCN>
                                </LnkInProps>
                              </LnkIn>
                            </Ctg>
                            <Ctg>
                              <CtgProps>
                                <R>5</R>
                              </CtgProps>
                              <LnkIn>
                                <LnkInProps>
                                  <MN>23</MN>
                                  <CLI>1,1,42,False,14</CLI>
                                  <ELN>1</ELN>
                                  <LOOT>0</LOOT>
                                  <LOMN>3</LOMN>
                                  <LOMCN>1</LOMCN>
                                  <LOSN>1</LOSN>
                                  <LOEN>15</LOEN>
                                  <LOCN>14</LOCN>
                                </LnkInProps>
                              </LnkIn>
                            </Ctg>
                            <Ctg>
                              <CtgProps>
                                <R>5</R>
                              </CtgProps>
                              <LnkIn>
                                <LnkInProps>
                                  <MN>23</MN>
                                  <CLI>1,1,42,False,15</CLI>
                                  <ELN>1</ELN>
                                  <LOOT>0</LOOT>
                                  <LOMN>3</LOMN>
                                  <LOMCN>1</LOMCN>
                                  <LOSN>1</LOSN>
                                  <LOEN>15</LOEN>
                                  <LOCN>15</LOCN>
                                </LnkInProps>
                              </LnkIn>
                            </Ctg>
                            <Ctg>
                              <CtgProps>
                                <R>5</R>
                              </CtgProps>
                              <LnkIn>
                                <LnkInProps>
                                  <MN>23</MN>
                                  <CLI>1,1,42,False,16</CLI>
                                  <ELN>1</ELN>
                                  <LOOT>0</LOOT>
                                  <LOMN>3</LOMN>
                                  <LOMCN>1</LOMCN>
                                  <LOSN>1</LOSN>
                                  <LOEN>15</LOEN>
                                  <LOCN>16</LOCN>
                                </LnkInProps>
                              </LnkIn>
                            </Ctg>
                            <Ctg>
                              <CtgProps>
                                <R>4</R>
                              </CtgProps>
                              <LnkIn>
                                <LnkInProps>
                                  <MN>23</MN>
                                  <CLI>1,1,42,False,17</CLI>
                                  <ELN>1</ELN>
                                  <LOOT>0</LOOT>
                                  <LOMN>3</LOMN>
                                  <LOMCN>1</LOMCN>
                                  <LOSN>1</LOSN>
                                  <LOEN>15</LOEN>
                                  <LOCN>17</LOCN>
                                </LnkInProps>
                              </LnkIn>
                            </Ctg>
                            <Ctg>
                              <CtgProps>
                                <R>4</R>
                              </CtgProps>
                              <LnkIn>
                                <LnkInProps>
                                  <MN>23</MN>
                                  <CLI>1,1,42,False,18</CLI>
                                  <ELN>1</ELN>
                                  <LOOT>0</LOOT>
                                  <LOMN>3</LOMN>
                                  <LOMCN>1</LOMCN>
                                  <LOSN>1</LOSN>
                                  <LOEN>15</LOEN>
                                  <LOCN>18</LOCN>
                                </LnkInProps>
                              </LnkIn>
                            </Ctg>
                            <Ctg>
                              <CtgProps>
                                <R>4</R>
                              </CtgProps>
                              <LnkIn>
                                <LnkInProps>
                                  <MN>23</MN>
                                  <CLI>1,1,42,False,19</CLI>
                                  <ELN>1</ELN>
                                  <LOOT>0</LOOT>
                                  <LOMN>3</LOMN>
                                  <LOMCN>1</LOMCN>
                                  <LOSN>1</LOSN>
                                  <LOEN>15</LOEN>
                                  <LOCN>19</LOCN>
                                </LnkInProps>
                              </LnkIn>
                            </Ctg>
                            <Ctg>
                              <CtgProps>
                                <R>4</R>
                              </CtgProps>
                              <LnkIn>
                                <LnkInProps>
                                  <MN>23</MN>
                                  <CLI>1,1,42,False,20</CLI>
                                  <ELN>1</ELN>
                                  <LOOT>0</LOOT>
                                  <LOMN>3</LOMN>
                                  <LOMCN>1</LOMCN>
                                  <LOSN>1</LOSN>
                                  <LOEN>15</LOEN>
                                  <LOCN>20</LOCN>
                                </LnkInProps>
                              </LnkIn>
                            </Ctg>
                            <Ctg>
                              <CtgProps>
                                <R>4</R>
                              </CtgProps>
                              <LnkIn>
                                <LnkInProps>
                                  <MN>23</MN>
                                  <CLI>1,1,42,False,21</CLI>
                                  <ELN>1</ELN>
                                  <LOOT>0</LOOT>
                                  <LOMN>3</LOMN>
                                  <LOMCN>1</LOMCN>
                                  <LOSN>1</LOSN>
                                  <LOEN>15</LOEN>
                                  <LOCN>21</LOCN>
                                </LnkInProps>
                              </LnkIn>
                            </Ctg>
                            <Ctg>
                              <CtgProps>
                                <R>4</R>
                              </CtgProps>
                              <LnkIn>
                                <LnkInProps>
                                  <MN>23</MN>
                                  <CLI>1,1,42,False,22</CLI>
                                  <ELN>1</ELN>
                                  <LOOT>0</LOOT>
                                  <LOMN>3</LOMN>
                                  <LOMCN>1</LOMCN>
                                  <LOSN>1</LOSN>
                                  <LOEN>15</LOEN>
                                  <LOCN>22</LOCN>
                                </LnkInProps>
                              </LnkIn>
                            </Ctg>
                            <Ctg>
                              <CtgProps>
                                <R>5</R>
                              </CtgProps>
                              <LnkIn>
                                <LnkInProps>
                                  <MN>23</MN>
                                  <CLI>1,1,42,False,23</CLI>
                                  <ELN>1</ELN>
                                  <LOOT>0</LOOT>
                                  <LOMN>3</LOMN>
                                  <LOMCN>1</LOMCN>
                                  <LOSN>1</LOSN>
                                  <LOEN>15</LOEN>
                                  <LOCN>23</LOCN>
                                </LnkInProps>
                              </LnkIn>
                            </Ctg>
                            <Ctg>
                              <CtgProps>
                                <R>5</R>
                              </CtgProps>
                              <LnkIn>
                                <LnkInProps>
                                  <MN>23</MN>
                                  <CLI>1,1,42,False,24</CLI>
                                  <ELN>1</ELN>
                                  <LOOT>0</LOOT>
                                  <LOMN>3</LOMN>
                                  <LOMCN>1</LOMCN>
                                  <LOSN>1</LOSN>
                                  <LOEN>15</LOEN>
                                  <LOCN>24</LOCN>
                                </LnkInProps>
                              </LnkIn>
                            </Ctg>
                            <Ctg>
                              <CtgProps>
                                <R>5</R>
                              </CtgProps>
                              <LnkIn>
                                <LnkInProps>
                                  <MN>23</MN>
                                  <CLI>1,1,42,False,25</CLI>
                                  <ELN>1</ELN>
                                  <LOOT>0</LOOT>
                                  <LOMN>3</LOMN>
                                  <LOMCN>1</LOMCN>
                                  <LOSN>1</LOSN>
                                  <LOEN>15</LOEN>
                                  <LOCN>25</LOCN>
                                </LnkInProps>
                              </LnkIn>
                            </Ctg>
                            <Ctg>
                              <CtgProps>
                                <R>5</R>
                              </CtgProps>
                              <LnkIn>
                                <LnkInProps>
                                  <MN>23</MN>
                                  <CLI>1,1,42,False,26</CLI>
                                  <ELN>1</ELN>
                                  <LOOT>0</LOOT>
                                  <LOMN>3</LOMN>
                                  <LOMCN>1</LOMCN>
                                  <LOSN>1</LOSN>
                                  <LOEN>15</LOEN>
                                  <LOCN>26</LOCN>
                                </LnkInProps>
                              </LnkIn>
                            </Ctg>
                            <Ctg>
                              <CtgProps>
                                <R>5</R>
                              </CtgProps>
                              <LnkIn>
                                <LnkInProps>
                                  <MN>23</MN>
                                  <CLI>1,1,42,False,27</CLI>
                                  <ELN>1</ELN>
                                  <LOOT>0</LOOT>
                                  <LOMN>3</LOMN>
                                  <LOMCN>1</LOMCN>
                                  <LOSN>1</LOSN>
                                  <LOEN>15</LOEN>
                                  <LOCN>27</LOCN>
                                </LnkInProps>
                              </LnkIn>
                            </Ctg>
                            <Ctg>
                              <CtgProps>
                                <R>5</R>
                              </CtgProps>
                              <LnkIn>
                                <LnkInProps>
                                  <MN>23</MN>
                                  <CLI>1,1,42,False,28</CLI>
                                  <ELN>1</ELN>
                                  <LOOT>0</LOOT>
                                  <LOMN>3</LOMN>
                                  <LOMCN>1</LOMCN>
                                  <LOSN>1</LOSN>
                                  <LOEN>15</LOEN>
                                  <LOCN>28</LOCN>
                                </LnkInProps>
                              </LnkIn>
                            </Ctg>
                            <Ctg>
                              <CtgProps>
                                <R>5</R>
                              </CtgProps>
                              <LnkIn>
                                <LnkInProps>
                                  <MN>23</MN>
                                  <CLI>1,1,42,False,29</CLI>
                                  <ELN>1</ELN>
                                  <LOOT>0</LOOT>
                                  <LOMN>3</LOMN>
                                  <LOMCN>1</LOMCN>
                                  <LOSN>1</LOSN>
                                  <LOEN>15</LOEN>
                                  <LOCN>29</LOCN>
                                </LnkInProps>
                              </LnkIn>
                            </Ctg>
                            <Ctg>
                              <CtgProps>
                                <R>5</R>
                              </CtgProps>
                              <LnkIn>
                                <LnkInProps>
                                  <MN>23</MN>
                                  <CLI>1,1,42,False,30</CLI>
                                  <ELN>1</ELN>
                                  <LOOT>0</LOOT>
                                  <LOMN>3</LOMN>
                                  <LOMCN>1</LOMCN>
                                  <LOSN>1</LOSN>
                                  <LOEN>15</LOEN>
                                  <LOCN>30</LOCN>
                                </LnkInProps>
                              </LnkIn>
                            </Ctg>
                            <Ctg>
                              <CtgProps>
                                <R>4</R>
                              </CtgProps>
                              <LnkIn>
                                <LnkInProps>
                                  <MN>23</MN>
                                  <CLI>1,1,42,False,31</CLI>
                                  <ELN>1</ELN>
                                  <LOOT>0</LOOT>
                                  <LOMN>3</LOMN>
                                  <LOMCN>1</LOMCN>
                                  <LOSN>1</LOSN>
                                  <LOEN>15</LOEN>
                                  <LOCN>31</LOCN>
                                </LnkInProps>
                              </LnkIn>
                            </Ctg>
                            <Ctg>
                              <CtgProps>
                                <R>4</R>
                              </CtgProps>
                              <LnkIn>
                                <LnkInProps>
                                  <MN>23</MN>
                                  <CLI>1,1,42,False,32</CLI>
                                  <ELN>1</ELN>
                                  <LOOT>0</LOOT>
                                  <LOMN>3</LOMN>
                                  <LOMCN>1</LOMCN>
                                  <LOSN>1</LOSN>
                                  <LOEN>15</LOEN>
                                  <LOCN>32</LOCN>
                                </LnkInProps>
                              </LnkIn>
                            </Ctg>
                            <Ctg>
                              <CtgProps>
                                <R>4</R>
                              </CtgProps>
                              <LnkIn>
                                <LnkInProps>
                                  <MN>23</MN>
                                  <CLI>1,1,42,False,33</CLI>
                                  <ELN>1</ELN>
                                  <LOOT>0</LOOT>
                                  <LOMN>3</LOMN>
                                  <LOMCN>1</LOMCN>
                                  <LOSN>1</LOSN>
                                  <LOEN>15</LOEN>
                                  <LOCN>33</LOCN>
                                </LnkInProps>
                              </LnkIn>
                            </Ctg>
                            <Ctg>
                              <CtgProps>
                                <R>4</R>
                              </CtgProps>
                              <LnkIn>
                                <LnkInProps>
                                  <MN>23</MN>
                                  <CLI>1,1,42,False,34</CLI>
                                  <ELN>1</ELN>
                                  <LOOT>0</LOOT>
                                  <LOMN>3</LOMN>
                                  <LOMCN>1</LOMCN>
                                  <LOSN>1</LOSN>
                                  <LOEN>15</LOEN>
                                  <LOCN>34</LOCN>
                                </LnkInProps>
                              </LnkIn>
                            </Ctg>
                            <Ctg>
                              <CtgProps>
                                <R>4</R>
                              </CtgProps>
                              <LnkIn>
                                <LnkInProps>
                                  <MN>23</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23</MN>
                                  <CLI>1,1,46,False,1</CLI>
                                  <ELN>1</ELN>
                                  <LOOT>0</LOOT>
                                  <LOMN>3</LOMN>
                                  <LOMCN>1</LOMCN>
                                  <LOSN>1</LOSN>
                                  <LOEN>19</LOEN>
                                  <LOCN>1</LOCN>
                                </LnkInProps>
                              </LnkIn>
                            </Ctg>
                            <Ctg>
                              <CtgProps>
                                <R>4</R>
                              </CtgProps>
                              <LnkIn>
                                <LnkInProps>
                                  <MN>23</MN>
                                  <CLI>1,1,46,False,2</CLI>
                                  <ELN>1</ELN>
                                  <LOOT>0</LOOT>
                                  <LOMN>3</LOMN>
                                  <LOMCN>1</LOMCN>
                                  <LOSN>1</LOSN>
                                  <LOEN>19</LOEN>
                                  <LOCN>2</LOCN>
                                </LnkInProps>
                              </LnkIn>
                            </Ctg>
                            <Ctg>
                              <CtgProps>
                                <R>4</R>
                              </CtgProps>
                              <LnkIn>
                                <LnkInProps>
                                  <MN>23</MN>
                                  <CLI>1,1,46,False,3</CLI>
                                  <ELN>1</ELN>
                                  <LOOT>0</LOOT>
                                  <LOMN>3</LOMN>
                                  <LOMCN>1</LOMCN>
                                  <LOSN>1</LOSN>
                                  <LOEN>19</LOEN>
                                  <LOCN>3</LOCN>
                                </LnkInProps>
                              </LnkIn>
                            </Ctg>
                            <Ctg>
                              <CtgProps>
                                <R>4</R>
                              </CtgProps>
                              <LnkIn>
                                <LnkInProps>
                                  <MN>23</MN>
                                  <CLI>1,1,46,False,4</CLI>
                                  <ELN>1</ELN>
                                  <LOOT>0</LOOT>
                                  <LOMN>3</LOMN>
                                  <LOMCN>1</LOMCN>
                                  <LOSN>1</LOSN>
                                  <LOEN>19</LOEN>
                                  <LOCN>4</LOCN>
                                </LnkInProps>
                              </LnkIn>
                            </Ctg>
                            <Ctg>
                              <CtgProps>
                                <R>4</R>
                              </CtgProps>
                              <LnkIn>
                                <LnkInProps>
                                  <MN>23</MN>
                                  <CLI>1,1,46,False,5</CLI>
                                  <ELN>1</ELN>
                                  <LOOT>0</LOOT>
                                  <LOMN>3</LOMN>
                                  <LOMCN>1</LOMCN>
                                  <LOSN>1</LOSN>
                                  <LOEN>19</LOEN>
                                  <LOCN>5</LOCN>
                                </LnkInProps>
                              </LnkIn>
                            </Ctg>
                            <Ctg>
                              <CtgProps>
                                <R>4</R>
                              </CtgProps>
                              <LnkIn>
                                <LnkInProps>
                                  <MN>23</MN>
                                  <CLI>1,1,46,False,6</CLI>
                                  <ELN>1</ELN>
                                  <LOOT>0</LOOT>
                                  <LOMN>3</LOMN>
                                  <LOMCN>1</LOMCN>
                                  <LOSN>1</LOSN>
                                  <LOEN>19</LOEN>
                                  <LOCN>6</LOCN>
                                </LnkInProps>
                              </LnkIn>
                            </Ctg>
                            <Ctg>
                              <CtgProps>
                                <R>4</R>
                              </CtgProps>
                              <LnkIn>
                                <LnkInProps>
                                  <MN>23</MN>
                                  <CLI>1,1,46,False,7</CLI>
                                  <ELN>1</ELN>
                                  <LOOT>0</LOOT>
                                  <LOMN>3</LOMN>
                                  <LOMCN>1</LOMCN>
                                  <LOSN>1</LOSN>
                                  <LOEN>19</LOEN>
                                  <LOCN>7</LOCN>
                                </LnkInProps>
                              </LnkIn>
                            </Ctg>
                            <Ctg>
                              <CtgProps>
                                <R>4</R>
                              </CtgProps>
                              <LnkIn>
                                <LnkInProps>
                                  <MN>23</MN>
                                  <CLI>1,1,46,False,8</CLI>
                                  <ELN>1</ELN>
                                  <LOOT>0</LOOT>
                                  <LOMN>3</LOMN>
                                  <LOMCN>1</LOMCN>
                                  <LOSN>1</LOSN>
                                  <LOEN>19</LOEN>
                                  <LOCN>8</LOCN>
                                </LnkInProps>
                              </LnkIn>
                            </Ctg>
                            <Ctg>
                              <CtgProps>
                                <R>4</R>
                              </CtgProps>
                              <LnkIn>
                                <LnkInProps>
                                  <MN>23</MN>
                                  <CLI>1,1,46,False,9</CLI>
                                  <ELN>1</ELN>
                                  <LOOT>0</LOOT>
                                  <LOMN>3</LOMN>
                                  <LOMCN>1</LOMCN>
                                  <LOSN>1</LOSN>
                                  <LOEN>19</LOEN>
                                  <LOCN>9</LOCN>
                                </LnkInProps>
                              </LnkIn>
                            </Ctg>
                            <Ctg>
                              <CtgProps>
                                <R>4</R>
                              </CtgProps>
                              <LnkIn>
                                <LnkInProps>
                                  <MN>23</MN>
                                  <CLI>1,1,46,False,10</CLI>
                                  <ELN>1</ELN>
                                  <LOOT>0</LOOT>
                                  <LOMN>3</LOMN>
                                  <LOMCN>1</LOMCN>
                                  <LOSN>1</LOSN>
                                  <LOEN>19</LOEN>
                                  <LOCN>10</LOCN>
                                </LnkInProps>
                              </LnkIn>
                            </Ctg>
                            <Ctg>
                              <CtgProps>
                                <R>4</R>
                              </CtgProps>
                              <LnkIn>
                                <LnkInProps>
                                  <MN>23</MN>
                                  <CLI>1,1,46,False,11</CLI>
                                  <ELN>1</ELN>
                                  <LOOT>0</LOOT>
                                  <LOMN>3</LOMN>
                                  <LOMCN>1</LOMCN>
                                  <LOSN>1</LOSN>
                                  <LOEN>19</LOEN>
                                  <LOCN>11</LOCN>
                                </LnkInProps>
                              </LnkIn>
                            </Ctg>
                            <Ctg>
                              <CtgProps>
                                <R>4</R>
                              </CtgProps>
                              <LnkIn>
                                <LnkInProps>
                                  <MN>23</MN>
                                  <CLI>1,1,46,False,12</CLI>
                                  <ELN>1</ELN>
                                  <LOOT>0</LOOT>
                                  <LOMN>3</LOMN>
                                  <LOMCN>1</LOMCN>
                                  <LOSN>1</LOSN>
                                  <LOEN>19</LOEN>
                                  <LOCN>12</LOCN>
                                </LnkInProps>
                              </LnkIn>
                            </Ctg>
                            <Ctg>
                              <CtgProps>
                                <R>4</R>
                              </CtgProps>
                              <LnkIn>
                                <LnkInProps>
                                  <MN>23</MN>
                                  <CLI>1,1,46,False,13</CLI>
                                  <ELN>1</ELN>
                                  <LOOT>0</LOOT>
                                  <LOMN>3</LOMN>
                                  <LOMCN>1</LOMCN>
                                  <LOSN>1</LOSN>
                                  <LOEN>19</LOEN>
                                  <LOCN>13</LOCN>
                                </LnkInProps>
                              </LnkIn>
                            </Ctg>
                            <Ctg>
                              <CtgProps>
                                <R>4</R>
                              </CtgProps>
                              <LnkIn>
                                <LnkInProps>
                                  <MN>23</MN>
                                  <CLI>1,1,46,False,14</CLI>
                                  <ELN>1</ELN>
                                  <LOOT>0</LOOT>
                                  <LOMN>3</LOMN>
                                  <LOMCN>1</LOMCN>
                                  <LOSN>1</LOSN>
                                  <LOEN>19</LOEN>
                                  <LOCN>14</LOCN>
                                </LnkInProps>
                              </LnkIn>
                            </Ctg>
                            <Ctg>
                              <CtgProps>
                                <R>4</R>
                              </CtgProps>
                              <LnkIn>
                                <LnkInProps>
                                  <MN>23</MN>
                                  <CLI>1,1,46,False,15</CLI>
                                  <ELN>1</ELN>
                                  <LOOT>0</LOOT>
                                  <LOMN>3</LOMN>
                                  <LOMCN>1</LOMCN>
                                  <LOSN>1</LOSN>
                                  <LOEN>19</LOEN>
                                  <LOCN>15</LOCN>
                                </LnkInProps>
                              </LnkIn>
                            </Ctg>
                            <Ctg>
                              <CtgProps>
                                <R>5</R>
                              </CtgProps>
                              <LnkIn>
                                <LnkInProps>
                                  <MN>23</MN>
                                  <CLI>1,1,46,False,16</CLI>
                                  <ELN>1</ELN>
                                  <LOOT>0</LOOT>
                                  <LOMN>3</LOMN>
                                  <LOMCN>1</LOMCN>
                                  <LOSN>1</LOSN>
                                  <LOEN>19</LOEN>
                                  <LOCN>16</LOCN>
                                </LnkInProps>
                              </LnkIn>
                            </Ctg>
                            <Ctg>
                              <CtgProps>
                                <R>5</R>
                              </CtgProps>
                              <LnkIn>
                                <LnkInProps>
                                  <MN>23</MN>
                                  <CLI>1,1,46,False,17</CLI>
                                  <ELN>1</ELN>
                                  <LOOT>0</LOOT>
                                  <LOMN>3</LOMN>
                                  <LOMCN>1</LOMCN>
                                  <LOSN>1</LOSN>
                                  <LOEN>19</LOEN>
                                  <LOCN>17</LOCN>
                                </LnkInProps>
                              </LnkIn>
                            </Ctg>
                            <Ctg>
                              <CtgProps>
                                <R>5</R>
                              </CtgProps>
                              <LnkIn>
                                <LnkInProps>
                                  <MN>23</MN>
                                  <CLI>1,1,46,False,18</CLI>
                                  <ELN>1</ELN>
                                  <LOOT>0</LOOT>
                                  <LOMN>3</LOMN>
                                  <LOMCN>1</LOMCN>
                                  <LOSN>1</LOSN>
                                  <LOEN>19</LOEN>
                                  <LOCN>18</LOCN>
                                </LnkInProps>
                              </LnkIn>
                            </Ctg>
                            <Ctg>
                              <CtgProps>
                                <R>5</R>
                              </CtgProps>
                              <LnkIn>
                                <LnkInProps>
                                  <MN>23</MN>
                                  <CLI>1,1,46,False,19</CLI>
                                  <ELN>1</ELN>
                                  <LOOT>0</LOOT>
                                  <LOMN>3</LOMN>
                                  <LOMCN>1</LOMCN>
                                  <LOSN>1</LOSN>
                                  <LOEN>19</LOEN>
                                  <LOCN>19</LOCN>
                                </LnkInProps>
                              </LnkIn>
                            </Ctg>
                            <Ctg>
                              <CtgProps>
                                <R>5</R>
                              </CtgProps>
                              <LnkIn>
                                <LnkInProps>
                                  <MN>23</MN>
                                  <CLI>1,1,46,False,20</CLI>
                                  <ELN>1</ELN>
                                  <LOOT>0</LOOT>
                                  <LOMN>3</LOMN>
                                  <LOMCN>1</LOMCN>
                                  <LOSN>1</LOSN>
                                  <LOEN>19</LOEN>
                                  <LOCN>20</LOCN>
                                </LnkInProps>
                              </LnkIn>
                            </Ctg>
                            <Ctg>
                              <CtgProps>
                                <R>5</R>
                              </CtgProps>
                              <LnkIn>
                                <LnkInProps>
                                  <MN>23</MN>
                                  <CLI>1,1,46,False,21</CLI>
                                  <ELN>1</ELN>
                                  <LOOT>0</LOOT>
                                  <LOMN>3</LOMN>
                                  <LOMCN>1</LOMCN>
                                  <LOSN>1</LOSN>
                                  <LOEN>19</LOEN>
                                  <LOCN>21</LOCN>
                                </LnkInProps>
                              </LnkIn>
                            </Ctg>
                            <Ctg>
                              <CtgProps>
                                <R>5</R>
                              </CtgProps>
                              <LnkIn>
                                <LnkInProps>
                                  <MN>23</MN>
                                  <CLI>1,1,46,False,22</CLI>
                                  <ELN>1</ELN>
                                  <LOOT>0</LOOT>
                                  <LOMN>3</LOMN>
                                  <LOMCN>1</LOMCN>
                                  <LOSN>1</LOSN>
                                  <LOEN>19</LOEN>
                                  <LOCN>22</LOCN>
                                </LnkInProps>
                              </LnkIn>
                            </Ctg>
                            <Ctg>
                              <CtgProps>
                                <R>5</R>
                              </CtgProps>
                              <LnkIn>
                                <LnkInProps>
                                  <MN>23</MN>
                                  <CLI>1,1,46,False,23</CLI>
                                  <ELN>1</ELN>
                                  <LOOT>0</LOOT>
                                  <LOMN>3</LOMN>
                                  <LOMCN>1</LOMCN>
                                  <LOSN>1</LOSN>
                                  <LOEN>19</LOEN>
                                  <LOCN>23</LOCN>
                                </LnkInProps>
                              </LnkIn>
                            </Ctg>
                            <Ctg>
                              <CtgProps>
                                <R>5</R>
                              </CtgProps>
                              <LnkIn>
                                <LnkInProps>
                                  <MN>23</MN>
                                  <CLI>1,1,46,False,24</CLI>
                                  <ELN>1</ELN>
                                  <LOOT>0</LOOT>
                                  <LOMN>3</LOMN>
                                  <LOMCN>1</LOMCN>
                                  <LOSN>1</LOSN>
                                  <LOEN>19</LOEN>
                                  <LOCN>24</LOCN>
                                </LnkInProps>
                              </LnkIn>
                            </Ctg>
                            <Ctg>
                              <CtgProps>
                                <R>5</R>
                              </CtgProps>
                              <LnkIn>
                                <LnkInProps>
                                  <MN>23</MN>
                                  <CLI>1,1,46,False,25</CLI>
                                  <ELN>1</ELN>
                                  <LOOT>0</LOOT>
                                  <LOMN>3</LOMN>
                                  <LOMCN>1</LOMCN>
                                  <LOSN>1</LOSN>
                                  <LOEN>19</LOEN>
                                  <LOCN>25</LOCN>
                                </LnkInProps>
                              </LnkIn>
                            </Ctg>
                            <Ctg>
                              <CtgProps>
                                <R>5</R>
                              </CtgProps>
                              <LnkIn>
                                <LnkInProps>
                                  <MN>23</MN>
                                  <CLI>1,1,46,False,26</CLI>
                                  <ELN>1</ELN>
                                  <LOOT>0</LOOT>
                                  <LOMN>3</LOMN>
                                  <LOMCN>1</LOMCN>
                                  <LOSN>1</LOSN>
                                  <LOEN>19</LOEN>
                                  <LOCN>26</LOCN>
                                </LnkInProps>
                              </LnkIn>
                            </Ctg>
                            <Ctg>
                              <CtgProps>
                                <R>5</R>
                              </CtgProps>
                              <LnkIn>
                                <LnkInProps>
                                  <MN>23</MN>
                                  <CLI>1,1,46,False,27</CLI>
                                  <ELN>1</ELN>
                                  <LOOT>0</LOOT>
                                  <LOMN>3</LOMN>
                                  <LOMCN>1</LOMCN>
                                  <LOSN>1</LOSN>
                                  <LOEN>19</LOEN>
                                  <LOCN>27</LOCN>
                                </LnkInProps>
                              </LnkIn>
                            </Ctg>
                            <Ctg>
                              <CtgProps>
                                <R>5</R>
                              </CtgProps>
                              <LnkIn>
                                <LnkInProps>
                                  <MN>23</MN>
                                  <CLI>1,1,46,False,28</CLI>
                                  <ELN>1</ELN>
                                  <LOOT>0</LOOT>
                                  <LOMN>3</LOMN>
                                  <LOMCN>1</LOMCN>
                                  <LOSN>1</LOSN>
                                  <LOEN>19</LOEN>
                                  <LOCN>28</LOCN>
                                </LnkInProps>
                              </LnkIn>
                            </Ctg>
                            <Ctg>
                              <CtgProps>
                                <R>5</R>
                              </CtgProps>
                              <LnkIn>
                                <LnkInProps>
                                  <MN>23</MN>
                                  <CLI>1,1,46,False,29</CLI>
                                  <ELN>1</ELN>
                                  <LOOT>0</LOOT>
                                  <LOMN>3</LOMN>
                                  <LOMCN>1</LOMCN>
                                  <LOSN>1</LOSN>
                                  <LOEN>19</LOEN>
                                  <LOCN>29</LOCN>
                                </LnkInProps>
                              </LnkIn>
                            </Ctg>
                            <Ctg>
                              <CtgProps>
                                <R>5</R>
                              </CtgProps>
                              <LnkIn>
                                <LnkInProps>
                                  <MN>23</MN>
                                  <CLI>1,1,46,False,30</CLI>
                                  <ELN>1</ELN>
                                  <LOOT>0</LOOT>
                                  <LOMN>3</LOMN>
                                  <LOMCN>1</LOMCN>
                                  <LOSN>1</LOSN>
                                  <LOEN>19</LOEN>
                                  <LOCN>30</LOCN>
                                </LnkInProps>
                              </LnkIn>
                            </Ctg>
                            <Ctg>
                              <CtgProps>
                                <R>5</R>
                              </CtgProps>
                              <LnkIn>
                                <LnkInProps>
                                  <MN>23</MN>
                                  <CLI>1,1,46,False,31</CLI>
                                  <ELN>1</ELN>
                                  <LOOT>0</LOOT>
                                  <LOMN>3</LOMN>
                                  <LOMCN>1</LOMCN>
                                  <LOSN>1</LOSN>
                                  <LOEN>19</LOEN>
                                  <LOCN>31</LOCN>
                                </LnkInProps>
                              </LnkIn>
                            </Ctg>
                            <Ctg>
                              <CtgProps>
                                <R>5</R>
                              </CtgProps>
                              <LnkIn>
                                <LnkInProps>
                                  <MN>23</MN>
                                  <CLI>1,1,46,False,32</CLI>
                                  <ELN>1</ELN>
                                  <LOOT>0</LOOT>
                                  <LOMN>3</LOMN>
                                  <LOMCN>1</LOMCN>
                                  <LOSN>1</LOSN>
                                  <LOEN>19</LOEN>
                                  <LOCN>32</LOCN>
                                </LnkInProps>
                              </LnkIn>
                            </Ctg>
                            <Ctg>
                              <CtgProps>
                                <R>5</R>
                              </CtgProps>
                              <LnkIn>
                                <LnkInProps>
                                  <MN>23</MN>
                                  <CLI>1,1,46,False,33</CLI>
                                  <ELN>1</ELN>
                                  <LOOT>0</LOOT>
                                  <LOMN>3</LOMN>
                                  <LOMCN>1</LOMCN>
                                  <LOSN>1</LOSN>
                                  <LOEN>19</LOEN>
                                  <LOCN>33</LOCN>
                                </LnkInProps>
                              </LnkIn>
                            </Ctg>
                            <Ctg>
                              <CtgProps>
                                <R>5</R>
                              </CtgProps>
                              <LnkIn>
                                <LnkInProps>
                                  <MN>23</MN>
                                  <CLI>1,1,46,False,34</CLI>
                                  <ELN>1</ELN>
                                  <LOOT>0</LOOT>
                                  <LOMN>3</LOMN>
                                  <LOMCN>1</LOMCN>
                                  <LOSN>1</LOSN>
                                  <LOEN>19</LOEN>
                                  <LOCN>34</LOCN>
                                </LnkInProps>
                              </LnkIn>
                            </Ctg>
                            <Ctg>
                              <CtgProps>
                                <R>5</R>
                              </CtgProps>
                              <LnkIn>
                                <LnkInProps>
                                  <MN>23</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23</MN>
                                  <CLI>1,1,49,False,1</CLI>
                                  <ELN>1</ELN>
                                  <LOOT>0</LOOT>
                                  <LOMN>3</LOMN>
                                  <LOMCN>1</LOMCN>
                                  <LOSN>1</LOSN>
                                  <LOEN>24</LOEN>
                                  <LOCN>1</LOCN>
                                </LnkInProps>
                              </LnkIn>
                            </Ctg>
                            <Ctg>
                              <CtgProps>
                                <R>4</R>
                              </CtgProps>
                              <LnkIn>
                                <LnkInProps>
                                  <MN>23</MN>
                                  <CLI>1,1,49,False,2</CLI>
                                  <ELN>1</ELN>
                                  <LOOT>0</LOOT>
                                  <LOMN>3</LOMN>
                                  <LOMCN>1</LOMCN>
                                  <LOSN>1</LOSN>
                                  <LOEN>24</LOEN>
                                  <LOCN>2</LOCN>
                                </LnkInProps>
                              </LnkIn>
                            </Ctg>
                            <Ctg>
                              <CtgProps>
                                <R>4</R>
                              </CtgProps>
                              <LnkIn>
                                <LnkInProps>
                                  <MN>23</MN>
                                  <CLI>1,1,49,False,3</CLI>
                                  <ELN>1</ELN>
                                  <LOOT>0</LOOT>
                                  <LOMN>3</LOMN>
                                  <LOMCN>1</LOMCN>
                                  <LOSN>1</LOSN>
                                  <LOEN>24</LOEN>
                                  <LOCN>3</LOCN>
                                </LnkInProps>
                              </LnkIn>
                            </Ctg>
                            <Ctg>
                              <CtgProps>
                                <R>4</R>
                              </CtgProps>
                              <LnkIn>
                                <LnkInProps>
                                  <MN>23</MN>
                                  <CLI>1,1,49,False,4</CLI>
                                  <ELN>1</ELN>
                                  <LOOT>0</LOOT>
                                  <LOMN>3</LOMN>
                                  <LOMCN>1</LOMCN>
                                  <LOSN>1</LOSN>
                                  <LOEN>24</LOEN>
                                  <LOCN>4</LOCN>
                                </LnkInProps>
                              </LnkIn>
                            </Ctg>
                            <Ctg>
                              <CtgProps>
                                <R>4</R>
                              </CtgProps>
                              <LnkIn>
                                <LnkInProps>
                                  <MN>23</MN>
                                  <CLI>1,1,49,False,5</CLI>
                                  <ELN>1</ELN>
                                  <LOOT>0</LOOT>
                                  <LOMN>3</LOMN>
                                  <LOMCN>1</LOMCN>
                                  <LOSN>1</LOSN>
                                  <LOEN>24</LOEN>
                                  <LOCN>5</LOCN>
                                </LnkInProps>
                              </LnkIn>
                            </Ctg>
                            <Ctg>
                              <CtgProps>
                                <R>5</R>
                              </CtgProps>
                              <LnkIn>
                                <LnkInProps>
                                  <MN>23</MN>
                                  <CLI>1,1,49,False,6</CLI>
                                  <ELN>1</ELN>
                                  <LOOT>0</LOOT>
                                  <LOMN>3</LOMN>
                                  <LOMCN>1</LOMCN>
                                  <LOSN>1</LOSN>
                                  <LOEN>24</LOEN>
                                  <LOCN>6</LOCN>
                                </LnkInProps>
                              </LnkIn>
                            </Ctg>
                            <Ctg>
                              <CtgProps>
                                <R>5</R>
                              </CtgProps>
                              <LnkIn>
                                <LnkInProps>
                                  <MN>23</MN>
                                  <CLI>1,1,49,False,7</CLI>
                                  <ELN>1</ELN>
                                  <LOOT>0</LOOT>
                                  <LOMN>3</LOMN>
                                  <LOMCN>1</LOMCN>
                                  <LOSN>1</LOSN>
                                  <LOEN>24</LOEN>
                                  <LOCN>7</LOCN>
                                </LnkInProps>
                              </LnkIn>
                            </Ctg>
                            <Ctg>
                              <CtgProps>
                                <R>5</R>
                              </CtgProps>
                              <LnkIn>
                                <LnkInProps>
                                  <MN>23</MN>
                                  <CLI>1,1,49,False,8</CLI>
                                  <ELN>1</ELN>
                                  <LOOT>0</LOOT>
                                  <LOMN>3</LOMN>
                                  <LOMCN>1</LOMCN>
                                  <LOSN>1</LOSN>
                                  <LOEN>24</LOEN>
                                  <LOCN>8</LOCN>
                                </LnkInProps>
                              </LnkIn>
                            </Ctg>
                            <Ctg>
                              <CtgProps>
                                <R>5</R>
                              </CtgProps>
                              <LnkIn>
                                <LnkInProps>
                                  <MN>23</MN>
                                  <CLI>1,1,49,False,9</CLI>
                                  <ELN>1</ELN>
                                  <LOOT>0</LOOT>
                                  <LOMN>3</LOMN>
                                  <LOMCN>1</LOMCN>
                                  <LOSN>1</LOSN>
                                  <LOEN>24</LOEN>
                                  <LOCN>9</LOCN>
                                </LnkInProps>
                              </LnkIn>
                            </Ctg>
                            <Ctg>
                              <CtgProps>
                                <R>5</R>
                              </CtgProps>
                              <LnkIn>
                                <LnkInProps>
                                  <MN>23</MN>
                                  <CLI>1,1,49,False,10</CLI>
                                  <ELN>1</ELN>
                                  <LOOT>0</LOOT>
                                  <LOMN>3</LOMN>
                                  <LOMCN>1</LOMCN>
                                  <LOSN>1</LOSN>
                                  <LOEN>24</LOEN>
                                  <LOCN>10</LOCN>
                                </LnkInProps>
                              </LnkIn>
                            </Ctg>
                            <Ctg>
                              <CtgProps>
                                <R>5</R>
                              </CtgProps>
                              <LnkIn>
                                <LnkInProps>
                                  <MN>23</MN>
                                  <CLI>1,1,49,False,11</CLI>
                                  <ELN>1</ELN>
                                  <LOOT>0</LOOT>
                                  <LOMN>3</LOMN>
                                  <LOMCN>1</LOMCN>
                                  <LOSN>1</LOSN>
                                  <LOEN>24</LOEN>
                                  <LOCN>11</LOCN>
                                </LnkInProps>
                              </LnkIn>
                            </Ctg>
                            <Ctg>
                              <CtgProps>
                                <R>5</R>
                              </CtgProps>
                              <LnkIn>
                                <LnkInProps>
                                  <MN>23</MN>
                                  <CLI>1,1,49,False,12</CLI>
                                  <ELN>1</ELN>
                                  <LOOT>0</LOOT>
                                  <LOMN>3</LOMN>
                                  <LOMCN>1</LOMCN>
                                  <LOSN>1</LOSN>
                                  <LOEN>24</LOEN>
                                  <LOCN>12</LOCN>
                                </LnkInProps>
                              </LnkIn>
                            </Ctg>
                            <Ctg>
                              <CtgProps>
                                <R>5</R>
                              </CtgProps>
                              <LnkIn>
                                <LnkInProps>
                                  <MN>23</MN>
                                  <CLI>1,1,49,False,13</CLI>
                                  <ELN>1</ELN>
                                  <LOOT>0</LOOT>
                                  <LOMN>3</LOMN>
                                  <LOMCN>1</LOMCN>
                                  <LOSN>1</LOSN>
                                  <LOEN>24</LOEN>
                                  <LOCN>13</LOCN>
                                </LnkInProps>
                              </LnkIn>
                            </Ctg>
                            <Ctg>
                              <CtgProps>
                                <R>5</R>
                              </CtgProps>
                              <LnkIn>
                                <LnkInProps>
                                  <MN>23</MN>
                                  <CLI>1,1,49,False,14</CLI>
                                  <ELN>1</ELN>
                                  <LOOT>0</LOOT>
                                  <LOMN>3</LOMN>
                                  <LOMCN>1</LOMCN>
                                  <LOSN>1</LOSN>
                                  <LOEN>24</LOEN>
                                  <LOCN>14</LOCN>
                                </LnkInProps>
                              </LnkIn>
                            </Ctg>
                            <Ctg>
                              <CtgProps>
                                <R>5</R>
                              </CtgProps>
                              <LnkIn>
                                <LnkInProps>
                                  <MN>23</MN>
                                  <CLI>1,1,49,False,15</CLI>
                                  <ELN>1</ELN>
                                  <LOOT>0</LOOT>
                                  <LOMN>3</LOMN>
                                  <LOMCN>1</LOMCN>
                                  <LOSN>1</LOSN>
                                  <LOEN>24</LOEN>
                                  <LOCN>15</LOCN>
                                </LnkInProps>
                              </LnkIn>
                            </Ctg>
                            <Ctg>
                              <CtgProps>
                                <R>5</R>
                              </CtgProps>
                              <LnkIn>
                                <LnkInProps>
                                  <MN>23</MN>
                                  <CLI>1,1,49,False,16</CLI>
                                  <ELN>1</ELN>
                                  <LOOT>0</LOOT>
                                  <LOMN>3</LOMN>
                                  <LOMCN>1</LOMCN>
                                  <LOSN>1</LOSN>
                                  <LOEN>24</LOEN>
                                  <LOCN>16</LOCN>
                                </LnkInProps>
                              </LnkIn>
                            </Ctg>
                            <Ctg>
                              <CtgProps>
                                <R>5</R>
                              </CtgProps>
                              <LnkIn>
                                <LnkInProps>
                                  <MN>23</MN>
                                  <CLI>1,1,49,False,17</CLI>
                                  <ELN>1</ELN>
                                  <LOOT>0</LOOT>
                                  <LOMN>3</LOMN>
                                  <LOMCN>1</LOMCN>
                                  <LOSN>1</LOSN>
                                  <LOEN>24</LOEN>
                                  <LOCN>17</LOCN>
                                </LnkInProps>
                              </LnkIn>
                            </Ctg>
                            <Ctg>
                              <CtgProps>
                                <R>5</R>
                              </CtgProps>
                              <LnkIn>
                                <LnkInProps>
                                  <MN>23</MN>
                                  <CLI>1,1,49,False,18</CLI>
                                  <ELN>1</ELN>
                                  <LOOT>0</LOOT>
                                  <LOMN>3</LOMN>
                                  <LOMCN>1</LOMCN>
                                  <LOSN>1</LOSN>
                                  <LOEN>24</LOEN>
                                  <LOCN>18</LOCN>
                                </LnkInProps>
                              </LnkIn>
                            </Ctg>
                            <Ctg>
                              <CtgProps>
                                <R>5</R>
                              </CtgProps>
                              <LnkIn>
                                <LnkInProps>
                                  <MN>23</MN>
                                  <CLI>1,1,49,False,19</CLI>
                                  <ELN>1</ELN>
                                  <LOOT>0</LOOT>
                                  <LOMN>3</LOMN>
                                  <LOMCN>1</LOMCN>
                                  <LOSN>1</LOSN>
                                  <LOEN>24</LOEN>
                                  <LOCN>19</LOCN>
                                </LnkInProps>
                              </LnkIn>
                            </Ctg>
                            <Ctg>
                              <CtgProps>
                                <R>5</R>
                              </CtgProps>
                              <LnkIn>
                                <LnkInProps>
                                  <MN>23</MN>
                                  <CLI>1,1,49,False,20</CLI>
                                  <ELN>1</ELN>
                                  <LOOT>0</LOOT>
                                  <LOMN>3</LOMN>
                                  <LOMCN>1</LOMCN>
                                  <LOSN>1</LOSN>
                                  <LOEN>24</LOEN>
                                  <LOCN>20</LOCN>
                                </LnkInProps>
                              </LnkIn>
                            </Ctg>
                            <Ctg>
                              <CtgProps>
                                <R>5</R>
                              </CtgProps>
                              <LnkIn>
                                <LnkInProps>
                                  <MN>23</MN>
                                  <CLI>1,1,49,False,21</CLI>
                                  <ELN>1</ELN>
                                  <LOOT>0</LOOT>
                                  <LOMN>3</LOMN>
                                  <LOMCN>1</LOMCN>
                                  <LOSN>1</LOSN>
                                  <LOEN>24</LOEN>
                                  <LOCN>21</LOCN>
                                </LnkInProps>
                              </LnkIn>
                            </Ctg>
                            <Ctg>
                              <CtgProps>
                                <R>5</R>
                              </CtgProps>
                              <LnkIn>
                                <LnkInProps>
                                  <MN>23</MN>
                                  <CLI>1,1,49,False,22</CLI>
                                  <ELN>1</ELN>
                                  <LOOT>0</LOOT>
                                  <LOMN>3</LOMN>
                                  <LOMCN>1</LOMCN>
                                  <LOSN>1</LOSN>
                                  <LOEN>24</LOEN>
                                  <LOCN>22</LOCN>
                                </LnkInProps>
                              </LnkIn>
                            </Ctg>
                            <Ctg>
                              <CtgProps>
                                <R>5</R>
                              </CtgProps>
                              <LnkIn>
                                <LnkInProps>
                                  <MN>23</MN>
                                  <CLI>1,1,49,False,23</CLI>
                                  <ELN>1</ELN>
                                  <LOOT>0</LOOT>
                                  <LOMN>3</LOMN>
                                  <LOMCN>1</LOMCN>
                                  <LOSN>1</LOSN>
                                  <LOEN>24</LOEN>
                                  <LOCN>23</LOCN>
                                </LnkInProps>
                              </LnkIn>
                            </Ctg>
                            <Ctg>
                              <CtgProps>
                                <R>5</R>
                              </CtgProps>
                              <LnkIn>
                                <LnkInProps>
                                  <MN>23</MN>
                                  <CLI>1,1,49,False,24</CLI>
                                  <ELN>1</ELN>
                                  <LOOT>0</LOOT>
                                  <LOMN>3</LOMN>
                                  <LOMCN>1</LOMCN>
                                  <LOSN>1</LOSN>
                                  <LOEN>24</LOEN>
                                  <LOCN>24</LOCN>
                                </LnkInProps>
                              </LnkIn>
                            </Ctg>
                            <Ctg>
                              <CtgProps>
                                <R>5</R>
                              </CtgProps>
                              <LnkIn>
                                <LnkInProps>
                                  <MN>23</MN>
                                  <CLI>1,1,49,False,25</CLI>
                                  <ELN>1</ELN>
                                  <LOOT>0</LOOT>
                                  <LOMN>3</LOMN>
                                  <LOMCN>1</LOMCN>
                                  <LOSN>1</LOSN>
                                  <LOEN>24</LOEN>
                                  <LOCN>25</LOCN>
                                </LnkInProps>
                              </LnkIn>
                            </Ctg>
                            <Ctg>
                              <CtgProps>
                                <R>5</R>
                              </CtgProps>
                              <LnkIn>
                                <LnkInProps>
                                  <MN>23</MN>
                                  <CLI>1,1,49,False,26</CLI>
                                  <ELN>1</ELN>
                                  <LOOT>0</LOOT>
                                  <LOMN>3</LOMN>
                                  <LOMCN>1</LOMCN>
                                  <LOSN>1</LOSN>
                                  <LOEN>24</LOEN>
                                  <LOCN>26</LOCN>
                                </LnkInProps>
                              </LnkIn>
                            </Ctg>
                            <Ctg>
                              <CtgProps>
                                <R>5</R>
                              </CtgProps>
                              <LnkIn>
                                <LnkInProps>
                                  <MN>23</MN>
                                  <CLI>1,1,49,False,27</CLI>
                                  <ELN>1</ELN>
                                  <LOOT>0</LOOT>
                                  <LOMN>3</LOMN>
                                  <LOMCN>1</LOMCN>
                                  <LOSN>1</LOSN>
                                  <LOEN>24</LOEN>
                                  <LOCN>27</LOCN>
                                </LnkInProps>
                              </LnkIn>
                            </Ctg>
                            <Ctg>
                              <CtgProps>
                                <R>5</R>
                              </CtgProps>
                              <LnkIn>
                                <LnkInProps>
                                  <MN>23</MN>
                                  <CLI>1,1,49,False,28</CLI>
                                  <ELN>1</ELN>
                                  <LOOT>0</LOOT>
                                  <LOMN>3</LOMN>
                                  <LOMCN>1</LOMCN>
                                  <LOSN>1</LOSN>
                                  <LOEN>24</LOEN>
                                  <LOCN>28</LOCN>
                                </LnkInProps>
                              </LnkIn>
                            </Ctg>
                            <Ctg>
                              <CtgProps>
                                <R>5</R>
                              </CtgProps>
                              <LnkIn>
                                <LnkInProps>
                                  <MN>23</MN>
                                  <CLI>1,1,49,False,29</CLI>
                                  <ELN>1</ELN>
                                  <LOOT>0</LOOT>
                                  <LOMN>3</LOMN>
                                  <LOMCN>1</LOMCN>
                                  <LOSN>1</LOSN>
                                  <LOEN>24</LOEN>
                                  <LOCN>29</LOCN>
                                </LnkInProps>
                              </LnkIn>
                            </Ctg>
                            <Ctg>
                              <CtgProps>
                                <R>5</R>
                              </CtgProps>
                              <LnkIn>
                                <LnkInProps>
                                  <MN>23</MN>
                                  <CLI>1,1,49,False,30</CLI>
                                  <ELN>1</ELN>
                                  <LOOT>0</LOOT>
                                  <LOMN>3</LOMN>
                                  <LOMCN>1</LOMCN>
                                  <LOSN>1</LOSN>
                                  <LOEN>24</LOEN>
                                  <LOCN>30</LOCN>
                                </LnkInProps>
                              </LnkIn>
                            </Ctg>
                            <Ctg>
                              <CtgProps>
                                <R>5</R>
                              </CtgProps>
                              <LnkIn>
                                <LnkInProps>
                                  <MN>23</MN>
                                  <CLI>1,1,49,False,31</CLI>
                                  <ELN>1</ELN>
                                  <LOOT>0</LOOT>
                                  <LOMN>3</LOMN>
                                  <LOMCN>1</LOMCN>
                                  <LOSN>1</LOSN>
                                  <LOEN>24</LOEN>
                                  <LOCN>31</LOCN>
                                </LnkInProps>
                              </LnkIn>
                            </Ctg>
                            <Ctg>
                              <CtgProps>
                                <R>5</R>
                              </CtgProps>
                              <LnkIn>
                                <LnkInProps>
                                  <MN>23</MN>
                                  <CLI>1,1,49,False,32</CLI>
                                  <ELN>1</ELN>
                                  <LOOT>0</LOOT>
                                  <LOMN>3</LOMN>
                                  <LOMCN>1</LOMCN>
                                  <LOSN>1</LOSN>
                                  <LOEN>24</LOEN>
                                  <LOCN>32</LOCN>
                                </LnkInProps>
                              </LnkIn>
                            </Ctg>
                            <Ctg>
                              <CtgProps>
                                <R>5</R>
                              </CtgProps>
                              <LnkIn>
                                <LnkInProps>
                                  <MN>23</MN>
                                  <CLI>1,1,49,False,33</CLI>
                                  <ELN>1</ELN>
                                  <LOOT>0</LOOT>
                                  <LOMN>3</LOMN>
                                  <LOMCN>1</LOMCN>
                                  <LOSN>1</LOSN>
                                  <LOEN>24</LOEN>
                                  <LOCN>33</LOCN>
                                </LnkInProps>
                              </LnkIn>
                            </Ctg>
                            <Ctg>
                              <CtgProps>
                                <R>5</R>
                              </CtgProps>
                              <LnkIn>
                                <LnkInProps>
                                  <MN>23</MN>
                                  <CLI>1,1,49,False,34</CLI>
                                  <ELN>1</ELN>
                                  <LOOT>0</LOOT>
                                  <LOMN>3</LOMN>
                                  <LOMCN>1</LOMCN>
                                  <LOSN>1</LOSN>
                                  <LOEN>24</LOEN>
                                  <LOCN>34</LOCN>
                                </LnkInProps>
                              </LnkIn>
                            </Ctg>
                            <Ctg>
                              <CtgProps>
                                <R>5</R>
                              </CtgProps>
                              <LnkIn>
                                <LnkInProps>
                                  <MN>23</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23</MN>
                                  <CLI>1,1,53,False,1</CLI>
                                  <ELN>1</ELN>
                                  <LOOT>0</LOOT>
                                  <LOMN>3</LOMN>
                                  <LOMCN>1</LOMCN>
                                  <LOSN>1</LOSN>
                                  <LOEN>29</LOEN>
                                  <LOCN>1</LOCN>
                                </LnkInProps>
                              </LnkIn>
                            </Ctg>
                            <Ctg>
                              <CtgProps>
                                <R>4</R>
                              </CtgProps>
                              <LnkIn>
                                <LnkInProps>
                                  <MN>23</MN>
                                  <CLI>1,1,53,False,2</CLI>
                                  <ELN>1</ELN>
                                  <LOOT>0</LOOT>
                                  <LOMN>3</LOMN>
                                  <LOMCN>1</LOMCN>
                                  <LOSN>1</LOSN>
                                  <LOEN>29</LOEN>
                                  <LOCN>2</LOCN>
                                </LnkInProps>
                              </LnkIn>
                            </Ctg>
                            <Ctg>
                              <CtgProps>
                                <R>5</R>
                              </CtgProps>
                              <LnkIn>
                                <LnkInProps>
                                  <MN>23</MN>
                                  <CLI>1,1,53,False,3</CLI>
                                  <ELN>1</ELN>
                                  <LOOT>0</LOOT>
                                  <LOMN>3</LOMN>
                                  <LOMCN>1</LOMCN>
                                  <LOSN>1</LOSN>
                                  <LOEN>29</LOEN>
                                  <LOCN>3</LOCN>
                                </LnkInProps>
                              </LnkIn>
                            </Ctg>
                            <Ctg>
                              <CtgProps>
                                <R>5</R>
                              </CtgProps>
                              <LnkIn>
                                <LnkInProps>
                                  <MN>23</MN>
                                  <CLI>1,1,53,False,4</CLI>
                                  <ELN>1</ELN>
                                  <LOOT>0</LOOT>
                                  <LOMN>3</LOMN>
                                  <LOMCN>1</LOMCN>
                                  <LOSN>1</LOSN>
                                  <LOEN>29</LOEN>
                                  <LOCN>4</LOCN>
                                </LnkInProps>
                              </LnkIn>
                            </Ctg>
                            <Ctg>
                              <CtgProps>
                                <R>5</R>
                              </CtgProps>
                              <LnkIn>
                                <LnkInProps>
                                  <MN>23</MN>
                                  <CLI>1,1,53,False,5</CLI>
                                  <ELN>1</ELN>
                                  <LOOT>0</LOOT>
                                  <LOMN>3</LOMN>
                                  <LOMCN>1</LOMCN>
                                  <LOSN>1</LOSN>
                                  <LOEN>29</LOEN>
                                  <LOCN>5</LOCN>
                                </LnkInProps>
                              </LnkIn>
                            </Ctg>
                            <Ctg>
                              <CtgProps>
                                <R>5</R>
                              </CtgProps>
                              <LnkIn>
                                <LnkInProps>
                                  <MN>23</MN>
                                  <CLI>1,1,53,False,6</CLI>
                                  <ELN>1</ELN>
                                  <LOOT>0</LOOT>
                                  <LOMN>3</LOMN>
                                  <LOMCN>1</LOMCN>
                                  <LOSN>1</LOSN>
                                  <LOEN>29</LOEN>
                                  <LOCN>6</LOCN>
                                </LnkInProps>
                              </LnkIn>
                            </Ctg>
                            <Ctg>
                              <CtgProps>
                                <R>5</R>
                              </CtgProps>
                              <LnkIn>
                                <LnkInProps>
                                  <MN>23</MN>
                                  <CLI>1,1,53,False,7</CLI>
                                  <ELN>1</ELN>
                                  <LOOT>0</LOOT>
                                  <LOMN>3</LOMN>
                                  <LOMCN>1</LOMCN>
                                  <LOSN>1</LOSN>
                                  <LOEN>29</LOEN>
                                  <LOCN>7</LOCN>
                                </LnkInProps>
                              </LnkIn>
                            </Ctg>
                            <Ctg>
                              <CtgProps>
                                <R>5</R>
                              </CtgProps>
                              <LnkIn>
                                <LnkInProps>
                                  <MN>23</MN>
                                  <CLI>1,1,53,False,8</CLI>
                                  <ELN>1</ELN>
                                  <LOOT>0</LOOT>
                                  <LOMN>3</LOMN>
                                  <LOMCN>1</LOMCN>
                                  <LOSN>1</LOSN>
                                  <LOEN>29</LOEN>
                                  <LOCN>8</LOCN>
                                </LnkInProps>
                              </LnkIn>
                            </Ctg>
                            <Ctg>
                              <CtgProps>
                                <R>5</R>
                              </CtgProps>
                              <LnkIn>
                                <LnkInProps>
                                  <MN>23</MN>
                                  <CLI>1,1,53,False,9</CLI>
                                  <ELN>1</ELN>
                                  <LOOT>0</LOOT>
                                  <LOMN>3</LOMN>
                                  <LOMCN>1</LOMCN>
                                  <LOSN>1</LOSN>
                                  <LOEN>29</LOEN>
                                  <LOCN>9</LOCN>
                                </LnkInProps>
                              </LnkIn>
                            </Ctg>
                            <Ctg>
                              <CtgProps>
                                <R>5</R>
                              </CtgProps>
                              <LnkIn>
                                <LnkInProps>
                                  <MN>23</MN>
                                  <CLI>1,1,53,False,10</CLI>
                                  <ELN>1</ELN>
                                  <LOOT>0</LOOT>
                                  <LOMN>3</LOMN>
                                  <LOMCN>1</LOMCN>
                                  <LOSN>1</LOSN>
                                  <LOEN>29</LOEN>
                                  <LOCN>10</LOCN>
                                </LnkInProps>
                              </LnkIn>
                            </Ctg>
                            <Ctg>
                              <CtgProps>
                                <R>5</R>
                              </CtgProps>
                              <LnkIn>
                                <LnkInProps>
                                  <MN>23</MN>
                                  <CLI>1,1,53,False,11</CLI>
                                  <ELN>1</ELN>
                                  <LOOT>0</LOOT>
                                  <LOMN>3</LOMN>
                                  <LOMCN>1</LOMCN>
                                  <LOSN>1</LOSN>
                                  <LOEN>29</LOEN>
                                  <LOCN>11</LOCN>
                                </LnkInProps>
                              </LnkIn>
                            </Ctg>
                            <Ctg>
                              <CtgProps>
                                <R>5</R>
                              </CtgProps>
                              <LnkIn>
                                <LnkInProps>
                                  <MN>23</MN>
                                  <CLI>1,1,53,False,12</CLI>
                                  <ELN>1</ELN>
                                  <LOOT>0</LOOT>
                                  <LOMN>3</LOMN>
                                  <LOMCN>1</LOMCN>
                                  <LOSN>1</LOSN>
                                  <LOEN>29</LOEN>
                                  <LOCN>12</LOCN>
                                </LnkInProps>
                              </LnkIn>
                            </Ctg>
                            <Ctg>
                              <CtgProps>
                                <R>5</R>
                              </CtgProps>
                              <LnkIn>
                                <LnkInProps>
                                  <MN>23</MN>
                                  <CLI>1,1,53,False,13</CLI>
                                  <ELN>1</ELN>
                                  <LOOT>0</LOOT>
                                  <LOMN>3</LOMN>
                                  <LOMCN>1</LOMCN>
                                  <LOSN>1</LOSN>
                                  <LOEN>29</LOEN>
                                  <LOCN>13</LOCN>
                                </LnkInProps>
                              </LnkIn>
                            </Ctg>
                            <Ctg>
                              <CtgProps>
                                <R>5</R>
                              </CtgProps>
                              <LnkIn>
                                <LnkInProps>
                                  <MN>23</MN>
                                  <CLI>1,1,53,False,14</CLI>
                                  <ELN>1</ELN>
                                  <LOOT>0</LOOT>
                                  <LOMN>3</LOMN>
                                  <LOMCN>1</LOMCN>
                                  <LOSN>1</LOSN>
                                  <LOEN>29</LOEN>
                                  <LOCN>14</LOCN>
                                </LnkInProps>
                              </LnkIn>
                            </Ctg>
                            <Ctg>
                              <CtgProps>
                                <R>5</R>
                              </CtgProps>
                              <LnkIn>
                                <LnkInProps>
                                  <MN>23</MN>
                                  <CLI>1,1,53,False,15</CLI>
                                  <ELN>1</ELN>
                                  <LOOT>0</LOOT>
                                  <LOMN>3</LOMN>
                                  <LOMCN>1</LOMCN>
                                  <LOSN>1</LOSN>
                                  <LOEN>29</LOEN>
                                  <LOCN>15</LOCN>
                                </LnkInProps>
                              </LnkIn>
                            </Ctg>
                            <Ctg>
                              <CtgProps>
                                <R>5</R>
                              </CtgProps>
                              <LnkIn>
                                <LnkInProps>
                                  <MN>23</MN>
                                  <CLI>1,1,53,False,16</CLI>
                                  <ELN>1</ELN>
                                  <LOOT>0</LOOT>
                                  <LOMN>3</LOMN>
                                  <LOMCN>1</LOMCN>
                                  <LOSN>1</LOSN>
                                  <LOEN>29</LOEN>
                                  <LOCN>16</LOCN>
                                </LnkInProps>
                              </LnkIn>
                            </Ctg>
                            <Ctg>
                              <CtgProps>
                                <R>5</R>
                              </CtgProps>
                              <LnkIn>
                                <LnkInProps>
                                  <MN>23</MN>
                                  <CLI>1,1,53,False,17</CLI>
                                  <ELN>1</ELN>
                                  <LOOT>0</LOOT>
                                  <LOMN>3</LOMN>
                                  <LOMCN>1</LOMCN>
                                  <LOSN>1</LOSN>
                                  <LOEN>29</LOEN>
                                  <LOCN>17</LOCN>
                                </LnkInProps>
                              </LnkIn>
                            </Ctg>
                            <Ctg>
                              <CtgProps>
                                <R>5</R>
                              </CtgProps>
                              <LnkIn>
                                <LnkInProps>
                                  <MN>23</MN>
                                  <CLI>1,1,53,False,18</CLI>
                                  <ELN>1</ELN>
                                  <LOOT>0</LOOT>
                                  <LOMN>3</LOMN>
                                  <LOMCN>1</LOMCN>
                                  <LOSN>1</LOSN>
                                  <LOEN>29</LOEN>
                                  <LOCN>18</LOCN>
                                </LnkInProps>
                              </LnkIn>
                            </Ctg>
                            <Ctg>
                              <CtgProps>
                                <R>5</R>
                              </CtgProps>
                              <LnkIn>
                                <LnkInProps>
                                  <MN>23</MN>
                                  <CLI>1,1,53,False,19</CLI>
                                  <ELN>1</ELN>
                                  <LOOT>0</LOOT>
                                  <LOMN>3</LOMN>
                                  <LOMCN>1</LOMCN>
                                  <LOSN>1</LOSN>
                                  <LOEN>29</LOEN>
                                  <LOCN>19</LOCN>
                                </LnkInProps>
                              </LnkIn>
                            </Ctg>
                            <Ctg>
                              <CtgProps>
                                <R>5</R>
                              </CtgProps>
                              <LnkIn>
                                <LnkInProps>
                                  <MN>23</MN>
                                  <CLI>1,1,53,False,20</CLI>
                                  <ELN>1</ELN>
                                  <LOOT>0</LOOT>
                                  <LOMN>3</LOMN>
                                  <LOMCN>1</LOMCN>
                                  <LOSN>1</LOSN>
                                  <LOEN>29</LOEN>
                                  <LOCN>20</LOCN>
                                </LnkInProps>
                              </LnkIn>
                            </Ctg>
                            <Ctg>
                              <CtgProps>
                                <R>5</R>
                              </CtgProps>
                              <LnkIn>
                                <LnkInProps>
                                  <MN>23</MN>
                                  <CLI>1,1,53,False,21</CLI>
                                  <ELN>1</ELN>
                                  <LOOT>0</LOOT>
                                  <LOMN>3</LOMN>
                                  <LOMCN>1</LOMCN>
                                  <LOSN>1</LOSN>
                                  <LOEN>29</LOEN>
                                  <LOCN>21</LOCN>
                                </LnkInProps>
                              </LnkIn>
                            </Ctg>
                            <Ctg>
                              <CtgProps>
                                <R>5</R>
                              </CtgProps>
                              <LnkIn>
                                <LnkInProps>
                                  <MN>23</MN>
                                  <CLI>1,1,53,False,22</CLI>
                                  <ELN>1</ELN>
                                  <LOOT>0</LOOT>
                                  <LOMN>3</LOMN>
                                  <LOMCN>1</LOMCN>
                                  <LOSN>1</LOSN>
                                  <LOEN>29</LOEN>
                                  <LOCN>22</LOCN>
                                </LnkInProps>
                              </LnkIn>
                            </Ctg>
                            <Ctg>
                              <CtgProps>
                                <R>5</R>
                              </CtgProps>
                              <LnkIn>
                                <LnkInProps>
                                  <MN>23</MN>
                                  <CLI>1,1,53,False,23</CLI>
                                  <ELN>1</ELN>
                                  <LOOT>0</LOOT>
                                  <LOMN>3</LOMN>
                                  <LOMCN>1</LOMCN>
                                  <LOSN>1</LOSN>
                                  <LOEN>29</LOEN>
                                  <LOCN>23</LOCN>
                                </LnkInProps>
                              </LnkIn>
                            </Ctg>
                            <Ctg>
                              <CtgProps>
                                <R>5</R>
                              </CtgProps>
                              <LnkIn>
                                <LnkInProps>
                                  <MN>23</MN>
                                  <CLI>1,1,53,False,24</CLI>
                                  <ELN>1</ELN>
                                  <LOOT>0</LOOT>
                                  <LOMN>3</LOMN>
                                  <LOMCN>1</LOMCN>
                                  <LOSN>1</LOSN>
                                  <LOEN>29</LOEN>
                                  <LOCN>24</LOCN>
                                </LnkInProps>
                              </LnkIn>
                            </Ctg>
                            <Ctg>
                              <CtgProps>
                                <R>5</R>
                              </CtgProps>
                              <LnkIn>
                                <LnkInProps>
                                  <MN>23</MN>
                                  <CLI>1,1,53,False,25</CLI>
                                  <ELN>1</ELN>
                                  <LOOT>0</LOOT>
                                  <LOMN>3</LOMN>
                                  <LOMCN>1</LOMCN>
                                  <LOSN>1</LOSN>
                                  <LOEN>29</LOEN>
                                  <LOCN>25</LOCN>
                                </LnkInProps>
                              </LnkIn>
                            </Ctg>
                            <Ctg>
                              <CtgProps>
                                <R>5</R>
                              </CtgProps>
                              <LnkIn>
                                <LnkInProps>
                                  <MN>23</MN>
                                  <CLI>1,1,53,False,26</CLI>
                                  <ELN>1</ELN>
                                  <LOOT>0</LOOT>
                                  <LOMN>3</LOMN>
                                  <LOMCN>1</LOMCN>
                                  <LOSN>1</LOSN>
                                  <LOEN>29</LOEN>
                                  <LOCN>26</LOCN>
                                </LnkInProps>
                              </LnkIn>
                            </Ctg>
                            <Ctg>
                              <CtgProps>
                                <R>5</R>
                              </CtgProps>
                              <LnkIn>
                                <LnkInProps>
                                  <MN>23</MN>
                                  <CLI>1,1,53,False,27</CLI>
                                  <ELN>1</ELN>
                                  <LOOT>0</LOOT>
                                  <LOMN>3</LOMN>
                                  <LOMCN>1</LOMCN>
                                  <LOSN>1</LOSN>
                                  <LOEN>29</LOEN>
                                  <LOCN>27</LOCN>
                                </LnkInProps>
                              </LnkIn>
                            </Ctg>
                            <Ctg>
                              <CtgProps>
                                <R>5</R>
                              </CtgProps>
                              <LnkIn>
                                <LnkInProps>
                                  <MN>23</MN>
                                  <CLI>1,1,53,False,28</CLI>
                                  <ELN>1</ELN>
                                  <LOOT>0</LOOT>
                                  <LOMN>3</LOMN>
                                  <LOMCN>1</LOMCN>
                                  <LOSN>1</LOSN>
                                  <LOEN>29</LOEN>
                                  <LOCN>28</LOCN>
                                </LnkInProps>
                              </LnkIn>
                            </Ctg>
                            <Ctg>
                              <CtgProps>
                                <R>5</R>
                              </CtgProps>
                              <LnkIn>
                                <LnkInProps>
                                  <MN>23</MN>
                                  <CLI>1,1,53,False,29</CLI>
                                  <ELN>1</ELN>
                                  <LOOT>0</LOOT>
                                  <LOMN>3</LOMN>
                                  <LOMCN>1</LOMCN>
                                  <LOSN>1</LOSN>
                                  <LOEN>29</LOEN>
                                  <LOCN>29</LOCN>
                                </LnkInProps>
                              </LnkIn>
                            </Ctg>
                            <Ctg>
                              <CtgProps>
                                <R>5</R>
                              </CtgProps>
                              <LnkIn>
                                <LnkInProps>
                                  <MN>23</MN>
                                  <CLI>1,1,53,False,30</CLI>
                                  <ELN>1</ELN>
                                  <LOOT>0</LOOT>
                                  <LOMN>3</LOMN>
                                  <LOMCN>1</LOMCN>
                                  <LOSN>1</LOSN>
                                  <LOEN>29</LOEN>
                                  <LOCN>30</LOCN>
                                </LnkInProps>
                              </LnkIn>
                            </Ctg>
                            <Ctg>
                              <CtgProps>
                                <R>5</R>
                              </CtgProps>
                              <LnkIn>
                                <LnkInProps>
                                  <MN>23</MN>
                                  <CLI>1,1,53,False,31</CLI>
                                  <ELN>1</ELN>
                                  <LOOT>0</LOOT>
                                  <LOMN>3</LOMN>
                                  <LOMCN>1</LOMCN>
                                  <LOSN>1</LOSN>
                                  <LOEN>29</LOEN>
                                  <LOCN>31</LOCN>
                                </LnkInProps>
                              </LnkIn>
                            </Ctg>
                            <Ctg>
                              <CtgProps>
                                <R>5</R>
                              </CtgProps>
                              <LnkIn>
                                <LnkInProps>
                                  <MN>23</MN>
                                  <CLI>1,1,53,False,32</CLI>
                                  <ELN>1</ELN>
                                  <LOOT>0</LOOT>
                                  <LOMN>3</LOMN>
                                  <LOMCN>1</LOMCN>
                                  <LOSN>1</LOSN>
                                  <LOEN>29</LOEN>
                                  <LOCN>32</LOCN>
                                </LnkInProps>
                              </LnkIn>
                            </Ctg>
                            <Ctg>
                              <CtgProps>
                                <R>5</R>
                              </CtgProps>
                              <LnkIn>
                                <LnkInProps>
                                  <MN>23</MN>
                                  <CLI>1,1,53,False,33</CLI>
                                  <ELN>1</ELN>
                                  <LOOT>0</LOOT>
                                  <LOMN>3</LOMN>
                                  <LOMCN>1</LOMCN>
                                  <LOSN>1</LOSN>
                                  <LOEN>29</LOEN>
                                  <LOCN>33</LOCN>
                                </LnkInProps>
                              </LnkIn>
                            </Ctg>
                            <Ctg>
                              <CtgProps>
                                <R>5</R>
                              </CtgProps>
                              <LnkIn>
                                <LnkInProps>
                                  <MN>23</MN>
                                  <CLI>1,1,53,False,34</CLI>
                                  <ELN>1</ELN>
                                  <LOOT>0</LOOT>
                                  <LOMN>3</LOMN>
                                  <LOMCN>1</LOMCN>
                                  <LOSN>1</LOSN>
                                  <LOEN>29</LOEN>
                                  <LOCN>34</LOCN>
                                </LnkInProps>
                              </LnkIn>
                            </Ctg>
                            <Ctg>
                              <CtgProps>
                                <R>5</R>
                              </CtgProps>
                              <LnkIn>
                                <LnkInProps>
                                  <MN>23</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23</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23</MN>
                <MCN>2</MCN>
                <MCTK>BaseCase</MCTK>
                <RT><![CDATA[<ModuleName> - Assumptions]]></RT>
                <ERN>BPMMC84</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56</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23</MN>
                <MCN>3</MCN>
                <MCTK>OP</MCTK>
                <RT><![CDATA[<ModuleName> - Outputs]]></RT>
                <ERN>BPMMC85</ERN>
                <MCST>0</MCST>
                <IPMC>False</IPMC>
                <SN>30</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NT>
                                    <SP1><![CDATA[RND1_HQA]]></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23</MN>
                <MCN>4</MCN>
                <MCTK>LU</MCTK>
                <RT><![CDATA[<ModuleName> - Lookups]]></RT>
                <ERN>BPMMC86</ERN>
                <MCST>3</MCST>
                <IPMC>False</IPMC>
                <SN>49</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58</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2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2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2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2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2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2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26</MN>
            <MAG>45338FE0-6C0B-4A55-A5AC-B1F2F9D32FCD</MAG>
            <BN><![CDATA[PLUG_ACTIVITY]]></BN>
            <N><![CDATA[ROUND1- FIELD SUPERVISION]]></N>
            <TS><![CDATA[Annual]]></TS>
            <D><![CDATA[Assists with planning the cost of an activity. Should be used with Prices module.]]></D>
            <FS/>
            <R/>
            <GE/>
            <CA/>
            <VA/>
            <GST/>
            <DE/>
            <E/>
            <C/>
            <W/>
            <K/>
            <CO/>
            <V>1.0.0.0.</V>
            <AX/>
            <PMLO>False</PMLO>
            <IPMLO>False</IPMLO>
            <MACA>1</MACA>
            <RTSM>True</RTSM>
            <CC>True</CC>
            <X>False</X>
            <G>844346E4-00FF-4347-A307-FD79CD727DA2</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24</MN>
                <MCN>1</MCN>
                <MCTK>BaseCase</MCTK>
                <RT><![CDATA[<ModuleName> - Assumptions]]></RT>
                <ERN>BPMMC8</ERN>
                <MCST>0</MCST>
                <IPMC>False</IPMC>
                <SN>20</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45</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13</LCN>
                          </ClmnBlkProps>
                          <ClmnBlkPts>
                            <ClmnBlkPt>
                              <ClmnBlkPtProps>
                                <CBPT>5</CBPT>
                                <ST>8</ST>
                                <MC>True</MC>
                                <VOFFF><![CDATA[AEFI Monitoring and Response]]></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6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24</MN>
                                  <CLI>1,1,34,False,1</CLI>
                                  <ELN>1</ELN>
                                  <LOOT>0</LOOT>
                                  <LOMN>3</LOMN>
                                  <LOMCN>2</LOMCN>
                                  <LOSN>1</LOSN>
                                  <LOEN>4</LOEN>
                                  <LOCN>1</LOCN>
                                </LnkInProps>
                              </LnkIn>
                            </Ctg>
                            <Ctg>
                              <CtgProps>
                                <R>5</R>
                              </CtgProps>
                              <LnkIn>
                                <LnkInProps>
                                  <MN>24</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24</MN>
                                  <CLI>1,1,39,False,1</CLI>
                                  <ELN>1</ELN>
                                  <LOOT>0</LOOT>
                                  <LOMN>3</LOMN>
                                  <LOMCN>1</LOMCN>
                                  <LOSN>1</LOSN>
                                  <LOEN>10</LOEN>
                                  <LOCN>1</LOCN>
                                </LnkInProps>
                              </LnkIn>
                            </Ctg>
                            <Ctg>
                              <CtgProps>
                                <R>4</R>
                              </CtgProps>
                              <LnkIn>
                                <LnkInProps>
                                  <MN>24</MN>
                                  <CLI>1,1,39,False,2</CLI>
                                  <ELN>1</ELN>
                                  <LOOT>0</LOOT>
                                  <LOMN>3</LOMN>
                                  <LOMCN>1</LOMCN>
                                  <LOSN>1</LOSN>
                                  <LOEN>10</LOEN>
                                  <LOCN>2</LOCN>
                                </LnkInProps>
                              </LnkIn>
                            </Ctg>
                            <Ctg>
                              <CtgProps>
                                <R>4</R>
                              </CtgProps>
                              <LnkIn>
                                <LnkInProps>
                                  <MN>24</MN>
                                  <CLI>1,1,39,False,3</CLI>
                                  <ELN>1</ELN>
                                  <LOOT>0</LOOT>
                                  <LOMN>3</LOMN>
                                  <LOMCN>1</LOMCN>
                                  <LOSN>1</LOSN>
                                  <LOEN>10</LOEN>
                                  <LOCN>3</LOCN>
                                </LnkInProps>
                              </LnkIn>
                            </Ctg>
                            <Ctg>
                              <CtgProps>
                                <R>4</R>
                              </CtgProps>
                              <LnkIn>
                                <LnkInProps>
                                  <MN>24</MN>
                                  <CLI>1,1,39,False,4</CLI>
                                  <ELN>1</ELN>
                                  <LOOT>0</LOOT>
                                  <LOMN>3</LOMN>
                                  <LOMCN>1</LOMCN>
                                  <LOSN>1</LOSN>
                                  <LOEN>10</LOEN>
                                  <LOCN>4</LOCN>
                                </LnkInProps>
                              </LnkIn>
                            </Ctg>
                            <Ctg>
                              <CtgProps>
                                <R>4</R>
                              </CtgProps>
                              <LnkIn>
                                <LnkInProps>
                                  <MN>24</MN>
                                  <CLI>1,1,39,False,5</CLI>
                                  <ELN>1</ELN>
                                  <LOOT>0</LOOT>
                                  <LOMN>3</LOMN>
                                  <LOMCN>1</LOMCN>
                                  <LOSN>1</LOSN>
                                  <LOEN>10</LOEN>
                                  <LOCN>5</LOCN>
                                </LnkInProps>
                              </LnkIn>
                            </Ctg>
                            <Ctg>
                              <CtgProps>
                                <R>4</R>
                              </CtgProps>
                              <LnkIn>
                                <LnkInProps>
                                  <MN>24</MN>
                                  <CLI>1,1,39,False,6</CLI>
                                  <ELN>1</ELN>
                                  <LOOT>0</LOOT>
                                  <LOMN>3</LOMN>
                                  <LOMCN>1</LOMCN>
                                  <LOSN>1</LOSN>
                                  <LOEN>10</LOEN>
                                  <LOCN>6</LOCN>
                                </LnkInProps>
                              </LnkIn>
                            </Ctg>
                            <Ctg>
                              <CtgProps>
                                <R>4</R>
                              </CtgProps>
                              <LnkIn>
                                <LnkInProps>
                                  <MN>24</MN>
                                  <CLI>1,1,39,False,7</CLI>
                                  <ELN>1</ELN>
                                  <LOOT>0</LOOT>
                                  <LOMN>3</LOMN>
                                  <LOMCN>1</LOMCN>
                                  <LOSN>1</LOSN>
                                  <LOEN>10</LOEN>
                                  <LOCN>7</LOCN>
                                </LnkInProps>
                              </LnkIn>
                            </Ctg>
                            <Ctg>
                              <CtgProps>
                                <R>4</R>
                              </CtgProps>
                              <LnkIn>
                                <LnkInProps>
                                  <MN>24</MN>
                                  <CLI>1,1,39,False,8</CLI>
                                  <ELN>1</ELN>
                                  <LOOT>0</LOOT>
                                  <LOMN>3</LOMN>
                                  <LOMCN>1</LOMCN>
                                  <LOSN>1</LOSN>
                                  <LOEN>10</LOEN>
                                  <LOCN>8</LOCN>
                                </LnkInProps>
                              </LnkIn>
                            </Ctg>
                            <Ctg>
                              <CtgProps>
                                <R>4</R>
                              </CtgProps>
                              <LnkIn>
                                <LnkInProps>
                                  <MN>24</MN>
                                  <CLI>1,1,39,False,9</CLI>
                                  <ELN>1</ELN>
                                  <LOOT>0</LOOT>
                                  <LOMN>3</LOMN>
                                  <LOMCN>1</LOMCN>
                                  <LOSN>1</LOSN>
                                  <LOEN>10</LOEN>
                                  <LOCN>9</LOCN>
                                </LnkInProps>
                              </LnkIn>
                            </Ctg>
                            <Ctg>
                              <CtgProps>
                                <R>4</R>
                              </CtgProps>
                              <LnkIn>
                                <LnkInProps>
                                  <MN>24</MN>
                                  <CLI>1,1,39,False,10</CLI>
                                  <ELN>1</ELN>
                                  <LOOT>0</LOOT>
                                  <LOMN>3</LOMN>
                                  <LOMCN>1</LOMCN>
                                  <LOSN>1</LOSN>
                                  <LOEN>10</LOEN>
                                  <LOCN>10</LOCN>
                                </LnkInProps>
                              </LnkIn>
                            </Ctg>
                            <Ctg>
                              <CtgProps>
                                <R>4</R>
                              </CtgProps>
                              <LnkIn>
                                <LnkInProps>
                                  <MN>24</MN>
                                  <CLI>1,1,39,False,11</CLI>
                                  <ELN>1</ELN>
                                  <LOOT>0</LOOT>
                                  <LOMN>3</LOMN>
                                  <LOMCN>1</LOMCN>
                                  <LOSN>1</LOSN>
                                  <LOEN>10</LOEN>
                                  <LOCN>11</LOCN>
                                </LnkInProps>
                              </LnkIn>
                            </Ctg>
                            <Ctg>
                              <CtgProps>
                                <R>4</R>
                              </CtgProps>
                              <LnkIn>
                                <LnkInProps>
                                  <MN>24</MN>
                                  <CLI>1,1,39,False,12</CLI>
                                  <ELN>1</ELN>
                                  <LOOT>0</LOOT>
                                  <LOMN>3</LOMN>
                                  <LOMCN>1</LOMCN>
                                  <LOSN>1</LOSN>
                                  <LOEN>10</LOEN>
                                  <LOCN>12</LOCN>
                                </LnkInProps>
                              </LnkIn>
                            </Ctg>
                            <Ctg>
                              <CtgProps>
                                <R>4</R>
                              </CtgProps>
                              <LnkIn>
                                <LnkInProps>
                                  <MN>24</MN>
                                  <CLI>1,1,39,False,13</CLI>
                                  <ELN>1</ELN>
                                  <LOOT>0</LOOT>
                                  <LOMN>3</LOMN>
                                  <LOMCN>1</LOMCN>
                                  <LOSN>1</LOSN>
                                  <LOEN>10</LOEN>
                                  <LOCN>13</LOCN>
                                </LnkInProps>
                              </LnkIn>
                            </Ctg>
                            <Ctg>
                              <CtgProps>
                                <R>4</R>
                              </CtgProps>
                              <LnkIn>
                                <LnkInProps>
                                  <MN>24</MN>
                                  <CLI>1,1,39,False,14</CLI>
                                  <ELN>1</ELN>
                                  <LOOT>0</LOOT>
                                  <LOMN>3</LOMN>
                                  <LOMCN>1</LOMCN>
                                  <LOSN>1</LOSN>
                                  <LOEN>10</LOEN>
                                  <LOCN>14</LOCN>
                                </LnkInProps>
                              </LnkIn>
                            </Ctg>
                            <Ctg>
                              <CtgProps>
                                <R>5</R>
                              </CtgProps>
                              <LnkIn>
                                <LnkInProps>
                                  <MN>24</MN>
                                  <CLI>1,1,39,False,15</CLI>
                                  <ELN>1</ELN>
                                  <LOOT>0</LOOT>
                                  <LOMN>3</LOMN>
                                  <LOMCN>1</LOMCN>
                                  <LOSN>1</LOSN>
                                  <LOEN>10</LOEN>
                                  <LOCN>15</LOCN>
                                </LnkInProps>
                              </LnkIn>
                            </Ctg>
                            <Ctg>
                              <CtgProps>
                                <R>5</R>
                              </CtgProps>
                              <LnkIn>
                                <LnkInProps>
                                  <MN>24</MN>
                                  <CLI>1,1,39,False,16</CLI>
                                  <ELN>1</ELN>
                                  <LOOT>0</LOOT>
                                  <LOMN>3</LOMN>
                                  <LOMCN>1</LOMCN>
                                  <LOSN>1</LOSN>
                                  <LOEN>10</LOEN>
                                  <LOCN>16</LOCN>
                                </LnkInProps>
                              </LnkIn>
                            </Ctg>
                            <Ctg>
                              <CtgProps>
                                <R>5</R>
                              </CtgProps>
                              <LnkIn>
                                <LnkInProps>
                                  <MN>24</MN>
                                  <CLI>1,1,39,False,17</CLI>
                                  <ELN>1</ELN>
                                  <LOOT>0</LOOT>
                                  <LOMN>3</LOMN>
                                  <LOMCN>1</LOMCN>
                                  <LOSN>1</LOSN>
                                  <LOEN>10</LOEN>
                                  <LOCN>17</LOCN>
                                </LnkInProps>
                              </LnkIn>
                            </Ctg>
                            <Ctg>
                              <CtgProps>
                                <R>5</R>
                              </CtgProps>
                              <LnkIn>
                                <LnkInProps>
                                  <MN>24</MN>
                                  <CLI>1,1,39,False,18</CLI>
                                  <ELN>1</ELN>
                                  <LOOT>0</LOOT>
                                  <LOMN>3</LOMN>
                                  <LOMCN>1</LOMCN>
                                  <LOSN>1</LOSN>
                                  <LOEN>10</LOEN>
                                  <LOCN>18</LOCN>
                                </LnkInProps>
                              </LnkIn>
                            </Ctg>
                            <Ctg>
                              <CtgProps>
                                <R>5</R>
                              </CtgProps>
                              <LnkIn>
                                <LnkInProps>
                                  <MN>24</MN>
                                  <CLI>1,1,39,False,19</CLI>
                                  <ELN>1</ELN>
                                  <LOOT>0</LOOT>
                                  <LOMN>3</LOMN>
                                  <LOMCN>1</LOMCN>
                                  <LOSN>1</LOSN>
                                  <LOEN>10</LOEN>
                                  <LOCN>19</LOCN>
                                </LnkInProps>
                              </LnkIn>
                            </Ctg>
                            <Ctg>
                              <CtgProps>
                                <R>5</R>
                              </CtgProps>
                              <LnkIn>
                                <LnkInProps>
                                  <MN>24</MN>
                                  <CLI>1,1,39,False,20</CLI>
                                  <ELN>1</ELN>
                                  <LOOT>0</LOOT>
                                  <LOMN>3</LOMN>
                                  <LOMCN>1</LOMCN>
                                  <LOSN>1</LOSN>
                                  <LOEN>10</LOEN>
                                  <LOCN>20</LOCN>
                                </LnkInProps>
                              </LnkIn>
                            </Ctg>
                            <Ctg>
                              <CtgProps>
                                <R>5</R>
                              </CtgProps>
                              <LnkIn>
                                <LnkInProps>
                                  <MN>24</MN>
                                  <CLI>1,1,39,False,21</CLI>
                                  <ELN>1</ELN>
                                  <LOOT>0</LOOT>
                                  <LOMN>3</LOMN>
                                  <LOMCN>1</LOMCN>
                                  <LOSN>1</LOSN>
                                  <LOEN>10</LOEN>
                                  <LOCN>21</LOCN>
                                </LnkInProps>
                              </LnkIn>
                            </Ctg>
                            <Ctg>
                              <CtgProps>
                                <R>5</R>
                              </CtgProps>
                              <LnkIn>
                                <LnkInProps>
                                  <MN>24</MN>
                                  <CLI>1,1,39,False,22</CLI>
                                  <ELN>1</ELN>
                                  <LOOT>0</LOOT>
                                  <LOMN>3</LOMN>
                                  <LOMCN>1</LOMCN>
                                  <LOSN>1</LOSN>
                                  <LOEN>10</LOEN>
                                  <LOCN>22</LOCN>
                                </LnkInProps>
                              </LnkIn>
                            </Ctg>
                            <Ctg>
                              <CtgProps>
                                <R>5</R>
                              </CtgProps>
                              <LnkIn>
                                <LnkInProps>
                                  <MN>24</MN>
                                  <CLI>1,1,39,False,23</CLI>
                                  <ELN>1</ELN>
                                  <LOOT>0</LOOT>
                                  <LOMN>3</LOMN>
                                  <LOMCN>1</LOMCN>
                                  <LOSN>1</LOSN>
                                  <LOEN>10</LOEN>
                                  <LOCN>23</LOCN>
                                </LnkInProps>
                              </LnkIn>
                            </Ctg>
                            <Ctg>
                              <CtgProps>
                                <R>5</R>
                              </CtgProps>
                              <LnkIn>
                                <LnkInProps>
                                  <MN>24</MN>
                                  <CLI>1,1,39,False,24</CLI>
                                  <ELN>1</ELN>
                                  <LOOT>0</LOOT>
                                  <LOMN>3</LOMN>
                                  <LOMCN>1</LOMCN>
                                  <LOSN>1</LOSN>
                                  <LOEN>10</LOEN>
                                  <LOCN>24</LOCN>
                                </LnkInProps>
                              </LnkIn>
                            </Ctg>
                            <Ctg>
                              <CtgProps>
                                <R>5</R>
                              </CtgProps>
                              <LnkIn>
                                <LnkInProps>
                                  <MN>24</MN>
                                  <CLI>1,1,39,False,25</CLI>
                                  <ELN>1</ELN>
                                  <LOOT>0</LOOT>
                                  <LOMN>3</LOMN>
                                  <LOMCN>1</LOMCN>
                                  <LOSN>1</LOSN>
                                  <LOEN>10</LOEN>
                                  <LOCN>25</LOCN>
                                </LnkInProps>
                              </LnkIn>
                            </Ctg>
                            <Ctg>
                              <CtgProps>
                                <R>5</R>
                              </CtgProps>
                              <LnkIn>
                                <LnkInProps>
                                  <MN>24</MN>
                                  <CLI>1,1,39,False,26</CLI>
                                  <ELN>1</ELN>
                                  <LOOT>0</LOOT>
                                  <LOMN>3</LOMN>
                                  <LOMCN>1</LOMCN>
                                  <LOSN>1</LOSN>
                                  <LOEN>10</LOEN>
                                  <LOCN>26</LOCN>
                                </LnkInProps>
                              </LnkIn>
                            </Ctg>
                            <Ctg>
                              <CtgProps>
                                <R>5</R>
                              </CtgProps>
                              <LnkIn>
                                <LnkInProps>
                                  <MN>24</MN>
                                  <CLI>1,1,39,False,27</CLI>
                                  <ELN>1</ELN>
                                  <LOOT>0</LOOT>
                                  <LOMN>3</LOMN>
                                  <LOMCN>1</LOMCN>
                                  <LOSN>1</LOSN>
                                  <LOEN>10</LOEN>
                                  <LOCN>27</LOCN>
                                </LnkInProps>
                              </LnkIn>
                            </Ctg>
                            <Ctg>
                              <CtgProps>
                                <R>5</R>
                              </CtgProps>
                              <LnkIn>
                                <LnkInProps>
                                  <MN>24</MN>
                                  <CLI>1,1,39,False,28</CLI>
                                  <ELN>1</ELN>
                                  <LOOT>0</LOOT>
                                  <LOMN>3</LOMN>
                                  <LOMCN>1</LOMCN>
                                  <LOSN>1</LOSN>
                                  <LOEN>10</LOEN>
                                  <LOCN>28</LOCN>
                                </LnkInProps>
                              </LnkIn>
                            </Ctg>
                            <Ctg>
                              <CtgProps>
                                <R>5</R>
                              </CtgProps>
                              <LnkIn>
                                <LnkInProps>
                                  <MN>24</MN>
                                  <CLI>1,1,39,False,29</CLI>
                                  <ELN>1</ELN>
                                  <LOOT>0</LOOT>
                                  <LOMN>3</LOMN>
                                  <LOMCN>1</LOMCN>
                                  <LOSN>1</LOSN>
                                  <LOEN>10</LOEN>
                                  <LOCN>29</LOCN>
                                </LnkInProps>
                              </LnkIn>
                            </Ctg>
                            <Ctg>
                              <CtgProps>
                                <R>5</R>
                              </CtgProps>
                              <LnkIn>
                                <LnkInProps>
                                  <MN>24</MN>
                                  <CLI>1,1,39,False,30</CLI>
                                  <ELN>1</ELN>
                                  <LOOT>0</LOOT>
                                  <LOMN>3</LOMN>
                                  <LOMCN>1</LOMCN>
                                  <LOSN>1</LOSN>
                                  <LOEN>10</LOEN>
                                  <LOCN>30</LOCN>
                                </LnkInProps>
                              </LnkIn>
                            </Ctg>
                            <Ctg>
                              <CtgProps>
                                <R>5</R>
                              </CtgProps>
                              <LnkIn>
                                <LnkInProps>
                                  <MN>24</MN>
                                  <CLI>1,1,39,False,31</CLI>
                                  <ELN>1</ELN>
                                  <LOOT>0</LOOT>
                                  <LOMN>3</LOMN>
                                  <LOMCN>1</LOMCN>
                                  <LOSN>1</LOSN>
                                  <LOEN>10</LOEN>
                                  <LOCN>31</LOCN>
                                </LnkInProps>
                              </LnkIn>
                            </Ctg>
                            <Ctg>
                              <CtgProps>
                                <R>5</R>
                              </CtgProps>
                              <LnkIn>
                                <LnkInProps>
                                  <MN>24</MN>
                                  <CLI>1,1,39,False,32</CLI>
                                  <ELN>1</ELN>
                                  <LOOT>0</LOOT>
                                  <LOMN>3</LOMN>
                                  <LOMCN>1</LOMCN>
                                  <LOSN>1</LOSN>
                                  <LOEN>10</LOEN>
                                  <LOCN>32</LOCN>
                                </LnkInProps>
                              </LnkIn>
                            </Ctg>
                            <Ctg>
                              <CtgProps>
                                <R>5</R>
                              </CtgProps>
                              <LnkIn>
                                <LnkInProps>
                                  <MN>24</MN>
                                  <CLI>1,1,39,False,33</CLI>
                                  <ELN>1</ELN>
                                  <LOOT>0</LOOT>
                                  <LOMN>3</LOMN>
                                  <LOMCN>1</LOMCN>
                                  <LOSN>1</LOSN>
                                  <LOEN>10</LOEN>
                                  <LOCN>33</LOCN>
                                </LnkInProps>
                              </LnkIn>
                            </Ctg>
                            <Ctg>
                              <CtgProps>
                                <R>5</R>
                              </CtgProps>
                              <LnkIn>
                                <LnkInProps>
                                  <MN>24</MN>
                                  <CLI>1,1,39,False,34</CLI>
                                  <ELN>1</ELN>
                                  <LOOT>0</LOOT>
                                  <LOMN>3</LOMN>
                                  <LOMCN>1</LOMCN>
                                  <LOSN>1</LOSN>
                                  <LOEN>10</LOEN>
                                  <LOCN>34</LOCN>
                                </LnkInProps>
                              </LnkIn>
                            </Ctg>
                            <Ctg>
                              <CtgProps>
                                <R>5</R>
                              </CtgProps>
                              <LnkIn>
                                <LnkInProps>
                                  <MN>24</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24</MN>
                                  <CLI>1,1,42,False,1</CLI>
                                  <ELN>1</ELN>
                                  <LOOT>0</LOOT>
                                  <LOMN>3</LOMN>
                                  <LOMCN>1</LOMCN>
                                  <LOSN>1</LOSN>
                                  <LOEN>15</LOEN>
                                  <LOCN>1</LOCN>
                                </LnkInProps>
                              </LnkIn>
                            </Ctg>
                            <Ctg>
                              <CtgProps>
                                <R>4</R>
                              </CtgProps>
                              <LnkIn>
                                <LnkInProps>
                                  <MN>24</MN>
                                  <CLI>1,1,42,False,2</CLI>
                                  <ELN>1</ELN>
                                  <LOOT>0</LOOT>
                                  <LOMN>3</LOMN>
                                  <LOMCN>1</LOMCN>
                                  <LOSN>1</LOSN>
                                  <LOEN>15</LOEN>
                                  <LOCN>2</LOCN>
                                </LnkInProps>
                              </LnkIn>
                            </Ctg>
                            <Ctg>
                              <CtgProps>
                                <R>4</R>
                              </CtgProps>
                              <LnkIn>
                                <LnkInProps>
                                  <MN>24</MN>
                                  <CLI>1,1,42,False,3</CLI>
                                  <ELN>1</ELN>
                                  <LOOT>0</LOOT>
                                  <LOMN>3</LOMN>
                                  <LOMCN>1</LOMCN>
                                  <LOSN>1</LOSN>
                                  <LOEN>15</LOEN>
                                  <LOCN>3</LOCN>
                                </LnkInProps>
                              </LnkIn>
                            </Ctg>
                            <Ctg>
                              <CtgProps>
                                <R>4</R>
                              </CtgProps>
                              <LnkIn>
                                <LnkInProps>
                                  <MN>24</MN>
                                  <CLI>1,1,42,False,4</CLI>
                                  <ELN>1</ELN>
                                  <LOOT>0</LOOT>
                                  <LOMN>3</LOMN>
                                  <LOMCN>1</LOMCN>
                                  <LOSN>1</LOSN>
                                  <LOEN>15</LOEN>
                                  <LOCN>4</LOCN>
                                </LnkInProps>
                              </LnkIn>
                            </Ctg>
                            <Ctg>
                              <CtgProps>
                                <R>5</R>
                              </CtgProps>
                              <LnkIn>
                                <LnkInProps>
                                  <MN>24</MN>
                                  <CLI>1,1,42,False,5</CLI>
                                  <ELN>1</ELN>
                                  <LOOT>0</LOOT>
                                  <LOMN>3</LOMN>
                                  <LOMCN>1</LOMCN>
                                  <LOSN>1</LOSN>
                                  <LOEN>15</LOEN>
                                  <LOCN>5</LOCN>
                                </LnkInProps>
                              </LnkIn>
                            </Ctg>
                            <Ctg>
                              <CtgProps>
                                <R>5</R>
                              </CtgProps>
                              <LnkIn>
                                <LnkInProps>
                                  <MN>24</MN>
                                  <CLI>1,1,42,False,6</CLI>
                                  <ELN>1</ELN>
                                  <LOOT>0</LOOT>
                                  <LOMN>3</LOMN>
                                  <LOMCN>1</LOMCN>
                                  <LOSN>1</LOSN>
                                  <LOEN>15</LOEN>
                                  <LOCN>6</LOCN>
                                </LnkInProps>
                              </LnkIn>
                            </Ctg>
                            <Ctg>
                              <CtgProps>
                                <R>5</R>
                              </CtgProps>
                              <LnkIn>
                                <LnkInProps>
                                  <MN>24</MN>
                                  <CLI>1,1,42,False,7</CLI>
                                  <ELN>1</ELN>
                                  <LOOT>0</LOOT>
                                  <LOMN>3</LOMN>
                                  <LOMCN>1</LOMCN>
                                  <LOSN>1</LOSN>
                                  <LOEN>15</LOEN>
                                  <LOCN>7</LOCN>
                                </LnkInProps>
                              </LnkIn>
                            </Ctg>
                            <Ctg>
                              <CtgProps>
                                <R>5</R>
                              </CtgProps>
                              <LnkIn>
                                <LnkInProps>
                                  <MN>24</MN>
                                  <CLI>1,1,42,False,8</CLI>
                                  <ELN>1</ELN>
                                  <LOOT>0</LOOT>
                                  <LOMN>3</LOMN>
                                  <LOMCN>1</LOMCN>
                                  <LOSN>1</LOSN>
                                  <LOEN>15</LOEN>
                                  <LOCN>8</LOCN>
                                </LnkInProps>
                              </LnkIn>
                            </Ctg>
                            <Ctg>
                              <CtgProps>
                                <R>5</R>
                              </CtgProps>
                              <LnkIn>
                                <LnkInProps>
                                  <MN>24</MN>
                                  <CLI>1,1,42,False,9</CLI>
                                  <ELN>1</ELN>
                                  <LOOT>0</LOOT>
                                  <LOMN>3</LOMN>
                                  <LOMCN>1</LOMCN>
                                  <LOSN>1</LOSN>
                                  <LOEN>15</LOEN>
                                  <LOCN>9</LOCN>
                                </LnkInProps>
                              </LnkIn>
                            </Ctg>
                            <Ctg>
                              <CtgProps>
                                <R>5</R>
                              </CtgProps>
                              <LnkIn>
                                <LnkInProps>
                                  <MN>24</MN>
                                  <CLI>1,1,42,False,10</CLI>
                                  <ELN>1</ELN>
                                  <LOOT>0</LOOT>
                                  <LOMN>3</LOMN>
                                  <LOMCN>1</LOMCN>
                                  <LOSN>1</LOSN>
                                  <LOEN>15</LOEN>
                                  <LOCN>10</LOCN>
                                </LnkInProps>
                              </LnkIn>
                            </Ctg>
                            <Ctg>
                              <CtgProps>
                                <R>5</R>
                              </CtgProps>
                              <LnkIn>
                                <LnkInProps>
                                  <MN>24</MN>
                                  <CLI>1,1,42,False,11</CLI>
                                  <ELN>1</ELN>
                                  <LOOT>0</LOOT>
                                  <LOMN>3</LOMN>
                                  <LOMCN>1</LOMCN>
                                  <LOSN>1</LOSN>
                                  <LOEN>15</LOEN>
                                  <LOCN>11</LOCN>
                                </LnkInProps>
                              </LnkIn>
                            </Ctg>
                            <Ctg>
                              <CtgProps>
                                <R>5</R>
                              </CtgProps>
                              <LnkIn>
                                <LnkInProps>
                                  <MN>24</MN>
                                  <CLI>1,1,42,False,12</CLI>
                                  <ELN>1</ELN>
                                  <LOOT>0</LOOT>
                                  <LOMN>3</LOMN>
                                  <LOMCN>1</LOMCN>
                                  <LOSN>1</LOSN>
                                  <LOEN>15</LOEN>
                                  <LOCN>12</LOCN>
                                </LnkInProps>
                              </LnkIn>
                            </Ctg>
                            <Ctg>
                              <CtgProps>
                                <R>5</R>
                              </CtgProps>
                              <LnkIn>
                                <LnkInProps>
                                  <MN>24</MN>
                                  <CLI>1,1,42,False,13</CLI>
                                  <ELN>1</ELN>
                                  <LOOT>0</LOOT>
                                  <LOMN>3</LOMN>
                                  <LOMCN>1</LOMCN>
                                  <LOSN>1</LOSN>
                                  <LOEN>15</LOEN>
                                  <LOCN>13</LOCN>
                                </LnkInProps>
                              </LnkIn>
                            </Ctg>
                            <Ctg>
                              <CtgProps>
                                <R>5</R>
                              </CtgProps>
                              <LnkIn>
                                <LnkInProps>
                                  <MN>24</MN>
                                  <CLI>1,1,42,False,14</CLI>
                                  <ELN>1</ELN>
                                  <LOOT>0</LOOT>
                                  <LOMN>3</LOMN>
                                  <LOMCN>1</LOMCN>
                                  <LOSN>1</LOSN>
                                  <LOEN>15</LOEN>
                                  <LOCN>14</LOCN>
                                </LnkInProps>
                              </LnkIn>
                            </Ctg>
                            <Ctg>
                              <CtgProps>
                                <R>5</R>
                              </CtgProps>
                              <LnkIn>
                                <LnkInProps>
                                  <MN>24</MN>
                                  <CLI>1,1,42,False,15</CLI>
                                  <ELN>1</ELN>
                                  <LOOT>0</LOOT>
                                  <LOMN>3</LOMN>
                                  <LOMCN>1</LOMCN>
                                  <LOSN>1</LOSN>
                                  <LOEN>15</LOEN>
                                  <LOCN>15</LOCN>
                                </LnkInProps>
                              </LnkIn>
                            </Ctg>
                            <Ctg>
                              <CtgProps>
                                <R>5</R>
                              </CtgProps>
                              <LnkIn>
                                <LnkInProps>
                                  <MN>24</MN>
                                  <CLI>1,1,42,False,16</CLI>
                                  <ELN>1</ELN>
                                  <LOOT>0</LOOT>
                                  <LOMN>3</LOMN>
                                  <LOMCN>1</LOMCN>
                                  <LOSN>1</LOSN>
                                  <LOEN>15</LOEN>
                                  <LOCN>16</LOCN>
                                </LnkInProps>
                              </LnkIn>
                            </Ctg>
                            <Ctg>
                              <CtgProps>
                                <R>4</R>
                              </CtgProps>
                              <LnkIn>
                                <LnkInProps>
                                  <MN>24</MN>
                                  <CLI>1,1,42,False,17</CLI>
                                  <ELN>1</ELN>
                                  <LOOT>0</LOOT>
                                  <LOMN>3</LOMN>
                                  <LOMCN>1</LOMCN>
                                  <LOSN>1</LOSN>
                                  <LOEN>15</LOEN>
                                  <LOCN>17</LOCN>
                                </LnkInProps>
                              </LnkIn>
                            </Ctg>
                            <Ctg>
                              <CtgProps>
                                <R>4</R>
                              </CtgProps>
                              <LnkIn>
                                <LnkInProps>
                                  <MN>24</MN>
                                  <CLI>1,1,42,False,18</CLI>
                                  <ELN>1</ELN>
                                  <LOOT>0</LOOT>
                                  <LOMN>3</LOMN>
                                  <LOMCN>1</LOMCN>
                                  <LOSN>1</LOSN>
                                  <LOEN>15</LOEN>
                                  <LOCN>18</LOCN>
                                </LnkInProps>
                              </LnkIn>
                            </Ctg>
                            <Ctg>
                              <CtgProps>
                                <R>4</R>
                              </CtgProps>
                              <LnkIn>
                                <LnkInProps>
                                  <MN>24</MN>
                                  <CLI>1,1,42,False,19</CLI>
                                  <ELN>1</ELN>
                                  <LOOT>0</LOOT>
                                  <LOMN>3</LOMN>
                                  <LOMCN>1</LOMCN>
                                  <LOSN>1</LOSN>
                                  <LOEN>15</LOEN>
                                  <LOCN>19</LOCN>
                                </LnkInProps>
                              </LnkIn>
                            </Ctg>
                            <Ctg>
                              <CtgProps>
                                <R>4</R>
                              </CtgProps>
                              <LnkIn>
                                <LnkInProps>
                                  <MN>24</MN>
                                  <CLI>1,1,42,False,20</CLI>
                                  <ELN>1</ELN>
                                  <LOOT>0</LOOT>
                                  <LOMN>3</LOMN>
                                  <LOMCN>1</LOMCN>
                                  <LOSN>1</LOSN>
                                  <LOEN>15</LOEN>
                                  <LOCN>20</LOCN>
                                </LnkInProps>
                              </LnkIn>
                            </Ctg>
                            <Ctg>
                              <CtgProps>
                                <R>4</R>
                              </CtgProps>
                              <LnkIn>
                                <LnkInProps>
                                  <MN>24</MN>
                                  <CLI>1,1,42,False,21</CLI>
                                  <ELN>1</ELN>
                                  <LOOT>0</LOOT>
                                  <LOMN>3</LOMN>
                                  <LOMCN>1</LOMCN>
                                  <LOSN>1</LOSN>
                                  <LOEN>15</LOEN>
                                  <LOCN>21</LOCN>
                                </LnkInProps>
                              </LnkIn>
                            </Ctg>
                            <Ctg>
                              <CtgProps>
                                <R>4</R>
                              </CtgProps>
                              <LnkIn>
                                <LnkInProps>
                                  <MN>24</MN>
                                  <CLI>1,1,42,False,22</CLI>
                                  <ELN>1</ELN>
                                  <LOOT>0</LOOT>
                                  <LOMN>3</LOMN>
                                  <LOMCN>1</LOMCN>
                                  <LOSN>1</LOSN>
                                  <LOEN>15</LOEN>
                                  <LOCN>22</LOCN>
                                </LnkInProps>
                              </LnkIn>
                            </Ctg>
                            <Ctg>
                              <CtgProps>
                                <R>5</R>
                              </CtgProps>
                              <LnkIn>
                                <LnkInProps>
                                  <MN>24</MN>
                                  <CLI>1,1,42,False,23</CLI>
                                  <ELN>1</ELN>
                                  <LOOT>0</LOOT>
                                  <LOMN>3</LOMN>
                                  <LOMCN>1</LOMCN>
                                  <LOSN>1</LOSN>
                                  <LOEN>15</LOEN>
                                  <LOCN>23</LOCN>
                                </LnkInProps>
                              </LnkIn>
                            </Ctg>
                            <Ctg>
                              <CtgProps>
                                <R>5</R>
                              </CtgProps>
                              <LnkIn>
                                <LnkInProps>
                                  <MN>24</MN>
                                  <CLI>1,1,42,False,24</CLI>
                                  <ELN>1</ELN>
                                  <LOOT>0</LOOT>
                                  <LOMN>3</LOMN>
                                  <LOMCN>1</LOMCN>
                                  <LOSN>1</LOSN>
                                  <LOEN>15</LOEN>
                                  <LOCN>24</LOCN>
                                </LnkInProps>
                              </LnkIn>
                            </Ctg>
                            <Ctg>
                              <CtgProps>
                                <R>5</R>
                              </CtgProps>
                              <LnkIn>
                                <LnkInProps>
                                  <MN>24</MN>
                                  <CLI>1,1,42,False,25</CLI>
                                  <ELN>1</ELN>
                                  <LOOT>0</LOOT>
                                  <LOMN>3</LOMN>
                                  <LOMCN>1</LOMCN>
                                  <LOSN>1</LOSN>
                                  <LOEN>15</LOEN>
                                  <LOCN>25</LOCN>
                                </LnkInProps>
                              </LnkIn>
                            </Ctg>
                            <Ctg>
                              <CtgProps>
                                <R>5</R>
                              </CtgProps>
                              <LnkIn>
                                <LnkInProps>
                                  <MN>24</MN>
                                  <CLI>1,1,42,False,26</CLI>
                                  <ELN>1</ELN>
                                  <LOOT>0</LOOT>
                                  <LOMN>3</LOMN>
                                  <LOMCN>1</LOMCN>
                                  <LOSN>1</LOSN>
                                  <LOEN>15</LOEN>
                                  <LOCN>26</LOCN>
                                </LnkInProps>
                              </LnkIn>
                            </Ctg>
                            <Ctg>
                              <CtgProps>
                                <R>5</R>
                              </CtgProps>
                              <LnkIn>
                                <LnkInProps>
                                  <MN>24</MN>
                                  <CLI>1,1,42,False,27</CLI>
                                  <ELN>1</ELN>
                                  <LOOT>0</LOOT>
                                  <LOMN>3</LOMN>
                                  <LOMCN>1</LOMCN>
                                  <LOSN>1</LOSN>
                                  <LOEN>15</LOEN>
                                  <LOCN>27</LOCN>
                                </LnkInProps>
                              </LnkIn>
                            </Ctg>
                            <Ctg>
                              <CtgProps>
                                <R>5</R>
                              </CtgProps>
                              <LnkIn>
                                <LnkInProps>
                                  <MN>24</MN>
                                  <CLI>1,1,42,False,28</CLI>
                                  <ELN>1</ELN>
                                  <LOOT>0</LOOT>
                                  <LOMN>3</LOMN>
                                  <LOMCN>1</LOMCN>
                                  <LOSN>1</LOSN>
                                  <LOEN>15</LOEN>
                                  <LOCN>28</LOCN>
                                </LnkInProps>
                              </LnkIn>
                            </Ctg>
                            <Ctg>
                              <CtgProps>
                                <R>5</R>
                              </CtgProps>
                              <LnkIn>
                                <LnkInProps>
                                  <MN>24</MN>
                                  <CLI>1,1,42,False,29</CLI>
                                  <ELN>1</ELN>
                                  <LOOT>0</LOOT>
                                  <LOMN>3</LOMN>
                                  <LOMCN>1</LOMCN>
                                  <LOSN>1</LOSN>
                                  <LOEN>15</LOEN>
                                  <LOCN>29</LOCN>
                                </LnkInProps>
                              </LnkIn>
                            </Ctg>
                            <Ctg>
                              <CtgProps>
                                <R>5</R>
                              </CtgProps>
                              <LnkIn>
                                <LnkInProps>
                                  <MN>24</MN>
                                  <CLI>1,1,42,False,30</CLI>
                                  <ELN>1</ELN>
                                  <LOOT>0</LOOT>
                                  <LOMN>3</LOMN>
                                  <LOMCN>1</LOMCN>
                                  <LOSN>1</LOSN>
                                  <LOEN>15</LOEN>
                                  <LOCN>30</LOCN>
                                </LnkInProps>
                              </LnkIn>
                            </Ctg>
                            <Ctg>
                              <CtgProps>
                                <R>4</R>
                              </CtgProps>
                              <LnkIn>
                                <LnkInProps>
                                  <MN>24</MN>
                                  <CLI>1,1,42,False,31</CLI>
                                  <ELN>1</ELN>
                                  <LOOT>0</LOOT>
                                  <LOMN>3</LOMN>
                                  <LOMCN>1</LOMCN>
                                  <LOSN>1</LOSN>
                                  <LOEN>15</LOEN>
                                  <LOCN>31</LOCN>
                                </LnkInProps>
                              </LnkIn>
                            </Ctg>
                            <Ctg>
                              <CtgProps>
                                <R>4</R>
                              </CtgProps>
                              <LnkIn>
                                <LnkInProps>
                                  <MN>24</MN>
                                  <CLI>1,1,42,False,32</CLI>
                                  <ELN>1</ELN>
                                  <LOOT>0</LOOT>
                                  <LOMN>3</LOMN>
                                  <LOMCN>1</LOMCN>
                                  <LOSN>1</LOSN>
                                  <LOEN>15</LOEN>
                                  <LOCN>32</LOCN>
                                </LnkInProps>
                              </LnkIn>
                            </Ctg>
                            <Ctg>
                              <CtgProps>
                                <R>4</R>
                              </CtgProps>
                              <LnkIn>
                                <LnkInProps>
                                  <MN>24</MN>
                                  <CLI>1,1,42,False,33</CLI>
                                  <ELN>1</ELN>
                                  <LOOT>0</LOOT>
                                  <LOMN>3</LOMN>
                                  <LOMCN>1</LOMCN>
                                  <LOSN>1</LOSN>
                                  <LOEN>15</LOEN>
                                  <LOCN>33</LOCN>
                                </LnkInProps>
                              </LnkIn>
                            </Ctg>
                            <Ctg>
                              <CtgProps>
                                <R>4</R>
                              </CtgProps>
                              <LnkIn>
                                <LnkInProps>
                                  <MN>24</MN>
                                  <CLI>1,1,42,False,34</CLI>
                                  <ELN>1</ELN>
                                  <LOOT>0</LOOT>
                                  <LOMN>3</LOMN>
                                  <LOMCN>1</LOMCN>
                                  <LOSN>1</LOSN>
                                  <LOEN>15</LOEN>
                                  <LOCN>34</LOCN>
                                </LnkInProps>
                              </LnkIn>
                            </Ctg>
                            <Ctg>
                              <CtgProps>
                                <R>4</R>
                              </CtgProps>
                              <LnkIn>
                                <LnkInProps>
                                  <MN>24</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24</MN>
                                  <CLI>1,1,46,False,1</CLI>
                                  <ELN>1</ELN>
                                  <LOOT>0</LOOT>
                                  <LOMN>3</LOMN>
                                  <LOMCN>1</LOMCN>
                                  <LOSN>1</LOSN>
                                  <LOEN>19</LOEN>
                                  <LOCN>1</LOCN>
                                </LnkInProps>
                              </LnkIn>
                            </Ctg>
                            <Ctg>
                              <CtgProps>
                                <R>4</R>
                              </CtgProps>
                              <LnkIn>
                                <LnkInProps>
                                  <MN>24</MN>
                                  <CLI>1,1,46,False,2</CLI>
                                  <ELN>1</ELN>
                                  <LOOT>0</LOOT>
                                  <LOMN>3</LOMN>
                                  <LOMCN>1</LOMCN>
                                  <LOSN>1</LOSN>
                                  <LOEN>19</LOEN>
                                  <LOCN>2</LOCN>
                                </LnkInProps>
                              </LnkIn>
                            </Ctg>
                            <Ctg>
                              <CtgProps>
                                <R>4</R>
                              </CtgProps>
                              <LnkIn>
                                <LnkInProps>
                                  <MN>24</MN>
                                  <CLI>1,1,46,False,3</CLI>
                                  <ELN>1</ELN>
                                  <LOOT>0</LOOT>
                                  <LOMN>3</LOMN>
                                  <LOMCN>1</LOMCN>
                                  <LOSN>1</LOSN>
                                  <LOEN>19</LOEN>
                                  <LOCN>3</LOCN>
                                </LnkInProps>
                              </LnkIn>
                            </Ctg>
                            <Ctg>
                              <CtgProps>
                                <R>4</R>
                              </CtgProps>
                              <LnkIn>
                                <LnkInProps>
                                  <MN>24</MN>
                                  <CLI>1,1,46,False,4</CLI>
                                  <ELN>1</ELN>
                                  <LOOT>0</LOOT>
                                  <LOMN>3</LOMN>
                                  <LOMCN>1</LOMCN>
                                  <LOSN>1</LOSN>
                                  <LOEN>19</LOEN>
                                  <LOCN>4</LOCN>
                                </LnkInProps>
                              </LnkIn>
                            </Ctg>
                            <Ctg>
                              <CtgProps>
                                <R>4</R>
                              </CtgProps>
                              <LnkIn>
                                <LnkInProps>
                                  <MN>24</MN>
                                  <CLI>1,1,46,False,5</CLI>
                                  <ELN>1</ELN>
                                  <LOOT>0</LOOT>
                                  <LOMN>3</LOMN>
                                  <LOMCN>1</LOMCN>
                                  <LOSN>1</LOSN>
                                  <LOEN>19</LOEN>
                                  <LOCN>5</LOCN>
                                </LnkInProps>
                              </LnkIn>
                            </Ctg>
                            <Ctg>
                              <CtgProps>
                                <R>4</R>
                              </CtgProps>
                              <LnkIn>
                                <LnkInProps>
                                  <MN>24</MN>
                                  <CLI>1,1,46,False,6</CLI>
                                  <ELN>1</ELN>
                                  <LOOT>0</LOOT>
                                  <LOMN>3</LOMN>
                                  <LOMCN>1</LOMCN>
                                  <LOSN>1</LOSN>
                                  <LOEN>19</LOEN>
                                  <LOCN>6</LOCN>
                                </LnkInProps>
                              </LnkIn>
                            </Ctg>
                            <Ctg>
                              <CtgProps>
                                <R>4</R>
                              </CtgProps>
                              <LnkIn>
                                <LnkInProps>
                                  <MN>24</MN>
                                  <CLI>1,1,46,False,7</CLI>
                                  <ELN>1</ELN>
                                  <LOOT>0</LOOT>
                                  <LOMN>3</LOMN>
                                  <LOMCN>1</LOMCN>
                                  <LOSN>1</LOSN>
                                  <LOEN>19</LOEN>
                                  <LOCN>7</LOCN>
                                </LnkInProps>
                              </LnkIn>
                            </Ctg>
                            <Ctg>
                              <CtgProps>
                                <R>4</R>
                              </CtgProps>
                              <LnkIn>
                                <LnkInProps>
                                  <MN>24</MN>
                                  <CLI>1,1,46,False,8</CLI>
                                  <ELN>1</ELN>
                                  <LOOT>0</LOOT>
                                  <LOMN>3</LOMN>
                                  <LOMCN>1</LOMCN>
                                  <LOSN>1</LOSN>
                                  <LOEN>19</LOEN>
                                  <LOCN>8</LOCN>
                                </LnkInProps>
                              </LnkIn>
                            </Ctg>
                            <Ctg>
                              <CtgProps>
                                <R>4</R>
                              </CtgProps>
                              <LnkIn>
                                <LnkInProps>
                                  <MN>24</MN>
                                  <CLI>1,1,46,False,9</CLI>
                                  <ELN>1</ELN>
                                  <LOOT>0</LOOT>
                                  <LOMN>3</LOMN>
                                  <LOMCN>1</LOMCN>
                                  <LOSN>1</LOSN>
                                  <LOEN>19</LOEN>
                                  <LOCN>9</LOCN>
                                </LnkInProps>
                              </LnkIn>
                            </Ctg>
                            <Ctg>
                              <CtgProps>
                                <R>4</R>
                              </CtgProps>
                              <LnkIn>
                                <LnkInProps>
                                  <MN>24</MN>
                                  <CLI>1,1,46,False,10</CLI>
                                  <ELN>1</ELN>
                                  <LOOT>0</LOOT>
                                  <LOMN>3</LOMN>
                                  <LOMCN>1</LOMCN>
                                  <LOSN>1</LOSN>
                                  <LOEN>19</LOEN>
                                  <LOCN>10</LOCN>
                                </LnkInProps>
                              </LnkIn>
                            </Ctg>
                            <Ctg>
                              <CtgProps>
                                <R>4</R>
                              </CtgProps>
                              <LnkIn>
                                <LnkInProps>
                                  <MN>24</MN>
                                  <CLI>1,1,46,False,11</CLI>
                                  <ELN>1</ELN>
                                  <LOOT>0</LOOT>
                                  <LOMN>3</LOMN>
                                  <LOMCN>1</LOMCN>
                                  <LOSN>1</LOSN>
                                  <LOEN>19</LOEN>
                                  <LOCN>11</LOCN>
                                </LnkInProps>
                              </LnkIn>
                            </Ctg>
                            <Ctg>
                              <CtgProps>
                                <R>4</R>
                              </CtgProps>
                              <LnkIn>
                                <LnkInProps>
                                  <MN>24</MN>
                                  <CLI>1,1,46,False,12</CLI>
                                  <ELN>1</ELN>
                                  <LOOT>0</LOOT>
                                  <LOMN>3</LOMN>
                                  <LOMCN>1</LOMCN>
                                  <LOSN>1</LOSN>
                                  <LOEN>19</LOEN>
                                  <LOCN>12</LOCN>
                                </LnkInProps>
                              </LnkIn>
                            </Ctg>
                            <Ctg>
                              <CtgProps>
                                <R>4</R>
                              </CtgProps>
                              <LnkIn>
                                <LnkInProps>
                                  <MN>24</MN>
                                  <CLI>1,1,46,False,13</CLI>
                                  <ELN>1</ELN>
                                  <LOOT>0</LOOT>
                                  <LOMN>3</LOMN>
                                  <LOMCN>1</LOMCN>
                                  <LOSN>1</LOSN>
                                  <LOEN>19</LOEN>
                                  <LOCN>13</LOCN>
                                </LnkInProps>
                              </LnkIn>
                            </Ctg>
                            <Ctg>
                              <CtgProps>
                                <R>4</R>
                              </CtgProps>
                              <LnkIn>
                                <LnkInProps>
                                  <MN>24</MN>
                                  <CLI>1,1,46,False,14</CLI>
                                  <ELN>1</ELN>
                                  <LOOT>0</LOOT>
                                  <LOMN>3</LOMN>
                                  <LOMCN>1</LOMCN>
                                  <LOSN>1</LOSN>
                                  <LOEN>19</LOEN>
                                  <LOCN>14</LOCN>
                                </LnkInProps>
                              </LnkIn>
                            </Ctg>
                            <Ctg>
                              <CtgProps>
                                <R>4</R>
                              </CtgProps>
                              <LnkIn>
                                <LnkInProps>
                                  <MN>24</MN>
                                  <CLI>1,1,46,False,15</CLI>
                                  <ELN>1</ELN>
                                  <LOOT>0</LOOT>
                                  <LOMN>3</LOMN>
                                  <LOMCN>1</LOMCN>
                                  <LOSN>1</LOSN>
                                  <LOEN>19</LOEN>
                                  <LOCN>15</LOCN>
                                </LnkInProps>
                              </LnkIn>
                            </Ctg>
                            <Ctg>
                              <CtgProps>
                                <R>5</R>
                              </CtgProps>
                              <LnkIn>
                                <LnkInProps>
                                  <MN>24</MN>
                                  <CLI>1,1,46,False,16</CLI>
                                  <ELN>1</ELN>
                                  <LOOT>0</LOOT>
                                  <LOMN>3</LOMN>
                                  <LOMCN>1</LOMCN>
                                  <LOSN>1</LOSN>
                                  <LOEN>19</LOEN>
                                  <LOCN>16</LOCN>
                                </LnkInProps>
                              </LnkIn>
                            </Ctg>
                            <Ctg>
                              <CtgProps>
                                <R>5</R>
                              </CtgProps>
                              <LnkIn>
                                <LnkInProps>
                                  <MN>24</MN>
                                  <CLI>1,1,46,False,17</CLI>
                                  <ELN>1</ELN>
                                  <LOOT>0</LOOT>
                                  <LOMN>3</LOMN>
                                  <LOMCN>1</LOMCN>
                                  <LOSN>1</LOSN>
                                  <LOEN>19</LOEN>
                                  <LOCN>17</LOCN>
                                </LnkInProps>
                              </LnkIn>
                            </Ctg>
                            <Ctg>
                              <CtgProps>
                                <R>5</R>
                              </CtgProps>
                              <LnkIn>
                                <LnkInProps>
                                  <MN>24</MN>
                                  <CLI>1,1,46,False,18</CLI>
                                  <ELN>1</ELN>
                                  <LOOT>0</LOOT>
                                  <LOMN>3</LOMN>
                                  <LOMCN>1</LOMCN>
                                  <LOSN>1</LOSN>
                                  <LOEN>19</LOEN>
                                  <LOCN>18</LOCN>
                                </LnkInProps>
                              </LnkIn>
                            </Ctg>
                            <Ctg>
                              <CtgProps>
                                <R>5</R>
                              </CtgProps>
                              <LnkIn>
                                <LnkInProps>
                                  <MN>24</MN>
                                  <CLI>1,1,46,False,19</CLI>
                                  <ELN>1</ELN>
                                  <LOOT>0</LOOT>
                                  <LOMN>3</LOMN>
                                  <LOMCN>1</LOMCN>
                                  <LOSN>1</LOSN>
                                  <LOEN>19</LOEN>
                                  <LOCN>19</LOCN>
                                </LnkInProps>
                              </LnkIn>
                            </Ctg>
                            <Ctg>
                              <CtgProps>
                                <R>5</R>
                              </CtgProps>
                              <LnkIn>
                                <LnkInProps>
                                  <MN>24</MN>
                                  <CLI>1,1,46,False,20</CLI>
                                  <ELN>1</ELN>
                                  <LOOT>0</LOOT>
                                  <LOMN>3</LOMN>
                                  <LOMCN>1</LOMCN>
                                  <LOSN>1</LOSN>
                                  <LOEN>19</LOEN>
                                  <LOCN>20</LOCN>
                                </LnkInProps>
                              </LnkIn>
                            </Ctg>
                            <Ctg>
                              <CtgProps>
                                <R>5</R>
                              </CtgProps>
                              <LnkIn>
                                <LnkInProps>
                                  <MN>24</MN>
                                  <CLI>1,1,46,False,21</CLI>
                                  <ELN>1</ELN>
                                  <LOOT>0</LOOT>
                                  <LOMN>3</LOMN>
                                  <LOMCN>1</LOMCN>
                                  <LOSN>1</LOSN>
                                  <LOEN>19</LOEN>
                                  <LOCN>21</LOCN>
                                </LnkInProps>
                              </LnkIn>
                            </Ctg>
                            <Ctg>
                              <CtgProps>
                                <R>5</R>
                              </CtgProps>
                              <LnkIn>
                                <LnkInProps>
                                  <MN>24</MN>
                                  <CLI>1,1,46,False,22</CLI>
                                  <ELN>1</ELN>
                                  <LOOT>0</LOOT>
                                  <LOMN>3</LOMN>
                                  <LOMCN>1</LOMCN>
                                  <LOSN>1</LOSN>
                                  <LOEN>19</LOEN>
                                  <LOCN>22</LOCN>
                                </LnkInProps>
                              </LnkIn>
                            </Ctg>
                            <Ctg>
                              <CtgProps>
                                <R>5</R>
                              </CtgProps>
                              <LnkIn>
                                <LnkInProps>
                                  <MN>24</MN>
                                  <CLI>1,1,46,False,23</CLI>
                                  <ELN>1</ELN>
                                  <LOOT>0</LOOT>
                                  <LOMN>3</LOMN>
                                  <LOMCN>1</LOMCN>
                                  <LOSN>1</LOSN>
                                  <LOEN>19</LOEN>
                                  <LOCN>23</LOCN>
                                </LnkInProps>
                              </LnkIn>
                            </Ctg>
                            <Ctg>
                              <CtgProps>
                                <R>5</R>
                              </CtgProps>
                              <LnkIn>
                                <LnkInProps>
                                  <MN>24</MN>
                                  <CLI>1,1,46,False,24</CLI>
                                  <ELN>1</ELN>
                                  <LOOT>0</LOOT>
                                  <LOMN>3</LOMN>
                                  <LOMCN>1</LOMCN>
                                  <LOSN>1</LOSN>
                                  <LOEN>19</LOEN>
                                  <LOCN>24</LOCN>
                                </LnkInProps>
                              </LnkIn>
                            </Ctg>
                            <Ctg>
                              <CtgProps>
                                <R>5</R>
                              </CtgProps>
                              <LnkIn>
                                <LnkInProps>
                                  <MN>24</MN>
                                  <CLI>1,1,46,False,25</CLI>
                                  <ELN>1</ELN>
                                  <LOOT>0</LOOT>
                                  <LOMN>3</LOMN>
                                  <LOMCN>1</LOMCN>
                                  <LOSN>1</LOSN>
                                  <LOEN>19</LOEN>
                                  <LOCN>25</LOCN>
                                </LnkInProps>
                              </LnkIn>
                            </Ctg>
                            <Ctg>
                              <CtgProps>
                                <R>5</R>
                              </CtgProps>
                              <LnkIn>
                                <LnkInProps>
                                  <MN>24</MN>
                                  <CLI>1,1,46,False,26</CLI>
                                  <ELN>1</ELN>
                                  <LOOT>0</LOOT>
                                  <LOMN>3</LOMN>
                                  <LOMCN>1</LOMCN>
                                  <LOSN>1</LOSN>
                                  <LOEN>19</LOEN>
                                  <LOCN>26</LOCN>
                                </LnkInProps>
                              </LnkIn>
                            </Ctg>
                            <Ctg>
                              <CtgProps>
                                <R>5</R>
                              </CtgProps>
                              <LnkIn>
                                <LnkInProps>
                                  <MN>24</MN>
                                  <CLI>1,1,46,False,27</CLI>
                                  <ELN>1</ELN>
                                  <LOOT>0</LOOT>
                                  <LOMN>3</LOMN>
                                  <LOMCN>1</LOMCN>
                                  <LOSN>1</LOSN>
                                  <LOEN>19</LOEN>
                                  <LOCN>27</LOCN>
                                </LnkInProps>
                              </LnkIn>
                            </Ctg>
                            <Ctg>
                              <CtgProps>
                                <R>5</R>
                              </CtgProps>
                              <LnkIn>
                                <LnkInProps>
                                  <MN>24</MN>
                                  <CLI>1,1,46,False,28</CLI>
                                  <ELN>1</ELN>
                                  <LOOT>0</LOOT>
                                  <LOMN>3</LOMN>
                                  <LOMCN>1</LOMCN>
                                  <LOSN>1</LOSN>
                                  <LOEN>19</LOEN>
                                  <LOCN>28</LOCN>
                                </LnkInProps>
                              </LnkIn>
                            </Ctg>
                            <Ctg>
                              <CtgProps>
                                <R>5</R>
                              </CtgProps>
                              <LnkIn>
                                <LnkInProps>
                                  <MN>24</MN>
                                  <CLI>1,1,46,False,29</CLI>
                                  <ELN>1</ELN>
                                  <LOOT>0</LOOT>
                                  <LOMN>3</LOMN>
                                  <LOMCN>1</LOMCN>
                                  <LOSN>1</LOSN>
                                  <LOEN>19</LOEN>
                                  <LOCN>29</LOCN>
                                </LnkInProps>
                              </LnkIn>
                            </Ctg>
                            <Ctg>
                              <CtgProps>
                                <R>5</R>
                              </CtgProps>
                              <LnkIn>
                                <LnkInProps>
                                  <MN>24</MN>
                                  <CLI>1,1,46,False,30</CLI>
                                  <ELN>1</ELN>
                                  <LOOT>0</LOOT>
                                  <LOMN>3</LOMN>
                                  <LOMCN>1</LOMCN>
                                  <LOSN>1</LOSN>
                                  <LOEN>19</LOEN>
                                  <LOCN>30</LOCN>
                                </LnkInProps>
                              </LnkIn>
                            </Ctg>
                            <Ctg>
                              <CtgProps>
                                <R>5</R>
                              </CtgProps>
                              <LnkIn>
                                <LnkInProps>
                                  <MN>24</MN>
                                  <CLI>1,1,46,False,31</CLI>
                                  <ELN>1</ELN>
                                  <LOOT>0</LOOT>
                                  <LOMN>3</LOMN>
                                  <LOMCN>1</LOMCN>
                                  <LOSN>1</LOSN>
                                  <LOEN>19</LOEN>
                                  <LOCN>31</LOCN>
                                </LnkInProps>
                              </LnkIn>
                            </Ctg>
                            <Ctg>
                              <CtgProps>
                                <R>5</R>
                              </CtgProps>
                              <LnkIn>
                                <LnkInProps>
                                  <MN>24</MN>
                                  <CLI>1,1,46,False,32</CLI>
                                  <ELN>1</ELN>
                                  <LOOT>0</LOOT>
                                  <LOMN>3</LOMN>
                                  <LOMCN>1</LOMCN>
                                  <LOSN>1</LOSN>
                                  <LOEN>19</LOEN>
                                  <LOCN>32</LOCN>
                                </LnkInProps>
                              </LnkIn>
                            </Ctg>
                            <Ctg>
                              <CtgProps>
                                <R>5</R>
                              </CtgProps>
                              <LnkIn>
                                <LnkInProps>
                                  <MN>24</MN>
                                  <CLI>1,1,46,False,33</CLI>
                                  <ELN>1</ELN>
                                  <LOOT>0</LOOT>
                                  <LOMN>3</LOMN>
                                  <LOMCN>1</LOMCN>
                                  <LOSN>1</LOSN>
                                  <LOEN>19</LOEN>
                                  <LOCN>33</LOCN>
                                </LnkInProps>
                              </LnkIn>
                            </Ctg>
                            <Ctg>
                              <CtgProps>
                                <R>5</R>
                              </CtgProps>
                              <LnkIn>
                                <LnkInProps>
                                  <MN>24</MN>
                                  <CLI>1,1,46,False,34</CLI>
                                  <ELN>1</ELN>
                                  <LOOT>0</LOOT>
                                  <LOMN>3</LOMN>
                                  <LOMCN>1</LOMCN>
                                  <LOSN>1</LOSN>
                                  <LOEN>19</LOEN>
                                  <LOCN>34</LOCN>
                                </LnkInProps>
                              </LnkIn>
                            </Ctg>
                            <Ctg>
                              <CtgProps>
                                <R>5</R>
                              </CtgProps>
                              <LnkIn>
                                <LnkInProps>
                                  <MN>24</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24</MN>
                                  <CLI>1,1,49,False,1</CLI>
                                  <ELN>1</ELN>
                                  <LOOT>0</LOOT>
                                  <LOMN>3</LOMN>
                                  <LOMCN>1</LOMCN>
                                  <LOSN>1</LOSN>
                                  <LOEN>24</LOEN>
                                  <LOCN>1</LOCN>
                                </LnkInProps>
                              </LnkIn>
                            </Ctg>
                            <Ctg>
                              <CtgProps>
                                <R>4</R>
                              </CtgProps>
                              <LnkIn>
                                <LnkInProps>
                                  <MN>24</MN>
                                  <CLI>1,1,49,False,2</CLI>
                                  <ELN>1</ELN>
                                  <LOOT>0</LOOT>
                                  <LOMN>3</LOMN>
                                  <LOMCN>1</LOMCN>
                                  <LOSN>1</LOSN>
                                  <LOEN>24</LOEN>
                                  <LOCN>2</LOCN>
                                </LnkInProps>
                              </LnkIn>
                            </Ctg>
                            <Ctg>
                              <CtgProps>
                                <R>4</R>
                              </CtgProps>
                              <LnkIn>
                                <LnkInProps>
                                  <MN>24</MN>
                                  <CLI>1,1,49,False,3</CLI>
                                  <ELN>1</ELN>
                                  <LOOT>0</LOOT>
                                  <LOMN>3</LOMN>
                                  <LOMCN>1</LOMCN>
                                  <LOSN>1</LOSN>
                                  <LOEN>24</LOEN>
                                  <LOCN>3</LOCN>
                                </LnkInProps>
                              </LnkIn>
                            </Ctg>
                            <Ctg>
                              <CtgProps>
                                <R>4</R>
                              </CtgProps>
                              <LnkIn>
                                <LnkInProps>
                                  <MN>24</MN>
                                  <CLI>1,1,49,False,4</CLI>
                                  <ELN>1</ELN>
                                  <LOOT>0</LOOT>
                                  <LOMN>3</LOMN>
                                  <LOMCN>1</LOMCN>
                                  <LOSN>1</LOSN>
                                  <LOEN>24</LOEN>
                                  <LOCN>4</LOCN>
                                </LnkInProps>
                              </LnkIn>
                            </Ctg>
                            <Ctg>
                              <CtgProps>
                                <R>4</R>
                              </CtgProps>
                              <LnkIn>
                                <LnkInProps>
                                  <MN>24</MN>
                                  <CLI>1,1,49,False,5</CLI>
                                  <ELN>1</ELN>
                                  <LOOT>0</LOOT>
                                  <LOMN>3</LOMN>
                                  <LOMCN>1</LOMCN>
                                  <LOSN>1</LOSN>
                                  <LOEN>24</LOEN>
                                  <LOCN>5</LOCN>
                                </LnkInProps>
                              </LnkIn>
                            </Ctg>
                            <Ctg>
                              <CtgProps>
                                <R>5</R>
                              </CtgProps>
                              <LnkIn>
                                <LnkInProps>
                                  <MN>24</MN>
                                  <CLI>1,1,49,False,6</CLI>
                                  <ELN>1</ELN>
                                  <LOOT>0</LOOT>
                                  <LOMN>3</LOMN>
                                  <LOMCN>1</LOMCN>
                                  <LOSN>1</LOSN>
                                  <LOEN>24</LOEN>
                                  <LOCN>6</LOCN>
                                </LnkInProps>
                              </LnkIn>
                            </Ctg>
                            <Ctg>
                              <CtgProps>
                                <R>5</R>
                              </CtgProps>
                              <LnkIn>
                                <LnkInProps>
                                  <MN>24</MN>
                                  <CLI>1,1,49,False,7</CLI>
                                  <ELN>1</ELN>
                                  <LOOT>0</LOOT>
                                  <LOMN>3</LOMN>
                                  <LOMCN>1</LOMCN>
                                  <LOSN>1</LOSN>
                                  <LOEN>24</LOEN>
                                  <LOCN>7</LOCN>
                                </LnkInProps>
                              </LnkIn>
                            </Ctg>
                            <Ctg>
                              <CtgProps>
                                <R>5</R>
                              </CtgProps>
                              <LnkIn>
                                <LnkInProps>
                                  <MN>24</MN>
                                  <CLI>1,1,49,False,8</CLI>
                                  <ELN>1</ELN>
                                  <LOOT>0</LOOT>
                                  <LOMN>3</LOMN>
                                  <LOMCN>1</LOMCN>
                                  <LOSN>1</LOSN>
                                  <LOEN>24</LOEN>
                                  <LOCN>8</LOCN>
                                </LnkInProps>
                              </LnkIn>
                            </Ctg>
                            <Ctg>
                              <CtgProps>
                                <R>5</R>
                              </CtgProps>
                              <LnkIn>
                                <LnkInProps>
                                  <MN>24</MN>
                                  <CLI>1,1,49,False,9</CLI>
                                  <ELN>1</ELN>
                                  <LOOT>0</LOOT>
                                  <LOMN>3</LOMN>
                                  <LOMCN>1</LOMCN>
                                  <LOSN>1</LOSN>
                                  <LOEN>24</LOEN>
                                  <LOCN>9</LOCN>
                                </LnkInProps>
                              </LnkIn>
                            </Ctg>
                            <Ctg>
                              <CtgProps>
                                <R>5</R>
                              </CtgProps>
                              <LnkIn>
                                <LnkInProps>
                                  <MN>24</MN>
                                  <CLI>1,1,49,False,10</CLI>
                                  <ELN>1</ELN>
                                  <LOOT>0</LOOT>
                                  <LOMN>3</LOMN>
                                  <LOMCN>1</LOMCN>
                                  <LOSN>1</LOSN>
                                  <LOEN>24</LOEN>
                                  <LOCN>10</LOCN>
                                </LnkInProps>
                              </LnkIn>
                            </Ctg>
                            <Ctg>
                              <CtgProps>
                                <R>5</R>
                              </CtgProps>
                              <LnkIn>
                                <LnkInProps>
                                  <MN>24</MN>
                                  <CLI>1,1,49,False,11</CLI>
                                  <ELN>1</ELN>
                                  <LOOT>0</LOOT>
                                  <LOMN>3</LOMN>
                                  <LOMCN>1</LOMCN>
                                  <LOSN>1</LOSN>
                                  <LOEN>24</LOEN>
                                  <LOCN>11</LOCN>
                                </LnkInProps>
                              </LnkIn>
                            </Ctg>
                            <Ctg>
                              <CtgProps>
                                <R>5</R>
                              </CtgProps>
                              <LnkIn>
                                <LnkInProps>
                                  <MN>24</MN>
                                  <CLI>1,1,49,False,12</CLI>
                                  <ELN>1</ELN>
                                  <LOOT>0</LOOT>
                                  <LOMN>3</LOMN>
                                  <LOMCN>1</LOMCN>
                                  <LOSN>1</LOSN>
                                  <LOEN>24</LOEN>
                                  <LOCN>12</LOCN>
                                </LnkInProps>
                              </LnkIn>
                            </Ctg>
                            <Ctg>
                              <CtgProps>
                                <R>5</R>
                              </CtgProps>
                              <LnkIn>
                                <LnkInProps>
                                  <MN>24</MN>
                                  <CLI>1,1,49,False,13</CLI>
                                  <ELN>1</ELN>
                                  <LOOT>0</LOOT>
                                  <LOMN>3</LOMN>
                                  <LOMCN>1</LOMCN>
                                  <LOSN>1</LOSN>
                                  <LOEN>24</LOEN>
                                  <LOCN>13</LOCN>
                                </LnkInProps>
                              </LnkIn>
                            </Ctg>
                            <Ctg>
                              <CtgProps>
                                <R>5</R>
                              </CtgProps>
                              <LnkIn>
                                <LnkInProps>
                                  <MN>24</MN>
                                  <CLI>1,1,49,False,14</CLI>
                                  <ELN>1</ELN>
                                  <LOOT>0</LOOT>
                                  <LOMN>3</LOMN>
                                  <LOMCN>1</LOMCN>
                                  <LOSN>1</LOSN>
                                  <LOEN>24</LOEN>
                                  <LOCN>14</LOCN>
                                </LnkInProps>
                              </LnkIn>
                            </Ctg>
                            <Ctg>
                              <CtgProps>
                                <R>5</R>
                              </CtgProps>
                              <LnkIn>
                                <LnkInProps>
                                  <MN>24</MN>
                                  <CLI>1,1,49,False,15</CLI>
                                  <ELN>1</ELN>
                                  <LOOT>0</LOOT>
                                  <LOMN>3</LOMN>
                                  <LOMCN>1</LOMCN>
                                  <LOSN>1</LOSN>
                                  <LOEN>24</LOEN>
                                  <LOCN>15</LOCN>
                                </LnkInProps>
                              </LnkIn>
                            </Ctg>
                            <Ctg>
                              <CtgProps>
                                <R>5</R>
                              </CtgProps>
                              <LnkIn>
                                <LnkInProps>
                                  <MN>24</MN>
                                  <CLI>1,1,49,False,16</CLI>
                                  <ELN>1</ELN>
                                  <LOOT>0</LOOT>
                                  <LOMN>3</LOMN>
                                  <LOMCN>1</LOMCN>
                                  <LOSN>1</LOSN>
                                  <LOEN>24</LOEN>
                                  <LOCN>16</LOCN>
                                </LnkInProps>
                              </LnkIn>
                            </Ctg>
                            <Ctg>
                              <CtgProps>
                                <R>5</R>
                              </CtgProps>
                              <LnkIn>
                                <LnkInProps>
                                  <MN>24</MN>
                                  <CLI>1,1,49,False,17</CLI>
                                  <ELN>1</ELN>
                                  <LOOT>0</LOOT>
                                  <LOMN>3</LOMN>
                                  <LOMCN>1</LOMCN>
                                  <LOSN>1</LOSN>
                                  <LOEN>24</LOEN>
                                  <LOCN>17</LOCN>
                                </LnkInProps>
                              </LnkIn>
                            </Ctg>
                            <Ctg>
                              <CtgProps>
                                <R>5</R>
                              </CtgProps>
                              <LnkIn>
                                <LnkInProps>
                                  <MN>24</MN>
                                  <CLI>1,1,49,False,18</CLI>
                                  <ELN>1</ELN>
                                  <LOOT>0</LOOT>
                                  <LOMN>3</LOMN>
                                  <LOMCN>1</LOMCN>
                                  <LOSN>1</LOSN>
                                  <LOEN>24</LOEN>
                                  <LOCN>18</LOCN>
                                </LnkInProps>
                              </LnkIn>
                            </Ctg>
                            <Ctg>
                              <CtgProps>
                                <R>5</R>
                              </CtgProps>
                              <LnkIn>
                                <LnkInProps>
                                  <MN>24</MN>
                                  <CLI>1,1,49,False,19</CLI>
                                  <ELN>1</ELN>
                                  <LOOT>0</LOOT>
                                  <LOMN>3</LOMN>
                                  <LOMCN>1</LOMCN>
                                  <LOSN>1</LOSN>
                                  <LOEN>24</LOEN>
                                  <LOCN>19</LOCN>
                                </LnkInProps>
                              </LnkIn>
                            </Ctg>
                            <Ctg>
                              <CtgProps>
                                <R>5</R>
                              </CtgProps>
                              <LnkIn>
                                <LnkInProps>
                                  <MN>24</MN>
                                  <CLI>1,1,49,False,20</CLI>
                                  <ELN>1</ELN>
                                  <LOOT>0</LOOT>
                                  <LOMN>3</LOMN>
                                  <LOMCN>1</LOMCN>
                                  <LOSN>1</LOSN>
                                  <LOEN>24</LOEN>
                                  <LOCN>20</LOCN>
                                </LnkInProps>
                              </LnkIn>
                            </Ctg>
                            <Ctg>
                              <CtgProps>
                                <R>5</R>
                              </CtgProps>
                              <LnkIn>
                                <LnkInProps>
                                  <MN>24</MN>
                                  <CLI>1,1,49,False,21</CLI>
                                  <ELN>1</ELN>
                                  <LOOT>0</LOOT>
                                  <LOMN>3</LOMN>
                                  <LOMCN>1</LOMCN>
                                  <LOSN>1</LOSN>
                                  <LOEN>24</LOEN>
                                  <LOCN>21</LOCN>
                                </LnkInProps>
                              </LnkIn>
                            </Ctg>
                            <Ctg>
                              <CtgProps>
                                <R>5</R>
                              </CtgProps>
                              <LnkIn>
                                <LnkInProps>
                                  <MN>24</MN>
                                  <CLI>1,1,49,False,22</CLI>
                                  <ELN>1</ELN>
                                  <LOOT>0</LOOT>
                                  <LOMN>3</LOMN>
                                  <LOMCN>1</LOMCN>
                                  <LOSN>1</LOSN>
                                  <LOEN>24</LOEN>
                                  <LOCN>22</LOCN>
                                </LnkInProps>
                              </LnkIn>
                            </Ctg>
                            <Ctg>
                              <CtgProps>
                                <R>5</R>
                              </CtgProps>
                              <LnkIn>
                                <LnkInProps>
                                  <MN>24</MN>
                                  <CLI>1,1,49,False,23</CLI>
                                  <ELN>1</ELN>
                                  <LOOT>0</LOOT>
                                  <LOMN>3</LOMN>
                                  <LOMCN>1</LOMCN>
                                  <LOSN>1</LOSN>
                                  <LOEN>24</LOEN>
                                  <LOCN>23</LOCN>
                                </LnkInProps>
                              </LnkIn>
                            </Ctg>
                            <Ctg>
                              <CtgProps>
                                <R>5</R>
                              </CtgProps>
                              <LnkIn>
                                <LnkInProps>
                                  <MN>24</MN>
                                  <CLI>1,1,49,False,24</CLI>
                                  <ELN>1</ELN>
                                  <LOOT>0</LOOT>
                                  <LOMN>3</LOMN>
                                  <LOMCN>1</LOMCN>
                                  <LOSN>1</LOSN>
                                  <LOEN>24</LOEN>
                                  <LOCN>24</LOCN>
                                </LnkInProps>
                              </LnkIn>
                            </Ctg>
                            <Ctg>
                              <CtgProps>
                                <R>5</R>
                              </CtgProps>
                              <LnkIn>
                                <LnkInProps>
                                  <MN>24</MN>
                                  <CLI>1,1,49,False,25</CLI>
                                  <ELN>1</ELN>
                                  <LOOT>0</LOOT>
                                  <LOMN>3</LOMN>
                                  <LOMCN>1</LOMCN>
                                  <LOSN>1</LOSN>
                                  <LOEN>24</LOEN>
                                  <LOCN>25</LOCN>
                                </LnkInProps>
                              </LnkIn>
                            </Ctg>
                            <Ctg>
                              <CtgProps>
                                <R>5</R>
                              </CtgProps>
                              <LnkIn>
                                <LnkInProps>
                                  <MN>24</MN>
                                  <CLI>1,1,49,False,26</CLI>
                                  <ELN>1</ELN>
                                  <LOOT>0</LOOT>
                                  <LOMN>3</LOMN>
                                  <LOMCN>1</LOMCN>
                                  <LOSN>1</LOSN>
                                  <LOEN>24</LOEN>
                                  <LOCN>26</LOCN>
                                </LnkInProps>
                              </LnkIn>
                            </Ctg>
                            <Ctg>
                              <CtgProps>
                                <R>5</R>
                              </CtgProps>
                              <LnkIn>
                                <LnkInProps>
                                  <MN>24</MN>
                                  <CLI>1,1,49,False,27</CLI>
                                  <ELN>1</ELN>
                                  <LOOT>0</LOOT>
                                  <LOMN>3</LOMN>
                                  <LOMCN>1</LOMCN>
                                  <LOSN>1</LOSN>
                                  <LOEN>24</LOEN>
                                  <LOCN>27</LOCN>
                                </LnkInProps>
                              </LnkIn>
                            </Ctg>
                            <Ctg>
                              <CtgProps>
                                <R>5</R>
                              </CtgProps>
                              <LnkIn>
                                <LnkInProps>
                                  <MN>24</MN>
                                  <CLI>1,1,49,False,28</CLI>
                                  <ELN>1</ELN>
                                  <LOOT>0</LOOT>
                                  <LOMN>3</LOMN>
                                  <LOMCN>1</LOMCN>
                                  <LOSN>1</LOSN>
                                  <LOEN>24</LOEN>
                                  <LOCN>28</LOCN>
                                </LnkInProps>
                              </LnkIn>
                            </Ctg>
                            <Ctg>
                              <CtgProps>
                                <R>5</R>
                              </CtgProps>
                              <LnkIn>
                                <LnkInProps>
                                  <MN>24</MN>
                                  <CLI>1,1,49,False,29</CLI>
                                  <ELN>1</ELN>
                                  <LOOT>0</LOOT>
                                  <LOMN>3</LOMN>
                                  <LOMCN>1</LOMCN>
                                  <LOSN>1</LOSN>
                                  <LOEN>24</LOEN>
                                  <LOCN>29</LOCN>
                                </LnkInProps>
                              </LnkIn>
                            </Ctg>
                            <Ctg>
                              <CtgProps>
                                <R>5</R>
                              </CtgProps>
                              <LnkIn>
                                <LnkInProps>
                                  <MN>24</MN>
                                  <CLI>1,1,49,False,30</CLI>
                                  <ELN>1</ELN>
                                  <LOOT>0</LOOT>
                                  <LOMN>3</LOMN>
                                  <LOMCN>1</LOMCN>
                                  <LOSN>1</LOSN>
                                  <LOEN>24</LOEN>
                                  <LOCN>30</LOCN>
                                </LnkInProps>
                              </LnkIn>
                            </Ctg>
                            <Ctg>
                              <CtgProps>
                                <R>5</R>
                              </CtgProps>
                              <LnkIn>
                                <LnkInProps>
                                  <MN>24</MN>
                                  <CLI>1,1,49,False,31</CLI>
                                  <ELN>1</ELN>
                                  <LOOT>0</LOOT>
                                  <LOMN>3</LOMN>
                                  <LOMCN>1</LOMCN>
                                  <LOSN>1</LOSN>
                                  <LOEN>24</LOEN>
                                  <LOCN>31</LOCN>
                                </LnkInProps>
                              </LnkIn>
                            </Ctg>
                            <Ctg>
                              <CtgProps>
                                <R>5</R>
                              </CtgProps>
                              <LnkIn>
                                <LnkInProps>
                                  <MN>24</MN>
                                  <CLI>1,1,49,False,32</CLI>
                                  <ELN>1</ELN>
                                  <LOOT>0</LOOT>
                                  <LOMN>3</LOMN>
                                  <LOMCN>1</LOMCN>
                                  <LOSN>1</LOSN>
                                  <LOEN>24</LOEN>
                                  <LOCN>32</LOCN>
                                </LnkInProps>
                              </LnkIn>
                            </Ctg>
                            <Ctg>
                              <CtgProps>
                                <R>5</R>
                              </CtgProps>
                              <LnkIn>
                                <LnkInProps>
                                  <MN>24</MN>
                                  <CLI>1,1,49,False,33</CLI>
                                  <ELN>1</ELN>
                                  <LOOT>0</LOOT>
                                  <LOMN>3</LOMN>
                                  <LOMCN>1</LOMCN>
                                  <LOSN>1</LOSN>
                                  <LOEN>24</LOEN>
                                  <LOCN>33</LOCN>
                                </LnkInProps>
                              </LnkIn>
                            </Ctg>
                            <Ctg>
                              <CtgProps>
                                <R>5</R>
                              </CtgProps>
                              <LnkIn>
                                <LnkInProps>
                                  <MN>24</MN>
                                  <CLI>1,1,49,False,34</CLI>
                                  <ELN>1</ELN>
                                  <LOOT>0</LOOT>
                                  <LOMN>3</LOMN>
                                  <LOMCN>1</LOMCN>
                                  <LOSN>1</LOSN>
                                  <LOEN>24</LOEN>
                                  <LOCN>34</LOCN>
                                </LnkInProps>
                              </LnkIn>
                            </Ctg>
                            <Ctg>
                              <CtgProps>
                                <R>5</R>
                              </CtgProps>
                              <LnkIn>
                                <LnkInProps>
                                  <MN>24</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24</MN>
                                  <CLI>1,1,53,False,1</CLI>
                                  <ELN>1</ELN>
                                  <LOOT>0</LOOT>
                                  <LOMN>3</LOMN>
                                  <LOMCN>1</LOMCN>
                                  <LOSN>1</LOSN>
                                  <LOEN>29</LOEN>
                                  <LOCN>1</LOCN>
                                </LnkInProps>
                              </LnkIn>
                            </Ctg>
                            <Ctg>
                              <CtgProps>
                                <R>4</R>
                              </CtgProps>
                              <LnkIn>
                                <LnkInProps>
                                  <MN>24</MN>
                                  <CLI>1,1,53,False,2</CLI>
                                  <ELN>1</ELN>
                                  <LOOT>0</LOOT>
                                  <LOMN>3</LOMN>
                                  <LOMCN>1</LOMCN>
                                  <LOSN>1</LOSN>
                                  <LOEN>29</LOEN>
                                  <LOCN>2</LOCN>
                                </LnkInProps>
                              </LnkIn>
                            </Ctg>
                            <Ctg>
                              <CtgProps>
                                <R>5</R>
                              </CtgProps>
                              <LnkIn>
                                <LnkInProps>
                                  <MN>24</MN>
                                  <CLI>1,1,53,False,3</CLI>
                                  <ELN>1</ELN>
                                  <LOOT>0</LOOT>
                                  <LOMN>3</LOMN>
                                  <LOMCN>1</LOMCN>
                                  <LOSN>1</LOSN>
                                  <LOEN>29</LOEN>
                                  <LOCN>3</LOCN>
                                </LnkInProps>
                              </LnkIn>
                            </Ctg>
                            <Ctg>
                              <CtgProps>
                                <R>5</R>
                              </CtgProps>
                              <LnkIn>
                                <LnkInProps>
                                  <MN>24</MN>
                                  <CLI>1,1,53,False,4</CLI>
                                  <ELN>1</ELN>
                                  <LOOT>0</LOOT>
                                  <LOMN>3</LOMN>
                                  <LOMCN>1</LOMCN>
                                  <LOSN>1</LOSN>
                                  <LOEN>29</LOEN>
                                  <LOCN>4</LOCN>
                                </LnkInProps>
                              </LnkIn>
                            </Ctg>
                            <Ctg>
                              <CtgProps>
                                <R>5</R>
                              </CtgProps>
                              <LnkIn>
                                <LnkInProps>
                                  <MN>24</MN>
                                  <CLI>1,1,53,False,5</CLI>
                                  <ELN>1</ELN>
                                  <LOOT>0</LOOT>
                                  <LOMN>3</LOMN>
                                  <LOMCN>1</LOMCN>
                                  <LOSN>1</LOSN>
                                  <LOEN>29</LOEN>
                                  <LOCN>5</LOCN>
                                </LnkInProps>
                              </LnkIn>
                            </Ctg>
                            <Ctg>
                              <CtgProps>
                                <R>5</R>
                              </CtgProps>
                              <LnkIn>
                                <LnkInProps>
                                  <MN>24</MN>
                                  <CLI>1,1,53,False,6</CLI>
                                  <ELN>1</ELN>
                                  <LOOT>0</LOOT>
                                  <LOMN>3</LOMN>
                                  <LOMCN>1</LOMCN>
                                  <LOSN>1</LOSN>
                                  <LOEN>29</LOEN>
                                  <LOCN>6</LOCN>
                                </LnkInProps>
                              </LnkIn>
                            </Ctg>
                            <Ctg>
                              <CtgProps>
                                <R>5</R>
                              </CtgProps>
                              <LnkIn>
                                <LnkInProps>
                                  <MN>24</MN>
                                  <CLI>1,1,53,False,7</CLI>
                                  <ELN>1</ELN>
                                  <LOOT>0</LOOT>
                                  <LOMN>3</LOMN>
                                  <LOMCN>1</LOMCN>
                                  <LOSN>1</LOSN>
                                  <LOEN>29</LOEN>
                                  <LOCN>7</LOCN>
                                </LnkInProps>
                              </LnkIn>
                            </Ctg>
                            <Ctg>
                              <CtgProps>
                                <R>5</R>
                              </CtgProps>
                              <LnkIn>
                                <LnkInProps>
                                  <MN>24</MN>
                                  <CLI>1,1,53,False,8</CLI>
                                  <ELN>1</ELN>
                                  <LOOT>0</LOOT>
                                  <LOMN>3</LOMN>
                                  <LOMCN>1</LOMCN>
                                  <LOSN>1</LOSN>
                                  <LOEN>29</LOEN>
                                  <LOCN>8</LOCN>
                                </LnkInProps>
                              </LnkIn>
                            </Ctg>
                            <Ctg>
                              <CtgProps>
                                <R>5</R>
                              </CtgProps>
                              <LnkIn>
                                <LnkInProps>
                                  <MN>24</MN>
                                  <CLI>1,1,53,False,9</CLI>
                                  <ELN>1</ELN>
                                  <LOOT>0</LOOT>
                                  <LOMN>3</LOMN>
                                  <LOMCN>1</LOMCN>
                                  <LOSN>1</LOSN>
                                  <LOEN>29</LOEN>
                                  <LOCN>9</LOCN>
                                </LnkInProps>
                              </LnkIn>
                            </Ctg>
                            <Ctg>
                              <CtgProps>
                                <R>5</R>
                              </CtgProps>
                              <LnkIn>
                                <LnkInProps>
                                  <MN>24</MN>
                                  <CLI>1,1,53,False,10</CLI>
                                  <ELN>1</ELN>
                                  <LOOT>0</LOOT>
                                  <LOMN>3</LOMN>
                                  <LOMCN>1</LOMCN>
                                  <LOSN>1</LOSN>
                                  <LOEN>29</LOEN>
                                  <LOCN>10</LOCN>
                                </LnkInProps>
                              </LnkIn>
                            </Ctg>
                            <Ctg>
                              <CtgProps>
                                <R>5</R>
                              </CtgProps>
                              <LnkIn>
                                <LnkInProps>
                                  <MN>24</MN>
                                  <CLI>1,1,53,False,11</CLI>
                                  <ELN>1</ELN>
                                  <LOOT>0</LOOT>
                                  <LOMN>3</LOMN>
                                  <LOMCN>1</LOMCN>
                                  <LOSN>1</LOSN>
                                  <LOEN>29</LOEN>
                                  <LOCN>11</LOCN>
                                </LnkInProps>
                              </LnkIn>
                            </Ctg>
                            <Ctg>
                              <CtgProps>
                                <R>5</R>
                              </CtgProps>
                              <LnkIn>
                                <LnkInProps>
                                  <MN>24</MN>
                                  <CLI>1,1,53,False,12</CLI>
                                  <ELN>1</ELN>
                                  <LOOT>0</LOOT>
                                  <LOMN>3</LOMN>
                                  <LOMCN>1</LOMCN>
                                  <LOSN>1</LOSN>
                                  <LOEN>29</LOEN>
                                  <LOCN>12</LOCN>
                                </LnkInProps>
                              </LnkIn>
                            </Ctg>
                            <Ctg>
                              <CtgProps>
                                <R>5</R>
                              </CtgProps>
                              <LnkIn>
                                <LnkInProps>
                                  <MN>24</MN>
                                  <CLI>1,1,53,False,13</CLI>
                                  <ELN>1</ELN>
                                  <LOOT>0</LOOT>
                                  <LOMN>3</LOMN>
                                  <LOMCN>1</LOMCN>
                                  <LOSN>1</LOSN>
                                  <LOEN>29</LOEN>
                                  <LOCN>13</LOCN>
                                </LnkInProps>
                              </LnkIn>
                            </Ctg>
                            <Ctg>
                              <CtgProps>
                                <R>5</R>
                              </CtgProps>
                              <LnkIn>
                                <LnkInProps>
                                  <MN>24</MN>
                                  <CLI>1,1,53,False,14</CLI>
                                  <ELN>1</ELN>
                                  <LOOT>0</LOOT>
                                  <LOMN>3</LOMN>
                                  <LOMCN>1</LOMCN>
                                  <LOSN>1</LOSN>
                                  <LOEN>29</LOEN>
                                  <LOCN>14</LOCN>
                                </LnkInProps>
                              </LnkIn>
                            </Ctg>
                            <Ctg>
                              <CtgProps>
                                <R>5</R>
                              </CtgProps>
                              <LnkIn>
                                <LnkInProps>
                                  <MN>24</MN>
                                  <CLI>1,1,53,False,15</CLI>
                                  <ELN>1</ELN>
                                  <LOOT>0</LOOT>
                                  <LOMN>3</LOMN>
                                  <LOMCN>1</LOMCN>
                                  <LOSN>1</LOSN>
                                  <LOEN>29</LOEN>
                                  <LOCN>15</LOCN>
                                </LnkInProps>
                              </LnkIn>
                            </Ctg>
                            <Ctg>
                              <CtgProps>
                                <R>5</R>
                              </CtgProps>
                              <LnkIn>
                                <LnkInProps>
                                  <MN>24</MN>
                                  <CLI>1,1,53,False,16</CLI>
                                  <ELN>1</ELN>
                                  <LOOT>0</LOOT>
                                  <LOMN>3</LOMN>
                                  <LOMCN>1</LOMCN>
                                  <LOSN>1</LOSN>
                                  <LOEN>29</LOEN>
                                  <LOCN>16</LOCN>
                                </LnkInProps>
                              </LnkIn>
                            </Ctg>
                            <Ctg>
                              <CtgProps>
                                <R>5</R>
                              </CtgProps>
                              <LnkIn>
                                <LnkInProps>
                                  <MN>24</MN>
                                  <CLI>1,1,53,False,17</CLI>
                                  <ELN>1</ELN>
                                  <LOOT>0</LOOT>
                                  <LOMN>3</LOMN>
                                  <LOMCN>1</LOMCN>
                                  <LOSN>1</LOSN>
                                  <LOEN>29</LOEN>
                                  <LOCN>17</LOCN>
                                </LnkInProps>
                              </LnkIn>
                            </Ctg>
                            <Ctg>
                              <CtgProps>
                                <R>5</R>
                              </CtgProps>
                              <LnkIn>
                                <LnkInProps>
                                  <MN>24</MN>
                                  <CLI>1,1,53,False,18</CLI>
                                  <ELN>1</ELN>
                                  <LOOT>0</LOOT>
                                  <LOMN>3</LOMN>
                                  <LOMCN>1</LOMCN>
                                  <LOSN>1</LOSN>
                                  <LOEN>29</LOEN>
                                  <LOCN>18</LOCN>
                                </LnkInProps>
                              </LnkIn>
                            </Ctg>
                            <Ctg>
                              <CtgProps>
                                <R>5</R>
                              </CtgProps>
                              <LnkIn>
                                <LnkInProps>
                                  <MN>24</MN>
                                  <CLI>1,1,53,False,19</CLI>
                                  <ELN>1</ELN>
                                  <LOOT>0</LOOT>
                                  <LOMN>3</LOMN>
                                  <LOMCN>1</LOMCN>
                                  <LOSN>1</LOSN>
                                  <LOEN>29</LOEN>
                                  <LOCN>19</LOCN>
                                </LnkInProps>
                              </LnkIn>
                            </Ctg>
                            <Ctg>
                              <CtgProps>
                                <R>5</R>
                              </CtgProps>
                              <LnkIn>
                                <LnkInProps>
                                  <MN>24</MN>
                                  <CLI>1,1,53,False,20</CLI>
                                  <ELN>1</ELN>
                                  <LOOT>0</LOOT>
                                  <LOMN>3</LOMN>
                                  <LOMCN>1</LOMCN>
                                  <LOSN>1</LOSN>
                                  <LOEN>29</LOEN>
                                  <LOCN>20</LOCN>
                                </LnkInProps>
                              </LnkIn>
                            </Ctg>
                            <Ctg>
                              <CtgProps>
                                <R>5</R>
                              </CtgProps>
                              <LnkIn>
                                <LnkInProps>
                                  <MN>24</MN>
                                  <CLI>1,1,53,False,21</CLI>
                                  <ELN>1</ELN>
                                  <LOOT>0</LOOT>
                                  <LOMN>3</LOMN>
                                  <LOMCN>1</LOMCN>
                                  <LOSN>1</LOSN>
                                  <LOEN>29</LOEN>
                                  <LOCN>21</LOCN>
                                </LnkInProps>
                              </LnkIn>
                            </Ctg>
                            <Ctg>
                              <CtgProps>
                                <R>5</R>
                              </CtgProps>
                              <LnkIn>
                                <LnkInProps>
                                  <MN>24</MN>
                                  <CLI>1,1,53,False,22</CLI>
                                  <ELN>1</ELN>
                                  <LOOT>0</LOOT>
                                  <LOMN>3</LOMN>
                                  <LOMCN>1</LOMCN>
                                  <LOSN>1</LOSN>
                                  <LOEN>29</LOEN>
                                  <LOCN>22</LOCN>
                                </LnkInProps>
                              </LnkIn>
                            </Ctg>
                            <Ctg>
                              <CtgProps>
                                <R>5</R>
                              </CtgProps>
                              <LnkIn>
                                <LnkInProps>
                                  <MN>24</MN>
                                  <CLI>1,1,53,False,23</CLI>
                                  <ELN>1</ELN>
                                  <LOOT>0</LOOT>
                                  <LOMN>3</LOMN>
                                  <LOMCN>1</LOMCN>
                                  <LOSN>1</LOSN>
                                  <LOEN>29</LOEN>
                                  <LOCN>23</LOCN>
                                </LnkInProps>
                              </LnkIn>
                            </Ctg>
                            <Ctg>
                              <CtgProps>
                                <R>5</R>
                              </CtgProps>
                              <LnkIn>
                                <LnkInProps>
                                  <MN>24</MN>
                                  <CLI>1,1,53,False,24</CLI>
                                  <ELN>1</ELN>
                                  <LOOT>0</LOOT>
                                  <LOMN>3</LOMN>
                                  <LOMCN>1</LOMCN>
                                  <LOSN>1</LOSN>
                                  <LOEN>29</LOEN>
                                  <LOCN>24</LOCN>
                                </LnkInProps>
                              </LnkIn>
                            </Ctg>
                            <Ctg>
                              <CtgProps>
                                <R>5</R>
                              </CtgProps>
                              <LnkIn>
                                <LnkInProps>
                                  <MN>24</MN>
                                  <CLI>1,1,53,False,25</CLI>
                                  <ELN>1</ELN>
                                  <LOOT>0</LOOT>
                                  <LOMN>3</LOMN>
                                  <LOMCN>1</LOMCN>
                                  <LOSN>1</LOSN>
                                  <LOEN>29</LOEN>
                                  <LOCN>25</LOCN>
                                </LnkInProps>
                              </LnkIn>
                            </Ctg>
                            <Ctg>
                              <CtgProps>
                                <R>5</R>
                              </CtgProps>
                              <LnkIn>
                                <LnkInProps>
                                  <MN>24</MN>
                                  <CLI>1,1,53,False,26</CLI>
                                  <ELN>1</ELN>
                                  <LOOT>0</LOOT>
                                  <LOMN>3</LOMN>
                                  <LOMCN>1</LOMCN>
                                  <LOSN>1</LOSN>
                                  <LOEN>29</LOEN>
                                  <LOCN>26</LOCN>
                                </LnkInProps>
                              </LnkIn>
                            </Ctg>
                            <Ctg>
                              <CtgProps>
                                <R>5</R>
                              </CtgProps>
                              <LnkIn>
                                <LnkInProps>
                                  <MN>24</MN>
                                  <CLI>1,1,53,False,27</CLI>
                                  <ELN>1</ELN>
                                  <LOOT>0</LOOT>
                                  <LOMN>3</LOMN>
                                  <LOMCN>1</LOMCN>
                                  <LOSN>1</LOSN>
                                  <LOEN>29</LOEN>
                                  <LOCN>27</LOCN>
                                </LnkInProps>
                              </LnkIn>
                            </Ctg>
                            <Ctg>
                              <CtgProps>
                                <R>5</R>
                              </CtgProps>
                              <LnkIn>
                                <LnkInProps>
                                  <MN>24</MN>
                                  <CLI>1,1,53,False,28</CLI>
                                  <ELN>1</ELN>
                                  <LOOT>0</LOOT>
                                  <LOMN>3</LOMN>
                                  <LOMCN>1</LOMCN>
                                  <LOSN>1</LOSN>
                                  <LOEN>29</LOEN>
                                  <LOCN>28</LOCN>
                                </LnkInProps>
                              </LnkIn>
                            </Ctg>
                            <Ctg>
                              <CtgProps>
                                <R>5</R>
                              </CtgProps>
                              <LnkIn>
                                <LnkInProps>
                                  <MN>24</MN>
                                  <CLI>1,1,53,False,29</CLI>
                                  <ELN>1</ELN>
                                  <LOOT>0</LOOT>
                                  <LOMN>3</LOMN>
                                  <LOMCN>1</LOMCN>
                                  <LOSN>1</LOSN>
                                  <LOEN>29</LOEN>
                                  <LOCN>29</LOCN>
                                </LnkInProps>
                              </LnkIn>
                            </Ctg>
                            <Ctg>
                              <CtgProps>
                                <R>5</R>
                              </CtgProps>
                              <LnkIn>
                                <LnkInProps>
                                  <MN>24</MN>
                                  <CLI>1,1,53,False,30</CLI>
                                  <ELN>1</ELN>
                                  <LOOT>0</LOOT>
                                  <LOMN>3</LOMN>
                                  <LOMCN>1</LOMCN>
                                  <LOSN>1</LOSN>
                                  <LOEN>29</LOEN>
                                  <LOCN>30</LOCN>
                                </LnkInProps>
                              </LnkIn>
                            </Ctg>
                            <Ctg>
                              <CtgProps>
                                <R>5</R>
                              </CtgProps>
                              <LnkIn>
                                <LnkInProps>
                                  <MN>24</MN>
                                  <CLI>1,1,53,False,31</CLI>
                                  <ELN>1</ELN>
                                  <LOOT>0</LOOT>
                                  <LOMN>3</LOMN>
                                  <LOMCN>1</LOMCN>
                                  <LOSN>1</LOSN>
                                  <LOEN>29</LOEN>
                                  <LOCN>31</LOCN>
                                </LnkInProps>
                              </LnkIn>
                            </Ctg>
                            <Ctg>
                              <CtgProps>
                                <R>5</R>
                              </CtgProps>
                              <LnkIn>
                                <LnkInProps>
                                  <MN>24</MN>
                                  <CLI>1,1,53,False,32</CLI>
                                  <ELN>1</ELN>
                                  <LOOT>0</LOOT>
                                  <LOMN>3</LOMN>
                                  <LOMCN>1</LOMCN>
                                  <LOSN>1</LOSN>
                                  <LOEN>29</LOEN>
                                  <LOCN>32</LOCN>
                                </LnkInProps>
                              </LnkIn>
                            </Ctg>
                            <Ctg>
                              <CtgProps>
                                <R>5</R>
                              </CtgProps>
                              <LnkIn>
                                <LnkInProps>
                                  <MN>24</MN>
                                  <CLI>1,1,53,False,33</CLI>
                                  <ELN>1</ELN>
                                  <LOOT>0</LOOT>
                                  <LOMN>3</LOMN>
                                  <LOMCN>1</LOMCN>
                                  <LOSN>1</LOSN>
                                  <LOEN>29</LOEN>
                                  <LOCN>33</LOCN>
                                </LnkInProps>
                              </LnkIn>
                            </Ctg>
                            <Ctg>
                              <CtgProps>
                                <R>5</R>
                              </CtgProps>
                              <LnkIn>
                                <LnkInProps>
                                  <MN>24</MN>
                                  <CLI>1,1,53,False,34</CLI>
                                  <ELN>1</ELN>
                                  <LOOT>0</LOOT>
                                  <LOMN>3</LOMN>
                                  <LOMCN>1</LOMCN>
                                  <LOSN>1</LOSN>
                                  <LOEN>29</LOEN>
                                  <LOCN>34</LOCN>
                                </LnkInProps>
                              </LnkIn>
                            </Ctg>
                            <Ctg>
                              <CtgProps>
                                <R>5</R>
                              </CtgProps>
                              <LnkIn>
                                <LnkInProps>
                                  <MN>24</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24</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24</MN>
                <MCN>2</MCN>
                <MCTK>BaseCase</MCTK>
                <RT><![CDATA[<ModuleName> - Assumptions]]></RT>
                <ERN>BPMMC9</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49</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24</MN>
                <MCN>3</MCN>
                <MCTK>OP</MCTK>
                <RT><![CDATA[<ModuleName> - Outputs]]></RT>
                <ERN>BPMMC10</ERN>
                <MCST>0</MCST>
                <IPMC>False</IPMC>
                <SN>30</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Round 1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NT>
                                    <SP1><![CDATA[RND1_HQA]]></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Round 1"&§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24</MN>
                <MCN>4</MCN>
                <MCTK>LU</MCTK>
                <RT><![CDATA[<ModuleName> - Lookups]]></RT>
                <ERN>BPMMC11</ERN>
                <MCST>3</MCST>
                <IPMC>False</IPMC>
                <SN>50</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57</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6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6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6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6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6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6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13</MN>
            <MAG>45338FE0-6C0B-4A55-A5AC-B1F2F9D32FCD</MAG>
            <BN><![CDATA[PLUG_ACTIVITY]]></BN>
            <N><![CDATA[ROUND1- HQ SUPPORT]]></N>
            <TS><![CDATA[Annual]]></TS>
            <D><![CDATA[Assists with planning the cost of an activity. Should be used with Prices module.]]></D>
            <FS/>
            <R/>
            <GE/>
            <CA/>
            <VA/>
            <GST/>
            <DE/>
            <E/>
            <C/>
            <W/>
            <K/>
            <CO/>
            <V>1.0.0.0.</V>
            <AX/>
            <PMLO>False</PMLO>
            <IPMLO>False</IPMLO>
            <MACA>1</MACA>
            <RTSM>True</RTSM>
            <CC>True</CC>
            <X>False</X>
            <G>8F913FBA-CC74-49E9-9BFD-1E7FAA9D87E1</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25</MN>
                <MCN>1</MCN>
                <MCTK>BaseCase</MCTK>
                <RT><![CDATA[<ModuleName> - Assumptions]]></RT>
                <ERN>BPMMC87</ERN>
                <MCST>0</MCST>
                <IPMC>False</IPMC>
                <SN>20</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59</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3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25</MN>
                                  <CLI>1,1,34,False,1</CLI>
                                  <ELN>1</ELN>
                                  <LOOT>0</LOOT>
                                  <LOMN>3</LOMN>
                                  <LOMCN>2</LOMCN>
                                  <LOSN>1</LOSN>
                                  <LOEN>4</LOEN>
                                  <LOCN>1</LOCN>
                                </LnkInProps>
                              </LnkIn>
                            </Ctg>
                            <Ctg>
                              <CtgProps>
                                <R>5</R>
                              </CtgProps>
                              <LnkIn>
                                <LnkInProps>
                                  <MN>25</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25</MN>
                                  <CLI>1,1,39,False,1</CLI>
                                  <ELN>1</ELN>
                                  <LOOT>0</LOOT>
                                  <LOMN>3</LOMN>
                                  <LOMCN>1</LOMCN>
                                  <LOSN>1</LOSN>
                                  <LOEN>10</LOEN>
                                  <LOCN>1</LOCN>
                                </LnkInProps>
                              </LnkIn>
                            </Ctg>
                            <Ctg>
                              <CtgProps>
                                <R>4</R>
                              </CtgProps>
                              <LnkIn>
                                <LnkInProps>
                                  <MN>25</MN>
                                  <CLI>1,1,39,False,2</CLI>
                                  <ELN>1</ELN>
                                  <LOOT>0</LOOT>
                                  <LOMN>3</LOMN>
                                  <LOMCN>1</LOMCN>
                                  <LOSN>1</LOSN>
                                  <LOEN>10</LOEN>
                                  <LOCN>2</LOCN>
                                </LnkInProps>
                              </LnkIn>
                            </Ctg>
                            <Ctg>
                              <CtgProps>
                                <R>4</R>
                              </CtgProps>
                              <LnkIn>
                                <LnkInProps>
                                  <MN>25</MN>
                                  <CLI>1,1,39,False,3</CLI>
                                  <ELN>1</ELN>
                                  <LOOT>0</LOOT>
                                  <LOMN>3</LOMN>
                                  <LOMCN>1</LOMCN>
                                  <LOSN>1</LOSN>
                                  <LOEN>10</LOEN>
                                  <LOCN>3</LOCN>
                                </LnkInProps>
                              </LnkIn>
                            </Ctg>
                            <Ctg>
                              <CtgProps>
                                <R>4</R>
                              </CtgProps>
                              <LnkIn>
                                <LnkInProps>
                                  <MN>25</MN>
                                  <CLI>1,1,39,False,4</CLI>
                                  <ELN>1</ELN>
                                  <LOOT>0</LOOT>
                                  <LOMN>3</LOMN>
                                  <LOMCN>1</LOMCN>
                                  <LOSN>1</LOSN>
                                  <LOEN>10</LOEN>
                                  <LOCN>4</LOCN>
                                </LnkInProps>
                              </LnkIn>
                            </Ctg>
                            <Ctg>
                              <CtgProps>
                                <R>4</R>
                              </CtgProps>
                              <LnkIn>
                                <LnkInProps>
                                  <MN>25</MN>
                                  <CLI>1,1,39,False,5</CLI>
                                  <ELN>1</ELN>
                                  <LOOT>0</LOOT>
                                  <LOMN>3</LOMN>
                                  <LOMCN>1</LOMCN>
                                  <LOSN>1</LOSN>
                                  <LOEN>10</LOEN>
                                  <LOCN>5</LOCN>
                                </LnkInProps>
                              </LnkIn>
                            </Ctg>
                            <Ctg>
                              <CtgProps>
                                <R>4</R>
                              </CtgProps>
                              <LnkIn>
                                <LnkInProps>
                                  <MN>25</MN>
                                  <CLI>1,1,39,False,6</CLI>
                                  <ELN>1</ELN>
                                  <LOOT>0</LOOT>
                                  <LOMN>3</LOMN>
                                  <LOMCN>1</LOMCN>
                                  <LOSN>1</LOSN>
                                  <LOEN>10</LOEN>
                                  <LOCN>6</LOCN>
                                </LnkInProps>
                              </LnkIn>
                            </Ctg>
                            <Ctg>
                              <CtgProps>
                                <R>4</R>
                              </CtgProps>
                              <LnkIn>
                                <LnkInProps>
                                  <MN>25</MN>
                                  <CLI>1,1,39,False,7</CLI>
                                  <ELN>1</ELN>
                                  <LOOT>0</LOOT>
                                  <LOMN>3</LOMN>
                                  <LOMCN>1</LOMCN>
                                  <LOSN>1</LOSN>
                                  <LOEN>10</LOEN>
                                  <LOCN>7</LOCN>
                                </LnkInProps>
                              </LnkIn>
                            </Ctg>
                            <Ctg>
                              <CtgProps>
                                <R>4</R>
                              </CtgProps>
                              <LnkIn>
                                <LnkInProps>
                                  <MN>25</MN>
                                  <CLI>1,1,39,False,8</CLI>
                                  <ELN>1</ELN>
                                  <LOOT>0</LOOT>
                                  <LOMN>3</LOMN>
                                  <LOMCN>1</LOMCN>
                                  <LOSN>1</LOSN>
                                  <LOEN>10</LOEN>
                                  <LOCN>8</LOCN>
                                </LnkInProps>
                              </LnkIn>
                            </Ctg>
                            <Ctg>
                              <CtgProps>
                                <R>4</R>
                              </CtgProps>
                              <LnkIn>
                                <LnkInProps>
                                  <MN>25</MN>
                                  <CLI>1,1,39,False,9</CLI>
                                  <ELN>1</ELN>
                                  <LOOT>0</LOOT>
                                  <LOMN>3</LOMN>
                                  <LOMCN>1</LOMCN>
                                  <LOSN>1</LOSN>
                                  <LOEN>10</LOEN>
                                  <LOCN>9</LOCN>
                                </LnkInProps>
                              </LnkIn>
                            </Ctg>
                            <Ctg>
                              <CtgProps>
                                <R>4</R>
                              </CtgProps>
                              <LnkIn>
                                <LnkInProps>
                                  <MN>25</MN>
                                  <CLI>1,1,39,False,10</CLI>
                                  <ELN>1</ELN>
                                  <LOOT>0</LOOT>
                                  <LOMN>3</LOMN>
                                  <LOMCN>1</LOMCN>
                                  <LOSN>1</LOSN>
                                  <LOEN>10</LOEN>
                                  <LOCN>10</LOCN>
                                </LnkInProps>
                              </LnkIn>
                            </Ctg>
                            <Ctg>
                              <CtgProps>
                                <R>4</R>
                              </CtgProps>
                              <LnkIn>
                                <LnkInProps>
                                  <MN>25</MN>
                                  <CLI>1,1,39,False,11</CLI>
                                  <ELN>1</ELN>
                                  <LOOT>0</LOOT>
                                  <LOMN>3</LOMN>
                                  <LOMCN>1</LOMCN>
                                  <LOSN>1</LOSN>
                                  <LOEN>10</LOEN>
                                  <LOCN>11</LOCN>
                                </LnkInProps>
                              </LnkIn>
                            </Ctg>
                            <Ctg>
                              <CtgProps>
                                <R>4</R>
                              </CtgProps>
                              <LnkIn>
                                <LnkInProps>
                                  <MN>25</MN>
                                  <CLI>1,1,39,False,12</CLI>
                                  <ELN>1</ELN>
                                  <LOOT>0</LOOT>
                                  <LOMN>3</LOMN>
                                  <LOMCN>1</LOMCN>
                                  <LOSN>1</LOSN>
                                  <LOEN>10</LOEN>
                                  <LOCN>12</LOCN>
                                </LnkInProps>
                              </LnkIn>
                            </Ctg>
                            <Ctg>
                              <CtgProps>
                                <R>4</R>
                              </CtgProps>
                              <LnkIn>
                                <LnkInProps>
                                  <MN>25</MN>
                                  <CLI>1,1,39,False,13</CLI>
                                  <ELN>1</ELN>
                                  <LOOT>0</LOOT>
                                  <LOMN>3</LOMN>
                                  <LOMCN>1</LOMCN>
                                  <LOSN>1</LOSN>
                                  <LOEN>10</LOEN>
                                  <LOCN>13</LOCN>
                                </LnkInProps>
                              </LnkIn>
                            </Ctg>
                            <Ctg>
                              <CtgProps>
                                <R>4</R>
                              </CtgProps>
                              <LnkIn>
                                <LnkInProps>
                                  <MN>25</MN>
                                  <CLI>1,1,39,False,14</CLI>
                                  <ELN>1</ELN>
                                  <LOOT>0</LOOT>
                                  <LOMN>3</LOMN>
                                  <LOMCN>1</LOMCN>
                                  <LOSN>1</LOSN>
                                  <LOEN>10</LOEN>
                                  <LOCN>14</LOCN>
                                </LnkInProps>
                              </LnkIn>
                            </Ctg>
                            <Ctg>
                              <CtgProps>
                                <R>5</R>
                              </CtgProps>
                              <LnkIn>
                                <LnkInProps>
                                  <MN>25</MN>
                                  <CLI>1,1,39,False,15</CLI>
                                  <ELN>1</ELN>
                                  <LOOT>0</LOOT>
                                  <LOMN>3</LOMN>
                                  <LOMCN>1</LOMCN>
                                  <LOSN>1</LOSN>
                                  <LOEN>10</LOEN>
                                  <LOCN>15</LOCN>
                                </LnkInProps>
                              </LnkIn>
                            </Ctg>
                            <Ctg>
                              <CtgProps>
                                <R>5</R>
                              </CtgProps>
                              <LnkIn>
                                <LnkInProps>
                                  <MN>25</MN>
                                  <CLI>1,1,39,False,16</CLI>
                                  <ELN>1</ELN>
                                  <LOOT>0</LOOT>
                                  <LOMN>3</LOMN>
                                  <LOMCN>1</LOMCN>
                                  <LOSN>1</LOSN>
                                  <LOEN>10</LOEN>
                                  <LOCN>16</LOCN>
                                </LnkInProps>
                              </LnkIn>
                            </Ctg>
                            <Ctg>
                              <CtgProps>
                                <R>5</R>
                              </CtgProps>
                              <LnkIn>
                                <LnkInProps>
                                  <MN>25</MN>
                                  <CLI>1,1,39,False,17</CLI>
                                  <ELN>1</ELN>
                                  <LOOT>0</LOOT>
                                  <LOMN>3</LOMN>
                                  <LOMCN>1</LOMCN>
                                  <LOSN>1</LOSN>
                                  <LOEN>10</LOEN>
                                  <LOCN>17</LOCN>
                                </LnkInProps>
                              </LnkIn>
                            </Ctg>
                            <Ctg>
                              <CtgProps>
                                <R>5</R>
                              </CtgProps>
                              <LnkIn>
                                <LnkInProps>
                                  <MN>25</MN>
                                  <CLI>1,1,39,False,18</CLI>
                                  <ELN>1</ELN>
                                  <LOOT>0</LOOT>
                                  <LOMN>3</LOMN>
                                  <LOMCN>1</LOMCN>
                                  <LOSN>1</LOSN>
                                  <LOEN>10</LOEN>
                                  <LOCN>18</LOCN>
                                </LnkInProps>
                              </LnkIn>
                            </Ctg>
                            <Ctg>
                              <CtgProps>
                                <R>5</R>
                              </CtgProps>
                              <LnkIn>
                                <LnkInProps>
                                  <MN>25</MN>
                                  <CLI>1,1,39,False,19</CLI>
                                  <ELN>1</ELN>
                                  <LOOT>0</LOOT>
                                  <LOMN>3</LOMN>
                                  <LOMCN>1</LOMCN>
                                  <LOSN>1</LOSN>
                                  <LOEN>10</LOEN>
                                  <LOCN>19</LOCN>
                                </LnkInProps>
                              </LnkIn>
                            </Ctg>
                            <Ctg>
                              <CtgProps>
                                <R>5</R>
                              </CtgProps>
                              <LnkIn>
                                <LnkInProps>
                                  <MN>25</MN>
                                  <CLI>1,1,39,False,20</CLI>
                                  <ELN>1</ELN>
                                  <LOOT>0</LOOT>
                                  <LOMN>3</LOMN>
                                  <LOMCN>1</LOMCN>
                                  <LOSN>1</LOSN>
                                  <LOEN>10</LOEN>
                                  <LOCN>20</LOCN>
                                </LnkInProps>
                              </LnkIn>
                            </Ctg>
                            <Ctg>
                              <CtgProps>
                                <R>5</R>
                              </CtgProps>
                              <LnkIn>
                                <LnkInProps>
                                  <MN>25</MN>
                                  <CLI>1,1,39,False,21</CLI>
                                  <ELN>1</ELN>
                                  <LOOT>0</LOOT>
                                  <LOMN>3</LOMN>
                                  <LOMCN>1</LOMCN>
                                  <LOSN>1</LOSN>
                                  <LOEN>10</LOEN>
                                  <LOCN>21</LOCN>
                                </LnkInProps>
                              </LnkIn>
                            </Ctg>
                            <Ctg>
                              <CtgProps>
                                <R>5</R>
                              </CtgProps>
                              <LnkIn>
                                <LnkInProps>
                                  <MN>25</MN>
                                  <CLI>1,1,39,False,22</CLI>
                                  <ELN>1</ELN>
                                  <LOOT>0</LOOT>
                                  <LOMN>3</LOMN>
                                  <LOMCN>1</LOMCN>
                                  <LOSN>1</LOSN>
                                  <LOEN>10</LOEN>
                                  <LOCN>22</LOCN>
                                </LnkInProps>
                              </LnkIn>
                            </Ctg>
                            <Ctg>
                              <CtgProps>
                                <R>5</R>
                              </CtgProps>
                              <LnkIn>
                                <LnkInProps>
                                  <MN>25</MN>
                                  <CLI>1,1,39,False,23</CLI>
                                  <ELN>1</ELN>
                                  <LOOT>0</LOOT>
                                  <LOMN>3</LOMN>
                                  <LOMCN>1</LOMCN>
                                  <LOSN>1</LOSN>
                                  <LOEN>10</LOEN>
                                  <LOCN>23</LOCN>
                                </LnkInProps>
                              </LnkIn>
                            </Ctg>
                            <Ctg>
                              <CtgProps>
                                <R>5</R>
                              </CtgProps>
                              <LnkIn>
                                <LnkInProps>
                                  <MN>25</MN>
                                  <CLI>1,1,39,False,24</CLI>
                                  <ELN>1</ELN>
                                  <LOOT>0</LOOT>
                                  <LOMN>3</LOMN>
                                  <LOMCN>1</LOMCN>
                                  <LOSN>1</LOSN>
                                  <LOEN>10</LOEN>
                                  <LOCN>24</LOCN>
                                </LnkInProps>
                              </LnkIn>
                            </Ctg>
                            <Ctg>
                              <CtgProps>
                                <R>5</R>
                              </CtgProps>
                              <LnkIn>
                                <LnkInProps>
                                  <MN>25</MN>
                                  <CLI>1,1,39,False,25</CLI>
                                  <ELN>1</ELN>
                                  <LOOT>0</LOOT>
                                  <LOMN>3</LOMN>
                                  <LOMCN>1</LOMCN>
                                  <LOSN>1</LOSN>
                                  <LOEN>10</LOEN>
                                  <LOCN>25</LOCN>
                                </LnkInProps>
                              </LnkIn>
                            </Ctg>
                            <Ctg>
                              <CtgProps>
                                <R>5</R>
                              </CtgProps>
                              <LnkIn>
                                <LnkInProps>
                                  <MN>25</MN>
                                  <CLI>1,1,39,False,26</CLI>
                                  <ELN>1</ELN>
                                  <LOOT>0</LOOT>
                                  <LOMN>3</LOMN>
                                  <LOMCN>1</LOMCN>
                                  <LOSN>1</LOSN>
                                  <LOEN>10</LOEN>
                                  <LOCN>26</LOCN>
                                </LnkInProps>
                              </LnkIn>
                            </Ctg>
                            <Ctg>
                              <CtgProps>
                                <R>5</R>
                              </CtgProps>
                              <LnkIn>
                                <LnkInProps>
                                  <MN>25</MN>
                                  <CLI>1,1,39,False,27</CLI>
                                  <ELN>1</ELN>
                                  <LOOT>0</LOOT>
                                  <LOMN>3</LOMN>
                                  <LOMCN>1</LOMCN>
                                  <LOSN>1</LOSN>
                                  <LOEN>10</LOEN>
                                  <LOCN>27</LOCN>
                                </LnkInProps>
                              </LnkIn>
                            </Ctg>
                            <Ctg>
                              <CtgProps>
                                <R>5</R>
                              </CtgProps>
                              <LnkIn>
                                <LnkInProps>
                                  <MN>25</MN>
                                  <CLI>1,1,39,False,28</CLI>
                                  <ELN>1</ELN>
                                  <LOOT>0</LOOT>
                                  <LOMN>3</LOMN>
                                  <LOMCN>1</LOMCN>
                                  <LOSN>1</LOSN>
                                  <LOEN>10</LOEN>
                                  <LOCN>28</LOCN>
                                </LnkInProps>
                              </LnkIn>
                            </Ctg>
                            <Ctg>
                              <CtgProps>
                                <R>5</R>
                              </CtgProps>
                              <LnkIn>
                                <LnkInProps>
                                  <MN>25</MN>
                                  <CLI>1,1,39,False,29</CLI>
                                  <ELN>1</ELN>
                                  <LOOT>0</LOOT>
                                  <LOMN>3</LOMN>
                                  <LOMCN>1</LOMCN>
                                  <LOSN>1</LOSN>
                                  <LOEN>10</LOEN>
                                  <LOCN>29</LOCN>
                                </LnkInProps>
                              </LnkIn>
                            </Ctg>
                            <Ctg>
                              <CtgProps>
                                <R>5</R>
                              </CtgProps>
                              <LnkIn>
                                <LnkInProps>
                                  <MN>25</MN>
                                  <CLI>1,1,39,False,30</CLI>
                                  <ELN>1</ELN>
                                  <LOOT>0</LOOT>
                                  <LOMN>3</LOMN>
                                  <LOMCN>1</LOMCN>
                                  <LOSN>1</LOSN>
                                  <LOEN>10</LOEN>
                                  <LOCN>30</LOCN>
                                </LnkInProps>
                              </LnkIn>
                            </Ctg>
                            <Ctg>
                              <CtgProps>
                                <R>5</R>
                              </CtgProps>
                              <LnkIn>
                                <LnkInProps>
                                  <MN>25</MN>
                                  <CLI>1,1,39,False,31</CLI>
                                  <ELN>1</ELN>
                                  <LOOT>0</LOOT>
                                  <LOMN>3</LOMN>
                                  <LOMCN>1</LOMCN>
                                  <LOSN>1</LOSN>
                                  <LOEN>10</LOEN>
                                  <LOCN>31</LOCN>
                                </LnkInProps>
                              </LnkIn>
                            </Ctg>
                            <Ctg>
                              <CtgProps>
                                <R>5</R>
                              </CtgProps>
                              <LnkIn>
                                <LnkInProps>
                                  <MN>25</MN>
                                  <CLI>1,1,39,False,32</CLI>
                                  <ELN>1</ELN>
                                  <LOOT>0</LOOT>
                                  <LOMN>3</LOMN>
                                  <LOMCN>1</LOMCN>
                                  <LOSN>1</LOSN>
                                  <LOEN>10</LOEN>
                                  <LOCN>32</LOCN>
                                </LnkInProps>
                              </LnkIn>
                            </Ctg>
                            <Ctg>
                              <CtgProps>
                                <R>5</R>
                              </CtgProps>
                              <LnkIn>
                                <LnkInProps>
                                  <MN>25</MN>
                                  <CLI>1,1,39,False,33</CLI>
                                  <ELN>1</ELN>
                                  <LOOT>0</LOOT>
                                  <LOMN>3</LOMN>
                                  <LOMCN>1</LOMCN>
                                  <LOSN>1</LOSN>
                                  <LOEN>10</LOEN>
                                  <LOCN>33</LOCN>
                                </LnkInProps>
                              </LnkIn>
                            </Ctg>
                            <Ctg>
                              <CtgProps>
                                <R>5</R>
                              </CtgProps>
                              <LnkIn>
                                <LnkInProps>
                                  <MN>25</MN>
                                  <CLI>1,1,39,False,34</CLI>
                                  <ELN>1</ELN>
                                  <LOOT>0</LOOT>
                                  <LOMN>3</LOMN>
                                  <LOMCN>1</LOMCN>
                                  <LOSN>1</LOSN>
                                  <LOEN>10</LOEN>
                                  <LOCN>34</LOCN>
                                </LnkInProps>
                              </LnkIn>
                            </Ctg>
                            <Ctg>
                              <CtgProps>
                                <R>5</R>
                              </CtgProps>
                              <LnkIn>
                                <LnkInProps>
                                  <MN>25</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25</MN>
                                  <CLI>1,1,42,False,1</CLI>
                                  <ELN>1</ELN>
                                  <LOOT>0</LOOT>
                                  <LOMN>3</LOMN>
                                  <LOMCN>1</LOMCN>
                                  <LOSN>1</LOSN>
                                  <LOEN>15</LOEN>
                                  <LOCN>1</LOCN>
                                </LnkInProps>
                              </LnkIn>
                            </Ctg>
                            <Ctg>
                              <CtgProps>
                                <R>4</R>
                              </CtgProps>
                              <LnkIn>
                                <LnkInProps>
                                  <MN>25</MN>
                                  <CLI>1,1,42,False,2</CLI>
                                  <ELN>1</ELN>
                                  <LOOT>0</LOOT>
                                  <LOMN>3</LOMN>
                                  <LOMCN>1</LOMCN>
                                  <LOSN>1</LOSN>
                                  <LOEN>15</LOEN>
                                  <LOCN>2</LOCN>
                                </LnkInProps>
                              </LnkIn>
                            </Ctg>
                            <Ctg>
                              <CtgProps>
                                <R>4</R>
                              </CtgProps>
                              <LnkIn>
                                <LnkInProps>
                                  <MN>25</MN>
                                  <CLI>1,1,42,False,3</CLI>
                                  <ELN>1</ELN>
                                  <LOOT>0</LOOT>
                                  <LOMN>3</LOMN>
                                  <LOMCN>1</LOMCN>
                                  <LOSN>1</LOSN>
                                  <LOEN>15</LOEN>
                                  <LOCN>3</LOCN>
                                </LnkInProps>
                              </LnkIn>
                            </Ctg>
                            <Ctg>
                              <CtgProps>
                                <R>4</R>
                              </CtgProps>
                              <LnkIn>
                                <LnkInProps>
                                  <MN>25</MN>
                                  <CLI>1,1,42,False,4</CLI>
                                  <ELN>1</ELN>
                                  <LOOT>0</LOOT>
                                  <LOMN>3</LOMN>
                                  <LOMCN>1</LOMCN>
                                  <LOSN>1</LOSN>
                                  <LOEN>15</LOEN>
                                  <LOCN>4</LOCN>
                                </LnkInProps>
                              </LnkIn>
                            </Ctg>
                            <Ctg>
                              <CtgProps>
                                <R>5</R>
                              </CtgProps>
                              <LnkIn>
                                <LnkInProps>
                                  <MN>25</MN>
                                  <CLI>1,1,42,False,5</CLI>
                                  <ELN>1</ELN>
                                  <LOOT>0</LOOT>
                                  <LOMN>3</LOMN>
                                  <LOMCN>1</LOMCN>
                                  <LOSN>1</LOSN>
                                  <LOEN>15</LOEN>
                                  <LOCN>5</LOCN>
                                </LnkInProps>
                              </LnkIn>
                            </Ctg>
                            <Ctg>
                              <CtgProps>
                                <R>5</R>
                              </CtgProps>
                              <LnkIn>
                                <LnkInProps>
                                  <MN>25</MN>
                                  <CLI>1,1,42,False,6</CLI>
                                  <ELN>1</ELN>
                                  <LOOT>0</LOOT>
                                  <LOMN>3</LOMN>
                                  <LOMCN>1</LOMCN>
                                  <LOSN>1</LOSN>
                                  <LOEN>15</LOEN>
                                  <LOCN>6</LOCN>
                                </LnkInProps>
                              </LnkIn>
                            </Ctg>
                            <Ctg>
                              <CtgProps>
                                <R>5</R>
                              </CtgProps>
                              <LnkIn>
                                <LnkInProps>
                                  <MN>25</MN>
                                  <CLI>1,1,42,False,7</CLI>
                                  <ELN>1</ELN>
                                  <LOOT>0</LOOT>
                                  <LOMN>3</LOMN>
                                  <LOMCN>1</LOMCN>
                                  <LOSN>1</LOSN>
                                  <LOEN>15</LOEN>
                                  <LOCN>7</LOCN>
                                </LnkInProps>
                              </LnkIn>
                            </Ctg>
                            <Ctg>
                              <CtgProps>
                                <R>5</R>
                              </CtgProps>
                              <LnkIn>
                                <LnkInProps>
                                  <MN>25</MN>
                                  <CLI>1,1,42,False,8</CLI>
                                  <ELN>1</ELN>
                                  <LOOT>0</LOOT>
                                  <LOMN>3</LOMN>
                                  <LOMCN>1</LOMCN>
                                  <LOSN>1</LOSN>
                                  <LOEN>15</LOEN>
                                  <LOCN>8</LOCN>
                                </LnkInProps>
                              </LnkIn>
                            </Ctg>
                            <Ctg>
                              <CtgProps>
                                <R>5</R>
                              </CtgProps>
                              <LnkIn>
                                <LnkInProps>
                                  <MN>25</MN>
                                  <CLI>1,1,42,False,9</CLI>
                                  <ELN>1</ELN>
                                  <LOOT>0</LOOT>
                                  <LOMN>3</LOMN>
                                  <LOMCN>1</LOMCN>
                                  <LOSN>1</LOSN>
                                  <LOEN>15</LOEN>
                                  <LOCN>9</LOCN>
                                </LnkInProps>
                              </LnkIn>
                            </Ctg>
                            <Ctg>
                              <CtgProps>
                                <R>5</R>
                              </CtgProps>
                              <LnkIn>
                                <LnkInProps>
                                  <MN>25</MN>
                                  <CLI>1,1,42,False,10</CLI>
                                  <ELN>1</ELN>
                                  <LOOT>0</LOOT>
                                  <LOMN>3</LOMN>
                                  <LOMCN>1</LOMCN>
                                  <LOSN>1</LOSN>
                                  <LOEN>15</LOEN>
                                  <LOCN>10</LOCN>
                                </LnkInProps>
                              </LnkIn>
                            </Ctg>
                            <Ctg>
                              <CtgProps>
                                <R>5</R>
                              </CtgProps>
                              <LnkIn>
                                <LnkInProps>
                                  <MN>25</MN>
                                  <CLI>1,1,42,False,11</CLI>
                                  <ELN>1</ELN>
                                  <LOOT>0</LOOT>
                                  <LOMN>3</LOMN>
                                  <LOMCN>1</LOMCN>
                                  <LOSN>1</LOSN>
                                  <LOEN>15</LOEN>
                                  <LOCN>11</LOCN>
                                </LnkInProps>
                              </LnkIn>
                            </Ctg>
                            <Ctg>
                              <CtgProps>
                                <R>5</R>
                              </CtgProps>
                              <LnkIn>
                                <LnkInProps>
                                  <MN>25</MN>
                                  <CLI>1,1,42,False,12</CLI>
                                  <ELN>1</ELN>
                                  <LOOT>0</LOOT>
                                  <LOMN>3</LOMN>
                                  <LOMCN>1</LOMCN>
                                  <LOSN>1</LOSN>
                                  <LOEN>15</LOEN>
                                  <LOCN>12</LOCN>
                                </LnkInProps>
                              </LnkIn>
                            </Ctg>
                            <Ctg>
                              <CtgProps>
                                <R>5</R>
                              </CtgProps>
                              <LnkIn>
                                <LnkInProps>
                                  <MN>25</MN>
                                  <CLI>1,1,42,False,13</CLI>
                                  <ELN>1</ELN>
                                  <LOOT>0</LOOT>
                                  <LOMN>3</LOMN>
                                  <LOMCN>1</LOMCN>
                                  <LOSN>1</LOSN>
                                  <LOEN>15</LOEN>
                                  <LOCN>13</LOCN>
                                </LnkInProps>
                              </LnkIn>
                            </Ctg>
                            <Ctg>
                              <CtgProps>
                                <R>5</R>
                              </CtgProps>
                              <LnkIn>
                                <LnkInProps>
                                  <MN>25</MN>
                                  <CLI>1,1,42,False,14</CLI>
                                  <ELN>1</ELN>
                                  <LOOT>0</LOOT>
                                  <LOMN>3</LOMN>
                                  <LOMCN>1</LOMCN>
                                  <LOSN>1</LOSN>
                                  <LOEN>15</LOEN>
                                  <LOCN>14</LOCN>
                                </LnkInProps>
                              </LnkIn>
                            </Ctg>
                            <Ctg>
                              <CtgProps>
                                <R>5</R>
                              </CtgProps>
                              <LnkIn>
                                <LnkInProps>
                                  <MN>25</MN>
                                  <CLI>1,1,42,False,15</CLI>
                                  <ELN>1</ELN>
                                  <LOOT>0</LOOT>
                                  <LOMN>3</LOMN>
                                  <LOMCN>1</LOMCN>
                                  <LOSN>1</LOSN>
                                  <LOEN>15</LOEN>
                                  <LOCN>15</LOCN>
                                </LnkInProps>
                              </LnkIn>
                            </Ctg>
                            <Ctg>
                              <CtgProps>
                                <R>5</R>
                              </CtgProps>
                              <LnkIn>
                                <LnkInProps>
                                  <MN>25</MN>
                                  <CLI>1,1,42,False,16</CLI>
                                  <ELN>1</ELN>
                                  <LOOT>0</LOOT>
                                  <LOMN>3</LOMN>
                                  <LOMCN>1</LOMCN>
                                  <LOSN>1</LOSN>
                                  <LOEN>15</LOEN>
                                  <LOCN>16</LOCN>
                                </LnkInProps>
                              </LnkIn>
                            </Ctg>
                            <Ctg>
                              <CtgProps>
                                <R>4</R>
                              </CtgProps>
                              <LnkIn>
                                <LnkInProps>
                                  <MN>25</MN>
                                  <CLI>1,1,42,False,17</CLI>
                                  <ELN>1</ELN>
                                  <LOOT>0</LOOT>
                                  <LOMN>3</LOMN>
                                  <LOMCN>1</LOMCN>
                                  <LOSN>1</LOSN>
                                  <LOEN>15</LOEN>
                                  <LOCN>17</LOCN>
                                </LnkInProps>
                              </LnkIn>
                            </Ctg>
                            <Ctg>
                              <CtgProps>
                                <R>4</R>
                              </CtgProps>
                              <LnkIn>
                                <LnkInProps>
                                  <MN>25</MN>
                                  <CLI>1,1,42,False,18</CLI>
                                  <ELN>1</ELN>
                                  <LOOT>0</LOOT>
                                  <LOMN>3</LOMN>
                                  <LOMCN>1</LOMCN>
                                  <LOSN>1</LOSN>
                                  <LOEN>15</LOEN>
                                  <LOCN>18</LOCN>
                                </LnkInProps>
                              </LnkIn>
                            </Ctg>
                            <Ctg>
                              <CtgProps>
                                <R>4</R>
                              </CtgProps>
                              <LnkIn>
                                <LnkInProps>
                                  <MN>25</MN>
                                  <CLI>1,1,42,False,19</CLI>
                                  <ELN>1</ELN>
                                  <LOOT>0</LOOT>
                                  <LOMN>3</LOMN>
                                  <LOMCN>1</LOMCN>
                                  <LOSN>1</LOSN>
                                  <LOEN>15</LOEN>
                                  <LOCN>19</LOCN>
                                </LnkInProps>
                              </LnkIn>
                            </Ctg>
                            <Ctg>
                              <CtgProps>
                                <R>4</R>
                              </CtgProps>
                              <LnkIn>
                                <LnkInProps>
                                  <MN>25</MN>
                                  <CLI>1,1,42,False,20</CLI>
                                  <ELN>1</ELN>
                                  <LOOT>0</LOOT>
                                  <LOMN>3</LOMN>
                                  <LOMCN>1</LOMCN>
                                  <LOSN>1</LOSN>
                                  <LOEN>15</LOEN>
                                  <LOCN>20</LOCN>
                                </LnkInProps>
                              </LnkIn>
                            </Ctg>
                            <Ctg>
                              <CtgProps>
                                <R>4</R>
                              </CtgProps>
                              <LnkIn>
                                <LnkInProps>
                                  <MN>25</MN>
                                  <CLI>1,1,42,False,21</CLI>
                                  <ELN>1</ELN>
                                  <LOOT>0</LOOT>
                                  <LOMN>3</LOMN>
                                  <LOMCN>1</LOMCN>
                                  <LOSN>1</LOSN>
                                  <LOEN>15</LOEN>
                                  <LOCN>21</LOCN>
                                </LnkInProps>
                              </LnkIn>
                            </Ctg>
                            <Ctg>
                              <CtgProps>
                                <R>4</R>
                              </CtgProps>
                              <LnkIn>
                                <LnkInProps>
                                  <MN>25</MN>
                                  <CLI>1,1,42,False,22</CLI>
                                  <ELN>1</ELN>
                                  <LOOT>0</LOOT>
                                  <LOMN>3</LOMN>
                                  <LOMCN>1</LOMCN>
                                  <LOSN>1</LOSN>
                                  <LOEN>15</LOEN>
                                  <LOCN>22</LOCN>
                                </LnkInProps>
                              </LnkIn>
                            </Ctg>
                            <Ctg>
                              <CtgProps>
                                <R>5</R>
                              </CtgProps>
                              <LnkIn>
                                <LnkInProps>
                                  <MN>25</MN>
                                  <CLI>1,1,42,False,23</CLI>
                                  <ELN>1</ELN>
                                  <LOOT>0</LOOT>
                                  <LOMN>3</LOMN>
                                  <LOMCN>1</LOMCN>
                                  <LOSN>1</LOSN>
                                  <LOEN>15</LOEN>
                                  <LOCN>23</LOCN>
                                </LnkInProps>
                              </LnkIn>
                            </Ctg>
                            <Ctg>
                              <CtgProps>
                                <R>5</R>
                              </CtgProps>
                              <LnkIn>
                                <LnkInProps>
                                  <MN>25</MN>
                                  <CLI>1,1,42,False,24</CLI>
                                  <ELN>1</ELN>
                                  <LOOT>0</LOOT>
                                  <LOMN>3</LOMN>
                                  <LOMCN>1</LOMCN>
                                  <LOSN>1</LOSN>
                                  <LOEN>15</LOEN>
                                  <LOCN>24</LOCN>
                                </LnkInProps>
                              </LnkIn>
                            </Ctg>
                            <Ctg>
                              <CtgProps>
                                <R>5</R>
                              </CtgProps>
                              <LnkIn>
                                <LnkInProps>
                                  <MN>25</MN>
                                  <CLI>1,1,42,False,25</CLI>
                                  <ELN>1</ELN>
                                  <LOOT>0</LOOT>
                                  <LOMN>3</LOMN>
                                  <LOMCN>1</LOMCN>
                                  <LOSN>1</LOSN>
                                  <LOEN>15</LOEN>
                                  <LOCN>25</LOCN>
                                </LnkInProps>
                              </LnkIn>
                            </Ctg>
                            <Ctg>
                              <CtgProps>
                                <R>5</R>
                              </CtgProps>
                              <LnkIn>
                                <LnkInProps>
                                  <MN>25</MN>
                                  <CLI>1,1,42,False,26</CLI>
                                  <ELN>1</ELN>
                                  <LOOT>0</LOOT>
                                  <LOMN>3</LOMN>
                                  <LOMCN>1</LOMCN>
                                  <LOSN>1</LOSN>
                                  <LOEN>15</LOEN>
                                  <LOCN>26</LOCN>
                                </LnkInProps>
                              </LnkIn>
                            </Ctg>
                            <Ctg>
                              <CtgProps>
                                <R>5</R>
                              </CtgProps>
                              <LnkIn>
                                <LnkInProps>
                                  <MN>25</MN>
                                  <CLI>1,1,42,False,27</CLI>
                                  <ELN>1</ELN>
                                  <LOOT>0</LOOT>
                                  <LOMN>3</LOMN>
                                  <LOMCN>1</LOMCN>
                                  <LOSN>1</LOSN>
                                  <LOEN>15</LOEN>
                                  <LOCN>27</LOCN>
                                </LnkInProps>
                              </LnkIn>
                            </Ctg>
                            <Ctg>
                              <CtgProps>
                                <R>5</R>
                              </CtgProps>
                              <LnkIn>
                                <LnkInProps>
                                  <MN>25</MN>
                                  <CLI>1,1,42,False,28</CLI>
                                  <ELN>1</ELN>
                                  <LOOT>0</LOOT>
                                  <LOMN>3</LOMN>
                                  <LOMCN>1</LOMCN>
                                  <LOSN>1</LOSN>
                                  <LOEN>15</LOEN>
                                  <LOCN>28</LOCN>
                                </LnkInProps>
                              </LnkIn>
                            </Ctg>
                            <Ctg>
                              <CtgProps>
                                <R>5</R>
                              </CtgProps>
                              <LnkIn>
                                <LnkInProps>
                                  <MN>25</MN>
                                  <CLI>1,1,42,False,29</CLI>
                                  <ELN>1</ELN>
                                  <LOOT>0</LOOT>
                                  <LOMN>3</LOMN>
                                  <LOMCN>1</LOMCN>
                                  <LOSN>1</LOSN>
                                  <LOEN>15</LOEN>
                                  <LOCN>29</LOCN>
                                </LnkInProps>
                              </LnkIn>
                            </Ctg>
                            <Ctg>
                              <CtgProps>
                                <R>5</R>
                              </CtgProps>
                              <LnkIn>
                                <LnkInProps>
                                  <MN>25</MN>
                                  <CLI>1,1,42,False,30</CLI>
                                  <ELN>1</ELN>
                                  <LOOT>0</LOOT>
                                  <LOMN>3</LOMN>
                                  <LOMCN>1</LOMCN>
                                  <LOSN>1</LOSN>
                                  <LOEN>15</LOEN>
                                  <LOCN>30</LOCN>
                                </LnkInProps>
                              </LnkIn>
                            </Ctg>
                            <Ctg>
                              <CtgProps>
                                <R>4</R>
                              </CtgProps>
                              <LnkIn>
                                <LnkInProps>
                                  <MN>25</MN>
                                  <CLI>1,1,42,False,31</CLI>
                                  <ELN>1</ELN>
                                  <LOOT>0</LOOT>
                                  <LOMN>3</LOMN>
                                  <LOMCN>1</LOMCN>
                                  <LOSN>1</LOSN>
                                  <LOEN>15</LOEN>
                                  <LOCN>31</LOCN>
                                </LnkInProps>
                              </LnkIn>
                            </Ctg>
                            <Ctg>
                              <CtgProps>
                                <R>4</R>
                              </CtgProps>
                              <LnkIn>
                                <LnkInProps>
                                  <MN>25</MN>
                                  <CLI>1,1,42,False,32</CLI>
                                  <ELN>1</ELN>
                                  <LOOT>0</LOOT>
                                  <LOMN>3</LOMN>
                                  <LOMCN>1</LOMCN>
                                  <LOSN>1</LOSN>
                                  <LOEN>15</LOEN>
                                  <LOCN>32</LOCN>
                                </LnkInProps>
                              </LnkIn>
                            </Ctg>
                            <Ctg>
                              <CtgProps>
                                <R>4</R>
                              </CtgProps>
                              <LnkIn>
                                <LnkInProps>
                                  <MN>25</MN>
                                  <CLI>1,1,42,False,33</CLI>
                                  <ELN>1</ELN>
                                  <LOOT>0</LOOT>
                                  <LOMN>3</LOMN>
                                  <LOMCN>1</LOMCN>
                                  <LOSN>1</LOSN>
                                  <LOEN>15</LOEN>
                                  <LOCN>33</LOCN>
                                </LnkInProps>
                              </LnkIn>
                            </Ctg>
                            <Ctg>
                              <CtgProps>
                                <R>4</R>
                              </CtgProps>
                              <LnkIn>
                                <LnkInProps>
                                  <MN>25</MN>
                                  <CLI>1,1,42,False,34</CLI>
                                  <ELN>1</ELN>
                                  <LOOT>0</LOOT>
                                  <LOMN>3</LOMN>
                                  <LOMCN>1</LOMCN>
                                  <LOSN>1</LOSN>
                                  <LOEN>15</LOEN>
                                  <LOCN>34</LOCN>
                                </LnkInProps>
                              </LnkIn>
                            </Ctg>
                            <Ctg>
                              <CtgProps>
                                <R>4</R>
                              </CtgProps>
                              <LnkIn>
                                <LnkInProps>
                                  <MN>25</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25</MN>
                                  <CLI>1,1,46,False,1</CLI>
                                  <ELN>1</ELN>
                                  <LOOT>0</LOOT>
                                  <LOMN>3</LOMN>
                                  <LOMCN>1</LOMCN>
                                  <LOSN>1</LOSN>
                                  <LOEN>19</LOEN>
                                  <LOCN>1</LOCN>
                                </LnkInProps>
                              </LnkIn>
                            </Ctg>
                            <Ctg>
                              <CtgProps>
                                <R>4</R>
                              </CtgProps>
                              <LnkIn>
                                <LnkInProps>
                                  <MN>25</MN>
                                  <CLI>1,1,46,False,2</CLI>
                                  <ELN>1</ELN>
                                  <LOOT>0</LOOT>
                                  <LOMN>3</LOMN>
                                  <LOMCN>1</LOMCN>
                                  <LOSN>1</LOSN>
                                  <LOEN>19</LOEN>
                                  <LOCN>2</LOCN>
                                </LnkInProps>
                              </LnkIn>
                            </Ctg>
                            <Ctg>
                              <CtgProps>
                                <R>4</R>
                              </CtgProps>
                              <LnkIn>
                                <LnkInProps>
                                  <MN>25</MN>
                                  <CLI>1,1,46,False,3</CLI>
                                  <ELN>1</ELN>
                                  <LOOT>0</LOOT>
                                  <LOMN>3</LOMN>
                                  <LOMCN>1</LOMCN>
                                  <LOSN>1</LOSN>
                                  <LOEN>19</LOEN>
                                  <LOCN>3</LOCN>
                                </LnkInProps>
                              </LnkIn>
                            </Ctg>
                            <Ctg>
                              <CtgProps>
                                <R>4</R>
                              </CtgProps>
                              <LnkIn>
                                <LnkInProps>
                                  <MN>25</MN>
                                  <CLI>1,1,46,False,4</CLI>
                                  <ELN>1</ELN>
                                  <LOOT>0</LOOT>
                                  <LOMN>3</LOMN>
                                  <LOMCN>1</LOMCN>
                                  <LOSN>1</LOSN>
                                  <LOEN>19</LOEN>
                                  <LOCN>4</LOCN>
                                </LnkInProps>
                              </LnkIn>
                            </Ctg>
                            <Ctg>
                              <CtgProps>
                                <R>4</R>
                              </CtgProps>
                              <LnkIn>
                                <LnkInProps>
                                  <MN>25</MN>
                                  <CLI>1,1,46,False,5</CLI>
                                  <ELN>1</ELN>
                                  <LOOT>0</LOOT>
                                  <LOMN>3</LOMN>
                                  <LOMCN>1</LOMCN>
                                  <LOSN>1</LOSN>
                                  <LOEN>19</LOEN>
                                  <LOCN>5</LOCN>
                                </LnkInProps>
                              </LnkIn>
                            </Ctg>
                            <Ctg>
                              <CtgProps>
                                <R>4</R>
                              </CtgProps>
                              <LnkIn>
                                <LnkInProps>
                                  <MN>25</MN>
                                  <CLI>1,1,46,False,6</CLI>
                                  <ELN>1</ELN>
                                  <LOOT>0</LOOT>
                                  <LOMN>3</LOMN>
                                  <LOMCN>1</LOMCN>
                                  <LOSN>1</LOSN>
                                  <LOEN>19</LOEN>
                                  <LOCN>6</LOCN>
                                </LnkInProps>
                              </LnkIn>
                            </Ctg>
                            <Ctg>
                              <CtgProps>
                                <R>4</R>
                              </CtgProps>
                              <LnkIn>
                                <LnkInProps>
                                  <MN>25</MN>
                                  <CLI>1,1,46,False,7</CLI>
                                  <ELN>1</ELN>
                                  <LOOT>0</LOOT>
                                  <LOMN>3</LOMN>
                                  <LOMCN>1</LOMCN>
                                  <LOSN>1</LOSN>
                                  <LOEN>19</LOEN>
                                  <LOCN>7</LOCN>
                                </LnkInProps>
                              </LnkIn>
                            </Ctg>
                            <Ctg>
                              <CtgProps>
                                <R>4</R>
                              </CtgProps>
                              <LnkIn>
                                <LnkInProps>
                                  <MN>25</MN>
                                  <CLI>1,1,46,False,8</CLI>
                                  <ELN>1</ELN>
                                  <LOOT>0</LOOT>
                                  <LOMN>3</LOMN>
                                  <LOMCN>1</LOMCN>
                                  <LOSN>1</LOSN>
                                  <LOEN>19</LOEN>
                                  <LOCN>8</LOCN>
                                </LnkInProps>
                              </LnkIn>
                            </Ctg>
                            <Ctg>
                              <CtgProps>
                                <R>4</R>
                              </CtgProps>
                              <LnkIn>
                                <LnkInProps>
                                  <MN>25</MN>
                                  <CLI>1,1,46,False,9</CLI>
                                  <ELN>1</ELN>
                                  <LOOT>0</LOOT>
                                  <LOMN>3</LOMN>
                                  <LOMCN>1</LOMCN>
                                  <LOSN>1</LOSN>
                                  <LOEN>19</LOEN>
                                  <LOCN>9</LOCN>
                                </LnkInProps>
                              </LnkIn>
                            </Ctg>
                            <Ctg>
                              <CtgProps>
                                <R>4</R>
                              </CtgProps>
                              <LnkIn>
                                <LnkInProps>
                                  <MN>25</MN>
                                  <CLI>1,1,46,False,10</CLI>
                                  <ELN>1</ELN>
                                  <LOOT>0</LOOT>
                                  <LOMN>3</LOMN>
                                  <LOMCN>1</LOMCN>
                                  <LOSN>1</LOSN>
                                  <LOEN>19</LOEN>
                                  <LOCN>10</LOCN>
                                </LnkInProps>
                              </LnkIn>
                            </Ctg>
                            <Ctg>
                              <CtgProps>
                                <R>4</R>
                              </CtgProps>
                              <LnkIn>
                                <LnkInProps>
                                  <MN>25</MN>
                                  <CLI>1,1,46,False,11</CLI>
                                  <ELN>1</ELN>
                                  <LOOT>0</LOOT>
                                  <LOMN>3</LOMN>
                                  <LOMCN>1</LOMCN>
                                  <LOSN>1</LOSN>
                                  <LOEN>19</LOEN>
                                  <LOCN>11</LOCN>
                                </LnkInProps>
                              </LnkIn>
                            </Ctg>
                            <Ctg>
                              <CtgProps>
                                <R>4</R>
                              </CtgProps>
                              <LnkIn>
                                <LnkInProps>
                                  <MN>25</MN>
                                  <CLI>1,1,46,False,12</CLI>
                                  <ELN>1</ELN>
                                  <LOOT>0</LOOT>
                                  <LOMN>3</LOMN>
                                  <LOMCN>1</LOMCN>
                                  <LOSN>1</LOSN>
                                  <LOEN>19</LOEN>
                                  <LOCN>12</LOCN>
                                </LnkInProps>
                              </LnkIn>
                            </Ctg>
                            <Ctg>
                              <CtgProps>
                                <R>4</R>
                              </CtgProps>
                              <LnkIn>
                                <LnkInProps>
                                  <MN>25</MN>
                                  <CLI>1,1,46,False,13</CLI>
                                  <ELN>1</ELN>
                                  <LOOT>0</LOOT>
                                  <LOMN>3</LOMN>
                                  <LOMCN>1</LOMCN>
                                  <LOSN>1</LOSN>
                                  <LOEN>19</LOEN>
                                  <LOCN>13</LOCN>
                                </LnkInProps>
                              </LnkIn>
                            </Ctg>
                            <Ctg>
                              <CtgProps>
                                <R>4</R>
                              </CtgProps>
                              <LnkIn>
                                <LnkInProps>
                                  <MN>25</MN>
                                  <CLI>1,1,46,False,14</CLI>
                                  <ELN>1</ELN>
                                  <LOOT>0</LOOT>
                                  <LOMN>3</LOMN>
                                  <LOMCN>1</LOMCN>
                                  <LOSN>1</LOSN>
                                  <LOEN>19</LOEN>
                                  <LOCN>14</LOCN>
                                </LnkInProps>
                              </LnkIn>
                            </Ctg>
                            <Ctg>
                              <CtgProps>
                                <R>4</R>
                              </CtgProps>
                              <LnkIn>
                                <LnkInProps>
                                  <MN>25</MN>
                                  <CLI>1,1,46,False,15</CLI>
                                  <ELN>1</ELN>
                                  <LOOT>0</LOOT>
                                  <LOMN>3</LOMN>
                                  <LOMCN>1</LOMCN>
                                  <LOSN>1</LOSN>
                                  <LOEN>19</LOEN>
                                  <LOCN>15</LOCN>
                                </LnkInProps>
                              </LnkIn>
                            </Ctg>
                            <Ctg>
                              <CtgProps>
                                <R>5</R>
                              </CtgProps>
                              <LnkIn>
                                <LnkInProps>
                                  <MN>25</MN>
                                  <CLI>1,1,46,False,16</CLI>
                                  <ELN>1</ELN>
                                  <LOOT>0</LOOT>
                                  <LOMN>3</LOMN>
                                  <LOMCN>1</LOMCN>
                                  <LOSN>1</LOSN>
                                  <LOEN>19</LOEN>
                                  <LOCN>16</LOCN>
                                </LnkInProps>
                              </LnkIn>
                            </Ctg>
                            <Ctg>
                              <CtgProps>
                                <R>5</R>
                              </CtgProps>
                              <LnkIn>
                                <LnkInProps>
                                  <MN>25</MN>
                                  <CLI>1,1,46,False,17</CLI>
                                  <ELN>1</ELN>
                                  <LOOT>0</LOOT>
                                  <LOMN>3</LOMN>
                                  <LOMCN>1</LOMCN>
                                  <LOSN>1</LOSN>
                                  <LOEN>19</LOEN>
                                  <LOCN>17</LOCN>
                                </LnkInProps>
                              </LnkIn>
                            </Ctg>
                            <Ctg>
                              <CtgProps>
                                <R>5</R>
                              </CtgProps>
                              <LnkIn>
                                <LnkInProps>
                                  <MN>25</MN>
                                  <CLI>1,1,46,False,18</CLI>
                                  <ELN>1</ELN>
                                  <LOOT>0</LOOT>
                                  <LOMN>3</LOMN>
                                  <LOMCN>1</LOMCN>
                                  <LOSN>1</LOSN>
                                  <LOEN>19</LOEN>
                                  <LOCN>18</LOCN>
                                </LnkInProps>
                              </LnkIn>
                            </Ctg>
                            <Ctg>
                              <CtgProps>
                                <R>5</R>
                              </CtgProps>
                              <LnkIn>
                                <LnkInProps>
                                  <MN>25</MN>
                                  <CLI>1,1,46,False,19</CLI>
                                  <ELN>1</ELN>
                                  <LOOT>0</LOOT>
                                  <LOMN>3</LOMN>
                                  <LOMCN>1</LOMCN>
                                  <LOSN>1</LOSN>
                                  <LOEN>19</LOEN>
                                  <LOCN>19</LOCN>
                                </LnkInProps>
                              </LnkIn>
                            </Ctg>
                            <Ctg>
                              <CtgProps>
                                <R>5</R>
                              </CtgProps>
                              <LnkIn>
                                <LnkInProps>
                                  <MN>25</MN>
                                  <CLI>1,1,46,False,20</CLI>
                                  <ELN>1</ELN>
                                  <LOOT>0</LOOT>
                                  <LOMN>3</LOMN>
                                  <LOMCN>1</LOMCN>
                                  <LOSN>1</LOSN>
                                  <LOEN>19</LOEN>
                                  <LOCN>20</LOCN>
                                </LnkInProps>
                              </LnkIn>
                            </Ctg>
                            <Ctg>
                              <CtgProps>
                                <R>5</R>
                              </CtgProps>
                              <LnkIn>
                                <LnkInProps>
                                  <MN>25</MN>
                                  <CLI>1,1,46,False,21</CLI>
                                  <ELN>1</ELN>
                                  <LOOT>0</LOOT>
                                  <LOMN>3</LOMN>
                                  <LOMCN>1</LOMCN>
                                  <LOSN>1</LOSN>
                                  <LOEN>19</LOEN>
                                  <LOCN>21</LOCN>
                                </LnkInProps>
                              </LnkIn>
                            </Ctg>
                            <Ctg>
                              <CtgProps>
                                <R>5</R>
                              </CtgProps>
                              <LnkIn>
                                <LnkInProps>
                                  <MN>25</MN>
                                  <CLI>1,1,46,False,22</CLI>
                                  <ELN>1</ELN>
                                  <LOOT>0</LOOT>
                                  <LOMN>3</LOMN>
                                  <LOMCN>1</LOMCN>
                                  <LOSN>1</LOSN>
                                  <LOEN>19</LOEN>
                                  <LOCN>22</LOCN>
                                </LnkInProps>
                              </LnkIn>
                            </Ctg>
                            <Ctg>
                              <CtgProps>
                                <R>5</R>
                              </CtgProps>
                              <LnkIn>
                                <LnkInProps>
                                  <MN>25</MN>
                                  <CLI>1,1,46,False,23</CLI>
                                  <ELN>1</ELN>
                                  <LOOT>0</LOOT>
                                  <LOMN>3</LOMN>
                                  <LOMCN>1</LOMCN>
                                  <LOSN>1</LOSN>
                                  <LOEN>19</LOEN>
                                  <LOCN>23</LOCN>
                                </LnkInProps>
                              </LnkIn>
                            </Ctg>
                            <Ctg>
                              <CtgProps>
                                <R>5</R>
                              </CtgProps>
                              <LnkIn>
                                <LnkInProps>
                                  <MN>25</MN>
                                  <CLI>1,1,46,False,24</CLI>
                                  <ELN>1</ELN>
                                  <LOOT>0</LOOT>
                                  <LOMN>3</LOMN>
                                  <LOMCN>1</LOMCN>
                                  <LOSN>1</LOSN>
                                  <LOEN>19</LOEN>
                                  <LOCN>24</LOCN>
                                </LnkInProps>
                              </LnkIn>
                            </Ctg>
                            <Ctg>
                              <CtgProps>
                                <R>5</R>
                              </CtgProps>
                              <LnkIn>
                                <LnkInProps>
                                  <MN>25</MN>
                                  <CLI>1,1,46,False,25</CLI>
                                  <ELN>1</ELN>
                                  <LOOT>0</LOOT>
                                  <LOMN>3</LOMN>
                                  <LOMCN>1</LOMCN>
                                  <LOSN>1</LOSN>
                                  <LOEN>19</LOEN>
                                  <LOCN>25</LOCN>
                                </LnkInProps>
                              </LnkIn>
                            </Ctg>
                            <Ctg>
                              <CtgProps>
                                <R>5</R>
                              </CtgProps>
                              <LnkIn>
                                <LnkInProps>
                                  <MN>25</MN>
                                  <CLI>1,1,46,False,26</CLI>
                                  <ELN>1</ELN>
                                  <LOOT>0</LOOT>
                                  <LOMN>3</LOMN>
                                  <LOMCN>1</LOMCN>
                                  <LOSN>1</LOSN>
                                  <LOEN>19</LOEN>
                                  <LOCN>26</LOCN>
                                </LnkInProps>
                              </LnkIn>
                            </Ctg>
                            <Ctg>
                              <CtgProps>
                                <R>5</R>
                              </CtgProps>
                              <LnkIn>
                                <LnkInProps>
                                  <MN>25</MN>
                                  <CLI>1,1,46,False,27</CLI>
                                  <ELN>1</ELN>
                                  <LOOT>0</LOOT>
                                  <LOMN>3</LOMN>
                                  <LOMCN>1</LOMCN>
                                  <LOSN>1</LOSN>
                                  <LOEN>19</LOEN>
                                  <LOCN>27</LOCN>
                                </LnkInProps>
                              </LnkIn>
                            </Ctg>
                            <Ctg>
                              <CtgProps>
                                <R>5</R>
                              </CtgProps>
                              <LnkIn>
                                <LnkInProps>
                                  <MN>25</MN>
                                  <CLI>1,1,46,False,28</CLI>
                                  <ELN>1</ELN>
                                  <LOOT>0</LOOT>
                                  <LOMN>3</LOMN>
                                  <LOMCN>1</LOMCN>
                                  <LOSN>1</LOSN>
                                  <LOEN>19</LOEN>
                                  <LOCN>28</LOCN>
                                </LnkInProps>
                              </LnkIn>
                            </Ctg>
                            <Ctg>
                              <CtgProps>
                                <R>5</R>
                              </CtgProps>
                              <LnkIn>
                                <LnkInProps>
                                  <MN>25</MN>
                                  <CLI>1,1,46,False,29</CLI>
                                  <ELN>1</ELN>
                                  <LOOT>0</LOOT>
                                  <LOMN>3</LOMN>
                                  <LOMCN>1</LOMCN>
                                  <LOSN>1</LOSN>
                                  <LOEN>19</LOEN>
                                  <LOCN>29</LOCN>
                                </LnkInProps>
                              </LnkIn>
                            </Ctg>
                            <Ctg>
                              <CtgProps>
                                <R>5</R>
                              </CtgProps>
                              <LnkIn>
                                <LnkInProps>
                                  <MN>25</MN>
                                  <CLI>1,1,46,False,30</CLI>
                                  <ELN>1</ELN>
                                  <LOOT>0</LOOT>
                                  <LOMN>3</LOMN>
                                  <LOMCN>1</LOMCN>
                                  <LOSN>1</LOSN>
                                  <LOEN>19</LOEN>
                                  <LOCN>30</LOCN>
                                </LnkInProps>
                              </LnkIn>
                            </Ctg>
                            <Ctg>
                              <CtgProps>
                                <R>5</R>
                              </CtgProps>
                              <LnkIn>
                                <LnkInProps>
                                  <MN>25</MN>
                                  <CLI>1,1,46,False,31</CLI>
                                  <ELN>1</ELN>
                                  <LOOT>0</LOOT>
                                  <LOMN>3</LOMN>
                                  <LOMCN>1</LOMCN>
                                  <LOSN>1</LOSN>
                                  <LOEN>19</LOEN>
                                  <LOCN>31</LOCN>
                                </LnkInProps>
                              </LnkIn>
                            </Ctg>
                            <Ctg>
                              <CtgProps>
                                <R>5</R>
                              </CtgProps>
                              <LnkIn>
                                <LnkInProps>
                                  <MN>25</MN>
                                  <CLI>1,1,46,False,32</CLI>
                                  <ELN>1</ELN>
                                  <LOOT>0</LOOT>
                                  <LOMN>3</LOMN>
                                  <LOMCN>1</LOMCN>
                                  <LOSN>1</LOSN>
                                  <LOEN>19</LOEN>
                                  <LOCN>32</LOCN>
                                </LnkInProps>
                              </LnkIn>
                            </Ctg>
                            <Ctg>
                              <CtgProps>
                                <R>5</R>
                              </CtgProps>
                              <LnkIn>
                                <LnkInProps>
                                  <MN>25</MN>
                                  <CLI>1,1,46,False,33</CLI>
                                  <ELN>1</ELN>
                                  <LOOT>0</LOOT>
                                  <LOMN>3</LOMN>
                                  <LOMCN>1</LOMCN>
                                  <LOSN>1</LOSN>
                                  <LOEN>19</LOEN>
                                  <LOCN>33</LOCN>
                                </LnkInProps>
                              </LnkIn>
                            </Ctg>
                            <Ctg>
                              <CtgProps>
                                <R>5</R>
                              </CtgProps>
                              <LnkIn>
                                <LnkInProps>
                                  <MN>25</MN>
                                  <CLI>1,1,46,False,34</CLI>
                                  <ELN>1</ELN>
                                  <LOOT>0</LOOT>
                                  <LOMN>3</LOMN>
                                  <LOMCN>1</LOMCN>
                                  <LOSN>1</LOSN>
                                  <LOEN>19</LOEN>
                                  <LOCN>34</LOCN>
                                </LnkInProps>
                              </LnkIn>
                            </Ctg>
                            <Ctg>
                              <CtgProps>
                                <R>5</R>
                              </CtgProps>
                              <LnkIn>
                                <LnkInProps>
                                  <MN>25</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25</MN>
                                  <CLI>1,1,49,False,1</CLI>
                                  <ELN>1</ELN>
                                  <LOOT>0</LOOT>
                                  <LOMN>3</LOMN>
                                  <LOMCN>1</LOMCN>
                                  <LOSN>1</LOSN>
                                  <LOEN>24</LOEN>
                                  <LOCN>1</LOCN>
                                </LnkInProps>
                              </LnkIn>
                            </Ctg>
                            <Ctg>
                              <CtgProps>
                                <R>4</R>
                              </CtgProps>
                              <LnkIn>
                                <LnkInProps>
                                  <MN>25</MN>
                                  <CLI>1,1,49,False,2</CLI>
                                  <ELN>1</ELN>
                                  <LOOT>0</LOOT>
                                  <LOMN>3</LOMN>
                                  <LOMCN>1</LOMCN>
                                  <LOSN>1</LOSN>
                                  <LOEN>24</LOEN>
                                  <LOCN>2</LOCN>
                                </LnkInProps>
                              </LnkIn>
                            </Ctg>
                            <Ctg>
                              <CtgProps>
                                <R>4</R>
                              </CtgProps>
                              <LnkIn>
                                <LnkInProps>
                                  <MN>25</MN>
                                  <CLI>1,1,49,False,3</CLI>
                                  <ELN>1</ELN>
                                  <LOOT>0</LOOT>
                                  <LOMN>3</LOMN>
                                  <LOMCN>1</LOMCN>
                                  <LOSN>1</LOSN>
                                  <LOEN>24</LOEN>
                                  <LOCN>3</LOCN>
                                </LnkInProps>
                              </LnkIn>
                            </Ctg>
                            <Ctg>
                              <CtgProps>
                                <R>4</R>
                              </CtgProps>
                              <LnkIn>
                                <LnkInProps>
                                  <MN>25</MN>
                                  <CLI>1,1,49,False,4</CLI>
                                  <ELN>1</ELN>
                                  <LOOT>0</LOOT>
                                  <LOMN>3</LOMN>
                                  <LOMCN>1</LOMCN>
                                  <LOSN>1</LOSN>
                                  <LOEN>24</LOEN>
                                  <LOCN>4</LOCN>
                                </LnkInProps>
                              </LnkIn>
                            </Ctg>
                            <Ctg>
                              <CtgProps>
                                <R>4</R>
                              </CtgProps>
                              <LnkIn>
                                <LnkInProps>
                                  <MN>25</MN>
                                  <CLI>1,1,49,False,5</CLI>
                                  <ELN>1</ELN>
                                  <LOOT>0</LOOT>
                                  <LOMN>3</LOMN>
                                  <LOMCN>1</LOMCN>
                                  <LOSN>1</LOSN>
                                  <LOEN>24</LOEN>
                                  <LOCN>5</LOCN>
                                </LnkInProps>
                              </LnkIn>
                            </Ctg>
                            <Ctg>
                              <CtgProps>
                                <R>5</R>
                              </CtgProps>
                              <LnkIn>
                                <LnkInProps>
                                  <MN>25</MN>
                                  <CLI>1,1,49,False,6</CLI>
                                  <ELN>1</ELN>
                                  <LOOT>0</LOOT>
                                  <LOMN>3</LOMN>
                                  <LOMCN>1</LOMCN>
                                  <LOSN>1</LOSN>
                                  <LOEN>24</LOEN>
                                  <LOCN>6</LOCN>
                                </LnkInProps>
                              </LnkIn>
                            </Ctg>
                            <Ctg>
                              <CtgProps>
                                <R>5</R>
                              </CtgProps>
                              <LnkIn>
                                <LnkInProps>
                                  <MN>25</MN>
                                  <CLI>1,1,49,False,7</CLI>
                                  <ELN>1</ELN>
                                  <LOOT>0</LOOT>
                                  <LOMN>3</LOMN>
                                  <LOMCN>1</LOMCN>
                                  <LOSN>1</LOSN>
                                  <LOEN>24</LOEN>
                                  <LOCN>7</LOCN>
                                </LnkInProps>
                              </LnkIn>
                            </Ctg>
                            <Ctg>
                              <CtgProps>
                                <R>5</R>
                              </CtgProps>
                              <LnkIn>
                                <LnkInProps>
                                  <MN>25</MN>
                                  <CLI>1,1,49,False,8</CLI>
                                  <ELN>1</ELN>
                                  <LOOT>0</LOOT>
                                  <LOMN>3</LOMN>
                                  <LOMCN>1</LOMCN>
                                  <LOSN>1</LOSN>
                                  <LOEN>24</LOEN>
                                  <LOCN>8</LOCN>
                                </LnkInProps>
                              </LnkIn>
                            </Ctg>
                            <Ctg>
                              <CtgProps>
                                <R>5</R>
                              </CtgProps>
                              <LnkIn>
                                <LnkInProps>
                                  <MN>25</MN>
                                  <CLI>1,1,49,False,9</CLI>
                                  <ELN>1</ELN>
                                  <LOOT>0</LOOT>
                                  <LOMN>3</LOMN>
                                  <LOMCN>1</LOMCN>
                                  <LOSN>1</LOSN>
                                  <LOEN>24</LOEN>
                                  <LOCN>9</LOCN>
                                </LnkInProps>
                              </LnkIn>
                            </Ctg>
                            <Ctg>
                              <CtgProps>
                                <R>5</R>
                              </CtgProps>
                              <LnkIn>
                                <LnkInProps>
                                  <MN>25</MN>
                                  <CLI>1,1,49,False,10</CLI>
                                  <ELN>1</ELN>
                                  <LOOT>0</LOOT>
                                  <LOMN>3</LOMN>
                                  <LOMCN>1</LOMCN>
                                  <LOSN>1</LOSN>
                                  <LOEN>24</LOEN>
                                  <LOCN>10</LOCN>
                                </LnkInProps>
                              </LnkIn>
                            </Ctg>
                            <Ctg>
                              <CtgProps>
                                <R>5</R>
                              </CtgProps>
                              <LnkIn>
                                <LnkInProps>
                                  <MN>25</MN>
                                  <CLI>1,1,49,False,11</CLI>
                                  <ELN>1</ELN>
                                  <LOOT>0</LOOT>
                                  <LOMN>3</LOMN>
                                  <LOMCN>1</LOMCN>
                                  <LOSN>1</LOSN>
                                  <LOEN>24</LOEN>
                                  <LOCN>11</LOCN>
                                </LnkInProps>
                              </LnkIn>
                            </Ctg>
                            <Ctg>
                              <CtgProps>
                                <R>5</R>
                              </CtgProps>
                              <LnkIn>
                                <LnkInProps>
                                  <MN>25</MN>
                                  <CLI>1,1,49,False,12</CLI>
                                  <ELN>1</ELN>
                                  <LOOT>0</LOOT>
                                  <LOMN>3</LOMN>
                                  <LOMCN>1</LOMCN>
                                  <LOSN>1</LOSN>
                                  <LOEN>24</LOEN>
                                  <LOCN>12</LOCN>
                                </LnkInProps>
                              </LnkIn>
                            </Ctg>
                            <Ctg>
                              <CtgProps>
                                <R>5</R>
                              </CtgProps>
                              <LnkIn>
                                <LnkInProps>
                                  <MN>25</MN>
                                  <CLI>1,1,49,False,13</CLI>
                                  <ELN>1</ELN>
                                  <LOOT>0</LOOT>
                                  <LOMN>3</LOMN>
                                  <LOMCN>1</LOMCN>
                                  <LOSN>1</LOSN>
                                  <LOEN>24</LOEN>
                                  <LOCN>13</LOCN>
                                </LnkInProps>
                              </LnkIn>
                            </Ctg>
                            <Ctg>
                              <CtgProps>
                                <R>5</R>
                              </CtgProps>
                              <LnkIn>
                                <LnkInProps>
                                  <MN>25</MN>
                                  <CLI>1,1,49,False,14</CLI>
                                  <ELN>1</ELN>
                                  <LOOT>0</LOOT>
                                  <LOMN>3</LOMN>
                                  <LOMCN>1</LOMCN>
                                  <LOSN>1</LOSN>
                                  <LOEN>24</LOEN>
                                  <LOCN>14</LOCN>
                                </LnkInProps>
                              </LnkIn>
                            </Ctg>
                            <Ctg>
                              <CtgProps>
                                <R>5</R>
                              </CtgProps>
                              <LnkIn>
                                <LnkInProps>
                                  <MN>25</MN>
                                  <CLI>1,1,49,False,15</CLI>
                                  <ELN>1</ELN>
                                  <LOOT>0</LOOT>
                                  <LOMN>3</LOMN>
                                  <LOMCN>1</LOMCN>
                                  <LOSN>1</LOSN>
                                  <LOEN>24</LOEN>
                                  <LOCN>15</LOCN>
                                </LnkInProps>
                              </LnkIn>
                            </Ctg>
                            <Ctg>
                              <CtgProps>
                                <R>5</R>
                              </CtgProps>
                              <LnkIn>
                                <LnkInProps>
                                  <MN>25</MN>
                                  <CLI>1,1,49,False,16</CLI>
                                  <ELN>1</ELN>
                                  <LOOT>0</LOOT>
                                  <LOMN>3</LOMN>
                                  <LOMCN>1</LOMCN>
                                  <LOSN>1</LOSN>
                                  <LOEN>24</LOEN>
                                  <LOCN>16</LOCN>
                                </LnkInProps>
                              </LnkIn>
                            </Ctg>
                            <Ctg>
                              <CtgProps>
                                <R>5</R>
                              </CtgProps>
                              <LnkIn>
                                <LnkInProps>
                                  <MN>25</MN>
                                  <CLI>1,1,49,False,17</CLI>
                                  <ELN>1</ELN>
                                  <LOOT>0</LOOT>
                                  <LOMN>3</LOMN>
                                  <LOMCN>1</LOMCN>
                                  <LOSN>1</LOSN>
                                  <LOEN>24</LOEN>
                                  <LOCN>17</LOCN>
                                </LnkInProps>
                              </LnkIn>
                            </Ctg>
                            <Ctg>
                              <CtgProps>
                                <R>5</R>
                              </CtgProps>
                              <LnkIn>
                                <LnkInProps>
                                  <MN>25</MN>
                                  <CLI>1,1,49,False,18</CLI>
                                  <ELN>1</ELN>
                                  <LOOT>0</LOOT>
                                  <LOMN>3</LOMN>
                                  <LOMCN>1</LOMCN>
                                  <LOSN>1</LOSN>
                                  <LOEN>24</LOEN>
                                  <LOCN>18</LOCN>
                                </LnkInProps>
                              </LnkIn>
                            </Ctg>
                            <Ctg>
                              <CtgProps>
                                <R>5</R>
                              </CtgProps>
                              <LnkIn>
                                <LnkInProps>
                                  <MN>25</MN>
                                  <CLI>1,1,49,False,19</CLI>
                                  <ELN>1</ELN>
                                  <LOOT>0</LOOT>
                                  <LOMN>3</LOMN>
                                  <LOMCN>1</LOMCN>
                                  <LOSN>1</LOSN>
                                  <LOEN>24</LOEN>
                                  <LOCN>19</LOCN>
                                </LnkInProps>
                              </LnkIn>
                            </Ctg>
                            <Ctg>
                              <CtgProps>
                                <R>5</R>
                              </CtgProps>
                              <LnkIn>
                                <LnkInProps>
                                  <MN>25</MN>
                                  <CLI>1,1,49,False,20</CLI>
                                  <ELN>1</ELN>
                                  <LOOT>0</LOOT>
                                  <LOMN>3</LOMN>
                                  <LOMCN>1</LOMCN>
                                  <LOSN>1</LOSN>
                                  <LOEN>24</LOEN>
                                  <LOCN>20</LOCN>
                                </LnkInProps>
                              </LnkIn>
                            </Ctg>
                            <Ctg>
                              <CtgProps>
                                <R>5</R>
                              </CtgProps>
                              <LnkIn>
                                <LnkInProps>
                                  <MN>25</MN>
                                  <CLI>1,1,49,False,21</CLI>
                                  <ELN>1</ELN>
                                  <LOOT>0</LOOT>
                                  <LOMN>3</LOMN>
                                  <LOMCN>1</LOMCN>
                                  <LOSN>1</LOSN>
                                  <LOEN>24</LOEN>
                                  <LOCN>21</LOCN>
                                </LnkInProps>
                              </LnkIn>
                            </Ctg>
                            <Ctg>
                              <CtgProps>
                                <R>5</R>
                              </CtgProps>
                              <LnkIn>
                                <LnkInProps>
                                  <MN>25</MN>
                                  <CLI>1,1,49,False,22</CLI>
                                  <ELN>1</ELN>
                                  <LOOT>0</LOOT>
                                  <LOMN>3</LOMN>
                                  <LOMCN>1</LOMCN>
                                  <LOSN>1</LOSN>
                                  <LOEN>24</LOEN>
                                  <LOCN>22</LOCN>
                                </LnkInProps>
                              </LnkIn>
                            </Ctg>
                            <Ctg>
                              <CtgProps>
                                <R>5</R>
                              </CtgProps>
                              <LnkIn>
                                <LnkInProps>
                                  <MN>25</MN>
                                  <CLI>1,1,49,False,23</CLI>
                                  <ELN>1</ELN>
                                  <LOOT>0</LOOT>
                                  <LOMN>3</LOMN>
                                  <LOMCN>1</LOMCN>
                                  <LOSN>1</LOSN>
                                  <LOEN>24</LOEN>
                                  <LOCN>23</LOCN>
                                </LnkInProps>
                              </LnkIn>
                            </Ctg>
                            <Ctg>
                              <CtgProps>
                                <R>5</R>
                              </CtgProps>
                              <LnkIn>
                                <LnkInProps>
                                  <MN>25</MN>
                                  <CLI>1,1,49,False,24</CLI>
                                  <ELN>1</ELN>
                                  <LOOT>0</LOOT>
                                  <LOMN>3</LOMN>
                                  <LOMCN>1</LOMCN>
                                  <LOSN>1</LOSN>
                                  <LOEN>24</LOEN>
                                  <LOCN>24</LOCN>
                                </LnkInProps>
                              </LnkIn>
                            </Ctg>
                            <Ctg>
                              <CtgProps>
                                <R>5</R>
                              </CtgProps>
                              <LnkIn>
                                <LnkInProps>
                                  <MN>25</MN>
                                  <CLI>1,1,49,False,25</CLI>
                                  <ELN>1</ELN>
                                  <LOOT>0</LOOT>
                                  <LOMN>3</LOMN>
                                  <LOMCN>1</LOMCN>
                                  <LOSN>1</LOSN>
                                  <LOEN>24</LOEN>
                                  <LOCN>25</LOCN>
                                </LnkInProps>
                              </LnkIn>
                            </Ctg>
                            <Ctg>
                              <CtgProps>
                                <R>5</R>
                              </CtgProps>
                              <LnkIn>
                                <LnkInProps>
                                  <MN>25</MN>
                                  <CLI>1,1,49,False,26</CLI>
                                  <ELN>1</ELN>
                                  <LOOT>0</LOOT>
                                  <LOMN>3</LOMN>
                                  <LOMCN>1</LOMCN>
                                  <LOSN>1</LOSN>
                                  <LOEN>24</LOEN>
                                  <LOCN>26</LOCN>
                                </LnkInProps>
                              </LnkIn>
                            </Ctg>
                            <Ctg>
                              <CtgProps>
                                <R>5</R>
                              </CtgProps>
                              <LnkIn>
                                <LnkInProps>
                                  <MN>25</MN>
                                  <CLI>1,1,49,False,27</CLI>
                                  <ELN>1</ELN>
                                  <LOOT>0</LOOT>
                                  <LOMN>3</LOMN>
                                  <LOMCN>1</LOMCN>
                                  <LOSN>1</LOSN>
                                  <LOEN>24</LOEN>
                                  <LOCN>27</LOCN>
                                </LnkInProps>
                              </LnkIn>
                            </Ctg>
                            <Ctg>
                              <CtgProps>
                                <R>5</R>
                              </CtgProps>
                              <LnkIn>
                                <LnkInProps>
                                  <MN>25</MN>
                                  <CLI>1,1,49,False,28</CLI>
                                  <ELN>1</ELN>
                                  <LOOT>0</LOOT>
                                  <LOMN>3</LOMN>
                                  <LOMCN>1</LOMCN>
                                  <LOSN>1</LOSN>
                                  <LOEN>24</LOEN>
                                  <LOCN>28</LOCN>
                                </LnkInProps>
                              </LnkIn>
                            </Ctg>
                            <Ctg>
                              <CtgProps>
                                <R>5</R>
                              </CtgProps>
                              <LnkIn>
                                <LnkInProps>
                                  <MN>25</MN>
                                  <CLI>1,1,49,False,29</CLI>
                                  <ELN>1</ELN>
                                  <LOOT>0</LOOT>
                                  <LOMN>3</LOMN>
                                  <LOMCN>1</LOMCN>
                                  <LOSN>1</LOSN>
                                  <LOEN>24</LOEN>
                                  <LOCN>29</LOCN>
                                </LnkInProps>
                              </LnkIn>
                            </Ctg>
                            <Ctg>
                              <CtgProps>
                                <R>5</R>
                              </CtgProps>
                              <LnkIn>
                                <LnkInProps>
                                  <MN>25</MN>
                                  <CLI>1,1,49,False,30</CLI>
                                  <ELN>1</ELN>
                                  <LOOT>0</LOOT>
                                  <LOMN>3</LOMN>
                                  <LOMCN>1</LOMCN>
                                  <LOSN>1</LOSN>
                                  <LOEN>24</LOEN>
                                  <LOCN>30</LOCN>
                                </LnkInProps>
                              </LnkIn>
                            </Ctg>
                            <Ctg>
                              <CtgProps>
                                <R>5</R>
                              </CtgProps>
                              <LnkIn>
                                <LnkInProps>
                                  <MN>25</MN>
                                  <CLI>1,1,49,False,31</CLI>
                                  <ELN>1</ELN>
                                  <LOOT>0</LOOT>
                                  <LOMN>3</LOMN>
                                  <LOMCN>1</LOMCN>
                                  <LOSN>1</LOSN>
                                  <LOEN>24</LOEN>
                                  <LOCN>31</LOCN>
                                </LnkInProps>
                              </LnkIn>
                            </Ctg>
                            <Ctg>
                              <CtgProps>
                                <R>5</R>
                              </CtgProps>
                              <LnkIn>
                                <LnkInProps>
                                  <MN>25</MN>
                                  <CLI>1,1,49,False,32</CLI>
                                  <ELN>1</ELN>
                                  <LOOT>0</LOOT>
                                  <LOMN>3</LOMN>
                                  <LOMCN>1</LOMCN>
                                  <LOSN>1</LOSN>
                                  <LOEN>24</LOEN>
                                  <LOCN>32</LOCN>
                                </LnkInProps>
                              </LnkIn>
                            </Ctg>
                            <Ctg>
                              <CtgProps>
                                <R>5</R>
                              </CtgProps>
                              <LnkIn>
                                <LnkInProps>
                                  <MN>25</MN>
                                  <CLI>1,1,49,False,33</CLI>
                                  <ELN>1</ELN>
                                  <LOOT>0</LOOT>
                                  <LOMN>3</LOMN>
                                  <LOMCN>1</LOMCN>
                                  <LOSN>1</LOSN>
                                  <LOEN>24</LOEN>
                                  <LOCN>33</LOCN>
                                </LnkInProps>
                              </LnkIn>
                            </Ctg>
                            <Ctg>
                              <CtgProps>
                                <R>5</R>
                              </CtgProps>
                              <LnkIn>
                                <LnkInProps>
                                  <MN>25</MN>
                                  <CLI>1,1,49,False,34</CLI>
                                  <ELN>1</ELN>
                                  <LOOT>0</LOOT>
                                  <LOMN>3</LOMN>
                                  <LOMCN>1</LOMCN>
                                  <LOSN>1</LOSN>
                                  <LOEN>24</LOEN>
                                  <LOCN>34</LOCN>
                                </LnkInProps>
                              </LnkIn>
                            </Ctg>
                            <Ctg>
                              <CtgProps>
                                <R>5</R>
                              </CtgProps>
                              <LnkIn>
                                <LnkInProps>
                                  <MN>25</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25</MN>
                                  <CLI>1,1,53,False,1</CLI>
                                  <ELN>1</ELN>
                                  <LOOT>0</LOOT>
                                  <LOMN>3</LOMN>
                                  <LOMCN>1</LOMCN>
                                  <LOSN>1</LOSN>
                                  <LOEN>29</LOEN>
                                  <LOCN>1</LOCN>
                                </LnkInProps>
                              </LnkIn>
                            </Ctg>
                            <Ctg>
                              <CtgProps>
                                <R>4</R>
                              </CtgProps>
                              <LnkIn>
                                <LnkInProps>
                                  <MN>25</MN>
                                  <CLI>1,1,53,False,2</CLI>
                                  <ELN>1</ELN>
                                  <LOOT>0</LOOT>
                                  <LOMN>3</LOMN>
                                  <LOMCN>1</LOMCN>
                                  <LOSN>1</LOSN>
                                  <LOEN>29</LOEN>
                                  <LOCN>2</LOCN>
                                </LnkInProps>
                              </LnkIn>
                            </Ctg>
                            <Ctg>
                              <CtgProps>
                                <R>5</R>
                              </CtgProps>
                              <LnkIn>
                                <LnkInProps>
                                  <MN>25</MN>
                                  <CLI>1,1,53,False,3</CLI>
                                  <ELN>1</ELN>
                                  <LOOT>0</LOOT>
                                  <LOMN>3</LOMN>
                                  <LOMCN>1</LOMCN>
                                  <LOSN>1</LOSN>
                                  <LOEN>29</LOEN>
                                  <LOCN>3</LOCN>
                                </LnkInProps>
                              </LnkIn>
                            </Ctg>
                            <Ctg>
                              <CtgProps>
                                <R>5</R>
                              </CtgProps>
                              <LnkIn>
                                <LnkInProps>
                                  <MN>25</MN>
                                  <CLI>1,1,53,False,4</CLI>
                                  <ELN>1</ELN>
                                  <LOOT>0</LOOT>
                                  <LOMN>3</LOMN>
                                  <LOMCN>1</LOMCN>
                                  <LOSN>1</LOSN>
                                  <LOEN>29</LOEN>
                                  <LOCN>4</LOCN>
                                </LnkInProps>
                              </LnkIn>
                            </Ctg>
                            <Ctg>
                              <CtgProps>
                                <R>5</R>
                              </CtgProps>
                              <LnkIn>
                                <LnkInProps>
                                  <MN>25</MN>
                                  <CLI>1,1,53,False,5</CLI>
                                  <ELN>1</ELN>
                                  <LOOT>0</LOOT>
                                  <LOMN>3</LOMN>
                                  <LOMCN>1</LOMCN>
                                  <LOSN>1</LOSN>
                                  <LOEN>29</LOEN>
                                  <LOCN>5</LOCN>
                                </LnkInProps>
                              </LnkIn>
                            </Ctg>
                            <Ctg>
                              <CtgProps>
                                <R>5</R>
                              </CtgProps>
                              <LnkIn>
                                <LnkInProps>
                                  <MN>25</MN>
                                  <CLI>1,1,53,False,6</CLI>
                                  <ELN>1</ELN>
                                  <LOOT>0</LOOT>
                                  <LOMN>3</LOMN>
                                  <LOMCN>1</LOMCN>
                                  <LOSN>1</LOSN>
                                  <LOEN>29</LOEN>
                                  <LOCN>6</LOCN>
                                </LnkInProps>
                              </LnkIn>
                            </Ctg>
                            <Ctg>
                              <CtgProps>
                                <R>5</R>
                              </CtgProps>
                              <LnkIn>
                                <LnkInProps>
                                  <MN>25</MN>
                                  <CLI>1,1,53,False,7</CLI>
                                  <ELN>1</ELN>
                                  <LOOT>0</LOOT>
                                  <LOMN>3</LOMN>
                                  <LOMCN>1</LOMCN>
                                  <LOSN>1</LOSN>
                                  <LOEN>29</LOEN>
                                  <LOCN>7</LOCN>
                                </LnkInProps>
                              </LnkIn>
                            </Ctg>
                            <Ctg>
                              <CtgProps>
                                <R>5</R>
                              </CtgProps>
                              <LnkIn>
                                <LnkInProps>
                                  <MN>25</MN>
                                  <CLI>1,1,53,False,8</CLI>
                                  <ELN>1</ELN>
                                  <LOOT>0</LOOT>
                                  <LOMN>3</LOMN>
                                  <LOMCN>1</LOMCN>
                                  <LOSN>1</LOSN>
                                  <LOEN>29</LOEN>
                                  <LOCN>8</LOCN>
                                </LnkInProps>
                              </LnkIn>
                            </Ctg>
                            <Ctg>
                              <CtgProps>
                                <R>5</R>
                              </CtgProps>
                              <LnkIn>
                                <LnkInProps>
                                  <MN>25</MN>
                                  <CLI>1,1,53,False,9</CLI>
                                  <ELN>1</ELN>
                                  <LOOT>0</LOOT>
                                  <LOMN>3</LOMN>
                                  <LOMCN>1</LOMCN>
                                  <LOSN>1</LOSN>
                                  <LOEN>29</LOEN>
                                  <LOCN>9</LOCN>
                                </LnkInProps>
                              </LnkIn>
                            </Ctg>
                            <Ctg>
                              <CtgProps>
                                <R>5</R>
                              </CtgProps>
                              <LnkIn>
                                <LnkInProps>
                                  <MN>25</MN>
                                  <CLI>1,1,53,False,10</CLI>
                                  <ELN>1</ELN>
                                  <LOOT>0</LOOT>
                                  <LOMN>3</LOMN>
                                  <LOMCN>1</LOMCN>
                                  <LOSN>1</LOSN>
                                  <LOEN>29</LOEN>
                                  <LOCN>10</LOCN>
                                </LnkInProps>
                              </LnkIn>
                            </Ctg>
                            <Ctg>
                              <CtgProps>
                                <R>5</R>
                              </CtgProps>
                              <LnkIn>
                                <LnkInProps>
                                  <MN>25</MN>
                                  <CLI>1,1,53,False,11</CLI>
                                  <ELN>1</ELN>
                                  <LOOT>0</LOOT>
                                  <LOMN>3</LOMN>
                                  <LOMCN>1</LOMCN>
                                  <LOSN>1</LOSN>
                                  <LOEN>29</LOEN>
                                  <LOCN>11</LOCN>
                                </LnkInProps>
                              </LnkIn>
                            </Ctg>
                            <Ctg>
                              <CtgProps>
                                <R>5</R>
                              </CtgProps>
                              <LnkIn>
                                <LnkInProps>
                                  <MN>25</MN>
                                  <CLI>1,1,53,False,12</CLI>
                                  <ELN>1</ELN>
                                  <LOOT>0</LOOT>
                                  <LOMN>3</LOMN>
                                  <LOMCN>1</LOMCN>
                                  <LOSN>1</LOSN>
                                  <LOEN>29</LOEN>
                                  <LOCN>12</LOCN>
                                </LnkInProps>
                              </LnkIn>
                            </Ctg>
                            <Ctg>
                              <CtgProps>
                                <R>5</R>
                              </CtgProps>
                              <LnkIn>
                                <LnkInProps>
                                  <MN>25</MN>
                                  <CLI>1,1,53,False,13</CLI>
                                  <ELN>1</ELN>
                                  <LOOT>0</LOOT>
                                  <LOMN>3</LOMN>
                                  <LOMCN>1</LOMCN>
                                  <LOSN>1</LOSN>
                                  <LOEN>29</LOEN>
                                  <LOCN>13</LOCN>
                                </LnkInProps>
                              </LnkIn>
                            </Ctg>
                            <Ctg>
                              <CtgProps>
                                <R>5</R>
                              </CtgProps>
                              <LnkIn>
                                <LnkInProps>
                                  <MN>25</MN>
                                  <CLI>1,1,53,False,14</CLI>
                                  <ELN>1</ELN>
                                  <LOOT>0</LOOT>
                                  <LOMN>3</LOMN>
                                  <LOMCN>1</LOMCN>
                                  <LOSN>1</LOSN>
                                  <LOEN>29</LOEN>
                                  <LOCN>14</LOCN>
                                </LnkInProps>
                              </LnkIn>
                            </Ctg>
                            <Ctg>
                              <CtgProps>
                                <R>5</R>
                              </CtgProps>
                              <LnkIn>
                                <LnkInProps>
                                  <MN>25</MN>
                                  <CLI>1,1,53,False,15</CLI>
                                  <ELN>1</ELN>
                                  <LOOT>0</LOOT>
                                  <LOMN>3</LOMN>
                                  <LOMCN>1</LOMCN>
                                  <LOSN>1</LOSN>
                                  <LOEN>29</LOEN>
                                  <LOCN>15</LOCN>
                                </LnkInProps>
                              </LnkIn>
                            </Ctg>
                            <Ctg>
                              <CtgProps>
                                <R>5</R>
                              </CtgProps>
                              <LnkIn>
                                <LnkInProps>
                                  <MN>25</MN>
                                  <CLI>1,1,53,False,16</CLI>
                                  <ELN>1</ELN>
                                  <LOOT>0</LOOT>
                                  <LOMN>3</LOMN>
                                  <LOMCN>1</LOMCN>
                                  <LOSN>1</LOSN>
                                  <LOEN>29</LOEN>
                                  <LOCN>16</LOCN>
                                </LnkInProps>
                              </LnkIn>
                            </Ctg>
                            <Ctg>
                              <CtgProps>
                                <R>5</R>
                              </CtgProps>
                              <LnkIn>
                                <LnkInProps>
                                  <MN>25</MN>
                                  <CLI>1,1,53,False,17</CLI>
                                  <ELN>1</ELN>
                                  <LOOT>0</LOOT>
                                  <LOMN>3</LOMN>
                                  <LOMCN>1</LOMCN>
                                  <LOSN>1</LOSN>
                                  <LOEN>29</LOEN>
                                  <LOCN>17</LOCN>
                                </LnkInProps>
                              </LnkIn>
                            </Ctg>
                            <Ctg>
                              <CtgProps>
                                <R>5</R>
                              </CtgProps>
                              <LnkIn>
                                <LnkInProps>
                                  <MN>25</MN>
                                  <CLI>1,1,53,False,18</CLI>
                                  <ELN>1</ELN>
                                  <LOOT>0</LOOT>
                                  <LOMN>3</LOMN>
                                  <LOMCN>1</LOMCN>
                                  <LOSN>1</LOSN>
                                  <LOEN>29</LOEN>
                                  <LOCN>18</LOCN>
                                </LnkInProps>
                              </LnkIn>
                            </Ctg>
                            <Ctg>
                              <CtgProps>
                                <R>5</R>
                              </CtgProps>
                              <LnkIn>
                                <LnkInProps>
                                  <MN>25</MN>
                                  <CLI>1,1,53,False,19</CLI>
                                  <ELN>1</ELN>
                                  <LOOT>0</LOOT>
                                  <LOMN>3</LOMN>
                                  <LOMCN>1</LOMCN>
                                  <LOSN>1</LOSN>
                                  <LOEN>29</LOEN>
                                  <LOCN>19</LOCN>
                                </LnkInProps>
                              </LnkIn>
                            </Ctg>
                            <Ctg>
                              <CtgProps>
                                <R>5</R>
                              </CtgProps>
                              <LnkIn>
                                <LnkInProps>
                                  <MN>25</MN>
                                  <CLI>1,1,53,False,20</CLI>
                                  <ELN>1</ELN>
                                  <LOOT>0</LOOT>
                                  <LOMN>3</LOMN>
                                  <LOMCN>1</LOMCN>
                                  <LOSN>1</LOSN>
                                  <LOEN>29</LOEN>
                                  <LOCN>20</LOCN>
                                </LnkInProps>
                              </LnkIn>
                            </Ctg>
                            <Ctg>
                              <CtgProps>
                                <R>5</R>
                              </CtgProps>
                              <LnkIn>
                                <LnkInProps>
                                  <MN>25</MN>
                                  <CLI>1,1,53,False,21</CLI>
                                  <ELN>1</ELN>
                                  <LOOT>0</LOOT>
                                  <LOMN>3</LOMN>
                                  <LOMCN>1</LOMCN>
                                  <LOSN>1</LOSN>
                                  <LOEN>29</LOEN>
                                  <LOCN>21</LOCN>
                                </LnkInProps>
                              </LnkIn>
                            </Ctg>
                            <Ctg>
                              <CtgProps>
                                <R>5</R>
                              </CtgProps>
                              <LnkIn>
                                <LnkInProps>
                                  <MN>25</MN>
                                  <CLI>1,1,53,False,22</CLI>
                                  <ELN>1</ELN>
                                  <LOOT>0</LOOT>
                                  <LOMN>3</LOMN>
                                  <LOMCN>1</LOMCN>
                                  <LOSN>1</LOSN>
                                  <LOEN>29</LOEN>
                                  <LOCN>22</LOCN>
                                </LnkInProps>
                              </LnkIn>
                            </Ctg>
                            <Ctg>
                              <CtgProps>
                                <R>5</R>
                              </CtgProps>
                              <LnkIn>
                                <LnkInProps>
                                  <MN>25</MN>
                                  <CLI>1,1,53,False,23</CLI>
                                  <ELN>1</ELN>
                                  <LOOT>0</LOOT>
                                  <LOMN>3</LOMN>
                                  <LOMCN>1</LOMCN>
                                  <LOSN>1</LOSN>
                                  <LOEN>29</LOEN>
                                  <LOCN>23</LOCN>
                                </LnkInProps>
                              </LnkIn>
                            </Ctg>
                            <Ctg>
                              <CtgProps>
                                <R>5</R>
                              </CtgProps>
                              <LnkIn>
                                <LnkInProps>
                                  <MN>25</MN>
                                  <CLI>1,1,53,False,24</CLI>
                                  <ELN>1</ELN>
                                  <LOOT>0</LOOT>
                                  <LOMN>3</LOMN>
                                  <LOMCN>1</LOMCN>
                                  <LOSN>1</LOSN>
                                  <LOEN>29</LOEN>
                                  <LOCN>24</LOCN>
                                </LnkInProps>
                              </LnkIn>
                            </Ctg>
                            <Ctg>
                              <CtgProps>
                                <R>5</R>
                              </CtgProps>
                              <LnkIn>
                                <LnkInProps>
                                  <MN>25</MN>
                                  <CLI>1,1,53,False,25</CLI>
                                  <ELN>1</ELN>
                                  <LOOT>0</LOOT>
                                  <LOMN>3</LOMN>
                                  <LOMCN>1</LOMCN>
                                  <LOSN>1</LOSN>
                                  <LOEN>29</LOEN>
                                  <LOCN>25</LOCN>
                                </LnkInProps>
                              </LnkIn>
                            </Ctg>
                            <Ctg>
                              <CtgProps>
                                <R>5</R>
                              </CtgProps>
                              <LnkIn>
                                <LnkInProps>
                                  <MN>25</MN>
                                  <CLI>1,1,53,False,26</CLI>
                                  <ELN>1</ELN>
                                  <LOOT>0</LOOT>
                                  <LOMN>3</LOMN>
                                  <LOMCN>1</LOMCN>
                                  <LOSN>1</LOSN>
                                  <LOEN>29</LOEN>
                                  <LOCN>26</LOCN>
                                </LnkInProps>
                              </LnkIn>
                            </Ctg>
                            <Ctg>
                              <CtgProps>
                                <R>5</R>
                              </CtgProps>
                              <LnkIn>
                                <LnkInProps>
                                  <MN>25</MN>
                                  <CLI>1,1,53,False,27</CLI>
                                  <ELN>1</ELN>
                                  <LOOT>0</LOOT>
                                  <LOMN>3</LOMN>
                                  <LOMCN>1</LOMCN>
                                  <LOSN>1</LOSN>
                                  <LOEN>29</LOEN>
                                  <LOCN>27</LOCN>
                                </LnkInProps>
                              </LnkIn>
                            </Ctg>
                            <Ctg>
                              <CtgProps>
                                <R>5</R>
                              </CtgProps>
                              <LnkIn>
                                <LnkInProps>
                                  <MN>25</MN>
                                  <CLI>1,1,53,False,28</CLI>
                                  <ELN>1</ELN>
                                  <LOOT>0</LOOT>
                                  <LOMN>3</LOMN>
                                  <LOMCN>1</LOMCN>
                                  <LOSN>1</LOSN>
                                  <LOEN>29</LOEN>
                                  <LOCN>28</LOCN>
                                </LnkInProps>
                              </LnkIn>
                            </Ctg>
                            <Ctg>
                              <CtgProps>
                                <R>5</R>
                              </CtgProps>
                              <LnkIn>
                                <LnkInProps>
                                  <MN>25</MN>
                                  <CLI>1,1,53,False,29</CLI>
                                  <ELN>1</ELN>
                                  <LOOT>0</LOOT>
                                  <LOMN>3</LOMN>
                                  <LOMCN>1</LOMCN>
                                  <LOSN>1</LOSN>
                                  <LOEN>29</LOEN>
                                  <LOCN>29</LOCN>
                                </LnkInProps>
                              </LnkIn>
                            </Ctg>
                            <Ctg>
                              <CtgProps>
                                <R>5</R>
                              </CtgProps>
                              <LnkIn>
                                <LnkInProps>
                                  <MN>25</MN>
                                  <CLI>1,1,53,False,30</CLI>
                                  <ELN>1</ELN>
                                  <LOOT>0</LOOT>
                                  <LOMN>3</LOMN>
                                  <LOMCN>1</LOMCN>
                                  <LOSN>1</LOSN>
                                  <LOEN>29</LOEN>
                                  <LOCN>30</LOCN>
                                </LnkInProps>
                              </LnkIn>
                            </Ctg>
                            <Ctg>
                              <CtgProps>
                                <R>5</R>
                              </CtgProps>
                              <LnkIn>
                                <LnkInProps>
                                  <MN>25</MN>
                                  <CLI>1,1,53,False,31</CLI>
                                  <ELN>1</ELN>
                                  <LOOT>0</LOOT>
                                  <LOMN>3</LOMN>
                                  <LOMCN>1</LOMCN>
                                  <LOSN>1</LOSN>
                                  <LOEN>29</LOEN>
                                  <LOCN>31</LOCN>
                                </LnkInProps>
                              </LnkIn>
                            </Ctg>
                            <Ctg>
                              <CtgProps>
                                <R>5</R>
                              </CtgProps>
                              <LnkIn>
                                <LnkInProps>
                                  <MN>25</MN>
                                  <CLI>1,1,53,False,32</CLI>
                                  <ELN>1</ELN>
                                  <LOOT>0</LOOT>
                                  <LOMN>3</LOMN>
                                  <LOMCN>1</LOMCN>
                                  <LOSN>1</LOSN>
                                  <LOEN>29</LOEN>
                                  <LOCN>32</LOCN>
                                </LnkInProps>
                              </LnkIn>
                            </Ctg>
                            <Ctg>
                              <CtgProps>
                                <R>5</R>
                              </CtgProps>
                              <LnkIn>
                                <LnkInProps>
                                  <MN>25</MN>
                                  <CLI>1,1,53,False,33</CLI>
                                  <ELN>1</ELN>
                                  <LOOT>0</LOOT>
                                  <LOMN>3</LOMN>
                                  <LOMCN>1</LOMCN>
                                  <LOSN>1</LOSN>
                                  <LOEN>29</LOEN>
                                  <LOCN>33</LOCN>
                                </LnkInProps>
                              </LnkIn>
                            </Ctg>
                            <Ctg>
                              <CtgProps>
                                <R>5</R>
                              </CtgProps>
                              <LnkIn>
                                <LnkInProps>
                                  <MN>25</MN>
                                  <CLI>1,1,53,False,34</CLI>
                                  <ELN>1</ELN>
                                  <LOOT>0</LOOT>
                                  <LOMN>3</LOMN>
                                  <LOMCN>1</LOMCN>
                                  <LOSN>1</LOSN>
                                  <LOEN>29</LOEN>
                                  <LOCN>34</LOCN>
                                </LnkInProps>
                              </LnkIn>
                            </Ctg>
                            <Ctg>
                              <CtgProps>
                                <R>5</R>
                              </CtgProps>
                              <LnkIn>
                                <LnkInProps>
                                  <MN>25</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25</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25</MN>
                <MCN>2</MCN>
                <MCTK>BaseCase</MCTK>
                <RT><![CDATA[<ModuleName> - Assumptions]]></RT>
                <ERN>BPMMC88</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60</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25</MN>
                <MCN>3</MCN>
                <MCTK>OP</MCTK>
                <RT><![CDATA[<ModuleName> - Outputs]]></RT>
                <ERN>BPMMC89</ERN>
                <MCST>0</MCST>
                <IPMC>False</IPMC>
                <SN>30</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NT>
                                    <SP1><![CDATA[RND1_SITEB]]></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25</MN>
                <MCN>4</MCN>
                <MCTK>LU</MCTK>
                <RT><![CDATA[<ModuleName> - Lookups]]></RT>
                <ERN>BPMMC90</ERN>
                <MCST>3</MCST>
                <IPMC>False</IPMC>
                <SN>51</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62</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3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3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3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3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3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3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23</MN>
            <MAG>45338FE0-6C0B-4A55-A5AC-B1F2F9D32FCD</MAG>
            <BN><![CDATA[PLUG_ACTIVITY]]></BN>
            <N><![CDATA[ROUND 1 - ADDITIONAL ACTIVITY]]></N>
            <TS><![CDATA[Annual]]></TS>
            <D><![CDATA[Assists with planning the cost of an activity. Should be used with Prices module.]]></D>
            <FS/>
            <R/>
            <GE/>
            <CA/>
            <VA/>
            <GST/>
            <DE/>
            <E/>
            <C/>
            <W/>
            <K/>
            <CO/>
            <V>1.0.0.0.</V>
            <AX/>
            <PMLO>False</PMLO>
            <IPMLO>False</IPMLO>
            <MACA>1</MACA>
            <RTSM>True</RTSM>
            <CC>True</CC>
            <X>False</X>
            <G>F2EEEB5A-6756-4210-ACE7-1565185DD9FE</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-4119</LS>
                    <W>4</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-4119</LS>
                    <W>4</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26</MN>
                <MCN>1</MCN>
                <MCTK>BaseCase</MCTK>
                <RT><![CDATA[<ModuleName> - Assumptions]]></RT>
                <ERN>BPMMC141</ERN>
                <MCST>0</MCST>
                <IPMC>False</IPMC>
                <SN>20</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10</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CDATA[Round 1 - Mop - Up -HQ 2 days]]></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3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CDATA[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26</MN>
                                  <CLI>1,1,34,False,1</CLI>
                                  <ELN>1</ELN>
                                  <LOOT>0</LOOT>
                                  <LOMN>3</LOMN>
                                  <LOMCN>2</LOMCN>
                                  <LOSN>1</LOSN>
                                  <LOEN>4</LOEN>
                                  <LOCN>1</LOCN>
                                </LnkInProps>
                              </LnkIn>
                            </Ctg>
                            <Ctg>
                              <CtgProps>
                                <R>5</R>
                              </CtgProps>
                              <LnkIn>
                                <LnkInProps>
                                  <MN>26</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26</MN>
                                  <CLI>1,1,39,False,1</CLI>
                                  <ELN>1</ELN>
                                  <LOOT>0</LOOT>
                                  <LOMN>3</LOMN>
                                  <LOMCN>1</LOMCN>
                                  <LOSN>1</LOSN>
                                  <LOEN>10</LOEN>
                                  <LOCN>1</LOCN>
                                </LnkInProps>
                              </LnkIn>
                            </Ctg>
                            <Ctg>
                              <CtgProps>
                                <R>4</R>
                              </CtgProps>
                              <LnkIn>
                                <LnkInProps>
                                  <MN>26</MN>
                                  <CLI>1,1,39,False,2</CLI>
                                  <ELN>1</ELN>
                                  <LOOT>0</LOOT>
                                  <LOMN>3</LOMN>
                                  <LOMCN>1</LOMCN>
                                  <LOSN>1</LOSN>
                                  <LOEN>10</LOEN>
                                  <LOCN>2</LOCN>
                                </LnkInProps>
                              </LnkIn>
                            </Ctg>
                            <Ctg>
                              <CtgProps>
                                <R>4</R>
                              </CtgProps>
                              <LnkIn>
                                <LnkInProps>
                                  <MN>26</MN>
                                  <CLI>1,1,39,False,3</CLI>
                                  <ELN>1</ELN>
                                  <LOOT>0</LOOT>
                                  <LOMN>3</LOMN>
                                  <LOMCN>1</LOMCN>
                                  <LOSN>1</LOSN>
                                  <LOEN>10</LOEN>
                                  <LOCN>3</LOCN>
                                </LnkInProps>
                              </LnkIn>
                            </Ctg>
                            <Ctg>
                              <CtgProps>
                                <R>4</R>
                              </CtgProps>
                              <LnkIn>
                                <LnkInProps>
                                  <MN>26</MN>
                                  <CLI>1,1,39,False,4</CLI>
                                  <ELN>1</ELN>
                                  <LOOT>0</LOOT>
                                  <LOMN>3</LOMN>
                                  <LOMCN>1</LOMCN>
                                  <LOSN>1</LOSN>
                                  <LOEN>10</LOEN>
                                  <LOCN>4</LOCN>
                                </LnkInProps>
                              </LnkIn>
                            </Ctg>
                            <Ctg>
                              <CtgProps>
                                <R>4</R>
                              </CtgProps>
                              <LnkIn>
                                <LnkInProps>
                                  <MN>26</MN>
                                  <CLI>1,1,39,False,5</CLI>
                                  <ELN>1</ELN>
                                  <LOOT>0</LOOT>
                                  <LOMN>3</LOMN>
                                  <LOMCN>1</LOMCN>
                                  <LOSN>1</LOSN>
                                  <LOEN>10</LOEN>
                                  <LOCN>5</LOCN>
                                </LnkInProps>
                              </LnkIn>
                            </Ctg>
                            <Ctg>
                              <CtgProps>
                                <R>4</R>
                              </CtgProps>
                              <LnkIn>
                                <LnkInProps>
                                  <MN>26</MN>
                                  <CLI>1,1,39,False,6</CLI>
                                  <ELN>1</ELN>
                                  <LOOT>0</LOOT>
                                  <LOMN>3</LOMN>
                                  <LOMCN>1</LOMCN>
                                  <LOSN>1</LOSN>
                                  <LOEN>10</LOEN>
                                  <LOCN>6</LOCN>
                                </LnkInProps>
                              </LnkIn>
                            </Ctg>
                            <Ctg>
                              <CtgProps>
                                <R>4</R>
                              </CtgProps>
                              <LnkIn>
                                <LnkInProps>
                                  <MN>26</MN>
                                  <CLI>1,1,39,False,7</CLI>
                                  <ELN>1</ELN>
                                  <LOOT>0</LOOT>
                                  <LOMN>3</LOMN>
                                  <LOMCN>1</LOMCN>
                                  <LOSN>1</LOSN>
                                  <LOEN>10</LOEN>
                                  <LOCN>7</LOCN>
                                </LnkInProps>
                              </LnkIn>
                            </Ctg>
                            <Ctg>
                              <CtgProps>
                                <R>4</R>
                              </CtgProps>
                              <LnkIn>
                                <LnkInProps>
                                  <MN>26</MN>
                                  <CLI>1,1,39,False,8</CLI>
                                  <ELN>1</ELN>
                                  <LOOT>0</LOOT>
                                  <LOMN>3</LOMN>
                                  <LOMCN>1</LOMCN>
                                  <LOSN>1</LOSN>
                                  <LOEN>10</LOEN>
                                  <LOCN>8</LOCN>
                                </LnkInProps>
                              </LnkIn>
                            </Ctg>
                            <Ctg>
                              <CtgProps>
                                <R>4</R>
                              </CtgProps>
                              <LnkIn>
                                <LnkInProps>
                                  <MN>26</MN>
                                  <CLI>1,1,39,False,9</CLI>
                                  <ELN>1</ELN>
                                  <LOOT>0</LOOT>
                                  <LOMN>3</LOMN>
                                  <LOMCN>1</LOMCN>
                                  <LOSN>1</LOSN>
                                  <LOEN>10</LOEN>
                                  <LOCN>9</LOCN>
                                </LnkInProps>
                              </LnkIn>
                            </Ctg>
                            <Ctg>
                              <CtgProps>
                                <R>4</R>
                              </CtgProps>
                              <LnkIn>
                                <LnkInProps>
                                  <MN>26</MN>
                                  <CLI>1,1,39,False,10</CLI>
                                  <ELN>1</ELN>
                                  <LOOT>0</LOOT>
                                  <LOMN>3</LOMN>
                                  <LOMCN>1</LOMCN>
                                  <LOSN>1</LOSN>
                                  <LOEN>10</LOEN>
                                  <LOCN>10</LOCN>
                                </LnkInProps>
                              </LnkIn>
                            </Ctg>
                            <Ctg>
                              <CtgProps>
                                <R>4</R>
                              </CtgProps>
                              <LnkIn>
                                <LnkInProps>
                                  <MN>26</MN>
                                  <CLI>1,1,39,False,11</CLI>
                                  <ELN>1</ELN>
                                  <LOOT>0</LOOT>
                                  <LOMN>3</LOMN>
                                  <LOMCN>1</LOMCN>
                                  <LOSN>1</LOSN>
                                  <LOEN>10</LOEN>
                                  <LOCN>11</LOCN>
                                </LnkInProps>
                              </LnkIn>
                            </Ctg>
                            <Ctg>
                              <CtgProps>
                                <R>4</R>
                              </CtgProps>
                              <LnkIn>
                                <LnkInProps>
                                  <MN>26</MN>
                                  <CLI>1,1,39,False,12</CLI>
                                  <ELN>1</ELN>
                                  <LOOT>0</LOOT>
                                  <LOMN>3</LOMN>
                                  <LOMCN>1</LOMCN>
                                  <LOSN>1</LOSN>
                                  <LOEN>10</LOEN>
                                  <LOCN>12</LOCN>
                                </LnkInProps>
                              </LnkIn>
                            </Ctg>
                            <Ctg>
                              <CtgProps>
                                <R>4</R>
                              </CtgProps>
                              <LnkIn>
                                <LnkInProps>
                                  <MN>26</MN>
                                  <CLI>1,1,39,False,13</CLI>
                                  <ELN>1</ELN>
                                  <LOOT>0</LOOT>
                                  <LOMN>3</LOMN>
                                  <LOMCN>1</LOMCN>
                                  <LOSN>1</LOSN>
                                  <LOEN>10</LOEN>
                                  <LOCN>13</LOCN>
                                </LnkInProps>
                              </LnkIn>
                            </Ctg>
                            <Ctg>
                              <CtgProps>
                                <R>4</R>
                              </CtgProps>
                              <LnkIn>
                                <LnkInProps>
                                  <MN>26</MN>
                                  <CLI>1,1,39,False,14</CLI>
                                  <ELN>1</ELN>
                                  <LOOT>0</LOOT>
                                  <LOMN>3</LOMN>
                                  <LOMCN>1</LOMCN>
                                  <LOSN>1</LOSN>
                                  <LOEN>10</LOEN>
                                  <LOCN>14</LOCN>
                                </LnkInProps>
                              </LnkIn>
                            </Ctg>
                            <Ctg>
                              <CtgProps>
                                <R>5</R>
                              </CtgProps>
                              <LnkIn>
                                <LnkInProps>
                                  <MN>26</MN>
                                  <CLI>1,1,39,False,15</CLI>
                                  <ELN>1</ELN>
                                  <LOOT>0</LOOT>
                                  <LOMN>3</LOMN>
                                  <LOMCN>1</LOMCN>
                                  <LOSN>1</LOSN>
                                  <LOEN>10</LOEN>
                                  <LOCN>15</LOCN>
                                </LnkInProps>
                              </LnkIn>
                            </Ctg>
                            <Ctg>
                              <CtgProps>
                                <R>5</R>
                              </CtgProps>
                              <LnkIn>
                                <LnkInProps>
                                  <MN>26</MN>
                                  <CLI>1,1,39,False,16</CLI>
                                  <ELN>1</ELN>
                                  <LOOT>0</LOOT>
                                  <LOMN>3</LOMN>
                                  <LOMCN>1</LOMCN>
                                  <LOSN>1</LOSN>
                                  <LOEN>10</LOEN>
                                  <LOCN>16</LOCN>
                                </LnkInProps>
                              </LnkIn>
                            </Ctg>
                            <Ctg>
                              <CtgProps>
                                <R>5</R>
                              </CtgProps>
                              <LnkIn>
                                <LnkInProps>
                                  <MN>26</MN>
                                  <CLI>1,1,39,False,17</CLI>
                                  <ELN>1</ELN>
                                  <LOOT>0</LOOT>
                                  <LOMN>3</LOMN>
                                  <LOMCN>1</LOMCN>
                                  <LOSN>1</LOSN>
                                  <LOEN>10</LOEN>
                                  <LOCN>17</LOCN>
                                </LnkInProps>
                              </LnkIn>
                            </Ctg>
                            <Ctg>
                              <CtgProps>
                                <R>5</R>
                              </CtgProps>
                              <LnkIn>
                                <LnkInProps>
                                  <MN>26</MN>
                                  <CLI>1,1,39,False,18</CLI>
                                  <ELN>1</ELN>
                                  <LOOT>0</LOOT>
                                  <LOMN>3</LOMN>
                                  <LOMCN>1</LOMCN>
                                  <LOSN>1</LOSN>
                                  <LOEN>10</LOEN>
                                  <LOCN>18</LOCN>
                                </LnkInProps>
                              </LnkIn>
                            </Ctg>
                            <Ctg>
                              <CtgProps>
                                <R>5</R>
                              </CtgProps>
                              <LnkIn>
                                <LnkInProps>
                                  <MN>26</MN>
                                  <CLI>1,1,39,False,19</CLI>
                                  <ELN>1</ELN>
                                  <LOOT>0</LOOT>
                                  <LOMN>3</LOMN>
                                  <LOMCN>1</LOMCN>
                                  <LOSN>1</LOSN>
                                  <LOEN>10</LOEN>
                                  <LOCN>19</LOCN>
                                </LnkInProps>
                              </LnkIn>
                            </Ctg>
                            <Ctg>
                              <CtgProps>
                                <R>5</R>
                              </CtgProps>
                              <LnkIn>
                                <LnkInProps>
                                  <MN>26</MN>
                                  <CLI>1,1,39,False,20</CLI>
                                  <ELN>1</ELN>
                                  <LOOT>0</LOOT>
                                  <LOMN>3</LOMN>
                                  <LOMCN>1</LOMCN>
                                  <LOSN>1</LOSN>
                                  <LOEN>10</LOEN>
                                  <LOCN>20</LOCN>
                                </LnkInProps>
                              </LnkIn>
                            </Ctg>
                            <Ctg>
                              <CtgProps>
                                <R>5</R>
                              </CtgProps>
                              <LnkIn>
                                <LnkInProps>
                                  <MN>26</MN>
                                  <CLI>1,1,39,False,21</CLI>
                                  <ELN>1</ELN>
                                  <LOOT>0</LOOT>
                                  <LOMN>3</LOMN>
                                  <LOMCN>1</LOMCN>
                                  <LOSN>1</LOSN>
                                  <LOEN>10</LOEN>
                                  <LOCN>21</LOCN>
                                </LnkInProps>
                              </LnkIn>
                            </Ctg>
                            <Ctg>
                              <CtgProps>
                                <R>5</R>
                              </CtgProps>
                              <LnkIn>
                                <LnkInProps>
                                  <MN>26</MN>
                                  <CLI>1,1,39,False,22</CLI>
                                  <ELN>1</ELN>
                                  <LOOT>0</LOOT>
                                  <LOMN>3</LOMN>
                                  <LOMCN>1</LOMCN>
                                  <LOSN>1</LOSN>
                                  <LOEN>10</LOEN>
                                  <LOCN>22</LOCN>
                                </LnkInProps>
                              </LnkIn>
                            </Ctg>
                            <Ctg>
                              <CtgProps>
                                <R>5</R>
                              </CtgProps>
                              <LnkIn>
                                <LnkInProps>
                                  <MN>26</MN>
                                  <CLI>1,1,39,False,23</CLI>
                                  <ELN>1</ELN>
                                  <LOOT>0</LOOT>
                                  <LOMN>3</LOMN>
                                  <LOMCN>1</LOMCN>
                                  <LOSN>1</LOSN>
                                  <LOEN>10</LOEN>
                                  <LOCN>23</LOCN>
                                </LnkInProps>
                              </LnkIn>
                            </Ctg>
                            <Ctg>
                              <CtgProps>
                                <R>5</R>
                              </CtgProps>
                              <LnkIn>
                                <LnkInProps>
                                  <MN>26</MN>
                                  <CLI>1,1,39,False,24</CLI>
                                  <ELN>1</ELN>
                                  <LOOT>0</LOOT>
                                  <LOMN>3</LOMN>
                                  <LOMCN>1</LOMCN>
                                  <LOSN>1</LOSN>
                                  <LOEN>10</LOEN>
                                  <LOCN>24</LOCN>
                                </LnkInProps>
                              </LnkIn>
                            </Ctg>
                            <Ctg>
                              <CtgProps>
                                <R>5</R>
                              </CtgProps>
                              <LnkIn>
                                <LnkInProps>
                                  <MN>26</MN>
                                  <CLI>1,1,39,False,25</CLI>
                                  <ELN>1</ELN>
                                  <LOOT>0</LOOT>
                                  <LOMN>3</LOMN>
                                  <LOMCN>1</LOMCN>
                                  <LOSN>1</LOSN>
                                  <LOEN>10</LOEN>
                                  <LOCN>25</LOCN>
                                </LnkInProps>
                              </LnkIn>
                            </Ctg>
                            <Ctg>
                              <CtgProps>
                                <R>5</R>
                              </CtgProps>
                              <LnkIn>
                                <LnkInProps>
                                  <MN>26</MN>
                                  <CLI>1,1,39,False,26</CLI>
                                  <ELN>1</ELN>
                                  <LOOT>0</LOOT>
                                  <LOMN>3</LOMN>
                                  <LOMCN>1</LOMCN>
                                  <LOSN>1</LOSN>
                                  <LOEN>10</LOEN>
                                  <LOCN>26</LOCN>
                                </LnkInProps>
                              </LnkIn>
                            </Ctg>
                            <Ctg>
                              <CtgProps>
                                <R>5</R>
                              </CtgProps>
                              <LnkIn>
                                <LnkInProps>
                                  <MN>26</MN>
                                  <CLI>1,1,39,False,27</CLI>
                                  <ELN>1</ELN>
                                  <LOOT>0</LOOT>
                                  <LOMN>3</LOMN>
                                  <LOMCN>1</LOMCN>
                                  <LOSN>1</LOSN>
                                  <LOEN>10</LOEN>
                                  <LOCN>27</LOCN>
                                </LnkInProps>
                              </LnkIn>
                            </Ctg>
                            <Ctg>
                              <CtgProps>
                                <R>5</R>
                              </CtgProps>
                              <LnkIn>
                                <LnkInProps>
                                  <MN>26</MN>
                                  <CLI>1,1,39,False,28</CLI>
                                  <ELN>1</ELN>
                                  <LOOT>0</LOOT>
                                  <LOMN>3</LOMN>
                                  <LOMCN>1</LOMCN>
                                  <LOSN>1</LOSN>
                                  <LOEN>10</LOEN>
                                  <LOCN>28</LOCN>
                                </LnkInProps>
                              </LnkIn>
                            </Ctg>
                            <Ctg>
                              <CtgProps>
                                <R>5</R>
                              </CtgProps>
                              <LnkIn>
                                <LnkInProps>
                                  <MN>26</MN>
                                  <CLI>1,1,39,False,29</CLI>
                                  <ELN>1</ELN>
                                  <LOOT>0</LOOT>
                                  <LOMN>3</LOMN>
                                  <LOMCN>1</LOMCN>
                                  <LOSN>1</LOSN>
                                  <LOEN>10</LOEN>
                                  <LOCN>29</LOCN>
                                </LnkInProps>
                              </LnkIn>
                            </Ctg>
                            <Ctg>
                              <CtgProps>
                                <R>5</R>
                              </CtgProps>
                              <LnkIn>
                                <LnkInProps>
                                  <MN>26</MN>
                                  <CLI>1,1,39,False,30</CLI>
                                  <ELN>1</ELN>
                                  <LOOT>0</LOOT>
                                  <LOMN>3</LOMN>
                                  <LOMCN>1</LOMCN>
                                  <LOSN>1</LOSN>
                                  <LOEN>10</LOEN>
                                  <LOCN>30</LOCN>
                                </LnkInProps>
                              </LnkIn>
                            </Ctg>
                            <Ctg>
                              <CtgProps>
                                <R>5</R>
                              </CtgProps>
                              <LnkIn>
                                <LnkInProps>
                                  <MN>26</MN>
                                  <CLI>1,1,39,False,31</CLI>
                                  <ELN>1</ELN>
                                  <LOOT>0</LOOT>
                                  <LOMN>3</LOMN>
                                  <LOMCN>1</LOMCN>
                                  <LOSN>1</LOSN>
                                  <LOEN>10</LOEN>
                                  <LOCN>31</LOCN>
                                </LnkInProps>
                              </LnkIn>
                            </Ctg>
                            <Ctg>
                              <CtgProps>
                                <R>5</R>
                              </CtgProps>
                              <LnkIn>
                                <LnkInProps>
                                  <MN>26</MN>
                                  <CLI>1,1,39,False,32</CLI>
                                  <ELN>1</ELN>
                                  <LOOT>0</LOOT>
                                  <LOMN>3</LOMN>
                                  <LOMCN>1</LOMCN>
                                  <LOSN>1</LOSN>
                                  <LOEN>10</LOEN>
                                  <LOCN>32</LOCN>
                                </LnkInProps>
                              </LnkIn>
                            </Ctg>
                            <Ctg>
                              <CtgProps>
                                <R>5</R>
                              </CtgProps>
                              <LnkIn>
                                <LnkInProps>
                                  <MN>26</MN>
                                  <CLI>1,1,39,False,33</CLI>
                                  <ELN>1</ELN>
                                  <LOOT>0</LOOT>
                                  <LOMN>3</LOMN>
                                  <LOMCN>1</LOMCN>
                                  <LOSN>1</LOSN>
                                  <LOEN>10</LOEN>
                                  <LOCN>33</LOCN>
                                </LnkInProps>
                              </LnkIn>
                            </Ctg>
                            <Ctg>
                              <CtgProps>
                                <R>5</R>
                              </CtgProps>
                              <LnkIn>
                                <LnkInProps>
                                  <MN>26</MN>
                                  <CLI>1,1,39,False,34</CLI>
                                  <ELN>1</ELN>
                                  <LOOT>0</LOOT>
                                  <LOMN>3</LOMN>
                                  <LOMCN>1</LOMCN>
                                  <LOSN>1</LOSN>
                                  <LOEN>10</LOEN>
                                  <LOCN>34</LOCN>
                                </LnkInProps>
                              </LnkIn>
                            </Ctg>
                            <Ctg>
                              <CtgProps>
                                <R>5</R>
                              </CtgProps>
                              <LnkIn>
                                <LnkInProps>
                                  <MN>26</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26</MN>
                                  <CLI>1,1,42,False,1</CLI>
                                  <ELN>1</ELN>
                                  <LOOT>0</LOOT>
                                  <LOMN>3</LOMN>
                                  <LOMCN>1</LOMCN>
                                  <LOSN>1</LOSN>
                                  <LOEN>15</LOEN>
                                  <LOCN>1</LOCN>
                                </LnkInProps>
                              </LnkIn>
                            </Ctg>
                            <Ctg>
                              <CtgProps>
                                <R>4</R>
                              </CtgProps>
                              <LnkIn>
                                <LnkInProps>
                                  <MN>26</MN>
                                  <CLI>1,1,42,False,2</CLI>
                                  <ELN>1</ELN>
                                  <LOOT>0</LOOT>
                                  <LOMN>3</LOMN>
                                  <LOMCN>1</LOMCN>
                                  <LOSN>1</LOSN>
                                  <LOEN>15</LOEN>
                                  <LOCN>2</LOCN>
                                </LnkInProps>
                              </LnkIn>
                            </Ctg>
                            <Ctg>
                              <CtgProps>
                                <R>4</R>
                              </CtgProps>
                              <LnkIn>
                                <LnkInProps>
                                  <MN>26</MN>
                                  <CLI>1,1,42,False,3</CLI>
                                  <ELN>1</ELN>
                                  <LOOT>0</LOOT>
                                  <LOMN>3</LOMN>
                                  <LOMCN>1</LOMCN>
                                  <LOSN>1</LOSN>
                                  <LOEN>15</LOEN>
                                  <LOCN>3</LOCN>
                                </LnkInProps>
                              </LnkIn>
                            </Ctg>
                            <Ctg>
                              <CtgProps>
                                <R>4</R>
                              </CtgProps>
                              <LnkIn>
                                <LnkInProps>
                                  <MN>26</MN>
                                  <CLI>1,1,42,False,4</CLI>
                                  <ELN>1</ELN>
                                  <LOOT>0</LOOT>
                                  <LOMN>3</LOMN>
                                  <LOMCN>1</LOMCN>
                                  <LOSN>1</LOSN>
                                  <LOEN>15</LOEN>
                                  <LOCN>4</LOCN>
                                </LnkInProps>
                              </LnkIn>
                            </Ctg>
                            <Ctg>
                              <CtgProps>
                                <R>5</R>
                              </CtgProps>
                              <LnkIn>
                                <LnkInProps>
                                  <MN>26</MN>
                                  <CLI>1,1,42,False,5</CLI>
                                  <ELN>1</ELN>
                                  <LOOT>0</LOOT>
                                  <LOMN>3</LOMN>
                                  <LOMCN>1</LOMCN>
                                  <LOSN>1</LOSN>
                                  <LOEN>15</LOEN>
                                  <LOCN>5</LOCN>
                                </LnkInProps>
                              </LnkIn>
                            </Ctg>
                            <Ctg>
                              <CtgProps>
                                <R>5</R>
                              </CtgProps>
                              <LnkIn>
                                <LnkInProps>
                                  <MN>26</MN>
                                  <CLI>1,1,42,False,6</CLI>
                                  <ELN>1</ELN>
                                  <LOOT>0</LOOT>
                                  <LOMN>3</LOMN>
                                  <LOMCN>1</LOMCN>
                                  <LOSN>1</LOSN>
                                  <LOEN>15</LOEN>
                                  <LOCN>6</LOCN>
                                </LnkInProps>
                              </LnkIn>
                            </Ctg>
                            <Ctg>
                              <CtgProps>
                                <R>5</R>
                              </CtgProps>
                              <LnkIn>
                                <LnkInProps>
                                  <MN>26</MN>
                                  <CLI>1,1,42,False,7</CLI>
                                  <ELN>1</ELN>
                                  <LOOT>0</LOOT>
                                  <LOMN>3</LOMN>
                                  <LOMCN>1</LOMCN>
                                  <LOSN>1</LOSN>
                                  <LOEN>15</LOEN>
                                  <LOCN>7</LOCN>
                                </LnkInProps>
                              </LnkIn>
                            </Ctg>
                            <Ctg>
                              <CtgProps>
                                <R>5</R>
                              </CtgProps>
                              <LnkIn>
                                <LnkInProps>
                                  <MN>26</MN>
                                  <CLI>1,1,42,False,8</CLI>
                                  <ELN>1</ELN>
                                  <LOOT>0</LOOT>
                                  <LOMN>3</LOMN>
                                  <LOMCN>1</LOMCN>
                                  <LOSN>1</LOSN>
                                  <LOEN>15</LOEN>
                                  <LOCN>8</LOCN>
                                </LnkInProps>
                              </LnkIn>
                            </Ctg>
                            <Ctg>
                              <CtgProps>
                                <R>5</R>
                              </CtgProps>
                              <LnkIn>
                                <LnkInProps>
                                  <MN>26</MN>
                                  <CLI>1,1,42,False,9</CLI>
                                  <ELN>1</ELN>
                                  <LOOT>0</LOOT>
                                  <LOMN>3</LOMN>
                                  <LOMCN>1</LOMCN>
                                  <LOSN>1</LOSN>
                                  <LOEN>15</LOEN>
                                  <LOCN>9</LOCN>
                                </LnkInProps>
                              </LnkIn>
                            </Ctg>
                            <Ctg>
                              <CtgProps>
                                <R>5</R>
                              </CtgProps>
                              <LnkIn>
                                <LnkInProps>
                                  <MN>26</MN>
                                  <CLI>1,1,42,False,10</CLI>
                                  <ELN>1</ELN>
                                  <LOOT>0</LOOT>
                                  <LOMN>3</LOMN>
                                  <LOMCN>1</LOMCN>
                                  <LOSN>1</LOSN>
                                  <LOEN>15</LOEN>
                                  <LOCN>10</LOCN>
                                </LnkInProps>
                              </LnkIn>
                            </Ctg>
                            <Ctg>
                              <CtgProps>
                                <R>5</R>
                              </CtgProps>
                              <LnkIn>
                                <LnkInProps>
                                  <MN>26</MN>
                                  <CLI>1,1,42,False,11</CLI>
                                  <ELN>1</ELN>
                                  <LOOT>0</LOOT>
                                  <LOMN>3</LOMN>
                                  <LOMCN>1</LOMCN>
                                  <LOSN>1</LOSN>
                                  <LOEN>15</LOEN>
                                  <LOCN>11</LOCN>
                                </LnkInProps>
                              </LnkIn>
                            </Ctg>
                            <Ctg>
                              <CtgProps>
                                <R>5</R>
                              </CtgProps>
                              <LnkIn>
                                <LnkInProps>
                                  <MN>26</MN>
                                  <CLI>1,1,42,False,12</CLI>
                                  <ELN>1</ELN>
                                  <LOOT>0</LOOT>
                                  <LOMN>3</LOMN>
                                  <LOMCN>1</LOMCN>
                                  <LOSN>1</LOSN>
                                  <LOEN>15</LOEN>
                                  <LOCN>12</LOCN>
                                </LnkInProps>
                              </LnkIn>
                            </Ctg>
                            <Ctg>
                              <CtgProps>
                                <R>5</R>
                              </CtgProps>
                              <LnkIn>
                                <LnkInProps>
                                  <MN>26</MN>
                                  <CLI>1,1,42,False,13</CLI>
                                  <ELN>1</ELN>
                                  <LOOT>0</LOOT>
                                  <LOMN>3</LOMN>
                                  <LOMCN>1</LOMCN>
                                  <LOSN>1</LOSN>
                                  <LOEN>15</LOEN>
                                  <LOCN>13</LOCN>
                                </LnkInProps>
                              </LnkIn>
                            </Ctg>
                            <Ctg>
                              <CtgProps>
                                <R>5</R>
                              </CtgProps>
                              <LnkIn>
                                <LnkInProps>
                                  <MN>26</MN>
                                  <CLI>1,1,42,False,14</CLI>
                                  <ELN>1</ELN>
                                  <LOOT>0</LOOT>
                                  <LOMN>3</LOMN>
                                  <LOMCN>1</LOMCN>
                                  <LOSN>1</LOSN>
                                  <LOEN>15</LOEN>
                                  <LOCN>14</LOCN>
                                </LnkInProps>
                              </LnkIn>
                            </Ctg>
                            <Ctg>
                              <CtgProps>
                                <R>5</R>
                              </CtgProps>
                              <LnkIn>
                                <LnkInProps>
                                  <MN>26</MN>
                                  <CLI>1,1,42,False,15</CLI>
                                  <ELN>1</ELN>
                                  <LOOT>0</LOOT>
                                  <LOMN>3</LOMN>
                                  <LOMCN>1</LOMCN>
                                  <LOSN>1</LOSN>
                                  <LOEN>15</LOEN>
                                  <LOCN>15</LOCN>
                                </LnkInProps>
                              </LnkIn>
                            </Ctg>
                            <Ctg>
                              <CtgProps>
                                <R>5</R>
                              </CtgProps>
                              <LnkIn>
                                <LnkInProps>
                                  <MN>26</MN>
                                  <CLI>1,1,42,False,16</CLI>
                                  <ELN>1</ELN>
                                  <LOOT>0</LOOT>
                                  <LOMN>3</LOMN>
                                  <LOMCN>1</LOMCN>
                                  <LOSN>1</LOSN>
                                  <LOEN>15</LOEN>
                                  <LOCN>16</LOCN>
                                </LnkInProps>
                              </LnkIn>
                            </Ctg>
                            <Ctg>
                              <CtgProps>
                                <R>4</R>
                              </CtgProps>
                              <LnkIn>
                                <LnkInProps>
                                  <MN>26</MN>
                                  <CLI>1,1,42,False,17</CLI>
                                  <ELN>1</ELN>
                                  <LOOT>0</LOOT>
                                  <LOMN>3</LOMN>
                                  <LOMCN>1</LOMCN>
                                  <LOSN>1</LOSN>
                                  <LOEN>15</LOEN>
                                  <LOCN>17</LOCN>
                                </LnkInProps>
                              </LnkIn>
                            </Ctg>
                            <Ctg>
                              <CtgProps>
                                <R>4</R>
                              </CtgProps>
                              <LnkIn>
                                <LnkInProps>
                                  <MN>26</MN>
                                  <CLI>1,1,42,False,18</CLI>
                                  <ELN>1</ELN>
                                  <LOOT>0</LOOT>
                                  <LOMN>3</LOMN>
                                  <LOMCN>1</LOMCN>
                                  <LOSN>1</LOSN>
                                  <LOEN>15</LOEN>
                                  <LOCN>18</LOCN>
                                </LnkInProps>
                              </LnkIn>
                            </Ctg>
                            <Ctg>
                              <CtgProps>
                                <R>4</R>
                              </CtgProps>
                              <LnkIn>
                                <LnkInProps>
                                  <MN>26</MN>
                                  <CLI>1,1,42,False,19</CLI>
                                  <ELN>1</ELN>
                                  <LOOT>0</LOOT>
                                  <LOMN>3</LOMN>
                                  <LOMCN>1</LOMCN>
                                  <LOSN>1</LOSN>
                                  <LOEN>15</LOEN>
                                  <LOCN>19</LOCN>
                                </LnkInProps>
                              </LnkIn>
                            </Ctg>
                            <Ctg>
                              <CtgProps>
                                <R>4</R>
                              </CtgProps>
                              <LnkIn>
                                <LnkInProps>
                                  <MN>26</MN>
                                  <CLI>1,1,42,False,20</CLI>
                                  <ELN>1</ELN>
                                  <LOOT>0</LOOT>
                                  <LOMN>3</LOMN>
                                  <LOMCN>1</LOMCN>
                                  <LOSN>1</LOSN>
                                  <LOEN>15</LOEN>
                                  <LOCN>20</LOCN>
                                </LnkInProps>
                              </LnkIn>
                            </Ctg>
                            <Ctg>
                              <CtgProps>
                                <R>4</R>
                              </CtgProps>
                              <LnkIn>
                                <LnkInProps>
                                  <MN>26</MN>
                                  <CLI>1,1,42,False,21</CLI>
                                  <ELN>1</ELN>
                                  <LOOT>0</LOOT>
                                  <LOMN>3</LOMN>
                                  <LOMCN>1</LOMCN>
                                  <LOSN>1</LOSN>
                                  <LOEN>15</LOEN>
                                  <LOCN>21</LOCN>
                                </LnkInProps>
                              </LnkIn>
                            </Ctg>
                            <Ctg>
                              <CtgProps>
                                <R>4</R>
                              </CtgProps>
                              <LnkIn>
                                <LnkInProps>
                                  <MN>26</MN>
                                  <CLI>1,1,42,False,22</CLI>
                                  <ELN>1</ELN>
                                  <LOOT>0</LOOT>
                                  <LOMN>3</LOMN>
                                  <LOMCN>1</LOMCN>
                                  <LOSN>1</LOSN>
                                  <LOEN>15</LOEN>
                                  <LOCN>22</LOCN>
                                </LnkInProps>
                              </LnkIn>
                            </Ctg>
                            <Ctg>
                              <CtgProps>
                                <R>5</R>
                              </CtgProps>
                              <LnkIn>
                                <LnkInProps>
                                  <MN>26</MN>
                                  <CLI>1,1,42,False,23</CLI>
                                  <ELN>1</ELN>
                                  <LOOT>0</LOOT>
                                  <LOMN>3</LOMN>
                                  <LOMCN>1</LOMCN>
                                  <LOSN>1</LOSN>
                                  <LOEN>15</LOEN>
                                  <LOCN>23</LOCN>
                                </LnkInProps>
                              </LnkIn>
                            </Ctg>
                            <Ctg>
                              <CtgProps>
                                <R>5</R>
                              </CtgProps>
                              <LnkIn>
                                <LnkInProps>
                                  <MN>26</MN>
                                  <CLI>1,1,42,False,24</CLI>
                                  <ELN>1</ELN>
                                  <LOOT>0</LOOT>
                                  <LOMN>3</LOMN>
                                  <LOMCN>1</LOMCN>
                                  <LOSN>1</LOSN>
                                  <LOEN>15</LOEN>
                                  <LOCN>24</LOCN>
                                </LnkInProps>
                              </LnkIn>
                            </Ctg>
                            <Ctg>
                              <CtgProps>
                                <R>5</R>
                              </CtgProps>
                              <LnkIn>
                                <LnkInProps>
                                  <MN>26</MN>
                                  <CLI>1,1,42,False,25</CLI>
                                  <ELN>1</ELN>
                                  <LOOT>0</LOOT>
                                  <LOMN>3</LOMN>
                                  <LOMCN>1</LOMCN>
                                  <LOSN>1</LOSN>
                                  <LOEN>15</LOEN>
                                  <LOCN>25</LOCN>
                                </LnkInProps>
                              </LnkIn>
                            </Ctg>
                            <Ctg>
                              <CtgProps>
                                <R>5</R>
                              </CtgProps>
                              <LnkIn>
                                <LnkInProps>
                                  <MN>26</MN>
                                  <CLI>1,1,42,False,26</CLI>
                                  <ELN>1</ELN>
                                  <LOOT>0</LOOT>
                                  <LOMN>3</LOMN>
                                  <LOMCN>1</LOMCN>
                                  <LOSN>1</LOSN>
                                  <LOEN>15</LOEN>
                                  <LOCN>26</LOCN>
                                </LnkInProps>
                              </LnkIn>
                            </Ctg>
                            <Ctg>
                              <CtgProps>
                                <R>5</R>
                              </CtgProps>
                              <LnkIn>
                                <LnkInProps>
                                  <MN>26</MN>
                                  <CLI>1,1,42,False,27</CLI>
                                  <ELN>1</ELN>
                                  <LOOT>0</LOOT>
                                  <LOMN>3</LOMN>
                                  <LOMCN>1</LOMCN>
                                  <LOSN>1</LOSN>
                                  <LOEN>15</LOEN>
                                  <LOCN>27</LOCN>
                                </LnkInProps>
                              </LnkIn>
                            </Ctg>
                            <Ctg>
                              <CtgProps>
                                <R>5</R>
                              </CtgProps>
                              <LnkIn>
                                <LnkInProps>
                                  <MN>26</MN>
                                  <CLI>1,1,42,False,28</CLI>
                                  <ELN>1</ELN>
                                  <LOOT>0</LOOT>
                                  <LOMN>3</LOMN>
                                  <LOMCN>1</LOMCN>
                                  <LOSN>1</LOSN>
                                  <LOEN>15</LOEN>
                                  <LOCN>28</LOCN>
                                </LnkInProps>
                              </LnkIn>
                            </Ctg>
                            <Ctg>
                              <CtgProps>
                                <R>5</R>
                              </CtgProps>
                              <LnkIn>
                                <LnkInProps>
                                  <MN>26</MN>
                                  <CLI>1,1,42,False,29</CLI>
                                  <ELN>1</ELN>
                                  <LOOT>0</LOOT>
                                  <LOMN>3</LOMN>
                                  <LOMCN>1</LOMCN>
                                  <LOSN>1</LOSN>
                                  <LOEN>15</LOEN>
                                  <LOCN>29</LOCN>
                                </LnkInProps>
                              </LnkIn>
                            </Ctg>
                            <Ctg>
                              <CtgProps>
                                <R>5</R>
                              </CtgProps>
                              <LnkIn>
                                <LnkInProps>
                                  <MN>26</MN>
                                  <CLI>1,1,42,False,30</CLI>
                                  <ELN>1</ELN>
                                  <LOOT>0</LOOT>
                                  <LOMN>3</LOMN>
                                  <LOMCN>1</LOMCN>
                                  <LOSN>1</LOSN>
                                  <LOEN>15</LOEN>
                                  <LOCN>30</LOCN>
                                </LnkInProps>
                              </LnkIn>
                            </Ctg>
                            <Ctg>
                              <CtgProps>
                                <R>4</R>
                              </CtgProps>
                              <LnkIn>
                                <LnkInProps>
                                  <MN>26</MN>
                                  <CLI>1,1,42,False,31</CLI>
                                  <ELN>1</ELN>
                                  <LOOT>0</LOOT>
                                  <LOMN>3</LOMN>
                                  <LOMCN>1</LOMCN>
                                  <LOSN>1</LOSN>
                                  <LOEN>15</LOEN>
                                  <LOCN>31</LOCN>
                                </LnkInProps>
                              </LnkIn>
                            </Ctg>
                            <Ctg>
                              <CtgProps>
                                <R>4</R>
                              </CtgProps>
                              <LnkIn>
                                <LnkInProps>
                                  <MN>26</MN>
                                  <CLI>1,1,42,False,32</CLI>
                                  <ELN>1</ELN>
                                  <LOOT>0</LOOT>
                                  <LOMN>3</LOMN>
                                  <LOMCN>1</LOMCN>
                                  <LOSN>1</LOSN>
                                  <LOEN>15</LOEN>
                                  <LOCN>32</LOCN>
                                </LnkInProps>
                              </LnkIn>
                            </Ctg>
                            <Ctg>
                              <CtgProps>
                                <R>4</R>
                              </CtgProps>
                              <LnkIn>
                                <LnkInProps>
                                  <MN>26</MN>
                                  <CLI>1,1,42,False,33</CLI>
                                  <ELN>1</ELN>
                                  <LOOT>0</LOOT>
                                  <LOMN>3</LOMN>
                                  <LOMCN>1</LOMCN>
                                  <LOSN>1</LOSN>
                                  <LOEN>15</LOEN>
                                  <LOCN>33</LOCN>
                                </LnkInProps>
                              </LnkIn>
                            </Ctg>
                            <Ctg>
                              <CtgProps>
                                <R>4</R>
                              </CtgProps>
                              <LnkIn>
                                <LnkInProps>
                                  <MN>26</MN>
                                  <CLI>1,1,42,False,34</CLI>
                                  <ELN>1</ELN>
                                  <LOOT>0</LOOT>
                                  <LOMN>3</LOMN>
                                  <LOMCN>1</LOMCN>
                                  <LOSN>1</LOSN>
                                  <LOEN>15</LOEN>
                                  <LOCN>34</LOCN>
                                </LnkInProps>
                              </LnkIn>
                            </Ctg>
                            <Ctg>
                              <CtgProps>
                                <R>4</R>
                              </CtgProps>
                              <LnkIn>
                                <LnkInProps>
                                  <MN>26</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26</MN>
                                  <CLI>1,1,46,False,1</CLI>
                                  <ELN>1</ELN>
                                  <LOOT>0</LOOT>
                                  <LOMN>3</LOMN>
                                  <LOMCN>1</LOMCN>
                                  <LOSN>1</LOSN>
                                  <LOEN>19</LOEN>
                                  <LOCN>1</LOCN>
                                </LnkInProps>
                              </LnkIn>
                            </Ctg>
                            <Ctg>
                              <CtgProps>
                                <R>4</R>
                              </CtgProps>
                              <LnkIn>
                                <LnkInProps>
                                  <MN>26</MN>
                                  <CLI>1,1,46,False,2</CLI>
                                  <ELN>1</ELN>
                                  <LOOT>0</LOOT>
                                  <LOMN>3</LOMN>
                                  <LOMCN>1</LOMCN>
                                  <LOSN>1</LOSN>
                                  <LOEN>19</LOEN>
                                  <LOCN>2</LOCN>
                                </LnkInProps>
                              </LnkIn>
                            </Ctg>
                            <Ctg>
                              <CtgProps>
                                <R>4</R>
                              </CtgProps>
                              <LnkIn>
                                <LnkInProps>
                                  <MN>26</MN>
                                  <CLI>1,1,46,False,3</CLI>
                                  <ELN>1</ELN>
                                  <LOOT>0</LOOT>
                                  <LOMN>3</LOMN>
                                  <LOMCN>1</LOMCN>
                                  <LOSN>1</LOSN>
                                  <LOEN>19</LOEN>
                                  <LOCN>3</LOCN>
                                </LnkInProps>
                              </LnkIn>
                            </Ctg>
                            <Ctg>
                              <CtgProps>
                                <R>4</R>
                              </CtgProps>
                              <LnkIn>
                                <LnkInProps>
                                  <MN>26</MN>
                                  <CLI>1,1,46,False,4</CLI>
                                  <ELN>1</ELN>
                                  <LOOT>0</LOOT>
                                  <LOMN>3</LOMN>
                                  <LOMCN>1</LOMCN>
                                  <LOSN>1</LOSN>
                                  <LOEN>19</LOEN>
                                  <LOCN>4</LOCN>
                                </LnkInProps>
                              </LnkIn>
                            </Ctg>
                            <Ctg>
                              <CtgProps>
                                <R>4</R>
                              </CtgProps>
                              <LnkIn>
                                <LnkInProps>
                                  <MN>26</MN>
                                  <CLI>1,1,46,False,5</CLI>
                                  <ELN>1</ELN>
                                  <LOOT>0</LOOT>
                                  <LOMN>3</LOMN>
                                  <LOMCN>1</LOMCN>
                                  <LOSN>1</LOSN>
                                  <LOEN>19</LOEN>
                                  <LOCN>5</LOCN>
                                </LnkInProps>
                              </LnkIn>
                            </Ctg>
                            <Ctg>
                              <CtgProps>
                                <R>4</R>
                              </CtgProps>
                              <LnkIn>
                                <LnkInProps>
                                  <MN>26</MN>
                                  <CLI>1,1,46,False,6</CLI>
                                  <ELN>1</ELN>
                                  <LOOT>0</LOOT>
                                  <LOMN>3</LOMN>
                                  <LOMCN>1</LOMCN>
                                  <LOSN>1</LOSN>
                                  <LOEN>19</LOEN>
                                  <LOCN>6</LOCN>
                                </LnkInProps>
                              </LnkIn>
                            </Ctg>
                            <Ctg>
                              <CtgProps>
                                <R>4</R>
                              </CtgProps>
                              <LnkIn>
                                <LnkInProps>
                                  <MN>26</MN>
                                  <CLI>1,1,46,False,7</CLI>
                                  <ELN>1</ELN>
                                  <LOOT>0</LOOT>
                                  <LOMN>3</LOMN>
                                  <LOMCN>1</LOMCN>
                                  <LOSN>1</LOSN>
                                  <LOEN>19</LOEN>
                                  <LOCN>7</LOCN>
                                </LnkInProps>
                              </LnkIn>
                            </Ctg>
                            <Ctg>
                              <CtgProps>
                                <R>4</R>
                              </CtgProps>
                              <LnkIn>
                                <LnkInProps>
                                  <MN>26</MN>
                                  <CLI>1,1,46,False,8</CLI>
                                  <ELN>1</ELN>
                                  <LOOT>0</LOOT>
                                  <LOMN>3</LOMN>
                                  <LOMCN>1</LOMCN>
                                  <LOSN>1</LOSN>
                                  <LOEN>19</LOEN>
                                  <LOCN>8</LOCN>
                                </LnkInProps>
                              </LnkIn>
                            </Ctg>
                            <Ctg>
                              <CtgProps>
                                <R>4</R>
                              </CtgProps>
                              <LnkIn>
                                <LnkInProps>
                                  <MN>26</MN>
                                  <CLI>1,1,46,False,9</CLI>
                                  <ELN>1</ELN>
                                  <LOOT>0</LOOT>
                                  <LOMN>3</LOMN>
                                  <LOMCN>1</LOMCN>
                                  <LOSN>1</LOSN>
                                  <LOEN>19</LOEN>
                                  <LOCN>9</LOCN>
                                </LnkInProps>
                              </LnkIn>
                            </Ctg>
                            <Ctg>
                              <CtgProps>
                                <R>4</R>
                              </CtgProps>
                              <LnkIn>
                                <LnkInProps>
                                  <MN>26</MN>
                                  <CLI>1,1,46,False,10</CLI>
                                  <ELN>1</ELN>
                                  <LOOT>0</LOOT>
                                  <LOMN>3</LOMN>
                                  <LOMCN>1</LOMCN>
                                  <LOSN>1</LOSN>
                                  <LOEN>19</LOEN>
                                  <LOCN>10</LOCN>
                                </LnkInProps>
                              </LnkIn>
                            </Ctg>
                            <Ctg>
                              <CtgProps>
                                <R>4</R>
                              </CtgProps>
                              <LnkIn>
                                <LnkInProps>
                                  <MN>26</MN>
                                  <CLI>1,1,46,False,11</CLI>
                                  <ELN>1</ELN>
                                  <LOOT>0</LOOT>
                                  <LOMN>3</LOMN>
                                  <LOMCN>1</LOMCN>
                                  <LOSN>1</LOSN>
                                  <LOEN>19</LOEN>
                                  <LOCN>11</LOCN>
                                </LnkInProps>
                              </LnkIn>
                            </Ctg>
                            <Ctg>
                              <CtgProps>
                                <R>4</R>
                              </CtgProps>
                              <LnkIn>
                                <LnkInProps>
                                  <MN>26</MN>
                                  <CLI>1,1,46,False,12</CLI>
                                  <ELN>1</ELN>
                                  <LOOT>0</LOOT>
                                  <LOMN>3</LOMN>
                                  <LOMCN>1</LOMCN>
                                  <LOSN>1</LOSN>
                                  <LOEN>19</LOEN>
                                  <LOCN>12</LOCN>
                                </LnkInProps>
                              </LnkIn>
                            </Ctg>
                            <Ctg>
                              <CtgProps>
                                <R>4</R>
                              </CtgProps>
                              <LnkIn>
                                <LnkInProps>
                                  <MN>26</MN>
                                  <CLI>1,1,46,False,13</CLI>
                                  <ELN>1</ELN>
                                  <LOOT>0</LOOT>
                                  <LOMN>3</LOMN>
                                  <LOMCN>1</LOMCN>
                                  <LOSN>1</LOSN>
                                  <LOEN>19</LOEN>
                                  <LOCN>13</LOCN>
                                </LnkInProps>
                              </LnkIn>
                            </Ctg>
                            <Ctg>
                              <CtgProps>
                                <R>4</R>
                              </CtgProps>
                              <LnkIn>
                                <LnkInProps>
                                  <MN>26</MN>
                                  <CLI>1,1,46,False,14</CLI>
                                  <ELN>1</ELN>
                                  <LOOT>0</LOOT>
                                  <LOMN>3</LOMN>
                                  <LOMCN>1</LOMCN>
                                  <LOSN>1</LOSN>
                                  <LOEN>19</LOEN>
                                  <LOCN>14</LOCN>
                                </LnkInProps>
                              </LnkIn>
                            </Ctg>
                            <Ctg>
                              <CtgProps>
                                <R>4</R>
                              </CtgProps>
                              <LnkIn>
                                <LnkInProps>
                                  <MN>26</MN>
                                  <CLI>1,1,46,False,15</CLI>
                                  <ELN>1</ELN>
                                  <LOOT>0</LOOT>
                                  <LOMN>3</LOMN>
                                  <LOMCN>1</LOMCN>
                                  <LOSN>1</LOSN>
                                  <LOEN>19</LOEN>
                                  <LOCN>15</LOCN>
                                </LnkInProps>
                              </LnkIn>
                            </Ctg>
                            <Ctg>
                              <CtgProps>
                                <R>5</R>
                              </CtgProps>
                              <LnkIn>
                                <LnkInProps>
                                  <MN>26</MN>
                                  <CLI>1,1,46,False,16</CLI>
                                  <ELN>1</ELN>
                                  <LOOT>0</LOOT>
                                  <LOMN>3</LOMN>
                                  <LOMCN>1</LOMCN>
                                  <LOSN>1</LOSN>
                                  <LOEN>19</LOEN>
                                  <LOCN>16</LOCN>
                                </LnkInProps>
                              </LnkIn>
                            </Ctg>
                            <Ctg>
                              <CtgProps>
                                <R>5</R>
                              </CtgProps>
                              <LnkIn>
                                <LnkInProps>
                                  <MN>26</MN>
                                  <CLI>1,1,46,False,17</CLI>
                                  <ELN>1</ELN>
                                  <LOOT>0</LOOT>
                                  <LOMN>3</LOMN>
                                  <LOMCN>1</LOMCN>
                                  <LOSN>1</LOSN>
                                  <LOEN>19</LOEN>
                                  <LOCN>17</LOCN>
                                </LnkInProps>
                              </LnkIn>
                            </Ctg>
                            <Ctg>
                              <CtgProps>
                                <R>5</R>
                              </CtgProps>
                              <LnkIn>
                                <LnkInProps>
                                  <MN>26</MN>
                                  <CLI>1,1,46,False,18</CLI>
                                  <ELN>1</ELN>
                                  <LOOT>0</LOOT>
                                  <LOMN>3</LOMN>
                                  <LOMCN>1</LOMCN>
                                  <LOSN>1</LOSN>
                                  <LOEN>19</LOEN>
                                  <LOCN>18</LOCN>
                                </LnkInProps>
                              </LnkIn>
                            </Ctg>
                            <Ctg>
                              <CtgProps>
                                <R>5</R>
                              </CtgProps>
                              <LnkIn>
                                <LnkInProps>
                                  <MN>26</MN>
                                  <CLI>1,1,46,False,19</CLI>
                                  <ELN>1</ELN>
                                  <LOOT>0</LOOT>
                                  <LOMN>3</LOMN>
                                  <LOMCN>1</LOMCN>
                                  <LOSN>1</LOSN>
                                  <LOEN>19</LOEN>
                                  <LOCN>19</LOCN>
                                </LnkInProps>
                              </LnkIn>
                            </Ctg>
                            <Ctg>
                              <CtgProps>
                                <R>5</R>
                              </CtgProps>
                              <LnkIn>
                                <LnkInProps>
                                  <MN>26</MN>
                                  <CLI>1,1,46,False,20</CLI>
                                  <ELN>1</ELN>
                                  <LOOT>0</LOOT>
                                  <LOMN>3</LOMN>
                                  <LOMCN>1</LOMCN>
                                  <LOSN>1</LOSN>
                                  <LOEN>19</LOEN>
                                  <LOCN>20</LOCN>
                                </LnkInProps>
                              </LnkIn>
                            </Ctg>
                            <Ctg>
                              <CtgProps>
                                <R>5</R>
                              </CtgProps>
                              <LnkIn>
                                <LnkInProps>
                                  <MN>26</MN>
                                  <CLI>1,1,46,False,21</CLI>
                                  <ELN>1</ELN>
                                  <LOOT>0</LOOT>
                                  <LOMN>3</LOMN>
                                  <LOMCN>1</LOMCN>
                                  <LOSN>1</LOSN>
                                  <LOEN>19</LOEN>
                                  <LOCN>21</LOCN>
                                </LnkInProps>
                              </LnkIn>
                            </Ctg>
                            <Ctg>
                              <CtgProps>
                                <R>5</R>
                              </CtgProps>
                              <LnkIn>
                                <LnkInProps>
                                  <MN>26</MN>
                                  <CLI>1,1,46,False,22</CLI>
                                  <ELN>1</ELN>
                                  <LOOT>0</LOOT>
                                  <LOMN>3</LOMN>
                                  <LOMCN>1</LOMCN>
                                  <LOSN>1</LOSN>
                                  <LOEN>19</LOEN>
                                  <LOCN>22</LOCN>
                                </LnkInProps>
                              </LnkIn>
                            </Ctg>
                            <Ctg>
                              <CtgProps>
                                <R>5</R>
                              </CtgProps>
                              <LnkIn>
                                <LnkInProps>
                                  <MN>26</MN>
                                  <CLI>1,1,46,False,23</CLI>
                                  <ELN>1</ELN>
                                  <LOOT>0</LOOT>
                                  <LOMN>3</LOMN>
                                  <LOMCN>1</LOMCN>
                                  <LOSN>1</LOSN>
                                  <LOEN>19</LOEN>
                                  <LOCN>23</LOCN>
                                </LnkInProps>
                              </LnkIn>
                            </Ctg>
                            <Ctg>
                              <CtgProps>
                                <R>5</R>
                              </CtgProps>
                              <LnkIn>
                                <LnkInProps>
                                  <MN>26</MN>
                                  <CLI>1,1,46,False,24</CLI>
                                  <ELN>1</ELN>
                                  <LOOT>0</LOOT>
                                  <LOMN>3</LOMN>
                                  <LOMCN>1</LOMCN>
                                  <LOSN>1</LOSN>
                                  <LOEN>19</LOEN>
                                  <LOCN>24</LOCN>
                                </LnkInProps>
                              </LnkIn>
                            </Ctg>
                            <Ctg>
                              <CtgProps>
                                <R>5</R>
                              </CtgProps>
                              <LnkIn>
                                <LnkInProps>
                                  <MN>26</MN>
                                  <CLI>1,1,46,False,25</CLI>
                                  <ELN>1</ELN>
                                  <LOOT>0</LOOT>
                                  <LOMN>3</LOMN>
                                  <LOMCN>1</LOMCN>
                                  <LOSN>1</LOSN>
                                  <LOEN>19</LOEN>
                                  <LOCN>25</LOCN>
                                </LnkInProps>
                              </LnkIn>
                            </Ctg>
                            <Ctg>
                              <CtgProps>
                                <R>5</R>
                              </CtgProps>
                              <LnkIn>
                                <LnkInProps>
                                  <MN>26</MN>
                                  <CLI>1,1,46,False,26</CLI>
                                  <ELN>1</ELN>
                                  <LOOT>0</LOOT>
                                  <LOMN>3</LOMN>
                                  <LOMCN>1</LOMCN>
                                  <LOSN>1</LOSN>
                                  <LOEN>19</LOEN>
                                  <LOCN>26</LOCN>
                                </LnkInProps>
                              </LnkIn>
                            </Ctg>
                            <Ctg>
                              <CtgProps>
                                <R>5</R>
                              </CtgProps>
                              <LnkIn>
                                <LnkInProps>
                                  <MN>26</MN>
                                  <CLI>1,1,46,False,27</CLI>
                                  <ELN>1</ELN>
                                  <LOOT>0</LOOT>
                                  <LOMN>3</LOMN>
                                  <LOMCN>1</LOMCN>
                                  <LOSN>1</LOSN>
                                  <LOEN>19</LOEN>
                                  <LOCN>27</LOCN>
                                </LnkInProps>
                              </LnkIn>
                            </Ctg>
                            <Ctg>
                              <CtgProps>
                                <R>5</R>
                              </CtgProps>
                              <LnkIn>
                                <LnkInProps>
                                  <MN>26</MN>
                                  <CLI>1,1,46,False,28</CLI>
                                  <ELN>1</ELN>
                                  <LOOT>0</LOOT>
                                  <LOMN>3</LOMN>
                                  <LOMCN>1</LOMCN>
                                  <LOSN>1</LOSN>
                                  <LOEN>19</LOEN>
                                  <LOCN>28</LOCN>
                                </LnkInProps>
                              </LnkIn>
                            </Ctg>
                            <Ctg>
                              <CtgProps>
                                <R>5</R>
                              </CtgProps>
                              <LnkIn>
                                <LnkInProps>
                                  <MN>26</MN>
                                  <CLI>1,1,46,False,29</CLI>
                                  <ELN>1</ELN>
                                  <LOOT>0</LOOT>
                                  <LOMN>3</LOMN>
                                  <LOMCN>1</LOMCN>
                                  <LOSN>1</LOSN>
                                  <LOEN>19</LOEN>
                                  <LOCN>29</LOCN>
                                </LnkInProps>
                              </LnkIn>
                            </Ctg>
                            <Ctg>
                              <CtgProps>
                                <R>5</R>
                              </CtgProps>
                              <LnkIn>
                                <LnkInProps>
                                  <MN>26</MN>
                                  <CLI>1,1,46,False,30</CLI>
                                  <ELN>1</ELN>
                                  <LOOT>0</LOOT>
                                  <LOMN>3</LOMN>
                                  <LOMCN>1</LOMCN>
                                  <LOSN>1</LOSN>
                                  <LOEN>19</LOEN>
                                  <LOCN>30</LOCN>
                                </LnkInProps>
                              </LnkIn>
                            </Ctg>
                            <Ctg>
                              <CtgProps>
                                <R>5</R>
                              </CtgProps>
                              <LnkIn>
                                <LnkInProps>
                                  <MN>26</MN>
                                  <CLI>1,1,46,False,31</CLI>
                                  <ELN>1</ELN>
                                  <LOOT>0</LOOT>
                                  <LOMN>3</LOMN>
                                  <LOMCN>1</LOMCN>
                                  <LOSN>1</LOSN>
                                  <LOEN>19</LOEN>
                                  <LOCN>31</LOCN>
                                </LnkInProps>
                              </LnkIn>
                            </Ctg>
                            <Ctg>
                              <CtgProps>
                                <R>5</R>
                              </CtgProps>
                              <LnkIn>
                                <LnkInProps>
                                  <MN>26</MN>
                                  <CLI>1,1,46,False,32</CLI>
                                  <ELN>1</ELN>
                                  <LOOT>0</LOOT>
                                  <LOMN>3</LOMN>
                                  <LOMCN>1</LOMCN>
                                  <LOSN>1</LOSN>
                                  <LOEN>19</LOEN>
                                  <LOCN>32</LOCN>
                                </LnkInProps>
                              </LnkIn>
                            </Ctg>
                            <Ctg>
                              <CtgProps>
                                <R>5</R>
                              </CtgProps>
                              <LnkIn>
                                <LnkInProps>
                                  <MN>26</MN>
                                  <CLI>1,1,46,False,33</CLI>
                                  <ELN>1</ELN>
                                  <LOOT>0</LOOT>
                                  <LOMN>3</LOMN>
                                  <LOMCN>1</LOMCN>
                                  <LOSN>1</LOSN>
                                  <LOEN>19</LOEN>
                                  <LOCN>33</LOCN>
                                </LnkInProps>
                              </LnkIn>
                            </Ctg>
                            <Ctg>
                              <CtgProps>
                                <R>5</R>
                              </CtgProps>
                              <LnkIn>
                                <LnkInProps>
                                  <MN>26</MN>
                                  <CLI>1,1,46,False,34</CLI>
                                  <ELN>1</ELN>
                                  <LOOT>0</LOOT>
                                  <LOMN>3</LOMN>
                                  <LOMCN>1</LOMCN>
                                  <LOSN>1</LOSN>
                                  <LOEN>19</LOEN>
                                  <LOCN>34</LOCN>
                                </LnkInProps>
                              </LnkIn>
                            </Ctg>
                            <Ctg>
                              <CtgProps>
                                <R>5</R>
                              </CtgProps>
                              <LnkIn>
                                <LnkInProps>
                                  <MN>26</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26</MN>
                                  <CLI>1,1,49,False,1</CLI>
                                  <ELN>1</ELN>
                                  <LOOT>0</LOOT>
                                  <LOMN>3</LOMN>
                                  <LOMCN>1</LOMCN>
                                  <LOSN>1</LOSN>
                                  <LOEN>24</LOEN>
                                  <LOCN>1</LOCN>
                                </LnkInProps>
                              </LnkIn>
                            </Ctg>
                            <Ctg>
                              <CtgProps>
                                <R>4</R>
                              </CtgProps>
                              <LnkIn>
                                <LnkInProps>
                                  <MN>26</MN>
                                  <CLI>1,1,49,False,2</CLI>
                                  <ELN>1</ELN>
                                  <LOOT>0</LOOT>
                                  <LOMN>3</LOMN>
                                  <LOMCN>1</LOMCN>
                                  <LOSN>1</LOSN>
                                  <LOEN>24</LOEN>
                                  <LOCN>2</LOCN>
                                </LnkInProps>
                              </LnkIn>
                            </Ctg>
                            <Ctg>
                              <CtgProps>
                                <R>4</R>
                              </CtgProps>
                              <LnkIn>
                                <LnkInProps>
                                  <MN>26</MN>
                                  <CLI>1,1,49,False,3</CLI>
                                  <ELN>1</ELN>
                                  <LOOT>0</LOOT>
                                  <LOMN>3</LOMN>
                                  <LOMCN>1</LOMCN>
                                  <LOSN>1</LOSN>
                                  <LOEN>24</LOEN>
                                  <LOCN>3</LOCN>
                                </LnkInProps>
                              </LnkIn>
                            </Ctg>
                            <Ctg>
                              <CtgProps>
                                <R>4</R>
                              </CtgProps>
                              <LnkIn>
                                <LnkInProps>
                                  <MN>26</MN>
                                  <CLI>1,1,49,False,4</CLI>
                                  <ELN>1</ELN>
                                  <LOOT>0</LOOT>
                                  <LOMN>3</LOMN>
                                  <LOMCN>1</LOMCN>
                                  <LOSN>1</LOSN>
                                  <LOEN>24</LOEN>
                                  <LOCN>4</LOCN>
                                </LnkInProps>
                              </LnkIn>
                            </Ctg>
                            <Ctg>
                              <CtgProps>
                                <R>4</R>
                              </CtgProps>
                              <LnkIn>
                                <LnkInProps>
                                  <MN>26</MN>
                                  <CLI>1,1,49,False,5</CLI>
                                  <ELN>1</ELN>
                                  <LOOT>0</LOOT>
                                  <LOMN>3</LOMN>
                                  <LOMCN>1</LOMCN>
                                  <LOSN>1</LOSN>
                                  <LOEN>24</LOEN>
                                  <LOCN>5</LOCN>
                                </LnkInProps>
                              </LnkIn>
                            </Ctg>
                            <Ctg>
                              <CtgProps>
                                <R>5</R>
                              </CtgProps>
                              <LnkIn>
                                <LnkInProps>
                                  <MN>26</MN>
                                  <CLI>1,1,49,False,6</CLI>
                                  <ELN>1</ELN>
                                  <LOOT>0</LOOT>
                                  <LOMN>3</LOMN>
                                  <LOMCN>1</LOMCN>
                                  <LOSN>1</LOSN>
                                  <LOEN>24</LOEN>
                                  <LOCN>6</LOCN>
                                </LnkInProps>
                              </LnkIn>
                            </Ctg>
                            <Ctg>
                              <CtgProps>
                                <R>5</R>
                              </CtgProps>
                              <LnkIn>
                                <LnkInProps>
                                  <MN>26</MN>
                                  <CLI>1,1,49,False,7</CLI>
                                  <ELN>1</ELN>
                                  <LOOT>0</LOOT>
                                  <LOMN>3</LOMN>
                                  <LOMCN>1</LOMCN>
                                  <LOSN>1</LOSN>
                                  <LOEN>24</LOEN>
                                  <LOCN>7</LOCN>
                                </LnkInProps>
                              </LnkIn>
                            </Ctg>
                            <Ctg>
                              <CtgProps>
                                <R>5</R>
                              </CtgProps>
                              <LnkIn>
                                <LnkInProps>
                                  <MN>26</MN>
                                  <CLI>1,1,49,False,8</CLI>
                                  <ELN>1</ELN>
                                  <LOOT>0</LOOT>
                                  <LOMN>3</LOMN>
                                  <LOMCN>1</LOMCN>
                                  <LOSN>1</LOSN>
                                  <LOEN>24</LOEN>
                                  <LOCN>8</LOCN>
                                </LnkInProps>
                              </LnkIn>
                            </Ctg>
                            <Ctg>
                              <CtgProps>
                                <R>5</R>
                              </CtgProps>
                              <LnkIn>
                                <LnkInProps>
                                  <MN>26</MN>
                                  <CLI>1,1,49,False,9</CLI>
                                  <ELN>1</ELN>
                                  <LOOT>0</LOOT>
                                  <LOMN>3</LOMN>
                                  <LOMCN>1</LOMCN>
                                  <LOSN>1</LOSN>
                                  <LOEN>24</LOEN>
                                  <LOCN>9</LOCN>
                                </LnkInProps>
                              </LnkIn>
                            </Ctg>
                            <Ctg>
                              <CtgProps>
                                <R>5</R>
                              </CtgProps>
                              <LnkIn>
                                <LnkInProps>
                                  <MN>26</MN>
                                  <CLI>1,1,49,False,10</CLI>
                                  <ELN>1</ELN>
                                  <LOOT>0</LOOT>
                                  <LOMN>3</LOMN>
                                  <LOMCN>1</LOMCN>
                                  <LOSN>1</LOSN>
                                  <LOEN>24</LOEN>
                                  <LOCN>10</LOCN>
                                </LnkInProps>
                              </LnkIn>
                            </Ctg>
                            <Ctg>
                              <CtgProps>
                                <R>5</R>
                              </CtgProps>
                              <LnkIn>
                                <LnkInProps>
                                  <MN>26</MN>
                                  <CLI>1,1,49,False,11</CLI>
                                  <ELN>1</ELN>
                                  <LOOT>0</LOOT>
                                  <LOMN>3</LOMN>
                                  <LOMCN>1</LOMCN>
                                  <LOSN>1</LOSN>
                                  <LOEN>24</LOEN>
                                  <LOCN>11</LOCN>
                                </LnkInProps>
                              </LnkIn>
                            </Ctg>
                            <Ctg>
                              <CtgProps>
                                <R>5</R>
                              </CtgProps>
                              <LnkIn>
                                <LnkInProps>
                                  <MN>26</MN>
                                  <CLI>1,1,49,False,12</CLI>
                                  <ELN>1</ELN>
                                  <LOOT>0</LOOT>
                                  <LOMN>3</LOMN>
                                  <LOMCN>1</LOMCN>
                                  <LOSN>1</LOSN>
                                  <LOEN>24</LOEN>
                                  <LOCN>12</LOCN>
                                </LnkInProps>
                              </LnkIn>
                            </Ctg>
                            <Ctg>
                              <CtgProps>
                                <R>5</R>
                              </CtgProps>
                              <LnkIn>
                                <LnkInProps>
                                  <MN>26</MN>
                                  <CLI>1,1,49,False,13</CLI>
                                  <ELN>1</ELN>
                                  <LOOT>0</LOOT>
                                  <LOMN>3</LOMN>
                                  <LOMCN>1</LOMCN>
                                  <LOSN>1</LOSN>
                                  <LOEN>24</LOEN>
                                  <LOCN>13</LOCN>
                                </LnkInProps>
                              </LnkIn>
                            </Ctg>
                            <Ctg>
                              <CtgProps>
                                <R>5</R>
                              </CtgProps>
                              <LnkIn>
                                <LnkInProps>
                                  <MN>26</MN>
                                  <CLI>1,1,49,False,14</CLI>
                                  <ELN>1</ELN>
                                  <LOOT>0</LOOT>
                                  <LOMN>3</LOMN>
                                  <LOMCN>1</LOMCN>
                                  <LOSN>1</LOSN>
                                  <LOEN>24</LOEN>
                                  <LOCN>14</LOCN>
                                </LnkInProps>
                              </LnkIn>
                            </Ctg>
                            <Ctg>
                              <CtgProps>
                                <R>5</R>
                              </CtgProps>
                              <LnkIn>
                                <LnkInProps>
                                  <MN>26</MN>
                                  <CLI>1,1,49,False,15</CLI>
                                  <ELN>1</ELN>
                                  <LOOT>0</LOOT>
                                  <LOMN>3</LOMN>
                                  <LOMCN>1</LOMCN>
                                  <LOSN>1</LOSN>
                                  <LOEN>24</LOEN>
                                  <LOCN>15</LOCN>
                                </LnkInProps>
                              </LnkIn>
                            </Ctg>
                            <Ctg>
                              <CtgProps>
                                <R>5</R>
                              </CtgProps>
                              <LnkIn>
                                <LnkInProps>
                                  <MN>26</MN>
                                  <CLI>1,1,49,False,16</CLI>
                                  <ELN>1</ELN>
                                  <LOOT>0</LOOT>
                                  <LOMN>3</LOMN>
                                  <LOMCN>1</LOMCN>
                                  <LOSN>1</LOSN>
                                  <LOEN>24</LOEN>
                                  <LOCN>16</LOCN>
                                </LnkInProps>
                              </LnkIn>
                            </Ctg>
                            <Ctg>
                              <CtgProps>
                                <R>5</R>
                              </CtgProps>
                              <LnkIn>
                                <LnkInProps>
                                  <MN>26</MN>
                                  <CLI>1,1,49,False,17</CLI>
                                  <ELN>1</ELN>
                                  <LOOT>0</LOOT>
                                  <LOMN>3</LOMN>
                                  <LOMCN>1</LOMCN>
                                  <LOSN>1</LOSN>
                                  <LOEN>24</LOEN>
                                  <LOCN>17</LOCN>
                                </LnkInProps>
                              </LnkIn>
                            </Ctg>
                            <Ctg>
                              <CtgProps>
                                <R>5</R>
                              </CtgProps>
                              <LnkIn>
                                <LnkInProps>
                                  <MN>26</MN>
                                  <CLI>1,1,49,False,18</CLI>
                                  <ELN>1</ELN>
                                  <LOOT>0</LOOT>
                                  <LOMN>3</LOMN>
                                  <LOMCN>1</LOMCN>
                                  <LOSN>1</LOSN>
                                  <LOEN>24</LOEN>
                                  <LOCN>18</LOCN>
                                </LnkInProps>
                              </LnkIn>
                            </Ctg>
                            <Ctg>
                              <CtgProps>
                                <R>5</R>
                              </CtgProps>
                              <LnkIn>
                                <LnkInProps>
                                  <MN>26</MN>
                                  <CLI>1,1,49,False,19</CLI>
                                  <ELN>1</ELN>
                                  <LOOT>0</LOOT>
                                  <LOMN>3</LOMN>
                                  <LOMCN>1</LOMCN>
                                  <LOSN>1</LOSN>
                                  <LOEN>24</LOEN>
                                  <LOCN>19</LOCN>
                                </LnkInProps>
                              </LnkIn>
                            </Ctg>
                            <Ctg>
                              <CtgProps>
                                <R>5</R>
                              </CtgProps>
                              <LnkIn>
                                <LnkInProps>
                                  <MN>26</MN>
                                  <CLI>1,1,49,False,20</CLI>
                                  <ELN>1</ELN>
                                  <LOOT>0</LOOT>
                                  <LOMN>3</LOMN>
                                  <LOMCN>1</LOMCN>
                                  <LOSN>1</LOSN>
                                  <LOEN>24</LOEN>
                                  <LOCN>20</LOCN>
                                </LnkInProps>
                              </LnkIn>
                            </Ctg>
                            <Ctg>
                              <CtgProps>
                                <R>5</R>
                              </CtgProps>
                              <LnkIn>
                                <LnkInProps>
                                  <MN>26</MN>
                                  <CLI>1,1,49,False,21</CLI>
                                  <ELN>1</ELN>
                                  <LOOT>0</LOOT>
                                  <LOMN>3</LOMN>
                                  <LOMCN>1</LOMCN>
                                  <LOSN>1</LOSN>
                                  <LOEN>24</LOEN>
                                  <LOCN>21</LOCN>
                                </LnkInProps>
                              </LnkIn>
                            </Ctg>
                            <Ctg>
                              <CtgProps>
                                <R>5</R>
                              </CtgProps>
                              <LnkIn>
                                <LnkInProps>
                                  <MN>26</MN>
                                  <CLI>1,1,49,False,22</CLI>
                                  <ELN>1</ELN>
                                  <LOOT>0</LOOT>
                                  <LOMN>3</LOMN>
                                  <LOMCN>1</LOMCN>
                                  <LOSN>1</LOSN>
                                  <LOEN>24</LOEN>
                                  <LOCN>22</LOCN>
                                </LnkInProps>
                              </LnkIn>
                            </Ctg>
                            <Ctg>
                              <CtgProps>
                                <R>5</R>
                              </CtgProps>
                              <LnkIn>
                                <LnkInProps>
                                  <MN>26</MN>
                                  <CLI>1,1,49,False,23</CLI>
                                  <ELN>1</ELN>
                                  <LOOT>0</LOOT>
                                  <LOMN>3</LOMN>
                                  <LOMCN>1</LOMCN>
                                  <LOSN>1</LOSN>
                                  <LOEN>24</LOEN>
                                  <LOCN>23</LOCN>
                                </LnkInProps>
                              </LnkIn>
                            </Ctg>
                            <Ctg>
                              <CtgProps>
                                <R>5</R>
                              </CtgProps>
                              <LnkIn>
                                <LnkInProps>
                                  <MN>26</MN>
                                  <CLI>1,1,49,False,24</CLI>
                                  <ELN>1</ELN>
                                  <LOOT>0</LOOT>
                                  <LOMN>3</LOMN>
                                  <LOMCN>1</LOMCN>
                                  <LOSN>1</LOSN>
                                  <LOEN>24</LOEN>
                                  <LOCN>24</LOCN>
                                </LnkInProps>
                              </LnkIn>
                            </Ctg>
                            <Ctg>
                              <CtgProps>
                                <R>5</R>
                              </CtgProps>
                              <LnkIn>
                                <LnkInProps>
                                  <MN>26</MN>
                                  <CLI>1,1,49,False,25</CLI>
                                  <ELN>1</ELN>
                                  <LOOT>0</LOOT>
                                  <LOMN>3</LOMN>
                                  <LOMCN>1</LOMCN>
                                  <LOSN>1</LOSN>
                                  <LOEN>24</LOEN>
                                  <LOCN>25</LOCN>
                                </LnkInProps>
                              </LnkIn>
                            </Ctg>
                            <Ctg>
                              <CtgProps>
                                <R>5</R>
                              </CtgProps>
                              <LnkIn>
                                <LnkInProps>
                                  <MN>26</MN>
                                  <CLI>1,1,49,False,26</CLI>
                                  <ELN>1</ELN>
                                  <LOOT>0</LOOT>
                                  <LOMN>3</LOMN>
                                  <LOMCN>1</LOMCN>
                                  <LOSN>1</LOSN>
                                  <LOEN>24</LOEN>
                                  <LOCN>26</LOCN>
                                </LnkInProps>
                              </LnkIn>
                            </Ctg>
                            <Ctg>
                              <CtgProps>
                                <R>5</R>
                              </CtgProps>
                              <LnkIn>
                                <LnkInProps>
                                  <MN>26</MN>
                                  <CLI>1,1,49,False,27</CLI>
                                  <ELN>1</ELN>
                                  <LOOT>0</LOOT>
                                  <LOMN>3</LOMN>
                                  <LOMCN>1</LOMCN>
                                  <LOSN>1</LOSN>
                                  <LOEN>24</LOEN>
                                  <LOCN>27</LOCN>
                                </LnkInProps>
                              </LnkIn>
                            </Ctg>
                            <Ctg>
                              <CtgProps>
                                <R>5</R>
                              </CtgProps>
                              <LnkIn>
                                <LnkInProps>
                                  <MN>26</MN>
                                  <CLI>1,1,49,False,28</CLI>
                                  <ELN>1</ELN>
                                  <LOOT>0</LOOT>
                                  <LOMN>3</LOMN>
                                  <LOMCN>1</LOMCN>
                                  <LOSN>1</LOSN>
                                  <LOEN>24</LOEN>
                                  <LOCN>28</LOCN>
                                </LnkInProps>
                              </LnkIn>
                            </Ctg>
                            <Ctg>
                              <CtgProps>
                                <R>5</R>
                              </CtgProps>
                              <LnkIn>
                                <LnkInProps>
                                  <MN>26</MN>
                                  <CLI>1,1,49,False,29</CLI>
                                  <ELN>1</ELN>
                                  <LOOT>0</LOOT>
                                  <LOMN>3</LOMN>
                                  <LOMCN>1</LOMCN>
                                  <LOSN>1</LOSN>
                                  <LOEN>24</LOEN>
                                  <LOCN>29</LOCN>
                                </LnkInProps>
                              </LnkIn>
                            </Ctg>
                            <Ctg>
                              <CtgProps>
                                <R>5</R>
                              </CtgProps>
                              <LnkIn>
                                <LnkInProps>
                                  <MN>26</MN>
                                  <CLI>1,1,49,False,30</CLI>
                                  <ELN>1</ELN>
                                  <LOOT>0</LOOT>
                                  <LOMN>3</LOMN>
                                  <LOMCN>1</LOMCN>
                                  <LOSN>1</LOSN>
                                  <LOEN>24</LOEN>
                                  <LOCN>30</LOCN>
                                </LnkInProps>
                              </LnkIn>
                            </Ctg>
                            <Ctg>
                              <CtgProps>
                                <R>5</R>
                              </CtgProps>
                              <LnkIn>
                                <LnkInProps>
                                  <MN>26</MN>
                                  <CLI>1,1,49,False,31</CLI>
                                  <ELN>1</ELN>
                                  <LOOT>0</LOOT>
                                  <LOMN>3</LOMN>
                                  <LOMCN>1</LOMCN>
                                  <LOSN>1</LOSN>
                                  <LOEN>24</LOEN>
                                  <LOCN>31</LOCN>
                                </LnkInProps>
                              </LnkIn>
                            </Ctg>
                            <Ctg>
                              <CtgProps>
                                <R>5</R>
                              </CtgProps>
                              <LnkIn>
                                <LnkInProps>
                                  <MN>26</MN>
                                  <CLI>1,1,49,False,32</CLI>
                                  <ELN>1</ELN>
                                  <LOOT>0</LOOT>
                                  <LOMN>3</LOMN>
                                  <LOMCN>1</LOMCN>
                                  <LOSN>1</LOSN>
                                  <LOEN>24</LOEN>
                                  <LOCN>32</LOCN>
                                </LnkInProps>
                              </LnkIn>
                            </Ctg>
                            <Ctg>
                              <CtgProps>
                                <R>5</R>
                              </CtgProps>
                              <LnkIn>
                                <LnkInProps>
                                  <MN>26</MN>
                                  <CLI>1,1,49,False,33</CLI>
                                  <ELN>1</ELN>
                                  <LOOT>0</LOOT>
                                  <LOMN>3</LOMN>
                                  <LOMCN>1</LOMCN>
                                  <LOSN>1</LOSN>
                                  <LOEN>24</LOEN>
                                  <LOCN>33</LOCN>
                                </LnkInProps>
                              </LnkIn>
                            </Ctg>
                            <Ctg>
                              <CtgProps>
                                <R>5</R>
                              </CtgProps>
                              <LnkIn>
                                <LnkInProps>
                                  <MN>26</MN>
                                  <CLI>1,1,49,False,34</CLI>
                                  <ELN>1</ELN>
                                  <LOOT>0</LOOT>
                                  <LOMN>3</LOMN>
                                  <LOMCN>1</LOMCN>
                                  <LOSN>1</LOSN>
                                  <LOEN>24</LOEN>
                                  <LOCN>34</LOCN>
                                </LnkInProps>
                              </LnkIn>
                            </Ctg>
                            <Ctg>
                              <CtgProps>
                                <R>5</R>
                              </CtgProps>
                              <LnkIn>
                                <LnkInProps>
                                  <MN>26</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26</MN>
                                  <CLI>1,1,53,False,1</CLI>
                                  <ELN>1</ELN>
                                  <LOOT>0</LOOT>
                                  <LOMN>3</LOMN>
                                  <LOMCN>1</LOMCN>
                                  <LOSN>1</LOSN>
                                  <LOEN>29</LOEN>
                                  <LOCN>1</LOCN>
                                </LnkInProps>
                              </LnkIn>
                            </Ctg>
                            <Ctg>
                              <CtgProps>
                                <R>4</R>
                              </CtgProps>
                              <LnkIn>
                                <LnkInProps>
                                  <MN>26</MN>
                                  <CLI>1,1,53,False,2</CLI>
                                  <ELN>1</ELN>
                                  <LOOT>0</LOOT>
                                  <LOMN>3</LOMN>
                                  <LOMCN>1</LOMCN>
                                  <LOSN>1</LOSN>
                                  <LOEN>29</LOEN>
                                  <LOCN>2</LOCN>
                                </LnkInProps>
                              </LnkIn>
                            </Ctg>
                            <Ctg>
                              <CtgProps>
                                <R>5</R>
                              </CtgProps>
                              <LnkIn>
                                <LnkInProps>
                                  <MN>26</MN>
                                  <CLI>1,1,53,False,3</CLI>
                                  <ELN>1</ELN>
                                  <LOOT>0</LOOT>
                                  <LOMN>3</LOMN>
                                  <LOMCN>1</LOMCN>
                                  <LOSN>1</LOSN>
                                  <LOEN>29</LOEN>
                                  <LOCN>3</LOCN>
                                </LnkInProps>
                              </LnkIn>
                            </Ctg>
                            <Ctg>
                              <CtgProps>
                                <R>5</R>
                              </CtgProps>
                              <LnkIn>
                                <LnkInProps>
                                  <MN>26</MN>
                                  <CLI>1,1,53,False,4</CLI>
                                  <ELN>1</ELN>
                                  <LOOT>0</LOOT>
                                  <LOMN>3</LOMN>
                                  <LOMCN>1</LOMCN>
                                  <LOSN>1</LOSN>
                                  <LOEN>29</LOEN>
                                  <LOCN>4</LOCN>
                                </LnkInProps>
                              </LnkIn>
                            </Ctg>
                            <Ctg>
                              <CtgProps>
                                <R>5</R>
                              </CtgProps>
                              <LnkIn>
                                <LnkInProps>
                                  <MN>26</MN>
                                  <CLI>1,1,53,False,5</CLI>
                                  <ELN>1</ELN>
                                  <LOOT>0</LOOT>
                                  <LOMN>3</LOMN>
                                  <LOMCN>1</LOMCN>
                                  <LOSN>1</LOSN>
                                  <LOEN>29</LOEN>
                                  <LOCN>5</LOCN>
                                </LnkInProps>
                              </LnkIn>
                            </Ctg>
                            <Ctg>
                              <CtgProps>
                                <R>5</R>
                              </CtgProps>
                              <LnkIn>
                                <LnkInProps>
                                  <MN>26</MN>
                                  <CLI>1,1,53,False,6</CLI>
                                  <ELN>1</ELN>
                                  <LOOT>0</LOOT>
                                  <LOMN>3</LOMN>
                                  <LOMCN>1</LOMCN>
                                  <LOSN>1</LOSN>
                                  <LOEN>29</LOEN>
                                  <LOCN>6</LOCN>
                                </LnkInProps>
                              </LnkIn>
                            </Ctg>
                            <Ctg>
                              <CtgProps>
                                <R>5</R>
                              </CtgProps>
                              <LnkIn>
                                <LnkInProps>
                                  <MN>26</MN>
                                  <CLI>1,1,53,False,7</CLI>
                                  <ELN>1</ELN>
                                  <LOOT>0</LOOT>
                                  <LOMN>3</LOMN>
                                  <LOMCN>1</LOMCN>
                                  <LOSN>1</LOSN>
                                  <LOEN>29</LOEN>
                                  <LOCN>7</LOCN>
                                </LnkInProps>
                              </LnkIn>
                            </Ctg>
                            <Ctg>
                              <CtgProps>
                                <R>5</R>
                              </CtgProps>
                              <LnkIn>
                                <LnkInProps>
                                  <MN>26</MN>
                                  <CLI>1,1,53,False,8</CLI>
                                  <ELN>1</ELN>
                                  <LOOT>0</LOOT>
                                  <LOMN>3</LOMN>
                                  <LOMCN>1</LOMCN>
                                  <LOSN>1</LOSN>
                                  <LOEN>29</LOEN>
                                  <LOCN>8</LOCN>
                                </LnkInProps>
                              </LnkIn>
                            </Ctg>
                            <Ctg>
                              <CtgProps>
                                <R>5</R>
                              </CtgProps>
                              <LnkIn>
                                <LnkInProps>
                                  <MN>26</MN>
                                  <CLI>1,1,53,False,9</CLI>
                                  <ELN>1</ELN>
                                  <LOOT>0</LOOT>
                                  <LOMN>3</LOMN>
                                  <LOMCN>1</LOMCN>
                                  <LOSN>1</LOSN>
                                  <LOEN>29</LOEN>
                                  <LOCN>9</LOCN>
                                </LnkInProps>
                              </LnkIn>
                            </Ctg>
                            <Ctg>
                              <CtgProps>
                                <R>5</R>
                              </CtgProps>
                              <LnkIn>
                                <LnkInProps>
                                  <MN>26</MN>
                                  <CLI>1,1,53,False,10</CLI>
                                  <ELN>1</ELN>
                                  <LOOT>0</LOOT>
                                  <LOMN>3</LOMN>
                                  <LOMCN>1</LOMCN>
                                  <LOSN>1</LOSN>
                                  <LOEN>29</LOEN>
                                  <LOCN>10</LOCN>
                                </LnkInProps>
                              </LnkIn>
                            </Ctg>
                            <Ctg>
                              <CtgProps>
                                <R>5</R>
                              </CtgProps>
                              <LnkIn>
                                <LnkInProps>
                                  <MN>26</MN>
                                  <CLI>1,1,53,False,11</CLI>
                                  <ELN>1</ELN>
                                  <LOOT>0</LOOT>
                                  <LOMN>3</LOMN>
                                  <LOMCN>1</LOMCN>
                                  <LOSN>1</LOSN>
                                  <LOEN>29</LOEN>
                                  <LOCN>11</LOCN>
                                </LnkInProps>
                              </LnkIn>
                            </Ctg>
                            <Ctg>
                              <CtgProps>
                                <R>5</R>
                              </CtgProps>
                              <LnkIn>
                                <LnkInProps>
                                  <MN>26</MN>
                                  <CLI>1,1,53,False,12</CLI>
                                  <ELN>1</ELN>
                                  <LOOT>0</LOOT>
                                  <LOMN>3</LOMN>
                                  <LOMCN>1</LOMCN>
                                  <LOSN>1</LOSN>
                                  <LOEN>29</LOEN>
                                  <LOCN>12</LOCN>
                                </LnkInProps>
                              </LnkIn>
                            </Ctg>
                            <Ctg>
                              <CtgProps>
                                <R>5</R>
                              </CtgProps>
                              <LnkIn>
                                <LnkInProps>
                                  <MN>26</MN>
                                  <CLI>1,1,53,False,13</CLI>
                                  <ELN>1</ELN>
                                  <LOOT>0</LOOT>
                                  <LOMN>3</LOMN>
                                  <LOMCN>1</LOMCN>
                                  <LOSN>1</LOSN>
                                  <LOEN>29</LOEN>
                                  <LOCN>13</LOCN>
                                </LnkInProps>
                              </LnkIn>
                            </Ctg>
                            <Ctg>
                              <CtgProps>
                                <R>5</R>
                              </CtgProps>
                              <LnkIn>
                                <LnkInProps>
                                  <MN>26</MN>
                                  <CLI>1,1,53,False,14</CLI>
                                  <ELN>1</ELN>
                                  <LOOT>0</LOOT>
                                  <LOMN>3</LOMN>
                                  <LOMCN>1</LOMCN>
                                  <LOSN>1</LOSN>
                                  <LOEN>29</LOEN>
                                  <LOCN>14</LOCN>
                                </LnkInProps>
                              </LnkIn>
                            </Ctg>
                            <Ctg>
                              <CtgProps>
                                <R>5</R>
                              </CtgProps>
                              <LnkIn>
                                <LnkInProps>
                                  <MN>26</MN>
                                  <CLI>1,1,53,False,15</CLI>
                                  <ELN>1</ELN>
                                  <LOOT>0</LOOT>
                                  <LOMN>3</LOMN>
                                  <LOMCN>1</LOMCN>
                                  <LOSN>1</LOSN>
                                  <LOEN>29</LOEN>
                                  <LOCN>15</LOCN>
                                </LnkInProps>
                              </LnkIn>
                            </Ctg>
                            <Ctg>
                              <CtgProps>
                                <R>5</R>
                              </CtgProps>
                              <LnkIn>
                                <LnkInProps>
                                  <MN>26</MN>
                                  <CLI>1,1,53,False,16</CLI>
                                  <ELN>1</ELN>
                                  <LOOT>0</LOOT>
                                  <LOMN>3</LOMN>
                                  <LOMCN>1</LOMCN>
                                  <LOSN>1</LOSN>
                                  <LOEN>29</LOEN>
                                  <LOCN>16</LOCN>
                                </LnkInProps>
                              </LnkIn>
                            </Ctg>
                            <Ctg>
                              <CtgProps>
                                <R>5</R>
                              </CtgProps>
                              <LnkIn>
                                <LnkInProps>
                                  <MN>26</MN>
                                  <CLI>1,1,53,False,17</CLI>
                                  <ELN>1</ELN>
                                  <LOOT>0</LOOT>
                                  <LOMN>3</LOMN>
                                  <LOMCN>1</LOMCN>
                                  <LOSN>1</LOSN>
                                  <LOEN>29</LOEN>
                                  <LOCN>17</LOCN>
                                </LnkInProps>
                              </LnkIn>
                            </Ctg>
                            <Ctg>
                              <CtgProps>
                                <R>5</R>
                              </CtgProps>
                              <LnkIn>
                                <LnkInProps>
                                  <MN>26</MN>
                                  <CLI>1,1,53,False,18</CLI>
                                  <ELN>1</ELN>
                                  <LOOT>0</LOOT>
                                  <LOMN>3</LOMN>
                                  <LOMCN>1</LOMCN>
                                  <LOSN>1</LOSN>
                                  <LOEN>29</LOEN>
                                  <LOCN>18</LOCN>
                                </LnkInProps>
                              </LnkIn>
                            </Ctg>
                            <Ctg>
                              <CtgProps>
                                <R>5</R>
                              </CtgProps>
                              <LnkIn>
                                <LnkInProps>
                                  <MN>26</MN>
                                  <CLI>1,1,53,False,19</CLI>
                                  <ELN>1</ELN>
                                  <LOOT>0</LOOT>
                                  <LOMN>3</LOMN>
                                  <LOMCN>1</LOMCN>
                                  <LOSN>1</LOSN>
                                  <LOEN>29</LOEN>
                                  <LOCN>19</LOCN>
                                </LnkInProps>
                              </LnkIn>
                            </Ctg>
                            <Ctg>
                              <CtgProps>
                                <R>5</R>
                              </CtgProps>
                              <LnkIn>
                                <LnkInProps>
                                  <MN>26</MN>
                                  <CLI>1,1,53,False,20</CLI>
                                  <ELN>1</ELN>
                                  <LOOT>0</LOOT>
                                  <LOMN>3</LOMN>
                                  <LOMCN>1</LOMCN>
                                  <LOSN>1</LOSN>
                                  <LOEN>29</LOEN>
                                  <LOCN>20</LOCN>
                                </LnkInProps>
                              </LnkIn>
                            </Ctg>
                            <Ctg>
                              <CtgProps>
                                <R>5</R>
                              </CtgProps>
                              <LnkIn>
                                <LnkInProps>
                                  <MN>26</MN>
                                  <CLI>1,1,53,False,21</CLI>
                                  <ELN>1</ELN>
                                  <LOOT>0</LOOT>
                                  <LOMN>3</LOMN>
                                  <LOMCN>1</LOMCN>
                                  <LOSN>1</LOSN>
                                  <LOEN>29</LOEN>
                                  <LOCN>21</LOCN>
                                </LnkInProps>
                              </LnkIn>
                            </Ctg>
                            <Ctg>
                              <CtgProps>
                                <R>5</R>
                              </CtgProps>
                              <LnkIn>
                                <LnkInProps>
                                  <MN>26</MN>
                                  <CLI>1,1,53,False,22</CLI>
                                  <ELN>1</ELN>
                                  <LOOT>0</LOOT>
                                  <LOMN>3</LOMN>
                                  <LOMCN>1</LOMCN>
                                  <LOSN>1</LOSN>
                                  <LOEN>29</LOEN>
                                  <LOCN>22</LOCN>
                                </LnkInProps>
                              </LnkIn>
                            </Ctg>
                            <Ctg>
                              <CtgProps>
                                <R>5</R>
                              </CtgProps>
                              <LnkIn>
                                <LnkInProps>
                                  <MN>26</MN>
                                  <CLI>1,1,53,False,23</CLI>
                                  <ELN>1</ELN>
                                  <LOOT>0</LOOT>
                                  <LOMN>3</LOMN>
                                  <LOMCN>1</LOMCN>
                                  <LOSN>1</LOSN>
                                  <LOEN>29</LOEN>
                                  <LOCN>23</LOCN>
                                </LnkInProps>
                              </LnkIn>
                            </Ctg>
                            <Ctg>
                              <CtgProps>
                                <R>5</R>
                              </CtgProps>
                              <LnkIn>
                                <LnkInProps>
                                  <MN>26</MN>
                                  <CLI>1,1,53,False,24</CLI>
                                  <ELN>1</ELN>
                                  <LOOT>0</LOOT>
                                  <LOMN>3</LOMN>
                                  <LOMCN>1</LOMCN>
                                  <LOSN>1</LOSN>
                                  <LOEN>29</LOEN>
                                  <LOCN>24</LOCN>
                                </LnkInProps>
                              </LnkIn>
                            </Ctg>
                            <Ctg>
                              <CtgProps>
                                <R>5</R>
                              </CtgProps>
                              <LnkIn>
                                <LnkInProps>
                                  <MN>26</MN>
                                  <CLI>1,1,53,False,25</CLI>
                                  <ELN>1</ELN>
                                  <LOOT>0</LOOT>
                                  <LOMN>3</LOMN>
                                  <LOMCN>1</LOMCN>
                                  <LOSN>1</LOSN>
                                  <LOEN>29</LOEN>
                                  <LOCN>25</LOCN>
                                </LnkInProps>
                              </LnkIn>
                            </Ctg>
                            <Ctg>
                              <CtgProps>
                                <R>5</R>
                              </CtgProps>
                              <LnkIn>
                                <LnkInProps>
                                  <MN>26</MN>
                                  <CLI>1,1,53,False,26</CLI>
                                  <ELN>1</ELN>
                                  <LOOT>0</LOOT>
                                  <LOMN>3</LOMN>
                                  <LOMCN>1</LOMCN>
                                  <LOSN>1</LOSN>
                                  <LOEN>29</LOEN>
                                  <LOCN>26</LOCN>
                                </LnkInProps>
                              </LnkIn>
                            </Ctg>
                            <Ctg>
                              <CtgProps>
                                <R>5</R>
                              </CtgProps>
                              <LnkIn>
                                <LnkInProps>
                                  <MN>26</MN>
                                  <CLI>1,1,53,False,27</CLI>
                                  <ELN>1</ELN>
                                  <LOOT>0</LOOT>
                                  <LOMN>3</LOMN>
                                  <LOMCN>1</LOMCN>
                                  <LOSN>1</LOSN>
                                  <LOEN>29</LOEN>
                                  <LOCN>27</LOCN>
                                </LnkInProps>
                              </LnkIn>
                            </Ctg>
                            <Ctg>
                              <CtgProps>
                                <R>5</R>
                              </CtgProps>
                              <LnkIn>
                                <LnkInProps>
                                  <MN>26</MN>
                                  <CLI>1,1,53,False,28</CLI>
                                  <ELN>1</ELN>
                                  <LOOT>0</LOOT>
                                  <LOMN>3</LOMN>
                                  <LOMCN>1</LOMCN>
                                  <LOSN>1</LOSN>
                                  <LOEN>29</LOEN>
                                  <LOCN>28</LOCN>
                                </LnkInProps>
                              </LnkIn>
                            </Ctg>
                            <Ctg>
                              <CtgProps>
                                <R>5</R>
                              </CtgProps>
                              <LnkIn>
                                <LnkInProps>
                                  <MN>26</MN>
                                  <CLI>1,1,53,False,29</CLI>
                                  <ELN>1</ELN>
                                  <LOOT>0</LOOT>
                                  <LOMN>3</LOMN>
                                  <LOMCN>1</LOMCN>
                                  <LOSN>1</LOSN>
                                  <LOEN>29</LOEN>
                                  <LOCN>29</LOCN>
                                </LnkInProps>
                              </LnkIn>
                            </Ctg>
                            <Ctg>
                              <CtgProps>
                                <R>5</R>
                              </CtgProps>
                              <LnkIn>
                                <LnkInProps>
                                  <MN>26</MN>
                                  <CLI>1,1,53,False,30</CLI>
                                  <ELN>1</ELN>
                                  <LOOT>0</LOOT>
                                  <LOMN>3</LOMN>
                                  <LOMCN>1</LOMCN>
                                  <LOSN>1</LOSN>
                                  <LOEN>29</LOEN>
                                  <LOCN>30</LOCN>
                                </LnkInProps>
                              </LnkIn>
                            </Ctg>
                            <Ctg>
                              <CtgProps>
                                <R>5</R>
                              </CtgProps>
                              <LnkIn>
                                <LnkInProps>
                                  <MN>26</MN>
                                  <CLI>1,1,53,False,31</CLI>
                                  <ELN>1</ELN>
                                  <LOOT>0</LOOT>
                                  <LOMN>3</LOMN>
                                  <LOMCN>1</LOMCN>
                                  <LOSN>1</LOSN>
                                  <LOEN>29</LOEN>
                                  <LOCN>31</LOCN>
                                </LnkInProps>
                              </LnkIn>
                            </Ctg>
                            <Ctg>
                              <CtgProps>
                                <R>5</R>
                              </CtgProps>
                              <LnkIn>
                                <LnkInProps>
                                  <MN>26</MN>
                                  <CLI>1,1,53,False,32</CLI>
                                  <ELN>1</ELN>
                                  <LOOT>0</LOOT>
                                  <LOMN>3</LOMN>
                                  <LOMCN>1</LOMCN>
                                  <LOSN>1</LOSN>
                                  <LOEN>29</LOEN>
                                  <LOCN>32</LOCN>
                                </LnkInProps>
                              </LnkIn>
                            </Ctg>
                            <Ctg>
                              <CtgProps>
                                <R>5</R>
                              </CtgProps>
                              <LnkIn>
                                <LnkInProps>
                                  <MN>26</MN>
                                  <CLI>1,1,53,False,33</CLI>
                                  <ELN>1</ELN>
                                  <LOOT>0</LOOT>
                                  <LOMN>3</LOMN>
                                  <LOMCN>1</LOMCN>
                                  <LOSN>1</LOSN>
                                  <LOEN>29</LOEN>
                                  <LOCN>33</LOCN>
                                </LnkInProps>
                              </LnkIn>
                            </Ctg>
                            <Ctg>
                              <CtgProps>
                                <R>5</R>
                              </CtgProps>
                              <LnkIn>
                                <LnkInProps>
                                  <MN>26</MN>
                                  <CLI>1,1,53,False,34</CLI>
                                  <ELN>1</ELN>
                                  <LOOT>0</LOOT>
                                  <LOMN>3</LOMN>
                                  <LOMCN>1</LOMCN>
                                  <LOSN>1</LOSN>
                                  <LOEN>29</LOEN>
                                  <LOCN>34</LOCN>
                                </LnkInProps>
                              </LnkIn>
                            </Ctg>
                            <Ctg>
                              <CtgProps>
                                <R>5</R>
                              </CtgProps>
                              <LnkIn>
                                <LnkInProps>
                                  <MN>26</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26</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26</MN>
                <MCN>2</MCN>
                <MCTK>BaseCase</MCTK>
                <RT><![CDATA[<ModuleName> - Assumptions]]></RT>
                <ERN>BPMMC142</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11</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26</MN>
                <MCN>3</MCN>
                <MCTK>OP</MCTK>
                <RT><![CDATA[<ModuleName> - Outputs]]></RT>
                <ERN>BPMMC143</ERN>
                <MCST>0</MCST>
                <IPMC>False</IPMC>
                <SN>30</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RND1_HQB]]></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18</LCN>
                          </ClmnBlkProps>
                          <ClmnBlkPts>
                            <ClmnBlkPt>
                              <ClmnBlkPtProps>
                                <CBPT>5</CBPT>
                                <ST>-1</ST>
                                <SON>18</SON>
                                <VOFFF/>
                              </ClmnBlkPtProps>
                            </ClmnBlkPt>
                          </ClmnBlkPts>
                        </ClmnBlk>
                      </ClmnBlks>
                      <TtlCtg/>
                    </Elmt>
                  </Elmts>
                </Sect>
              </Sects>
            </ModComp>
            <ModComp>
              <ModCompProps>
                <MN>26</MN>
                <MCN>4</MCN>
                <MCTK>LU</MCTK>
                <RT><![CDATA[<ModuleName> - Lookups]]></RT>
                <ERN>BPMMC144</ERN>
                <MCST>3</MCST>
                <IPMC>False</IPMC>
                <SN>52</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24</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3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3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3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3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3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3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14</MN>
            <MAG>45338FE0-6C0B-4A55-A5AC-B1F2F9D32FCD</MAG>
            <BN><![CDATA[PLUG_ACTIVITY]]></BN>
            <N><![CDATA[ROUND2- TEAM CONFIGURATION A]]></N>
            <TS><![CDATA[Annual]]></TS>
            <D><![CDATA[Assists with planning the cost of an activity. Should be used with Prices module.]]></D>
            <FS/>
            <R/>
            <GE/>
            <CA/>
            <VA/>
            <GST/>
            <DE/>
            <E/>
            <C/>
            <W/>
            <K/>
            <CO/>
            <V>1.0.0.0.</V>
            <AX/>
            <PMLO>False</PMLO>
            <IPMLO>False</IPMLO>
            <MACA>1</MACA>
            <RTSM>True</RTSM>
            <CC>True</CC>
            <X>False</X>
            <G>34012B90-ECF5-400F-B19C-8CF11B42823A</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27</MN>
                <MCN>1</MCN>
                <MCTK>BaseCase</MCTK>
                <RT><![CDATA[<ModuleName> - Assumptions]]></RT>
                <ERN>BPMMC91</ERN>
                <MCST>0</MCST>
                <IPMC>False</IPMC>
                <SN>21</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63</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4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27</MN>
                                  <CLI>1,1,34,False,1</CLI>
                                  <ELN>1</ELN>
                                  <LOOT>0</LOOT>
                                  <LOMN>3</LOMN>
                                  <LOMCN>2</LOMCN>
                                  <LOSN>1</LOSN>
                                  <LOEN>4</LOEN>
                                  <LOCN>1</LOCN>
                                </LnkInProps>
                              </LnkIn>
                            </Ctg>
                            <Ctg>
                              <CtgProps>
                                <R>5</R>
                              </CtgProps>
                              <LnkIn>
                                <LnkInProps>
                                  <MN>27</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27</MN>
                                  <CLI>1,1,39,False,1</CLI>
                                  <ELN>1</ELN>
                                  <LOOT>0</LOOT>
                                  <LOMN>3</LOMN>
                                  <LOMCN>1</LOMCN>
                                  <LOSN>1</LOSN>
                                  <LOEN>10</LOEN>
                                  <LOCN>1</LOCN>
                                </LnkInProps>
                              </LnkIn>
                            </Ctg>
                            <Ctg>
                              <CtgProps>
                                <R>4</R>
                              </CtgProps>
                              <LnkIn>
                                <LnkInProps>
                                  <MN>27</MN>
                                  <CLI>1,1,39,False,2</CLI>
                                  <ELN>1</ELN>
                                  <LOOT>0</LOOT>
                                  <LOMN>3</LOMN>
                                  <LOMCN>1</LOMCN>
                                  <LOSN>1</LOSN>
                                  <LOEN>10</LOEN>
                                  <LOCN>2</LOCN>
                                </LnkInProps>
                              </LnkIn>
                            </Ctg>
                            <Ctg>
                              <CtgProps>
                                <R>4</R>
                              </CtgProps>
                              <LnkIn>
                                <LnkInProps>
                                  <MN>27</MN>
                                  <CLI>1,1,39,False,3</CLI>
                                  <ELN>1</ELN>
                                  <LOOT>0</LOOT>
                                  <LOMN>3</LOMN>
                                  <LOMCN>1</LOMCN>
                                  <LOSN>1</LOSN>
                                  <LOEN>10</LOEN>
                                  <LOCN>3</LOCN>
                                </LnkInProps>
                              </LnkIn>
                            </Ctg>
                            <Ctg>
                              <CtgProps>
                                <R>4</R>
                              </CtgProps>
                              <LnkIn>
                                <LnkInProps>
                                  <MN>27</MN>
                                  <CLI>1,1,39,False,4</CLI>
                                  <ELN>1</ELN>
                                  <LOOT>0</LOOT>
                                  <LOMN>3</LOMN>
                                  <LOMCN>1</LOMCN>
                                  <LOSN>1</LOSN>
                                  <LOEN>10</LOEN>
                                  <LOCN>4</LOCN>
                                </LnkInProps>
                              </LnkIn>
                            </Ctg>
                            <Ctg>
                              <CtgProps>
                                <R>4</R>
                              </CtgProps>
                              <LnkIn>
                                <LnkInProps>
                                  <MN>27</MN>
                                  <CLI>1,1,39,False,5</CLI>
                                  <ELN>1</ELN>
                                  <LOOT>0</LOOT>
                                  <LOMN>3</LOMN>
                                  <LOMCN>1</LOMCN>
                                  <LOSN>1</LOSN>
                                  <LOEN>10</LOEN>
                                  <LOCN>5</LOCN>
                                </LnkInProps>
                              </LnkIn>
                            </Ctg>
                            <Ctg>
                              <CtgProps>
                                <R>4</R>
                              </CtgProps>
                              <LnkIn>
                                <LnkInProps>
                                  <MN>27</MN>
                                  <CLI>1,1,39,False,6</CLI>
                                  <ELN>1</ELN>
                                  <LOOT>0</LOOT>
                                  <LOMN>3</LOMN>
                                  <LOMCN>1</LOMCN>
                                  <LOSN>1</LOSN>
                                  <LOEN>10</LOEN>
                                  <LOCN>6</LOCN>
                                </LnkInProps>
                              </LnkIn>
                            </Ctg>
                            <Ctg>
                              <CtgProps>
                                <R>4</R>
                              </CtgProps>
                              <LnkIn>
                                <LnkInProps>
                                  <MN>27</MN>
                                  <CLI>1,1,39,False,7</CLI>
                                  <ELN>1</ELN>
                                  <LOOT>0</LOOT>
                                  <LOMN>3</LOMN>
                                  <LOMCN>1</LOMCN>
                                  <LOSN>1</LOSN>
                                  <LOEN>10</LOEN>
                                  <LOCN>7</LOCN>
                                </LnkInProps>
                              </LnkIn>
                            </Ctg>
                            <Ctg>
                              <CtgProps>
                                <R>4</R>
                              </CtgProps>
                              <LnkIn>
                                <LnkInProps>
                                  <MN>27</MN>
                                  <CLI>1,1,39,False,8</CLI>
                                  <ELN>1</ELN>
                                  <LOOT>0</LOOT>
                                  <LOMN>3</LOMN>
                                  <LOMCN>1</LOMCN>
                                  <LOSN>1</LOSN>
                                  <LOEN>10</LOEN>
                                  <LOCN>8</LOCN>
                                </LnkInProps>
                              </LnkIn>
                            </Ctg>
                            <Ctg>
                              <CtgProps>
                                <R>4</R>
                              </CtgProps>
                              <LnkIn>
                                <LnkInProps>
                                  <MN>27</MN>
                                  <CLI>1,1,39,False,9</CLI>
                                  <ELN>1</ELN>
                                  <LOOT>0</LOOT>
                                  <LOMN>3</LOMN>
                                  <LOMCN>1</LOMCN>
                                  <LOSN>1</LOSN>
                                  <LOEN>10</LOEN>
                                  <LOCN>9</LOCN>
                                </LnkInProps>
                              </LnkIn>
                            </Ctg>
                            <Ctg>
                              <CtgProps>
                                <R>4</R>
                              </CtgProps>
                              <LnkIn>
                                <LnkInProps>
                                  <MN>27</MN>
                                  <CLI>1,1,39,False,10</CLI>
                                  <ELN>1</ELN>
                                  <LOOT>0</LOOT>
                                  <LOMN>3</LOMN>
                                  <LOMCN>1</LOMCN>
                                  <LOSN>1</LOSN>
                                  <LOEN>10</LOEN>
                                  <LOCN>10</LOCN>
                                </LnkInProps>
                              </LnkIn>
                            </Ctg>
                            <Ctg>
                              <CtgProps>
                                <R>4</R>
                              </CtgProps>
                              <LnkIn>
                                <LnkInProps>
                                  <MN>27</MN>
                                  <CLI>1,1,39,False,11</CLI>
                                  <ELN>1</ELN>
                                  <LOOT>0</LOOT>
                                  <LOMN>3</LOMN>
                                  <LOMCN>1</LOMCN>
                                  <LOSN>1</LOSN>
                                  <LOEN>10</LOEN>
                                  <LOCN>11</LOCN>
                                </LnkInProps>
                              </LnkIn>
                            </Ctg>
                            <Ctg>
                              <CtgProps>
                                <R>4</R>
                              </CtgProps>
                              <LnkIn>
                                <LnkInProps>
                                  <MN>27</MN>
                                  <CLI>1,1,39,False,12</CLI>
                                  <ELN>1</ELN>
                                  <LOOT>0</LOOT>
                                  <LOMN>3</LOMN>
                                  <LOMCN>1</LOMCN>
                                  <LOSN>1</LOSN>
                                  <LOEN>10</LOEN>
                                  <LOCN>12</LOCN>
                                </LnkInProps>
                              </LnkIn>
                            </Ctg>
                            <Ctg>
                              <CtgProps>
                                <R>4</R>
                              </CtgProps>
                              <LnkIn>
                                <LnkInProps>
                                  <MN>27</MN>
                                  <CLI>1,1,39,False,13</CLI>
                                  <ELN>1</ELN>
                                  <LOOT>0</LOOT>
                                  <LOMN>3</LOMN>
                                  <LOMCN>1</LOMCN>
                                  <LOSN>1</LOSN>
                                  <LOEN>10</LOEN>
                                  <LOCN>13</LOCN>
                                </LnkInProps>
                              </LnkIn>
                            </Ctg>
                            <Ctg>
                              <CtgProps>
                                <R>4</R>
                              </CtgProps>
                              <LnkIn>
                                <LnkInProps>
                                  <MN>27</MN>
                                  <CLI>1,1,39,False,14</CLI>
                                  <ELN>1</ELN>
                                  <LOOT>0</LOOT>
                                  <LOMN>3</LOMN>
                                  <LOMCN>1</LOMCN>
                                  <LOSN>1</LOSN>
                                  <LOEN>10</LOEN>
                                  <LOCN>14</LOCN>
                                </LnkInProps>
                              </LnkIn>
                            </Ctg>
                            <Ctg>
                              <CtgProps>
                                <R>5</R>
                              </CtgProps>
                              <LnkIn>
                                <LnkInProps>
                                  <MN>27</MN>
                                  <CLI>1,1,39,False,15</CLI>
                                  <ELN>1</ELN>
                                  <LOOT>0</LOOT>
                                  <LOMN>3</LOMN>
                                  <LOMCN>1</LOMCN>
                                  <LOSN>1</LOSN>
                                  <LOEN>10</LOEN>
                                  <LOCN>15</LOCN>
                                </LnkInProps>
                              </LnkIn>
                            </Ctg>
                            <Ctg>
                              <CtgProps>
                                <R>5</R>
                              </CtgProps>
                              <LnkIn>
                                <LnkInProps>
                                  <MN>27</MN>
                                  <CLI>1,1,39,False,16</CLI>
                                  <ELN>1</ELN>
                                  <LOOT>0</LOOT>
                                  <LOMN>3</LOMN>
                                  <LOMCN>1</LOMCN>
                                  <LOSN>1</LOSN>
                                  <LOEN>10</LOEN>
                                  <LOCN>16</LOCN>
                                </LnkInProps>
                              </LnkIn>
                            </Ctg>
                            <Ctg>
                              <CtgProps>
                                <R>5</R>
                              </CtgProps>
                              <LnkIn>
                                <LnkInProps>
                                  <MN>27</MN>
                                  <CLI>1,1,39,False,17</CLI>
                                  <ELN>1</ELN>
                                  <LOOT>0</LOOT>
                                  <LOMN>3</LOMN>
                                  <LOMCN>1</LOMCN>
                                  <LOSN>1</LOSN>
                                  <LOEN>10</LOEN>
                                  <LOCN>17</LOCN>
                                </LnkInProps>
                              </LnkIn>
                            </Ctg>
                            <Ctg>
                              <CtgProps>
                                <R>5</R>
                              </CtgProps>
                              <LnkIn>
                                <LnkInProps>
                                  <MN>27</MN>
                                  <CLI>1,1,39,False,18</CLI>
                                  <ELN>1</ELN>
                                  <LOOT>0</LOOT>
                                  <LOMN>3</LOMN>
                                  <LOMCN>1</LOMCN>
                                  <LOSN>1</LOSN>
                                  <LOEN>10</LOEN>
                                  <LOCN>18</LOCN>
                                </LnkInProps>
                              </LnkIn>
                            </Ctg>
                            <Ctg>
                              <CtgProps>
                                <R>5</R>
                              </CtgProps>
                              <LnkIn>
                                <LnkInProps>
                                  <MN>27</MN>
                                  <CLI>1,1,39,False,19</CLI>
                                  <ELN>1</ELN>
                                  <LOOT>0</LOOT>
                                  <LOMN>3</LOMN>
                                  <LOMCN>1</LOMCN>
                                  <LOSN>1</LOSN>
                                  <LOEN>10</LOEN>
                                  <LOCN>19</LOCN>
                                </LnkInProps>
                              </LnkIn>
                            </Ctg>
                            <Ctg>
                              <CtgProps>
                                <R>5</R>
                              </CtgProps>
                              <LnkIn>
                                <LnkInProps>
                                  <MN>27</MN>
                                  <CLI>1,1,39,False,20</CLI>
                                  <ELN>1</ELN>
                                  <LOOT>0</LOOT>
                                  <LOMN>3</LOMN>
                                  <LOMCN>1</LOMCN>
                                  <LOSN>1</LOSN>
                                  <LOEN>10</LOEN>
                                  <LOCN>20</LOCN>
                                </LnkInProps>
                              </LnkIn>
                            </Ctg>
                            <Ctg>
                              <CtgProps>
                                <R>5</R>
                              </CtgProps>
                              <LnkIn>
                                <LnkInProps>
                                  <MN>27</MN>
                                  <CLI>1,1,39,False,21</CLI>
                                  <ELN>1</ELN>
                                  <LOOT>0</LOOT>
                                  <LOMN>3</LOMN>
                                  <LOMCN>1</LOMCN>
                                  <LOSN>1</LOSN>
                                  <LOEN>10</LOEN>
                                  <LOCN>21</LOCN>
                                </LnkInProps>
                              </LnkIn>
                            </Ctg>
                            <Ctg>
                              <CtgProps>
                                <R>5</R>
                              </CtgProps>
                              <LnkIn>
                                <LnkInProps>
                                  <MN>27</MN>
                                  <CLI>1,1,39,False,22</CLI>
                                  <ELN>1</ELN>
                                  <LOOT>0</LOOT>
                                  <LOMN>3</LOMN>
                                  <LOMCN>1</LOMCN>
                                  <LOSN>1</LOSN>
                                  <LOEN>10</LOEN>
                                  <LOCN>22</LOCN>
                                </LnkInProps>
                              </LnkIn>
                            </Ctg>
                            <Ctg>
                              <CtgProps>
                                <R>5</R>
                              </CtgProps>
                              <LnkIn>
                                <LnkInProps>
                                  <MN>27</MN>
                                  <CLI>1,1,39,False,23</CLI>
                                  <ELN>1</ELN>
                                  <LOOT>0</LOOT>
                                  <LOMN>3</LOMN>
                                  <LOMCN>1</LOMCN>
                                  <LOSN>1</LOSN>
                                  <LOEN>10</LOEN>
                                  <LOCN>23</LOCN>
                                </LnkInProps>
                              </LnkIn>
                            </Ctg>
                            <Ctg>
                              <CtgProps>
                                <R>5</R>
                              </CtgProps>
                              <LnkIn>
                                <LnkInProps>
                                  <MN>27</MN>
                                  <CLI>1,1,39,False,24</CLI>
                                  <ELN>1</ELN>
                                  <LOOT>0</LOOT>
                                  <LOMN>3</LOMN>
                                  <LOMCN>1</LOMCN>
                                  <LOSN>1</LOSN>
                                  <LOEN>10</LOEN>
                                  <LOCN>24</LOCN>
                                </LnkInProps>
                              </LnkIn>
                            </Ctg>
                            <Ctg>
                              <CtgProps>
                                <R>5</R>
                              </CtgProps>
                              <LnkIn>
                                <LnkInProps>
                                  <MN>27</MN>
                                  <CLI>1,1,39,False,25</CLI>
                                  <ELN>1</ELN>
                                  <LOOT>0</LOOT>
                                  <LOMN>3</LOMN>
                                  <LOMCN>1</LOMCN>
                                  <LOSN>1</LOSN>
                                  <LOEN>10</LOEN>
                                  <LOCN>25</LOCN>
                                </LnkInProps>
                              </LnkIn>
                            </Ctg>
                            <Ctg>
                              <CtgProps>
                                <R>5</R>
                              </CtgProps>
                              <LnkIn>
                                <LnkInProps>
                                  <MN>27</MN>
                                  <CLI>1,1,39,False,26</CLI>
                                  <ELN>1</ELN>
                                  <LOOT>0</LOOT>
                                  <LOMN>3</LOMN>
                                  <LOMCN>1</LOMCN>
                                  <LOSN>1</LOSN>
                                  <LOEN>10</LOEN>
                                  <LOCN>26</LOCN>
                                </LnkInProps>
                              </LnkIn>
                            </Ctg>
                            <Ctg>
                              <CtgProps>
                                <R>5</R>
                              </CtgProps>
                              <LnkIn>
                                <LnkInProps>
                                  <MN>27</MN>
                                  <CLI>1,1,39,False,27</CLI>
                                  <ELN>1</ELN>
                                  <LOOT>0</LOOT>
                                  <LOMN>3</LOMN>
                                  <LOMCN>1</LOMCN>
                                  <LOSN>1</LOSN>
                                  <LOEN>10</LOEN>
                                  <LOCN>27</LOCN>
                                </LnkInProps>
                              </LnkIn>
                            </Ctg>
                            <Ctg>
                              <CtgProps>
                                <R>5</R>
                              </CtgProps>
                              <LnkIn>
                                <LnkInProps>
                                  <MN>27</MN>
                                  <CLI>1,1,39,False,28</CLI>
                                  <ELN>1</ELN>
                                  <LOOT>0</LOOT>
                                  <LOMN>3</LOMN>
                                  <LOMCN>1</LOMCN>
                                  <LOSN>1</LOSN>
                                  <LOEN>10</LOEN>
                                  <LOCN>28</LOCN>
                                </LnkInProps>
                              </LnkIn>
                            </Ctg>
                            <Ctg>
                              <CtgProps>
                                <R>5</R>
                              </CtgProps>
                              <LnkIn>
                                <LnkInProps>
                                  <MN>27</MN>
                                  <CLI>1,1,39,False,29</CLI>
                                  <ELN>1</ELN>
                                  <LOOT>0</LOOT>
                                  <LOMN>3</LOMN>
                                  <LOMCN>1</LOMCN>
                                  <LOSN>1</LOSN>
                                  <LOEN>10</LOEN>
                                  <LOCN>29</LOCN>
                                </LnkInProps>
                              </LnkIn>
                            </Ctg>
                            <Ctg>
                              <CtgProps>
                                <R>5</R>
                              </CtgProps>
                              <LnkIn>
                                <LnkInProps>
                                  <MN>27</MN>
                                  <CLI>1,1,39,False,30</CLI>
                                  <ELN>1</ELN>
                                  <LOOT>0</LOOT>
                                  <LOMN>3</LOMN>
                                  <LOMCN>1</LOMCN>
                                  <LOSN>1</LOSN>
                                  <LOEN>10</LOEN>
                                  <LOCN>30</LOCN>
                                </LnkInProps>
                              </LnkIn>
                            </Ctg>
                            <Ctg>
                              <CtgProps>
                                <R>5</R>
                              </CtgProps>
                              <LnkIn>
                                <LnkInProps>
                                  <MN>27</MN>
                                  <CLI>1,1,39,False,31</CLI>
                                  <ELN>1</ELN>
                                  <LOOT>0</LOOT>
                                  <LOMN>3</LOMN>
                                  <LOMCN>1</LOMCN>
                                  <LOSN>1</LOSN>
                                  <LOEN>10</LOEN>
                                  <LOCN>31</LOCN>
                                </LnkInProps>
                              </LnkIn>
                            </Ctg>
                            <Ctg>
                              <CtgProps>
                                <R>5</R>
                              </CtgProps>
                              <LnkIn>
                                <LnkInProps>
                                  <MN>27</MN>
                                  <CLI>1,1,39,False,32</CLI>
                                  <ELN>1</ELN>
                                  <LOOT>0</LOOT>
                                  <LOMN>3</LOMN>
                                  <LOMCN>1</LOMCN>
                                  <LOSN>1</LOSN>
                                  <LOEN>10</LOEN>
                                  <LOCN>32</LOCN>
                                </LnkInProps>
                              </LnkIn>
                            </Ctg>
                            <Ctg>
                              <CtgProps>
                                <R>5</R>
                              </CtgProps>
                              <LnkIn>
                                <LnkInProps>
                                  <MN>27</MN>
                                  <CLI>1,1,39,False,33</CLI>
                                  <ELN>1</ELN>
                                  <LOOT>0</LOOT>
                                  <LOMN>3</LOMN>
                                  <LOMCN>1</LOMCN>
                                  <LOSN>1</LOSN>
                                  <LOEN>10</LOEN>
                                  <LOCN>33</LOCN>
                                </LnkInProps>
                              </LnkIn>
                            </Ctg>
                            <Ctg>
                              <CtgProps>
                                <R>5</R>
                              </CtgProps>
                              <LnkIn>
                                <LnkInProps>
                                  <MN>27</MN>
                                  <CLI>1,1,39,False,34</CLI>
                                  <ELN>1</ELN>
                                  <LOOT>0</LOOT>
                                  <LOMN>3</LOMN>
                                  <LOMCN>1</LOMCN>
                                  <LOSN>1</LOSN>
                                  <LOEN>10</LOEN>
                                  <LOCN>34</LOCN>
                                </LnkInProps>
                              </LnkIn>
                            </Ctg>
                            <Ctg>
                              <CtgProps>
                                <R>5</R>
                              </CtgProps>
                              <LnkIn>
                                <LnkInProps>
                                  <MN>27</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27</MN>
                                  <CLI>1,1,42,False,1</CLI>
                                  <ELN>1</ELN>
                                  <LOOT>0</LOOT>
                                  <LOMN>3</LOMN>
                                  <LOMCN>1</LOMCN>
                                  <LOSN>1</LOSN>
                                  <LOEN>15</LOEN>
                                  <LOCN>1</LOCN>
                                </LnkInProps>
                              </LnkIn>
                            </Ctg>
                            <Ctg>
                              <CtgProps>
                                <R>4</R>
                              </CtgProps>
                              <LnkIn>
                                <LnkInProps>
                                  <MN>27</MN>
                                  <CLI>1,1,42,False,2</CLI>
                                  <ELN>1</ELN>
                                  <LOOT>0</LOOT>
                                  <LOMN>3</LOMN>
                                  <LOMCN>1</LOMCN>
                                  <LOSN>1</LOSN>
                                  <LOEN>15</LOEN>
                                  <LOCN>2</LOCN>
                                </LnkInProps>
                              </LnkIn>
                            </Ctg>
                            <Ctg>
                              <CtgProps>
                                <R>4</R>
                              </CtgProps>
                              <LnkIn>
                                <LnkInProps>
                                  <MN>27</MN>
                                  <CLI>1,1,42,False,3</CLI>
                                  <ELN>1</ELN>
                                  <LOOT>0</LOOT>
                                  <LOMN>3</LOMN>
                                  <LOMCN>1</LOMCN>
                                  <LOSN>1</LOSN>
                                  <LOEN>15</LOEN>
                                  <LOCN>3</LOCN>
                                </LnkInProps>
                              </LnkIn>
                            </Ctg>
                            <Ctg>
                              <CtgProps>
                                <R>4</R>
                              </CtgProps>
                              <LnkIn>
                                <LnkInProps>
                                  <MN>27</MN>
                                  <CLI>1,1,42,False,4</CLI>
                                  <ELN>1</ELN>
                                  <LOOT>0</LOOT>
                                  <LOMN>3</LOMN>
                                  <LOMCN>1</LOMCN>
                                  <LOSN>1</LOSN>
                                  <LOEN>15</LOEN>
                                  <LOCN>4</LOCN>
                                </LnkInProps>
                              </LnkIn>
                            </Ctg>
                            <Ctg>
                              <CtgProps>
                                <R>5</R>
                              </CtgProps>
                              <LnkIn>
                                <LnkInProps>
                                  <MN>27</MN>
                                  <CLI>1,1,42,False,5</CLI>
                                  <ELN>1</ELN>
                                  <LOOT>0</LOOT>
                                  <LOMN>3</LOMN>
                                  <LOMCN>1</LOMCN>
                                  <LOSN>1</LOSN>
                                  <LOEN>15</LOEN>
                                  <LOCN>5</LOCN>
                                </LnkInProps>
                              </LnkIn>
                            </Ctg>
                            <Ctg>
                              <CtgProps>
                                <R>5</R>
                              </CtgProps>
                              <LnkIn>
                                <LnkInProps>
                                  <MN>27</MN>
                                  <CLI>1,1,42,False,6</CLI>
                                  <ELN>1</ELN>
                                  <LOOT>0</LOOT>
                                  <LOMN>3</LOMN>
                                  <LOMCN>1</LOMCN>
                                  <LOSN>1</LOSN>
                                  <LOEN>15</LOEN>
                                  <LOCN>6</LOCN>
                                </LnkInProps>
                              </LnkIn>
                            </Ctg>
                            <Ctg>
                              <CtgProps>
                                <R>5</R>
                              </CtgProps>
                              <LnkIn>
                                <LnkInProps>
                                  <MN>27</MN>
                                  <CLI>1,1,42,False,7</CLI>
                                  <ELN>1</ELN>
                                  <LOOT>0</LOOT>
                                  <LOMN>3</LOMN>
                                  <LOMCN>1</LOMCN>
                                  <LOSN>1</LOSN>
                                  <LOEN>15</LOEN>
                                  <LOCN>7</LOCN>
                                </LnkInProps>
                              </LnkIn>
                            </Ctg>
                            <Ctg>
                              <CtgProps>
                                <R>5</R>
                              </CtgProps>
                              <LnkIn>
                                <LnkInProps>
                                  <MN>27</MN>
                                  <CLI>1,1,42,False,8</CLI>
                                  <ELN>1</ELN>
                                  <LOOT>0</LOOT>
                                  <LOMN>3</LOMN>
                                  <LOMCN>1</LOMCN>
                                  <LOSN>1</LOSN>
                                  <LOEN>15</LOEN>
                                  <LOCN>8</LOCN>
                                </LnkInProps>
                              </LnkIn>
                            </Ctg>
                            <Ctg>
                              <CtgProps>
                                <R>5</R>
                              </CtgProps>
                              <LnkIn>
                                <LnkInProps>
                                  <MN>27</MN>
                                  <CLI>1,1,42,False,9</CLI>
                                  <ELN>1</ELN>
                                  <LOOT>0</LOOT>
                                  <LOMN>3</LOMN>
                                  <LOMCN>1</LOMCN>
                                  <LOSN>1</LOSN>
                                  <LOEN>15</LOEN>
                                  <LOCN>9</LOCN>
                                </LnkInProps>
                              </LnkIn>
                            </Ctg>
                            <Ctg>
                              <CtgProps>
                                <R>5</R>
                              </CtgProps>
                              <LnkIn>
                                <LnkInProps>
                                  <MN>27</MN>
                                  <CLI>1,1,42,False,10</CLI>
                                  <ELN>1</ELN>
                                  <LOOT>0</LOOT>
                                  <LOMN>3</LOMN>
                                  <LOMCN>1</LOMCN>
                                  <LOSN>1</LOSN>
                                  <LOEN>15</LOEN>
                                  <LOCN>10</LOCN>
                                </LnkInProps>
                              </LnkIn>
                            </Ctg>
                            <Ctg>
                              <CtgProps>
                                <R>5</R>
                              </CtgProps>
                              <LnkIn>
                                <LnkInProps>
                                  <MN>27</MN>
                                  <CLI>1,1,42,False,11</CLI>
                                  <ELN>1</ELN>
                                  <LOOT>0</LOOT>
                                  <LOMN>3</LOMN>
                                  <LOMCN>1</LOMCN>
                                  <LOSN>1</LOSN>
                                  <LOEN>15</LOEN>
                                  <LOCN>11</LOCN>
                                </LnkInProps>
                              </LnkIn>
                            </Ctg>
                            <Ctg>
                              <CtgProps>
                                <R>5</R>
                              </CtgProps>
                              <LnkIn>
                                <LnkInProps>
                                  <MN>27</MN>
                                  <CLI>1,1,42,False,12</CLI>
                                  <ELN>1</ELN>
                                  <LOOT>0</LOOT>
                                  <LOMN>3</LOMN>
                                  <LOMCN>1</LOMCN>
                                  <LOSN>1</LOSN>
                                  <LOEN>15</LOEN>
                                  <LOCN>12</LOCN>
                                </LnkInProps>
                              </LnkIn>
                            </Ctg>
                            <Ctg>
                              <CtgProps>
                                <R>5</R>
                              </CtgProps>
                              <LnkIn>
                                <LnkInProps>
                                  <MN>27</MN>
                                  <CLI>1,1,42,False,13</CLI>
                                  <ELN>1</ELN>
                                  <LOOT>0</LOOT>
                                  <LOMN>3</LOMN>
                                  <LOMCN>1</LOMCN>
                                  <LOSN>1</LOSN>
                                  <LOEN>15</LOEN>
                                  <LOCN>13</LOCN>
                                </LnkInProps>
                              </LnkIn>
                            </Ctg>
                            <Ctg>
                              <CtgProps>
                                <R>5</R>
                              </CtgProps>
                              <LnkIn>
                                <LnkInProps>
                                  <MN>27</MN>
                                  <CLI>1,1,42,False,14</CLI>
                                  <ELN>1</ELN>
                                  <LOOT>0</LOOT>
                                  <LOMN>3</LOMN>
                                  <LOMCN>1</LOMCN>
                                  <LOSN>1</LOSN>
                                  <LOEN>15</LOEN>
                                  <LOCN>14</LOCN>
                                </LnkInProps>
                              </LnkIn>
                            </Ctg>
                            <Ctg>
                              <CtgProps>
                                <R>5</R>
                              </CtgProps>
                              <LnkIn>
                                <LnkInProps>
                                  <MN>27</MN>
                                  <CLI>1,1,42,False,15</CLI>
                                  <ELN>1</ELN>
                                  <LOOT>0</LOOT>
                                  <LOMN>3</LOMN>
                                  <LOMCN>1</LOMCN>
                                  <LOSN>1</LOSN>
                                  <LOEN>15</LOEN>
                                  <LOCN>15</LOCN>
                                </LnkInProps>
                              </LnkIn>
                            </Ctg>
                            <Ctg>
                              <CtgProps>
                                <R>5</R>
                              </CtgProps>
                              <LnkIn>
                                <LnkInProps>
                                  <MN>27</MN>
                                  <CLI>1,1,42,False,16</CLI>
                                  <ELN>1</ELN>
                                  <LOOT>0</LOOT>
                                  <LOMN>3</LOMN>
                                  <LOMCN>1</LOMCN>
                                  <LOSN>1</LOSN>
                                  <LOEN>15</LOEN>
                                  <LOCN>16</LOCN>
                                </LnkInProps>
                              </LnkIn>
                            </Ctg>
                            <Ctg>
                              <CtgProps>
                                <R>4</R>
                              </CtgProps>
                              <LnkIn>
                                <LnkInProps>
                                  <MN>27</MN>
                                  <CLI>1,1,42,False,17</CLI>
                                  <ELN>1</ELN>
                                  <LOOT>0</LOOT>
                                  <LOMN>3</LOMN>
                                  <LOMCN>1</LOMCN>
                                  <LOSN>1</LOSN>
                                  <LOEN>15</LOEN>
                                  <LOCN>17</LOCN>
                                </LnkInProps>
                              </LnkIn>
                            </Ctg>
                            <Ctg>
                              <CtgProps>
                                <R>4</R>
                              </CtgProps>
                              <LnkIn>
                                <LnkInProps>
                                  <MN>27</MN>
                                  <CLI>1,1,42,False,18</CLI>
                                  <ELN>1</ELN>
                                  <LOOT>0</LOOT>
                                  <LOMN>3</LOMN>
                                  <LOMCN>1</LOMCN>
                                  <LOSN>1</LOSN>
                                  <LOEN>15</LOEN>
                                  <LOCN>18</LOCN>
                                </LnkInProps>
                              </LnkIn>
                            </Ctg>
                            <Ctg>
                              <CtgProps>
                                <R>4</R>
                              </CtgProps>
                              <LnkIn>
                                <LnkInProps>
                                  <MN>27</MN>
                                  <CLI>1,1,42,False,19</CLI>
                                  <ELN>1</ELN>
                                  <LOOT>0</LOOT>
                                  <LOMN>3</LOMN>
                                  <LOMCN>1</LOMCN>
                                  <LOSN>1</LOSN>
                                  <LOEN>15</LOEN>
                                  <LOCN>19</LOCN>
                                </LnkInProps>
                              </LnkIn>
                            </Ctg>
                            <Ctg>
                              <CtgProps>
                                <R>4</R>
                              </CtgProps>
                              <LnkIn>
                                <LnkInProps>
                                  <MN>27</MN>
                                  <CLI>1,1,42,False,20</CLI>
                                  <ELN>1</ELN>
                                  <LOOT>0</LOOT>
                                  <LOMN>3</LOMN>
                                  <LOMCN>1</LOMCN>
                                  <LOSN>1</LOSN>
                                  <LOEN>15</LOEN>
                                  <LOCN>20</LOCN>
                                </LnkInProps>
                              </LnkIn>
                            </Ctg>
                            <Ctg>
                              <CtgProps>
                                <R>4</R>
                              </CtgProps>
                              <LnkIn>
                                <LnkInProps>
                                  <MN>27</MN>
                                  <CLI>1,1,42,False,21</CLI>
                                  <ELN>1</ELN>
                                  <LOOT>0</LOOT>
                                  <LOMN>3</LOMN>
                                  <LOMCN>1</LOMCN>
                                  <LOSN>1</LOSN>
                                  <LOEN>15</LOEN>
                                  <LOCN>21</LOCN>
                                </LnkInProps>
                              </LnkIn>
                            </Ctg>
                            <Ctg>
                              <CtgProps>
                                <R>4</R>
                              </CtgProps>
                              <LnkIn>
                                <LnkInProps>
                                  <MN>27</MN>
                                  <CLI>1,1,42,False,22</CLI>
                                  <ELN>1</ELN>
                                  <LOOT>0</LOOT>
                                  <LOMN>3</LOMN>
                                  <LOMCN>1</LOMCN>
                                  <LOSN>1</LOSN>
                                  <LOEN>15</LOEN>
                                  <LOCN>22</LOCN>
                                </LnkInProps>
                              </LnkIn>
                            </Ctg>
                            <Ctg>
                              <CtgProps>
                                <R>5</R>
                              </CtgProps>
                              <LnkIn>
                                <LnkInProps>
                                  <MN>27</MN>
                                  <CLI>1,1,42,False,23</CLI>
                                  <ELN>1</ELN>
                                  <LOOT>0</LOOT>
                                  <LOMN>3</LOMN>
                                  <LOMCN>1</LOMCN>
                                  <LOSN>1</LOSN>
                                  <LOEN>15</LOEN>
                                  <LOCN>23</LOCN>
                                </LnkInProps>
                              </LnkIn>
                            </Ctg>
                            <Ctg>
                              <CtgProps>
                                <R>5</R>
                              </CtgProps>
                              <LnkIn>
                                <LnkInProps>
                                  <MN>27</MN>
                                  <CLI>1,1,42,False,24</CLI>
                                  <ELN>1</ELN>
                                  <LOOT>0</LOOT>
                                  <LOMN>3</LOMN>
                                  <LOMCN>1</LOMCN>
                                  <LOSN>1</LOSN>
                                  <LOEN>15</LOEN>
                                  <LOCN>24</LOCN>
                                </LnkInProps>
                              </LnkIn>
                            </Ctg>
                            <Ctg>
                              <CtgProps>
                                <R>5</R>
                              </CtgProps>
                              <LnkIn>
                                <LnkInProps>
                                  <MN>27</MN>
                                  <CLI>1,1,42,False,25</CLI>
                                  <ELN>1</ELN>
                                  <LOOT>0</LOOT>
                                  <LOMN>3</LOMN>
                                  <LOMCN>1</LOMCN>
                                  <LOSN>1</LOSN>
                                  <LOEN>15</LOEN>
                                  <LOCN>25</LOCN>
                                </LnkInProps>
                              </LnkIn>
                            </Ctg>
                            <Ctg>
                              <CtgProps>
                                <R>5</R>
                              </CtgProps>
                              <LnkIn>
                                <LnkInProps>
                                  <MN>27</MN>
                                  <CLI>1,1,42,False,26</CLI>
                                  <ELN>1</ELN>
                                  <LOOT>0</LOOT>
                                  <LOMN>3</LOMN>
                                  <LOMCN>1</LOMCN>
                                  <LOSN>1</LOSN>
                                  <LOEN>15</LOEN>
                                  <LOCN>26</LOCN>
                                </LnkInProps>
                              </LnkIn>
                            </Ctg>
                            <Ctg>
                              <CtgProps>
                                <R>5</R>
                              </CtgProps>
                              <LnkIn>
                                <LnkInProps>
                                  <MN>27</MN>
                                  <CLI>1,1,42,False,27</CLI>
                                  <ELN>1</ELN>
                                  <LOOT>0</LOOT>
                                  <LOMN>3</LOMN>
                                  <LOMCN>1</LOMCN>
                                  <LOSN>1</LOSN>
                                  <LOEN>15</LOEN>
                                  <LOCN>27</LOCN>
                                </LnkInProps>
                              </LnkIn>
                            </Ctg>
                            <Ctg>
                              <CtgProps>
                                <R>5</R>
                              </CtgProps>
                              <LnkIn>
                                <LnkInProps>
                                  <MN>27</MN>
                                  <CLI>1,1,42,False,28</CLI>
                                  <ELN>1</ELN>
                                  <LOOT>0</LOOT>
                                  <LOMN>3</LOMN>
                                  <LOMCN>1</LOMCN>
                                  <LOSN>1</LOSN>
                                  <LOEN>15</LOEN>
                                  <LOCN>28</LOCN>
                                </LnkInProps>
                              </LnkIn>
                            </Ctg>
                            <Ctg>
                              <CtgProps>
                                <R>5</R>
                              </CtgProps>
                              <LnkIn>
                                <LnkInProps>
                                  <MN>27</MN>
                                  <CLI>1,1,42,False,29</CLI>
                                  <ELN>1</ELN>
                                  <LOOT>0</LOOT>
                                  <LOMN>3</LOMN>
                                  <LOMCN>1</LOMCN>
                                  <LOSN>1</LOSN>
                                  <LOEN>15</LOEN>
                                  <LOCN>29</LOCN>
                                </LnkInProps>
                              </LnkIn>
                            </Ctg>
                            <Ctg>
                              <CtgProps>
                                <R>5</R>
                              </CtgProps>
                              <LnkIn>
                                <LnkInProps>
                                  <MN>27</MN>
                                  <CLI>1,1,42,False,30</CLI>
                                  <ELN>1</ELN>
                                  <LOOT>0</LOOT>
                                  <LOMN>3</LOMN>
                                  <LOMCN>1</LOMCN>
                                  <LOSN>1</LOSN>
                                  <LOEN>15</LOEN>
                                  <LOCN>30</LOCN>
                                </LnkInProps>
                              </LnkIn>
                            </Ctg>
                            <Ctg>
                              <CtgProps>
                                <R>4</R>
                              </CtgProps>
                              <LnkIn>
                                <LnkInProps>
                                  <MN>27</MN>
                                  <CLI>1,1,42,False,31</CLI>
                                  <ELN>1</ELN>
                                  <LOOT>0</LOOT>
                                  <LOMN>3</LOMN>
                                  <LOMCN>1</LOMCN>
                                  <LOSN>1</LOSN>
                                  <LOEN>15</LOEN>
                                  <LOCN>31</LOCN>
                                </LnkInProps>
                              </LnkIn>
                            </Ctg>
                            <Ctg>
                              <CtgProps>
                                <R>4</R>
                              </CtgProps>
                              <LnkIn>
                                <LnkInProps>
                                  <MN>27</MN>
                                  <CLI>1,1,42,False,32</CLI>
                                  <ELN>1</ELN>
                                  <LOOT>0</LOOT>
                                  <LOMN>3</LOMN>
                                  <LOMCN>1</LOMCN>
                                  <LOSN>1</LOSN>
                                  <LOEN>15</LOEN>
                                  <LOCN>32</LOCN>
                                </LnkInProps>
                              </LnkIn>
                            </Ctg>
                            <Ctg>
                              <CtgProps>
                                <R>4</R>
                              </CtgProps>
                              <LnkIn>
                                <LnkInProps>
                                  <MN>27</MN>
                                  <CLI>1,1,42,False,33</CLI>
                                  <ELN>1</ELN>
                                  <LOOT>0</LOOT>
                                  <LOMN>3</LOMN>
                                  <LOMCN>1</LOMCN>
                                  <LOSN>1</LOSN>
                                  <LOEN>15</LOEN>
                                  <LOCN>33</LOCN>
                                </LnkInProps>
                              </LnkIn>
                            </Ctg>
                            <Ctg>
                              <CtgProps>
                                <R>4</R>
                              </CtgProps>
                              <LnkIn>
                                <LnkInProps>
                                  <MN>27</MN>
                                  <CLI>1,1,42,False,34</CLI>
                                  <ELN>1</ELN>
                                  <LOOT>0</LOOT>
                                  <LOMN>3</LOMN>
                                  <LOMCN>1</LOMCN>
                                  <LOSN>1</LOSN>
                                  <LOEN>15</LOEN>
                                  <LOCN>34</LOCN>
                                </LnkInProps>
                              </LnkIn>
                            </Ctg>
                            <Ctg>
                              <CtgProps>
                                <R>4</R>
                              </CtgProps>
                              <LnkIn>
                                <LnkInProps>
                                  <MN>27</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27</MN>
                                  <CLI>1,1,46,False,1</CLI>
                                  <ELN>1</ELN>
                                  <LOOT>0</LOOT>
                                  <LOMN>3</LOMN>
                                  <LOMCN>1</LOMCN>
                                  <LOSN>1</LOSN>
                                  <LOEN>19</LOEN>
                                  <LOCN>1</LOCN>
                                </LnkInProps>
                              </LnkIn>
                            </Ctg>
                            <Ctg>
                              <CtgProps>
                                <R>4</R>
                              </CtgProps>
                              <LnkIn>
                                <LnkInProps>
                                  <MN>27</MN>
                                  <CLI>1,1,46,False,2</CLI>
                                  <ELN>1</ELN>
                                  <LOOT>0</LOOT>
                                  <LOMN>3</LOMN>
                                  <LOMCN>1</LOMCN>
                                  <LOSN>1</LOSN>
                                  <LOEN>19</LOEN>
                                  <LOCN>2</LOCN>
                                </LnkInProps>
                              </LnkIn>
                            </Ctg>
                            <Ctg>
                              <CtgProps>
                                <R>4</R>
                              </CtgProps>
                              <LnkIn>
                                <LnkInProps>
                                  <MN>27</MN>
                                  <CLI>1,1,46,False,3</CLI>
                                  <ELN>1</ELN>
                                  <LOOT>0</LOOT>
                                  <LOMN>3</LOMN>
                                  <LOMCN>1</LOMCN>
                                  <LOSN>1</LOSN>
                                  <LOEN>19</LOEN>
                                  <LOCN>3</LOCN>
                                </LnkInProps>
                              </LnkIn>
                            </Ctg>
                            <Ctg>
                              <CtgProps>
                                <R>4</R>
                              </CtgProps>
                              <LnkIn>
                                <LnkInProps>
                                  <MN>27</MN>
                                  <CLI>1,1,46,False,4</CLI>
                                  <ELN>1</ELN>
                                  <LOOT>0</LOOT>
                                  <LOMN>3</LOMN>
                                  <LOMCN>1</LOMCN>
                                  <LOSN>1</LOSN>
                                  <LOEN>19</LOEN>
                                  <LOCN>4</LOCN>
                                </LnkInProps>
                              </LnkIn>
                            </Ctg>
                            <Ctg>
                              <CtgProps>
                                <R>4</R>
                              </CtgProps>
                              <LnkIn>
                                <LnkInProps>
                                  <MN>27</MN>
                                  <CLI>1,1,46,False,5</CLI>
                                  <ELN>1</ELN>
                                  <LOOT>0</LOOT>
                                  <LOMN>3</LOMN>
                                  <LOMCN>1</LOMCN>
                                  <LOSN>1</LOSN>
                                  <LOEN>19</LOEN>
                                  <LOCN>5</LOCN>
                                </LnkInProps>
                              </LnkIn>
                            </Ctg>
                            <Ctg>
                              <CtgProps>
                                <R>4</R>
                              </CtgProps>
                              <LnkIn>
                                <LnkInProps>
                                  <MN>27</MN>
                                  <CLI>1,1,46,False,6</CLI>
                                  <ELN>1</ELN>
                                  <LOOT>0</LOOT>
                                  <LOMN>3</LOMN>
                                  <LOMCN>1</LOMCN>
                                  <LOSN>1</LOSN>
                                  <LOEN>19</LOEN>
                                  <LOCN>6</LOCN>
                                </LnkInProps>
                              </LnkIn>
                            </Ctg>
                            <Ctg>
                              <CtgProps>
                                <R>4</R>
                              </CtgProps>
                              <LnkIn>
                                <LnkInProps>
                                  <MN>27</MN>
                                  <CLI>1,1,46,False,7</CLI>
                                  <ELN>1</ELN>
                                  <LOOT>0</LOOT>
                                  <LOMN>3</LOMN>
                                  <LOMCN>1</LOMCN>
                                  <LOSN>1</LOSN>
                                  <LOEN>19</LOEN>
                                  <LOCN>7</LOCN>
                                </LnkInProps>
                              </LnkIn>
                            </Ctg>
                            <Ctg>
                              <CtgProps>
                                <R>4</R>
                              </CtgProps>
                              <LnkIn>
                                <LnkInProps>
                                  <MN>27</MN>
                                  <CLI>1,1,46,False,8</CLI>
                                  <ELN>1</ELN>
                                  <LOOT>0</LOOT>
                                  <LOMN>3</LOMN>
                                  <LOMCN>1</LOMCN>
                                  <LOSN>1</LOSN>
                                  <LOEN>19</LOEN>
                                  <LOCN>8</LOCN>
                                </LnkInProps>
                              </LnkIn>
                            </Ctg>
                            <Ctg>
                              <CtgProps>
                                <R>4</R>
                              </CtgProps>
                              <LnkIn>
                                <LnkInProps>
                                  <MN>27</MN>
                                  <CLI>1,1,46,False,9</CLI>
                                  <ELN>1</ELN>
                                  <LOOT>0</LOOT>
                                  <LOMN>3</LOMN>
                                  <LOMCN>1</LOMCN>
                                  <LOSN>1</LOSN>
                                  <LOEN>19</LOEN>
                                  <LOCN>9</LOCN>
                                </LnkInProps>
                              </LnkIn>
                            </Ctg>
                            <Ctg>
                              <CtgProps>
                                <R>4</R>
                              </CtgProps>
                              <LnkIn>
                                <LnkInProps>
                                  <MN>27</MN>
                                  <CLI>1,1,46,False,10</CLI>
                                  <ELN>1</ELN>
                                  <LOOT>0</LOOT>
                                  <LOMN>3</LOMN>
                                  <LOMCN>1</LOMCN>
                                  <LOSN>1</LOSN>
                                  <LOEN>19</LOEN>
                                  <LOCN>10</LOCN>
                                </LnkInProps>
                              </LnkIn>
                            </Ctg>
                            <Ctg>
                              <CtgProps>
                                <R>4</R>
                              </CtgProps>
                              <LnkIn>
                                <LnkInProps>
                                  <MN>27</MN>
                                  <CLI>1,1,46,False,11</CLI>
                                  <ELN>1</ELN>
                                  <LOOT>0</LOOT>
                                  <LOMN>3</LOMN>
                                  <LOMCN>1</LOMCN>
                                  <LOSN>1</LOSN>
                                  <LOEN>19</LOEN>
                                  <LOCN>11</LOCN>
                                </LnkInProps>
                              </LnkIn>
                            </Ctg>
                            <Ctg>
                              <CtgProps>
                                <R>4</R>
                              </CtgProps>
                              <LnkIn>
                                <LnkInProps>
                                  <MN>27</MN>
                                  <CLI>1,1,46,False,12</CLI>
                                  <ELN>1</ELN>
                                  <LOOT>0</LOOT>
                                  <LOMN>3</LOMN>
                                  <LOMCN>1</LOMCN>
                                  <LOSN>1</LOSN>
                                  <LOEN>19</LOEN>
                                  <LOCN>12</LOCN>
                                </LnkInProps>
                              </LnkIn>
                            </Ctg>
                            <Ctg>
                              <CtgProps>
                                <R>4</R>
                              </CtgProps>
                              <LnkIn>
                                <LnkInProps>
                                  <MN>27</MN>
                                  <CLI>1,1,46,False,13</CLI>
                                  <ELN>1</ELN>
                                  <LOOT>0</LOOT>
                                  <LOMN>3</LOMN>
                                  <LOMCN>1</LOMCN>
                                  <LOSN>1</LOSN>
                                  <LOEN>19</LOEN>
                                  <LOCN>13</LOCN>
                                </LnkInProps>
                              </LnkIn>
                            </Ctg>
                            <Ctg>
                              <CtgProps>
                                <R>4</R>
                              </CtgProps>
                              <LnkIn>
                                <LnkInProps>
                                  <MN>27</MN>
                                  <CLI>1,1,46,False,14</CLI>
                                  <ELN>1</ELN>
                                  <LOOT>0</LOOT>
                                  <LOMN>3</LOMN>
                                  <LOMCN>1</LOMCN>
                                  <LOSN>1</LOSN>
                                  <LOEN>19</LOEN>
                                  <LOCN>14</LOCN>
                                </LnkInProps>
                              </LnkIn>
                            </Ctg>
                            <Ctg>
                              <CtgProps>
                                <R>4</R>
                              </CtgProps>
                              <LnkIn>
                                <LnkInProps>
                                  <MN>27</MN>
                                  <CLI>1,1,46,False,15</CLI>
                                  <ELN>1</ELN>
                                  <LOOT>0</LOOT>
                                  <LOMN>3</LOMN>
                                  <LOMCN>1</LOMCN>
                                  <LOSN>1</LOSN>
                                  <LOEN>19</LOEN>
                                  <LOCN>15</LOCN>
                                </LnkInProps>
                              </LnkIn>
                            </Ctg>
                            <Ctg>
                              <CtgProps>
                                <R>5</R>
                              </CtgProps>
                              <LnkIn>
                                <LnkInProps>
                                  <MN>27</MN>
                                  <CLI>1,1,46,False,16</CLI>
                                  <ELN>1</ELN>
                                  <LOOT>0</LOOT>
                                  <LOMN>3</LOMN>
                                  <LOMCN>1</LOMCN>
                                  <LOSN>1</LOSN>
                                  <LOEN>19</LOEN>
                                  <LOCN>16</LOCN>
                                </LnkInProps>
                              </LnkIn>
                            </Ctg>
                            <Ctg>
                              <CtgProps>
                                <R>5</R>
                              </CtgProps>
                              <LnkIn>
                                <LnkInProps>
                                  <MN>27</MN>
                                  <CLI>1,1,46,False,17</CLI>
                                  <ELN>1</ELN>
                                  <LOOT>0</LOOT>
                                  <LOMN>3</LOMN>
                                  <LOMCN>1</LOMCN>
                                  <LOSN>1</LOSN>
                                  <LOEN>19</LOEN>
                                  <LOCN>17</LOCN>
                                </LnkInProps>
                              </LnkIn>
                            </Ctg>
                            <Ctg>
                              <CtgProps>
                                <R>5</R>
                              </CtgProps>
                              <LnkIn>
                                <LnkInProps>
                                  <MN>27</MN>
                                  <CLI>1,1,46,False,18</CLI>
                                  <ELN>1</ELN>
                                  <LOOT>0</LOOT>
                                  <LOMN>3</LOMN>
                                  <LOMCN>1</LOMCN>
                                  <LOSN>1</LOSN>
                                  <LOEN>19</LOEN>
                                  <LOCN>18</LOCN>
                                </LnkInProps>
                              </LnkIn>
                            </Ctg>
                            <Ctg>
                              <CtgProps>
                                <R>5</R>
                              </CtgProps>
                              <LnkIn>
                                <LnkInProps>
                                  <MN>27</MN>
                                  <CLI>1,1,46,False,19</CLI>
                                  <ELN>1</ELN>
                                  <LOOT>0</LOOT>
                                  <LOMN>3</LOMN>
                                  <LOMCN>1</LOMCN>
                                  <LOSN>1</LOSN>
                                  <LOEN>19</LOEN>
                                  <LOCN>19</LOCN>
                                </LnkInProps>
                              </LnkIn>
                            </Ctg>
                            <Ctg>
                              <CtgProps>
                                <R>5</R>
                              </CtgProps>
                              <LnkIn>
                                <LnkInProps>
                                  <MN>27</MN>
                                  <CLI>1,1,46,False,20</CLI>
                                  <ELN>1</ELN>
                                  <LOOT>0</LOOT>
                                  <LOMN>3</LOMN>
                                  <LOMCN>1</LOMCN>
                                  <LOSN>1</LOSN>
                                  <LOEN>19</LOEN>
                                  <LOCN>20</LOCN>
                                </LnkInProps>
                              </LnkIn>
                            </Ctg>
                            <Ctg>
                              <CtgProps>
                                <R>5</R>
                              </CtgProps>
                              <LnkIn>
                                <LnkInProps>
                                  <MN>27</MN>
                                  <CLI>1,1,46,False,21</CLI>
                                  <ELN>1</ELN>
                                  <LOOT>0</LOOT>
                                  <LOMN>3</LOMN>
                                  <LOMCN>1</LOMCN>
                                  <LOSN>1</LOSN>
                                  <LOEN>19</LOEN>
                                  <LOCN>21</LOCN>
                                </LnkInProps>
                              </LnkIn>
                            </Ctg>
                            <Ctg>
                              <CtgProps>
                                <R>5</R>
                              </CtgProps>
                              <LnkIn>
                                <LnkInProps>
                                  <MN>27</MN>
                                  <CLI>1,1,46,False,22</CLI>
                                  <ELN>1</ELN>
                                  <LOOT>0</LOOT>
                                  <LOMN>3</LOMN>
                                  <LOMCN>1</LOMCN>
                                  <LOSN>1</LOSN>
                                  <LOEN>19</LOEN>
                                  <LOCN>22</LOCN>
                                </LnkInProps>
                              </LnkIn>
                            </Ctg>
                            <Ctg>
                              <CtgProps>
                                <R>5</R>
                              </CtgProps>
                              <LnkIn>
                                <LnkInProps>
                                  <MN>27</MN>
                                  <CLI>1,1,46,False,23</CLI>
                                  <ELN>1</ELN>
                                  <LOOT>0</LOOT>
                                  <LOMN>3</LOMN>
                                  <LOMCN>1</LOMCN>
                                  <LOSN>1</LOSN>
                                  <LOEN>19</LOEN>
                                  <LOCN>23</LOCN>
                                </LnkInProps>
                              </LnkIn>
                            </Ctg>
                            <Ctg>
                              <CtgProps>
                                <R>5</R>
                              </CtgProps>
                              <LnkIn>
                                <LnkInProps>
                                  <MN>27</MN>
                                  <CLI>1,1,46,False,24</CLI>
                                  <ELN>1</ELN>
                                  <LOOT>0</LOOT>
                                  <LOMN>3</LOMN>
                                  <LOMCN>1</LOMCN>
                                  <LOSN>1</LOSN>
                                  <LOEN>19</LOEN>
                                  <LOCN>24</LOCN>
                                </LnkInProps>
                              </LnkIn>
                            </Ctg>
                            <Ctg>
                              <CtgProps>
                                <R>5</R>
                              </CtgProps>
                              <LnkIn>
                                <LnkInProps>
                                  <MN>27</MN>
                                  <CLI>1,1,46,False,25</CLI>
                                  <ELN>1</ELN>
                                  <LOOT>0</LOOT>
                                  <LOMN>3</LOMN>
                                  <LOMCN>1</LOMCN>
                                  <LOSN>1</LOSN>
                                  <LOEN>19</LOEN>
                                  <LOCN>25</LOCN>
                                </LnkInProps>
                              </LnkIn>
                            </Ctg>
                            <Ctg>
                              <CtgProps>
                                <R>5</R>
                              </CtgProps>
                              <LnkIn>
                                <LnkInProps>
                                  <MN>27</MN>
                                  <CLI>1,1,46,False,26</CLI>
                                  <ELN>1</ELN>
                                  <LOOT>0</LOOT>
                                  <LOMN>3</LOMN>
                                  <LOMCN>1</LOMCN>
                                  <LOSN>1</LOSN>
                                  <LOEN>19</LOEN>
                                  <LOCN>26</LOCN>
                                </LnkInProps>
                              </LnkIn>
                            </Ctg>
                            <Ctg>
                              <CtgProps>
                                <R>5</R>
                              </CtgProps>
                              <LnkIn>
                                <LnkInProps>
                                  <MN>27</MN>
                                  <CLI>1,1,46,False,27</CLI>
                                  <ELN>1</ELN>
                                  <LOOT>0</LOOT>
                                  <LOMN>3</LOMN>
                                  <LOMCN>1</LOMCN>
                                  <LOSN>1</LOSN>
                                  <LOEN>19</LOEN>
                                  <LOCN>27</LOCN>
                                </LnkInProps>
                              </LnkIn>
                            </Ctg>
                            <Ctg>
                              <CtgProps>
                                <R>5</R>
                              </CtgProps>
                              <LnkIn>
                                <LnkInProps>
                                  <MN>27</MN>
                                  <CLI>1,1,46,False,28</CLI>
                                  <ELN>1</ELN>
                                  <LOOT>0</LOOT>
                                  <LOMN>3</LOMN>
                                  <LOMCN>1</LOMCN>
                                  <LOSN>1</LOSN>
                                  <LOEN>19</LOEN>
                                  <LOCN>28</LOCN>
                                </LnkInProps>
                              </LnkIn>
                            </Ctg>
                            <Ctg>
                              <CtgProps>
                                <R>5</R>
                              </CtgProps>
                              <LnkIn>
                                <LnkInProps>
                                  <MN>27</MN>
                                  <CLI>1,1,46,False,29</CLI>
                                  <ELN>1</ELN>
                                  <LOOT>0</LOOT>
                                  <LOMN>3</LOMN>
                                  <LOMCN>1</LOMCN>
                                  <LOSN>1</LOSN>
                                  <LOEN>19</LOEN>
                                  <LOCN>29</LOCN>
                                </LnkInProps>
                              </LnkIn>
                            </Ctg>
                            <Ctg>
                              <CtgProps>
                                <R>5</R>
                              </CtgProps>
                              <LnkIn>
                                <LnkInProps>
                                  <MN>27</MN>
                                  <CLI>1,1,46,False,30</CLI>
                                  <ELN>1</ELN>
                                  <LOOT>0</LOOT>
                                  <LOMN>3</LOMN>
                                  <LOMCN>1</LOMCN>
                                  <LOSN>1</LOSN>
                                  <LOEN>19</LOEN>
                                  <LOCN>30</LOCN>
                                </LnkInProps>
                              </LnkIn>
                            </Ctg>
                            <Ctg>
                              <CtgProps>
                                <R>5</R>
                              </CtgProps>
                              <LnkIn>
                                <LnkInProps>
                                  <MN>27</MN>
                                  <CLI>1,1,46,False,31</CLI>
                                  <ELN>1</ELN>
                                  <LOOT>0</LOOT>
                                  <LOMN>3</LOMN>
                                  <LOMCN>1</LOMCN>
                                  <LOSN>1</LOSN>
                                  <LOEN>19</LOEN>
                                  <LOCN>31</LOCN>
                                </LnkInProps>
                              </LnkIn>
                            </Ctg>
                            <Ctg>
                              <CtgProps>
                                <R>5</R>
                              </CtgProps>
                              <LnkIn>
                                <LnkInProps>
                                  <MN>27</MN>
                                  <CLI>1,1,46,False,32</CLI>
                                  <ELN>1</ELN>
                                  <LOOT>0</LOOT>
                                  <LOMN>3</LOMN>
                                  <LOMCN>1</LOMCN>
                                  <LOSN>1</LOSN>
                                  <LOEN>19</LOEN>
                                  <LOCN>32</LOCN>
                                </LnkInProps>
                              </LnkIn>
                            </Ctg>
                            <Ctg>
                              <CtgProps>
                                <R>5</R>
                              </CtgProps>
                              <LnkIn>
                                <LnkInProps>
                                  <MN>27</MN>
                                  <CLI>1,1,46,False,33</CLI>
                                  <ELN>1</ELN>
                                  <LOOT>0</LOOT>
                                  <LOMN>3</LOMN>
                                  <LOMCN>1</LOMCN>
                                  <LOSN>1</LOSN>
                                  <LOEN>19</LOEN>
                                  <LOCN>33</LOCN>
                                </LnkInProps>
                              </LnkIn>
                            </Ctg>
                            <Ctg>
                              <CtgProps>
                                <R>5</R>
                              </CtgProps>
                              <LnkIn>
                                <LnkInProps>
                                  <MN>27</MN>
                                  <CLI>1,1,46,False,34</CLI>
                                  <ELN>1</ELN>
                                  <LOOT>0</LOOT>
                                  <LOMN>3</LOMN>
                                  <LOMCN>1</LOMCN>
                                  <LOSN>1</LOSN>
                                  <LOEN>19</LOEN>
                                  <LOCN>34</LOCN>
                                </LnkInProps>
                              </LnkIn>
                            </Ctg>
                            <Ctg>
                              <CtgProps>
                                <R>5</R>
                              </CtgProps>
                              <LnkIn>
                                <LnkInProps>
                                  <MN>27</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27</MN>
                                  <CLI>1,1,49,False,1</CLI>
                                  <ELN>1</ELN>
                                  <LOOT>0</LOOT>
                                  <LOMN>3</LOMN>
                                  <LOMCN>1</LOMCN>
                                  <LOSN>1</LOSN>
                                  <LOEN>24</LOEN>
                                  <LOCN>1</LOCN>
                                </LnkInProps>
                              </LnkIn>
                            </Ctg>
                            <Ctg>
                              <CtgProps>
                                <R>4</R>
                              </CtgProps>
                              <LnkIn>
                                <LnkInProps>
                                  <MN>27</MN>
                                  <CLI>1,1,49,False,2</CLI>
                                  <ELN>1</ELN>
                                  <LOOT>0</LOOT>
                                  <LOMN>3</LOMN>
                                  <LOMCN>1</LOMCN>
                                  <LOSN>1</LOSN>
                                  <LOEN>24</LOEN>
                                  <LOCN>2</LOCN>
                                </LnkInProps>
                              </LnkIn>
                            </Ctg>
                            <Ctg>
                              <CtgProps>
                                <R>4</R>
                              </CtgProps>
                              <LnkIn>
                                <LnkInProps>
                                  <MN>27</MN>
                                  <CLI>1,1,49,False,3</CLI>
                                  <ELN>1</ELN>
                                  <LOOT>0</LOOT>
                                  <LOMN>3</LOMN>
                                  <LOMCN>1</LOMCN>
                                  <LOSN>1</LOSN>
                                  <LOEN>24</LOEN>
                                  <LOCN>3</LOCN>
                                </LnkInProps>
                              </LnkIn>
                            </Ctg>
                            <Ctg>
                              <CtgProps>
                                <R>4</R>
                              </CtgProps>
                              <LnkIn>
                                <LnkInProps>
                                  <MN>27</MN>
                                  <CLI>1,1,49,False,4</CLI>
                                  <ELN>1</ELN>
                                  <LOOT>0</LOOT>
                                  <LOMN>3</LOMN>
                                  <LOMCN>1</LOMCN>
                                  <LOSN>1</LOSN>
                                  <LOEN>24</LOEN>
                                  <LOCN>4</LOCN>
                                </LnkInProps>
                              </LnkIn>
                            </Ctg>
                            <Ctg>
                              <CtgProps>
                                <R>4</R>
                              </CtgProps>
                              <LnkIn>
                                <LnkInProps>
                                  <MN>27</MN>
                                  <CLI>1,1,49,False,5</CLI>
                                  <ELN>1</ELN>
                                  <LOOT>0</LOOT>
                                  <LOMN>3</LOMN>
                                  <LOMCN>1</LOMCN>
                                  <LOSN>1</LOSN>
                                  <LOEN>24</LOEN>
                                  <LOCN>5</LOCN>
                                </LnkInProps>
                              </LnkIn>
                            </Ctg>
                            <Ctg>
                              <CtgProps>
                                <R>5</R>
                              </CtgProps>
                              <LnkIn>
                                <LnkInProps>
                                  <MN>27</MN>
                                  <CLI>1,1,49,False,6</CLI>
                                  <ELN>1</ELN>
                                  <LOOT>0</LOOT>
                                  <LOMN>3</LOMN>
                                  <LOMCN>1</LOMCN>
                                  <LOSN>1</LOSN>
                                  <LOEN>24</LOEN>
                                  <LOCN>6</LOCN>
                                </LnkInProps>
                              </LnkIn>
                            </Ctg>
                            <Ctg>
                              <CtgProps>
                                <R>5</R>
                              </CtgProps>
                              <LnkIn>
                                <LnkInProps>
                                  <MN>27</MN>
                                  <CLI>1,1,49,False,7</CLI>
                                  <ELN>1</ELN>
                                  <LOOT>0</LOOT>
                                  <LOMN>3</LOMN>
                                  <LOMCN>1</LOMCN>
                                  <LOSN>1</LOSN>
                                  <LOEN>24</LOEN>
                                  <LOCN>7</LOCN>
                                </LnkInProps>
                              </LnkIn>
                            </Ctg>
                            <Ctg>
                              <CtgProps>
                                <R>5</R>
                              </CtgProps>
                              <LnkIn>
                                <LnkInProps>
                                  <MN>27</MN>
                                  <CLI>1,1,49,False,8</CLI>
                                  <ELN>1</ELN>
                                  <LOOT>0</LOOT>
                                  <LOMN>3</LOMN>
                                  <LOMCN>1</LOMCN>
                                  <LOSN>1</LOSN>
                                  <LOEN>24</LOEN>
                                  <LOCN>8</LOCN>
                                </LnkInProps>
                              </LnkIn>
                            </Ctg>
                            <Ctg>
                              <CtgProps>
                                <R>5</R>
                              </CtgProps>
                              <LnkIn>
                                <LnkInProps>
                                  <MN>27</MN>
                                  <CLI>1,1,49,False,9</CLI>
                                  <ELN>1</ELN>
                                  <LOOT>0</LOOT>
                                  <LOMN>3</LOMN>
                                  <LOMCN>1</LOMCN>
                                  <LOSN>1</LOSN>
                                  <LOEN>24</LOEN>
                                  <LOCN>9</LOCN>
                                </LnkInProps>
                              </LnkIn>
                            </Ctg>
                            <Ctg>
                              <CtgProps>
                                <R>5</R>
                              </CtgProps>
                              <LnkIn>
                                <LnkInProps>
                                  <MN>27</MN>
                                  <CLI>1,1,49,False,10</CLI>
                                  <ELN>1</ELN>
                                  <LOOT>0</LOOT>
                                  <LOMN>3</LOMN>
                                  <LOMCN>1</LOMCN>
                                  <LOSN>1</LOSN>
                                  <LOEN>24</LOEN>
                                  <LOCN>10</LOCN>
                                </LnkInProps>
                              </LnkIn>
                            </Ctg>
                            <Ctg>
                              <CtgProps>
                                <R>5</R>
                              </CtgProps>
                              <LnkIn>
                                <LnkInProps>
                                  <MN>27</MN>
                                  <CLI>1,1,49,False,11</CLI>
                                  <ELN>1</ELN>
                                  <LOOT>0</LOOT>
                                  <LOMN>3</LOMN>
                                  <LOMCN>1</LOMCN>
                                  <LOSN>1</LOSN>
                                  <LOEN>24</LOEN>
                                  <LOCN>11</LOCN>
                                </LnkInProps>
                              </LnkIn>
                            </Ctg>
                            <Ctg>
                              <CtgProps>
                                <R>5</R>
                              </CtgProps>
                              <LnkIn>
                                <LnkInProps>
                                  <MN>27</MN>
                                  <CLI>1,1,49,False,12</CLI>
                                  <ELN>1</ELN>
                                  <LOOT>0</LOOT>
                                  <LOMN>3</LOMN>
                                  <LOMCN>1</LOMCN>
                                  <LOSN>1</LOSN>
                                  <LOEN>24</LOEN>
                                  <LOCN>12</LOCN>
                                </LnkInProps>
                              </LnkIn>
                            </Ctg>
                            <Ctg>
                              <CtgProps>
                                <R>5</R>
                              </CtgProps>
                              <LnkIn>
                                <LnkInProps>
                                  <MN>27</MN>
                                  <CLI>1,1,49,False,13</CLI>
                                  <ELN>1</ELN>
                                  <LOOT>0</LOOT>
                                  <LOMN>3</LOMN>
                                  <LOMCN>1</LOMCN>
                                  <LOSN>1</LOSN>
                                  <LOEN>24</LOEN>
                                  <LOCN>13</LOCN>
                                </LnkInProps>
                              </LnkIn>
                            </Ctg>
                            <Ctg>
                              <CtgProps>
                                <R>5</R>
                              </CtgProps>
                              <LnkIn>
                                <LnkInProps>
                                  <MN>27</MN>
                                  <CLI>1,1,49,False,14</CLI>
                                  <ELN>1</ELN>
                                  <LOOT>0</LOOT>
                                  <LOMN>3</LOMN>
                                  <LOMCN>1</LOMCN>
                                  <LOSN>1</LOSN>
                                  <LOEN>24</LOEN>
                                  <LOCN>14</LOCN>
                                </LnkInProps>
                              </LnkIn>
                            </Ctg>
                            <Ctg>
                              <CtgProps>
                                <R>5</R>
                              </CtgProps>
                              <LnkIn>
                                <LnkInProps>
                                  <MN>27</MN>
                                  <CLI>1,1,49,False,15</CLI>
                                  <ELN>1</ELN>
                                  <LOOT>0</LOOT>
                                  <LOMN>3</LOMN>
                                  <LOMCN>1</LOMCN>
                                  <LOSN>1</LOSN>
                                  <LOEN>24</LOEN>
                                  <LOCN>15</LOCN>
                                </LnkInProps>
                              </LnkIn>
                            </Ctg>
                            <Ctg>
                              <CtgProps>
                                <R>5</R>
                              </CtgProps>
                              <LnkIn>
                                <LnkInProps>
                                  <MN>27</MN>
                                  <CLI>1,1,49,False,16</CLI>
                                  <ELN>1</ELN>
                                  <LOOT>0</LOOT>
                                  <LOMN>3</LOMN>
                                  <LOMCN>1</LOMCN>
                                  <LOSN>1</LOSN>
                                  <LOEN>24</LOEN>
                                  <LOCN>16</LOCN>
                                </LnkInProps>
                              </LnkIn>
                            </Ctg>
                            <Ctg>
                              <CtgProps>
                                <R>5</R>
                              </CtgProps>
                              <LnkIn>
                                <LnkInProps>
                                  <MN>27</MN>
                                  <CLI>1,1,49,False,17</CLI>
                                  <ELN>1</ELN>
                                  <LOOT>0</LOOT>
                                  <LOMN>3</LOMN>
                                  <LOMCN>1</LOMCN>
                                  <LOSN>1</LOSN>
                                  <LOEN>24</LOEN>
                                  <LOCN>17</LOCN>
                                </LnkInProps>
                              </LnkIn>
                            </Ctg>
                            <Ctg>
                              <CtgProps>
                                <R>5</R>
                              </CtgProps>
                              <LnkIn>
                                <LnkInProps>
                                  <MN>27</MN>
                                  <CLI>1,1,49,False,18</CLI>
                                  <ELN>1</ELN>
                                  <LOOT>0</LOOT>
                                  <LOMN>3</LOMN>
                                  <LOMCN>1</LOMCN>
                                  <LOSN>1</LOSN>
                                  <LOEN>24</LOEN>
                                  <LOCN>18</LOCN>
                                </LnkInProps>
                              </LnkIn>
                            </Ctg>
                            <Ctg>
                              <CtgProps>
                                <R>5</R>
                              </CtgProps>
                              <LnkIn>
                                <LnkInProps>
                                  <MN>27</MN>
                                  <CLI>1,1,49,False,19</CLI>
                                  <ELN>1</ELN>
                                  <LOOT>0</LOOT>
                                  <LOMN>3</LOMN>
                                  <LOMCN>1</LOMCN>
                                  <LOSN>1</LOSN>
                                  <LOEN>24</LOEN>
                                  <LOCN>19</LOCN>
                                </LnkInProps>
                              </LnkIn>
                            </Ctg>
                            <Ctg>
                              <CtgProps>
                                <R>5</R>
                              </CtgProps>
                              <LnkIn>
                                <LnkInProps>
                                  <MN>27</MN>
                                  <CLI>1,1,49,False,20</CLI>
                                  <ELN>1</ELN>
                                  <LOOT>0</LOOT>
                                  <LOMN>3</LOMN>
                                  <LOMCN>1</LOMCN>
                                  <LOSN>1</LOSN>
                                  <LOEN>24</LOEN>
                                  <LOCN>20</LOCN>
                                </LnkInProps>
                              </LnkIn>
                            </Ctg>
                            <Ctg>
                              <CtgProps>
                                <R>5</R>
                              </CtgProps>
                              <LnkIn>
                                <LnkInProps>
                                  <MN>27</MN>
                                  <CLI>1,1,49,False,21</CLI>
                                  <ELN>1</ELN>
                                  <LOOT>0</LOOT>
                                  <LOMN>3</LOMN>
                                  <LOMCN>1</LOMCN>
                                  <LOSN>1</LOSN>
                                  <LOEN>24</LOEN>
                                  <LOCN>21</LOCN>
                                </LnkInProps>
                              </LnkIn>
                            </Ctg>
                            <Ctg>
                              <CtgProps>
                                <R>5</R>
                              </CtgProps>
                              <LnkIn>
                                <LnkInProps>
                                  <MN>27</MN>
                                  <CLI>1,1,49,False,22</CLI>
                                  <ELN>1</ELN>
                                  <LOOT>0</LOOT>
                                  <LOMN>3</LOMN>
                                  <LOMCN>1</LOMCN>
                                  <LOSN>1</LOSN>
                                  <LOEN>24</LOEN>
                                  <LOCN>22</LOCN>
                                </LnkInProps>
                              </LnkIn>
                            </Ctg>
                            <Ctg>
                              <CtgProps>
                                <R>5</R>
                              </CtgProps>
                              <LnkIn>
                                <LnkInProps>
                                  <MN>27</MN>
                                  <CLI>1,1,49,False,23</CLI>
                                  <ELN>1</ELN>
                                  <LOOT>0</LOOT>
                                  <LOMN>3</LOMN>
                                  <LOMCN>1</LOMCN>
                                  <LOSN>1</LOSN>
                                  <LOEN>24</LOEN>
                                  <LOCN>23</LOCN>
                                </LnkInProps>
                              </LnkIn>
                            </Ctg>
                            <Ctg>
                              <CtgProps>
                                <R>5</R>
                              </CtgProps>
                              <LnkIn>
                                <LnkInProps>
                                  <MN>27</MN>
                                  <CLI>1,1,49,False,24</CLI>
                                  <ELN>1</ELN>
                                  <LOOT>0</LOOT>
                                  <LOMN>3</LOMN>
                                  <LOMCN>1</LOMCN>
                                  <LOSN>1</LOSN>
                                  <LOEN>24</LOEN>
                                  <LOCN>24</LOCN>
                                </LnkInProps>
                              </LnkIn>
                            </Ctg>
                            <Ctg>
                              <CtgProps>
                                <R>5</R>
                              </CtgProps>
                              <LnkIn>
                                <LnkInProps>
                                  <MN>27</MN>
                                  <CLI>1,1,49,False,25</CLI>
                                  <ELN>1</ELN>
                                  <LOOT>0</LOOT>
                                  <LOMN>3</LOMN>
                                  <LOMCN>1</LOMCN>
                                  <LOSN>1</LOSN>
                                  <LOEN>24</LOEN>
                                  <LOCN>25</LOCN>
                                </LnkInProps>
                              </LnkIn>
                            </Ctg>
                            <Ctg>
                              <CtgProps>
                                <R>5</R>
                              </CtgProps>
                              <LnkIn>
                                <LnkInProps>
                                  <MN>27</MN>
                                  <CLI>1,1,49,False,26</CLI>
                                  <ELN>1</ELN>
                                  <LOOT>0</LOOT>
                                  <LOMN>3</LOMN>
                                  <LOMCN>1</LOMCN>
                                  <LOSN>1</LOSN>
                                  <LOEN>24</LOEN>
                                  <LOCN>26</LOCN>
                                </LnkInProps>
                              </LnkIn>
                            </Ctg>
                            <Ctg>
                              <CtgProps>
                                <R>5</R>
                              </CtgProps>
                              <LnkIn>
                                <LnkInProps>
                                  <MN>27</MN>
                                  <CLI>1,1,49,False,27</CLI>
                                  <ELN>1</ELN>
                                  <LOOT>0</LOOT>
                                  <LOMN>3</LOMN>
                                  <LOMCN>1</LOMCN>
                                  <LOSN>1</LOSN>
                                  <LOEN>24</LOEN>
                                  <LOCN>27</LOCN>
                                </LnkInProps>
                              </LnkIn>
                            </Ctg>
                            <Ctg>
                              <CtgProps>
                                <R>5</R>
                              </CtgProps>
                              <LnkIn>
                                <LnkInProps>
                                  <MN>27</MN>
                                  <CLI>1,1,49,False,28</CLI>
                                  <ELN>1</ELN>
                                  <LOOT>0</LOOT>
                                  <LOMN>3</LOMN>
                                  <LOMCN>1</LOMCN>
                                  <LOSN>1</LOSN>
                                  <LOEN>24</LOEN>
                                  <LOCN>28</LOCN>
                                </LnkInProps>
                              </LnkIn>
                            </Ctg>
                            <Ctg>
                              <CtgProps>
                                <R>5</R>
                              </CtgProps>
                              <LnkIn>
                                <LnkInProps>
                                  <MN>27</MN>
                                  <CLI>1,1,49,False,29</CLI>
                                  <ELN>1</ELN>
                                  <LOOT>0</LOOT>
                                  <LOMN>3</LOMN>
                                  <LOMCN>1</LOMCN>
                                  <LOSN>1</LOSN>
                                  <LOEN>24</LOEN>
                                  <LOCN>29</LOCN>
                                </LnkInProps>
                              </LnkIn>
                            </Ctg>
                            <Ctg>
                              <CtgProps>
                                <R>5</R>
                              </CtgProps>
                              <LnkIn>
                                <LnkInProps>
                                  <MN>27</MN>
                                  <CLI>1,1,49,False,30</CLI>
                                  <ELN>1</ELN>
                                  <LOOT>0</LOOT>
                                  <LOMN>3</LOMN>
                                  <LOMCN>1</LOMCN>
                                  <LOSN>1</LOSN>
                                  <LOEN>24</LOEN>
                                  <LOCN>30</LOCN>
                                </LnkInProps>
                              </LnkIn>
                            </Ctg>
                            <Ctg>
                              <CtgProps>
                                <R>5</R>
                              </CtgProps>
                              <LnkIn>
                                <LnkInProps>
                                  <MN>27</MN>
                                  <CLI>1,1,49,False,31</CLI>
                                  <ELN>1</ELN>
                                  <LOOT>0</LOOT>
                                  <LOMN>3</LOMN>
                                  <LOMCN>1</LOMCN>
                                  <LOSN>1</LOSN>
                                  <LOEN>24</LOEN>
                                  <LOCN>31</LOCN>
                                </LnkInProps>
                              </LnkIn>
                            </Ctg>
                            <Ctg>
                              <CtgProps>
                                <R>5</R>
                              </CtgProps>
                              <LnkIn>
                                <LnkInProps>
                                  <MN>27</MN>
                                  <CLI>1,1,49,False,32</CLI>
                                  <ELN>1</ELN>
                                  <LOOT>0</LOOT>
                                  <LOMN>3</LOMN>
                                  <LOMCN>1</LOMCN>
                                  <LOSN>1</LOSN>
                                  <LOEN>24</LOEN>
                                  <LOCN>32</LOCN>
                                </LnkInProps>
                              </LnkIn>
                            </Ctg>
                            <Ctg>
                              <CtgProps>
                                <R>5</R>
                              </CtgProps>
                              <LnkIn>
                                <LnkInProps>
                                  <MN>27</MN>
                                  <CLI>1,1,49,False,33</CLI>
                                  <ELN>1</ELN>
                                  <LOOT>0</LOOT>
                                  <LOMN>3</LOMN>
                                  <LOMCN>1</LOMCN>
                                  <LOSN>1</LOSN>
                                  <LOEN>24</LOEN>
                                  <LOCN>33</LOCN>
                                </LnkInProps>
                              </LnkIn>
                            </Ctg>
                            <Ctg>
                              <CtgProps>
                                <R>5</R>
                              </CtgProps>
                              <LnkIn>
                                <LnkInProps>
                                  <MN>27</MN>
                                  <CLI>1,1,49,False,34</CLI>
                                  <ELN>1</ELN>
                                  <LOOT>0</LOOT>
                                  <LOMN>3</LOMN>
                                  <LOMCN>1</LOMCN>
                                  <LOSN>1</LOSN>
                                  <LOEN>24</LOEN>
                                  <LOCN>34</LOCN>
                                </LnkInProps>
                              </LnkIn>
                            </Ctg>
                            <Ctg>
                              <CtgProps>
                                <R>5</R>
                              </CtgProps>
                              <LnkIn>
                                <LnkInProps>
                                  <MN>27</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27</MN>
                                  <CLI>1,1,53,False,1</CLI>
                                  <ELN>1</ELN>
                                  <LOOT>0</LOOT>
                                  <LOMN>3</LOMN>
                                  <LOMCN>1</LOMCN>
                                  <LOSN>1</LOSN>
                                  <LOEN>29</LOEN>
                                  <LOCN>1</LOCN>
                                </LnkInProps>
                              </LnkIn>
                            </Ctg>
                            <Ctg>
                              <CtgProps>
                                <R>4</R>
                              </CtgProps>
                              <LnkIn>
                                <LnkInProps>
                                  <MN>27</MN>
                                  <CLI>1,1,53,False,2</CLI>
                                  <ELN>1</ELN>
                                  <LOOT>0</LOOT>
                                  <LOMN>3</LOMN>
                                  <LOMCN>1</LOMCN>
                                  <LOSN>1</LOSN>
                                  <LOEN>29</LOEN>
                                  <LOCN>2</LOCN>
                                </LnkInProps>
                              </LnkIn>
                            </Ctg>
                            <Ctg>
                              <CtgProps>
                                <R>5</R>
                              </CtgProps>
                              <LnkIn>
                                <LnkInProps>
                                  <MN>27</MN>
                                  <CLI>1,1,53,False,3</CLI>
                                  <ELN>1</ELN>
                                  <LOOT>0</LOOT>
                                  <LOMN>3</LOMN>
                                  <LOMCN>1</LOMCN>
                                  <LOSN>1</LOSN>
                                  <LOEN>29</LOEN>
                                  <LOCN>3</LOCN>
                                </LnkInProps>
                              </LnkIn>
                            </Ctg>
                            <Ctg>
                              <CtgProps>
                                <R>5</R>
                              </CtgProps>
                              <LnkIn>
                                <LnkInProps>
                                  <MN>27</MN>
                                  <CLI>1,1,53,False,4</CLI>
                                  <ELN>1</ELN>
                                  <LOOT>0</LOOT>
                                  <LOMN>3</LOMN>
                                  <LOMCN>1</LOMCN>
                                  <LOSN>1</LOSN>
                                  <LOEN>29</LOEN>
                                  <LOCN>4</LOCN>
                                </LnkInProps>
                              </LnkIn>
                            </Ctg>
                            <Ctg>
                              <CtgProps>
                                <R>5</R>
                              </CtgProps>
                              <LnkIn>
                                <LnkInProps>
                                  <MN>27</MN>
                                  <CLI>1,1,53,False,5</CLI>
                                  <ELN>1</ELN>
                                  <LOOT>0</LOOT>
                                  <LOMN>3</LOMN>
                                  <LOMCN>1</LOMCN>
                                  <LOSN>1</LOSN>
                                  <LOEN>29</LOEN>
                                  <LOCN>5</LOCN>
                                </LnkInProps>
                              </LnkIn>
                            </Ctg>
                            <Ctg>
                              <CtgProps>
                                <R>5</R>
                              </CtgProps>
                              <LnkIn>
                                <LnkInProps>
                                  <MN>27</MN>
                                  <CLI>1,1,53,False,6</CLI>
                                  <ELN>1</ELN>
                                  <LOOT>0</LOOT>
                                  <LOMN>3</LOMN>
                                  <LOMCN>1</LOMCN>
                                  <LOSN>1</LOSN>
                                  <LOEN>29</LOEN>
                                  <LOCN>6</LOCN>
                                </LnkInProps>
                              </LnkIn>
                            </Ctg>
                            <Ctg>
                              <CtgProps>
                                <R>5</R>
                              </CtgProps>
                              <LnkIn>
                                <LnkInProps>
                                  <MN>27</MN>
                                  <CLI>1,1,53,False,7</CLI>
                                  <ELN>1</ELN>
                                  <LOOT>0</LOOT>
                                  <LOMN>3</LOMN>
                                  <LOMCN>1</LOMCN>
                                  <LOSN>1</LOSN>
                                  <LOEN>29</LOEN>
                                  <LOCN>7</LOCN>
                                </LnkInProps>
                              </LnkIn>
                            </Ctg>
                            <Ctg>
                              <CtgProps>
                                <R>5</R>
                              </CtgProps>
                              <LnkIn>
                                <LnkInProps>
                                  <MN>27</MN>
                                  <CLI>1,1,53,False,8</CLI>
                                  <ELN>1</ELN>
                                  <LOOT>0</LOOT>
                                  <LOMN>3</LOMN>
                                  <LOMCN>1</LOMCN>
                                  <LOSN>1</LOSN>
                                  <LOEN>29</LOEN>
                                  <LOCN>8</LOCN>
                                </LnkInProps>
                              </LnkIn>
                            </Ctg>
                            <Ctg>
                              <CtgProps>
                                <R>5</R>
                              </CtgProps>
                              <LnkIn>
                                <LnkInProps>
                                  <MN>27</MN>
                                  <CLI>1,1,53,False,9</CLI>
                                  <ELN>1</ELN>
                                  <LOOT>0</LOOT>
                                  <LOMN>3</LOMN>
                                  <LOMCN>1</LOMCN>
                                  <LOSN>1</LOSN>
                                  <LOEN>29</LOEN>
                                  <LOCN>9</LOCN>
                                </LnkInProps>
                              </LnkIn>
                            </Ctg>
                            <Ctg>
                              <CtgProps>
                                <R>5</R>
                              </CtgProps>
                              <LnkIn>
                                <LnkInProps>
                                  <MN>27</MN>
                                  <CLI>1,1,53,False,10</CLI>
                                  <ELN>1</ELN>
                                  <LOOT>0</LOOT>
                                  <LOMN>3</LOMN>
                                  <LOMCN>1</LOMCN>
                                  <LOSN>1</LOSN>
                                  <LOEN>29</LOEN>
                                  <LOCN>10</LOCN>
                                </LnkInProps>
                              </LnkIn>
                            </Ctg>
                            <Ctg>
                              <CtgProps>
                                <R>5</R>
                              </CtgProps>
                              <LnkIn>
                                <LnkInProps>
                                  <MN>27</MN>
                                  <CLI>1,1,53,False,11</CLI>
                                  <ELN>1</ELN>
                                  <LOOT>0</LOOT>
                                  <LOMN>3</LOMN>
                                  <LOMCN>1</LOMCN>
                                  <LOSN>1</LOSN>
                                  <LOEN>29</LOEN>
                                  <LOCN>11</LOCN>
                                </LnkInProps>
                              </LnkIn>
                            </Ctg>
                            <Ctg>
                              <CtgProps>
                                <R>5</R>
                              </CtgProps>
                              <LnkIn>
                                <LnkInProps>
                                  <MN>27</MN>
                                  <CLI>1,1,53,False,12</CLI>
                                  <ELN>1</ELN>
                                  <LOOT>0</LOOT>
                                  <LOMN>3</LOMN>
                                  <LOMCN>1</LOMCN>
                                  <LOSN>1</LOSN>
                                  <LOEN>29</LOEN>
                                  <LOCN>12</LOCN>
                                </LnkInProps>
                              </LnkIn>
                            </Ctg>
                            <Ctg>
                              <CtgProps>
                                <R>5</R>
                              </CtgProps>
                              <LnkIn>
                                <LnkInProps>
                                  <MN>27</MN>
                                  <CLI>1,1,53,False,13</CLI>
                                  <ELN>1</ELN>
                                  <LOOT>0</LOOT>
                                  <LOMN>3</LOMN>
                                  <LOMCN>1</LOMCN>
                                  <LOSN>1</LOSN>
                                  <LOEN>29</LOEN>
                                  <LOCN>13</LOCN>
                                </LnkInProps>
                              </LnkIn>
                            </Ctg>
                            <Ctg>
                              <CtgProps>
                                <R>5</R>
                              </CtgProps>
                              <LnkIn>
                                <LnkInProps>
                                  <MN>27</MN>
                                  <CLI>1,1,53,False,14</CLI>
                                  <ELN>1</ELN>
                                  <LOOT>0</LOOT>
                                  <LOMN>3</LOMN>
                                  <LOMCN>1</LOMCN>
                                  <LOSN>1</LOSN>
                                  <LOEN>29</LOEN>
                                  <LOCN>14</LOCN>
                                </LnkInProps>
                              </LnkIn>
                            </Ctg>
                            <Ctg>
                              <CtgProps>
                                <R>5</R>
                              </CtgProps>
                              <LnkIn>
                                <LnkInProps>
                                  <MN>27</MN>
                                  <CLI>1,1,53,False,15</CLI>
                                  <ELN>1</ELN>
                                  <LOOT>0</LOOT>
                                  <LOMN>3</LOMN>
                                  <LOMCN>1</LOMCN>
                                  <LOSN>1</LOSN>
                                  <LOEN>29</LOEN>
                                  <LOCN>15</LOCN>
                                </LnkInProps>
                              </LnkIn>
                            </Ctg>
                            <Ctg>
                              <CtgProps>
                                <R>5</R>
                              </CtgProps>
                              <LnkIn>
                                <LnkInProps>
                                  <MN>27</MN>
                                  <CLI>1,1,53,False,16</CLI>
                                  <ELN>1</ELN>
                                  <LOOT>0</LOOT>
                                  <LOMN>3</LOMN>
                                  <LOMCN>1</LOMCN>
                                  <LOSN>1</LOSN>
                                  <LOEN>29</LOEN>
                                  <LOCN>16</LOCN>
                                </LnkInProps>
                              </LnkIn>
                            </Ctg>
                            <Ctg>
                              <CtgProps>
                                <R>5</R>
                              </CtgProps>
                              <LnkIn>
                                <LnkInProps>
                                  <MN>27</MN>
                                  <CLI>1,1,53,False,17</CLI>
                                  <ELN>1</ELN>
                                  <LOOT>0</LOOT>
                                  <LOMN>3</LOMN>
                                  <LOMCN>1</LOMCN>
                                  <LOSN>1</LOSN>
                                  <LOEN>29</LOEN>
                                  <LOCN>17</LOCN>
                                </LnkInProps>
                              </LnkIn>
                            </Ctg>
                            <Ctg>
                              <CtgProps>
                                <R>5</R>
                              </CtgProps>
                              <LnkIn>
                                <LnkInProps>
                                  <MN>27</MN>
                                  <CLI>1,1,53,False,18</CLI>
                                  <ELN>1</ELN>
                                  <LOOT>0</LOOT>
                                  <LOMN>3</LOMN>
                                  <LOMCN>1</LOMCN>
                                  <LOSN>1</LOSN>
                                  <LOEN>29</LOEN>
                                  <LOCN>18</LOCN>
                                </LnkInProps>
                              </LnkIn>
                            </Ctg>
                            <Ctg>
                              <CtgProps>
                                <R>5</R>
                              </CtgProps>
                              <LnkIn>
                                <LnkInProps>
                                  <MN>27</MN>
                                  <CLI>1,1,53,False,19</CLI>
                                  <ELN>1</ELN>
                                  <LOOT>0</LOOT>
                                  <LOMN>3</LOMN>
                                  <LOMCN>1</LOMCN>
                                  <LOSN>1</LOSN>
                                  <LOEN>29</LOEN>
                                  <LOCN>19</LOCN>
                                </LnkInProps>
                              </LnkIn>
                            </Ctg>
                            <Ctg>
                              <CtgProps>
                                <R>5</R>
                              </CtgProps>
                              <LnkIn>
                                <LnkInProps>
                                  <MN>27</MN>
                                  <CLI>1,1,53,False,20</CLI>
                                  <ELN>1</ELN>
                                  <LOOT>0</LOOT>
                                  <LOMN>3</LOMN>
                                  <LOMCN>1</LOMCN>
                                  <LOSN>1</LOSN>
                                  <LOEN>29</LOEN>
                                  <LOCN>20</LOCN>
                                </LnkInProps>
                              </LnkIn>
                            </Ctg>
                            <Ctg>
                              <CtgProps>
                                <R>5</R>
                              </CtgProps>
                              <LnkIn>
                                <LnkInProps>
                                  <MN>27</MN>
                                  <CLI>1,1,53,False,21</CLI>
                                  <ELN>1</ELN>
                                  <LOOT>0</LOOT>
                                  <LOMN>3</LOMN>
                                  <LOMCN>1</LOMCN>
                                  <LOSN>1</LOSN>
                                  <LOEN>29</LOEN>
                                  <LOCN>21</LOCN>
                                </LnkInProps>
                              </LnkIn>
                            </Ctg>
                            <Ctg>
                              <CtgProps>
                                <R>5</R>
                              </CtgProps>
                              <LnkIn>
                                <LnkInProps>
                                  <MN>27</MN>
                                  <CLI>1,1,53,False,22</CLI>
                                  <ELN>1</ELN>
                                  <LOOT>0</LOOT>
                                  <LOMN>3</LOMN>
                                  <LOMCN>1</LOMCN>
                                  <LOSN>1</LOSN>
                                  <LOEN>29</LOEN>
                                  <LOCN>22</LOCN>
                                </LnkInProps>
                              </LnkIn>
                            </Ctg>
                            <Ctg>
                              <CtgProps>
                                <R>5</R>
                              </CtgProps>
                              <LnkIn>
                                <LnkInProps>
                                  <MN>27</MN>
                                  <CLI>1,1,53,False,23</CLI>
                                  <ELN>1</ELN>
                                  <LOOT>0</LOOT>
                                  <LOMN>3</LOMN>
                                  <LOMCN>1</LOMCN>
                                  <LOSN>1</LOSN>
                                  <LOEN>29</LOEN>
                                  <LOCN>23</LOCN>
                                </LnkInProps>
                              </LnkIn>
                            </Ctg>
                            <Ctg>
                              <CtgProps>
                                <R>5</R>
                              </CtgProps>
                              <LnkIn>
                                <LnkInProps>
                                  <MN>27</MN>
                                  <CLI>1,1,53,False,24</CLI>
                                  <ELN>1</ELN>
                                  <LOOT>0</LOOT>
                                  <LOMN>3</LOMN>
                                  <LOMCN>1</LOMCN>
                                  <LOSN>1</LOSN>
                                  <LOEN>29</LOEN>
                                  <LOCN>24</LOCN>
                                </LnkInProps>
                              </LnkIn>
                            </Ctg>
                            <Ctg>
                              <CtgProps>
                                <R>5</R>
                              </CtgProps>
                              <LnkIn>
                                <LnkInProps>
                                  <MN>27</MN>
                                  <CLI>1,1,53,False,25</CLI>
                                  <ELN>1</ELN>
                                  <LOOT>0</LOOT>
                                  <LOMN>3</LOMN>
                                  <LOMCN>1</LOMCN>
                                  <LOSN>1</LOSN>
                                  <LOEN>29</LOEN>
                                  <LOCN>25</LOCN>
                                </LnkInProps>
                              </LnkIn>
                            </Ctg>
                            <Ctg>
                              <CtgProps>
                                <R>5</R>
                              </CtgProps>
                              <LnkIn>
                                <LnkInProps>
                                  <MN>27</MN>
                                  <CLI>1,1,53,False,26</CLI>
                                  <ELN>1</ELN>
                                  <LOOT>0</LOOT>
                                  <LOMN>3</LOMN>
                                  <LOMCN>1</LOMCN>
                                  <LOSN>1</LOSN>
                                  <LOEN>29</LOEN>
                                  <LOCN>26</LOCN>
                                </LnkInProps>
                              </LnkIn>
                            </Ctg>
                            <Ctg>
                              <CtgProps>
                                <R>5</R>
                              </CtgProps>
                              <LnkIn>
                                <LnkInProps>
                                  <MN>27</MN>
                                  <CLI>1,1,53,False,27</CLI>
                                  <ELN>1</ELN>
                                  <LOOT>0</LOOT>
                                  <LOMN>3</LOMN>
                                  <LOMCN>1</LOMCN>
                                  <LOSN>1</LOSN>
                                  <LOEN>29</LOEN>
                                  <LOCN>27</LOCN>
                                </LnkInProps>
                              </LnkIn>
                            </Ctg>
                            <Ctg>
                              <CtgProps>
                                <R>5</R>
                              </CtgProps>
                              <LnkIn>
                                <LnkInProps>
                                  <MN>27</MN>
                                  <CLI>1,1,53,False,28</CLI>
                                  <ELN>1</ELN>
                                  <LOOT>0</LOOT>
                                  <LOMN>3</LOMN>
                                  <LOMCN>1</LOMCN>
                                  <LOSN>1</LOSN>
                                  <LOEN>29</LOEN>
                                  <LOCN>28</LOCN>
                                </LnkInProps>
                              </LnkIn>
                            </Ctg>
                            <Ctg>
                              <CtgProps>
                                <R>5</R>
                              </CtgProps>
                              <LnkIn>
                                <LnkInProps>
                                  <MN>27</MN>
                                  <CLI>1,1,53,False,29</CLI>
                                  <ELN>1</ELN>
                                  <LOOT>0</LOOT>
                                  <LOMN>3</LOMN>
                                  <LOMCN>1</LOMCN>
                                  <LOSN>1</LOSN>
                                  <LOEN>29</LOEN>
                                  <LOCN>29</LOCN>
                                </LnkInProps>
                              </LnkIn>
                            </Ctg>
                            <Ctg>
                              <CtgProps>
                                <R>5</R>
                              </CtgProps>
                              <LnkIn>
                                <LnkInProps>
                                  <MN>27</MN>
                                  <CLI>1,1,53,False,30</CLI>
                                  <ELN>1</ELN>
                                  <LOOT>0</LOOT>
                                  <LOMN>3</LOMN>
                                  <LOMCN>1</LOMCN>
                                  <LOSN>1</LOSN>
                                  <LOEN>29</LOEN>
                                  <LOCN>30</LOCN>
                                </LnkInProps>
                              </LnkIn>
                            </Ctg>
                            <Ctg>
                              <CtgProps>
                                <R>5</R>
                              </CtgProps>
                              <LnkIn>
                                <LnkInProps>
                                  <MN>27</MN>
                                  <CLI>1,1,53,False,31</CLI>
                                  <ELN>1</ELN>
                                  <LOOT>0</LOOT>
                                  <LOMN>3</LOMN>
                                  <LOMCN>1</LOMCN>
                                  <LOSN>1</LOSN>
                                  <LOEN>29</LOEN>
                                  <LOCN>31</LOCN>
                                </LnkInProps>
                              </LnkIn>
                            </Ctg>
                            <Ctg>
                              <CtgProps>
                                <R>5</R>
                              </CtgProps>
                              <LnkIn>
                                <LnkInProps>
                                  <MN>27</MN>
                                  <CLI>1,1,53,False,32</CLI>
                                  <ELN>1</ELN>
                                  <LOOT>0</LOOT>
                                  <LOMN>3</LOMN>
                                  <LOMCN>1</LOMCN>
                                  <LOSN>1</LOSN>
                                  <LOEN>29</LOEN>
                                  <LOCN>32</LOCN>
                                </LnkInProps>
                              </LnkIn>
                            </Ctg>
                            <Ctg>
                              <CtgProps>
                                <R>5</R>
                              </CtgProps>
                              <LnkIn>
                                <LnkInProps>
                                  <MN>27</MN>
                                  <CLI>1,1,53,False,33</CLI>
                                  <ELN>1</ELN>
                                  <LOOT>0</LOOT>
                                  <LOMN>3</LOMN>
                                  <LOMCN>1</LOMCN>
                                  <LOSN>1</LOSN>
                                  <LOEN>29</LOEN>
                                  <LOCN>33</LOCN>
                                </LnkInProps>
                              </LnkIn>
                            </Ctg>
                            <Ctg>
                              <CtgProps>
                                <R>5</R>
                              </CtgProps>
                              <LnkIn>
                                <LnkInProps>
                                  <MN>27</MN>
                                  <CLI>1,1,53,False,34</CLI>
                                  <ELN>1</ELN>
                                  <LOOT>0</LOOT>
                                  <LOMN>3</LOMN>
                                  <LOMCN>1</LOMCN>
                                  <LOSN>1</LOSN>
                                  <LOEN>29</LOEN>
                                  <LOCN>34</LOCN>
                                </LnkInProps>
                              </LnkIn>
                            </Ctg>
                            <Ctg>
                              <CtgProps>
                                <R>5</R>
                              </CtgProps>
                              <LnkIn>
                                <LnkInProps>
                                  <MN>27</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27</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27</MN>
                <MCN>2</MCN>
                <MCTK>BaseCase</MCTK>
                <RT><![CDATA[<ModuleName> - Assumptions]]></RT>
                <ERN>BPMMC92</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64</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27</MN>
                <MCN>3</MCN>
                <MCTK>OP</MCTK>
                <RT><![CDATA[<ModuleName> - Outputs]]></RT>
                <ERN>BPMMC93</ERN>
                <MCST>0</MCST>
                <IPMC>False</IPMC>
                <SN>31</SN>
                <LODS>False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65</CTHN>
                                <ST>3</ST>
                                <VOFFF><![CDATA[Vaccination - Round 2]]></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8,2,1,-1,0,0,FALSE,FALSE§Z¿/§A¿0,1,0,1,34,2,1,2,0,0,TRUE,TRUE§Z¿,§A¿0,3,0,1,8,2,1,-1,0,0,FALSE,FALSE§Z¿*§A¿0,1,0,1,34,2,1,2,0,0,TRUE,TRUE§Z¿), 0)]]></VOFFF>
                              </ClmnBlkPtProps>
                            </ClmnBlkPt>
                          </ClmnBlkPts>
                        </ClmnBlk>
                        <ClmnBlk>
                          <ClmnBlkProps>
                            <FCPT>0</FCPT>
                            <FCN>17</FCN>
                            <LCPT>0</LCPT>
                            <LCN>17</LCN>
                          </ClmnBlkProps>
                          <ClmnBlkPts>
                            <ClmnBlkPt>
                              <ClmnBlkPtProps>
                                <CBPT>5</CBPT>
                                <ST>18</ST>
                                <SON>14</SON>
                                <VOFFF><![CDATA[=IFERROR(IF(§A¿1,1,1,1,5,0,2,1,1§Z¿=2,§A¿0,3,0,1,8,3,1,-1,0,0,FALSE,FALSE§Z¿/§A¿0,1,0,1,34,2,1,2,0,0,TRUE,TRUE§Z¿,§A¿0,3,0,1,8,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9,2,1,-1,0,0,FALSE,FALSE§Z¿/§A¿0,1,0,1,34,2,1,2,0,0,TRUE,TRUE§Z¿,§A¿0,3,0,1,9,2,1,-1,0,0,FALSE,FALSE§Z¿*§A¿0,1,0,1,34,2,1,2,0,0,TRUE,TRUE§Z¿), 0)]]></VOFFF>
                              </ClmnBlkPtProps>
                            </ClmnBlkPt>
                          </ClmnBlkPts>
                        </ClmnBlk>
                        <ClmnBlk>
                          <ClmnBlkProps>
                            <FCPT>0</FCPT>
                            <FCN>17</FCN>
                            <LCPT>0</LCPT>
                            <LCN>17</LCN>
                          </ClmnBlkProps>
                          <ClmnBlkPts>
                            <ClmnBlkPt>
                              <ClmnBlkPtProps>
                                <CBPT>5</CBPT>
                                <ST>18</ST>
                                <SON>14</SON>
                                <VOFFF><![CDATA[=IFERROR(IF(§A¿1,1,1,1,5,0,2,1,1§Z¿=2,§A¿0,3,0,1,9,3,1,-1,0,0,FALSE,FALSE§Z¿/§A¿0,1,0,1,34,2,1,2,0,0,TRUE,TRUE§Z¿,§A¿0,3,0,1,9,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10,2,1,-1,0,0,FALSE,FALSE§Z¿/§A¿0,1,0,1,34,2,1,2,0,0,TRUE,TRUE§Z¿,§A¿0,3,0,1,10,2,1,-1,0,0,FALSE,FALSE§Z¿*§A¿0,1,0,1,34,2,1,2,0,0,TRUE,TRUE§Z¿), 0)]]></VOFFF>
                              </ClmnBlkPtProps>
                            </ClmnBlkPt>
                          </ClmnBlkPts>
                        </ClmnBlk>
                        <ClmnBlk>
                          <ClmnBlkProps>
                            <FCPT>0</FCPT>
                            <FCN>17</FCN>
                            <LCPT>0</LCPT>
                            <LCN>17</LCN>
                          </ClmnBlkProps>
                          <ClmnBlkPts>
                            <ClmnBlkPt>
                              <ClmnBlkPtProps>
                                <CBPT>5</CBPT>
                                <ST>18</ST>
                                <SON>14</SON>
                                <VOFFF><![CDATA[=IFERROR(IF(§A¿1,1,1,1,5,0,2,1,1§Z¿=2,§A¿0,3,0,1,10,3,1,-1,0,0,FALSE,FALSE§Z¿/§A¿0,1,0,1,34,2,1,2,0,0,TRUE,TRUE§Z¿,§A¿0,3,0,1,10,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11,2,1,-1,0,0,FALSE,FALSE§Z¿/§A¿0,1,0,1,34,2,1,2,0,0,TRUE,TRUE§Z¿,§A¿0,3,0,1,11,2,1,-1,0,0,FALSE,FALSE§Z¿*§A¿0,1,0,1,34,2,1,2,0,0,TRUE,TRUE§Z¿), 0)]]></VOFFF>
                              </ClmnBlkPtProps>
                            </ClmnBlkPt>
                          </ClmnBlkPts>
                        </ClmnBlk>
                        <ClmnBlk>
                          <ClmnBlkProps>
                            <FCPT>0</FCPT>
                            <FCN>17</FCN>
                            <LCPT>0</LCPT>
                            <LCN>17</LCN>
                          </ClmnBlkProps>
                          <ClmnBlkPts>
                            <ClmnBlkPt>
                              <ClmnBlkPtProps>
                                <CBPT>5</CBPT>
                                <ST>18</ST>
                                <SON>14</SON>
                                <VOFFF><![CDATA[=IFERROR(IF(§A¿1,1,1,1,5,0,2,1,1§Z¿=2,§A¿0,3,0,1,11,3,1,-1,0,0,FALSE,FALSE§Z¿/§A¿0,1,0,1,34,2,1,2,0,0,TRUE,TRUE§Z¿,§A¿0,3,0,1,11,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5,1,1,-1,0,0,FALSE,FALSE§Z¿&" Activity"]]></VOFFF>
                              </ClmnBlkPtProps>
                            </ClmnBlkPt>
                          </ClmnBlkPts>
                        </ClmnBlk>
                        <ClmnBlk>
                          <ClmnBlkProps>
                            <FCPT>0</FCPT>
                            <FCN>10</FCN>
                            <LCPT>0</LCPT>
                            <LCN>10</LCN>
                          </ClmnBlkProps>
                          <ClmnBlkPts>
                            <ClmnBlkPt>
                              <ClmnBlkPtProps>
                                <CBPT>5</CBPT>
                                <ST>18</ST>
                                <SON>16</SON>
                                <VOFFF><![CDATA[=SUM(§A¿0,3,1,1,7,2,1,-1,0,0,FALSE,FALSE,1,11,2,1,-1,0,0,FALSE,FALSE§Z¿)]]></VOFFF>
                              </ClmnBlkPtProps>
                            </ClmnBlkPt>
                          </ClmnBlkPts>
                        </ClmnBlk>
                        <ClmnBlk>
                          <ClmnBlkProps>
                            <FCPT>0</FCPT>
                            <FCN>12</FCN>
                            <LCPT>0</LCPT>
                            <LCN>12</LCN>
                          </ClmnBlkProps>
                          <ClmnBlkPts>
                            <ClmnBlkPt>
                              <ClmnBlkPtProps>
                                <CBPT>5</CBPT>
                                <ST>18</ST>
                                <SON>16</SON>
                                <VOFFF><![CDATA[=SUM(§A¿0,3,1,1,7,3,1,-1,0,0,FALSE,FALSE,1,11,3,1,-1,0,0,FALSE,FALSE§Z¿)]]></VOFFF>
                              </ClmnBlkPtProps>
                            </ClmnBlkPt>
                          </ClmnBlkPts>
                        </ClmnBlk>
                        <ClmnBlk>
                          <ClmnBlkProps>
                            <FCPT>0</FCPT>
                            <FCN>15</FCN>
                            <LCPT>0</LCPT>
                            <LCN>15</LCN>
                          </ClmnBlkProps>
                          <ClmnBlkPts>
                            <ClmnBlkPt>
                              <ClmnBlkPtProps>
                                <CBPT>5</CBPT>
                                <ST>18</ST>
                                <SON>17</SON>
                                <VOFFF><![CDATA[=SUM(§A¿0,3,1,1,7,4,1,-1,0,0,FALSE,FALSE,1,11,4,1,-1,0,0,FALSE,FALSE§Z¿)]]></VOFFF>
                              </ClmnBlkPtProps>
                            </ClmnBlkPt>
                          </ClmnBlkPts>
                        </ClmnBlk>
                        <ClmnBlk>
                          <ClmnBlkProps>
                            <FCPT>0</FCPT>
                            <FCN>17</FCN>
                            <LCPT>0</LCPT>
                            <LCN>17</LCN>
                          </ClmnBlkProps>
                          <ClmnBlkPts>
                            <ClmnBlkPt>
                              <ClmnBlkPtProps>
                                <CBPT>5</CBPT>
                                <ST>18</ST>
                                <SON>17</SON>
                                <VOFFF><![CDATA[=SUM(§A¿0,3,1,1,7,5,1,-1,0,0,FALSE,FALSE,1,11,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3,1,14,2,1</CBPLI>
                                    <MCN>3</MCN>
                                    <SN>1</SN>
                                    <EN>14</EN>
                                    <CN>0</CN>
                                    <CBN>2</CBN>
                                    <CBPN>1</CBPN>
                                    <PT>1</PT>
                                    <CBPRNT>6</CBPRNT>
                                    <NT>12</NT>
                                    <SP1><![CDATA[RND2_SITEA]]></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5,1,1,-1,0,0,FALSE,FALSE§Z¿&" Activities"]]></VOFFF>
                              </ClmnBlkPtProps>
                            </ClmnBlkPt>
                          </ClmnBlkPts>
                        </ClmnBlk>
                        <ClmnBlk>
                          <ClmnBlkProps>
                            <FCPT>0</FCPT>
                            <FCN>10</FCN>
                            <LCPT>0</LCPT>
                            <LCN>10</LCN>
                          </ClmnBlkProps>
                          <ClmnBlkPts>
                            <ClmnBlkPt>
                              <ClmnBlkPtProps>
                                <CBPT>5</CBPT>
                                <ST>18</ST>
                                <SON>6</SON>
                                <VOFFF><![CDATA[=§A¿0,3,0,1,14,2,1,-1,0,0,TRUE,TRUE§Z¿*§A¿0,3,0,1,12,2,1,-1,0,0,FALSE,FALSE§Z¿]]></VOFFF>
                              </ClmnBlkPtProps>
                            </ClmnBlkPt>
                          </ClmnBlkPts>
                        </ClmnBlk>
                        <ClmnBlk>
                          <ClmnBlkProps>
                            <FCPT>0</FCPT>
                            <FCN>12</FCN>
                            <LCPT>0</LCPT>
                            <LCN>12</LCN>
                          </ClmnBlkProps>
                          <ClmnBlkPts>
                            <ClmnBlkPt>
                              <ClmnBlkPtProps>
                                <CBPT>5</CBPT>
                                <ST>18</ST>
                                <SON>6</SON>
                                <VOFFF><![CDATA[=§A¿0,3,0,1,14,2,1,-1,0,0,TRUE,TRUE§Z¿*§A¿0,3,0,1,12,3,1,-1,0,0,FALSE,FALSE§Z¿]]></VOFFF>
                              </ClmnBlkPtProps>
                            </ClmnBlkPt>
                          </ClmnBlkPts>
                        </ClmnBlk>
                        <ClmnBlk>
                          <ClmnBlkProps>
                            <FCPT>0</FCPT>
                            <FCN>15</FCN>
                            <LCPT>0</LCPT>
                            <LCN>15</LCN>
                          </ClmnBlkProps>
                          <ClmnBlkPts>
                            <ClmnBlkPt>
                              <ClmnBlkPtProps>
                                <CBPT>5</CBPT>
                                <ST>18</ST>
                                <SON>6</SON>
                                <VOFFF><![CDATA[=§A¿0,3,0,1,14,2,1,-1,0,0,TRUE,TRUE§Z¿*§A¿0,3,0,1,12,4,1,-1,0,0,FALSE,FALSE§Z¿]]></VOFFF>
                              </ClmnBlkPtProps>
                            </ClmnBlkPt>
                          </ClmnBlkPts>
                        </ClmnBlk>
                        <ClmnBlk>
                          <ClmnBlkProps>
                            <FCPT>0</FCPT>
                            <FCN>17</FCN>
                            <LCPT>0</LCPT>
                            <LCN>17</LCN>
                          </ClmnBlkProps>
                          <ClmnBlkPts>
                            <ClmnBlkPt>
                              <ClmnBlkPtProps>
                                <CBPT>5</CBPT>
                                <ST>18</ST>
                                <SON>6</SON>
                                <VOFFF><![CDATA[=§A¿0,3,0,1,14,2,1,-1,0,0,TRUE,TRUE§Z¿*§A¿0,3,0,1,12,5,1,-1,0,0,FALSE,FALSE§Z¿]]></VOFFF>
                              </ClmnBlkPtProps>
                            </ClmnBlkPt>
                          </ClmnBlkPts>
                        </ClmnBlk>
                      </ClmnBlks>
                      <TtlCtg/>
                    </Elmt>
                    <Elmt>
                      <ElmtProps>
                        <CPT>2</CPT>
                      </ElmtProps>
                      <ClmnBlks>
                        <ClmnBlk>
                          <ClmnBlkProps>
                            <FCPT>0</FCPT>
                            <FCN>2</FCN>
                            <LCPT>0</LCPT>
                            <LCN>19</LCN>
                          </ClmnBlkProps>
                          <ClmnBlkPts>
                            <ClmnBlkPt>
                              <ClmnBlkPtProps>
                                <CBPT>5</CBPT>
                                <ST>-1</ST>
                                <SON>18</SON>
                                <VOFFF/>
                              </ClmnBlkPtProps>
                            </ClmnBlkPt>
                          </ClmnBlkPts>
                        </ClmnBlk>
                      </ClmnBlks>
                      <TtlCtg/>
                    </Elmt>
                  </Elmts>
                </Sect>
              </Sects>
            </ModComp>
            <ModComp>
              <ModCompProps>
                <MN>27</MN>
                <MCN>4</MCN>
                <MCTK>LU</MCTK>
                <RT><![CDATA[<ModuleName> - Lookups]]></RT>
                <ERN>BPMMC94</ERN>
                <MCST>3</MCST>
                <IPMC>False</IPMC>
                <SN>53</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66</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4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4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4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4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4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4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15</MN>
            <MAG>45338FE0-6C0B-4A55-A5AC-B1F2F9D32FCD</MAG>
            <BN><![CDATA[PLUG_ACTIVITY]]></BN>
            <N><![CDATA[ROUND2- TEAM CONFIGURATION B]]></N>
            <TS><![CDATA[Annual]]></TS>
            <D><![CDATA[Assists with planning the cost of an activity. Should be used with Prices module.]]></D>
            <FS/>
            <R/>
            <GE/>
            <CA/>
            <VA/>
            <GST/>
            <DE/>
            <E/>
            <C/>
            <W/>
            <K/>
            <CO/>
            <V>1.0.0.0.</V>
            <AX/>
            <PMLO>False</PMLO>
            <IPMLO>False</IPMLO>
            <MACA>1</MACA>
            <RTSM>True</RTSM>
            <CC>True</CC>
            <X>False</X>
            <G>BEE81C60-EA9D-40C3-ADF1-BF1401F3BA23</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28</MN>
                <MCN>1</MCN>
                <MCTK>BaseCase</MCTK>
                <RT><![CDATA[<ModuleName> - Assumptions]]></RT>
                <ERN>BPMMC95</ERN>
                <MCST>0</MCST>
                <IPMC>False</IPMC>
                <SN>21</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67</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5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28</MN>
                                  <CLI>1,1,34,False,1</CLI>
                                  <ELN>1</ELN>
                                  <LOOT>0</LOOT>
                                  <LOMN>3</LOMN>
                                  <LOMCN>2</LOMCN>
                                  <LOSN>1</LOSN>
                                  <LOEN>4</LOEN>
                                  <LOCN>1</LOCN>
                                </LnkInProps>
                              </LnkIn>
                            </Ctg>
                            <Ctg>
                              <CtgProps>
                                <R>5</R>
                              </CtgProps>
                              <LnkIn>
                                <LnkInProps>
                                  <MN>28</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28</MN>
                                  <CLI>1,1,39,False,1</CLI>
                                  <ELN>1</ELN>
                                  <LOOT>0</LOOT>
                                  <LOMN>3</LOMN>
                                  <LOMCN>1</LOMCN>
                                  <LOSN>1</LOSN>
                                  <LOEN>10</LOEN>
                                  <LOCN>1</LOCN>
                                </LnkInProps>
                              </LnkIn>
                            </Ctg>
                            <Ctg>
                              <CtgProps>
                                <R>4</R>
                              </CtgProps>
                              <LnkIn>
                                <LnkInProps>
                                  <MN>28</MN>
                                  <CLI>1,1,39,False,2</CLI>
                                  <ELN>1</ELN>
                                  <LOOT>0</LOOT>
                                  <LOMN>3</LOMN>
                                  <LOMCN>1</LOMCN>
                                  <LOSN>1</LOSN>
                                  <LOEN>10</LOEN>
                                  <LOCN>2</LOCN>
                                </LnkInProps>
                              </LnkIn>
                            </Ctg>
                            <Ctg>
                              <CtgProps>
                                <R>4</R>
                              </CtgProps>
                              <LnkIn>
                                <LnkInProps>
                                  <MN>28</MN>
                                  <CLI>1,1,39,False,3</CLI>
                                  <ELN>1</ELN>
                                  <LOOT>0</LOOT>
                                  <LOMN>3</LOMN>
                                  <LOMCN>1</LOMCN>
                                  <LOSN>1</LOSN>
                                  <LOEN>10</LOEN>
                                  <LOCN>3</LOCN>
                                </LnkInProps>
                              </LnkIn>
                            </Ctg>
                            <Ctg>
                              <CtgProps>
                                <R>4</R>
                              </CtgProps>
                              <LnkIn>
                                <LnkInProps>
                                  <MN>28</MN>
                                  <CLI>1,1,39,False,4</CLI>
                                  <ELN>1</ELN>
                                  <LOOT>0</LOOT>
                                  <LOMN>3</LOMN>
                                  <LOMCN>1</LOMCN>
                                  <LOSN>1</LOSN>
                                  <LOEN>10</LOEN>
                                  <LOCN>4</LOCN>
                                </LnkInProps>
                              </LnkIn>
                            </Ctg>
                            <Ctg>
                              <CtgProps>
                                <R>4</R>
                              </CtgProps>
                              <LnkIn>
                                <LnkInProps>
                                  <MN>28</MN>
                                  <CLI>1,1,39,False,5</CLI>
                                  <ELN>1</ELN>
                                  <LOOT>0</LOOT>
                                  <LOMN>3</LOMN>
                                  <LOMCN>1</LOMCN>
                                  <LOSN>1</LOSN>
                                  <LOEN>10</LOEN>
                                  <LOCN>5</LOCN>
                                </LnkInProps>
                              </LnkIn>
                            </Ctg>
                            <Ctg>
                              <CtgProps>
                                <R>4</R>
                              </CtgProps>
                              <LnkIn>
                                <LnkInProps>
                                  <MN>28</MN>
                                  <CLI>1,1,39,False,6</CLI>
                                  <ELN>1</ELN>
                                  <LOOT>0</LOOT>
                                  <LOMN>3</LOMN>
                                  <LOMCN>1</LOMCN>
                                  <LOSN>1</LOSN>
                                  <LOEN>10</LOEN>
                                  <LOCN>6</LOCN>
                                </LnkInProps>
                              </LnkIn>
                            </Ctg>
                            <Ctg>
                              <CtgProps>
                                <R>4</R>
                              </CtgProps>
                              <LnkIn>
                                <LnkInProps>
                                  <MN>28</MN>
                                  <CLI>1,1,39,False,7</CLI>
                                  <ELN>1</ELN>
                                  <LOOT>0</LOOT>
                                  <LOMN>3</LOMN>
                                  <LOMCN>1</LOMCN>
                                  <LOSN>1</LOSN>
                                  <LOEN>10</LOEN>
                                  <LOCN>7</LOCN>
                                </LnkInProps>
                              </LnkIn>
                            </Ctg>
                            <Ctg>
                              <CtgProps>
                                <R>4</R>
                              </CtgProps>
                              <LnkIn>
                                <LnkInProps>
                                  <MN>28</MN>
                                  <CLI>1,1,39,False,8</CLI>
                                  <ELN>1</ELN>
                                  <LOOT>0</LOOT>
                                  <LOMN>3</LOMN>
                                  <LOMCN>1</LOMCN>
                                  <LOSN>1</LOSN>
                                  <LOEN>10</LOEN>
                                  <LOCN>8</LOCN>
                                </LnkInProps>
                              </LnkIn>
                            </Ctg>
                            <Ctg>
                              <CtgProps>
                                <R>4</R>
                              </CtgProps>
                              <LnkIn>
                                <LnkInProps>
                                  <MN>28</MN>
                                  <CLI>1,1,39,False,9</CLI>
                                  <ELN>1</ELN>
                                  <LOOT>0</LOOT>
                                  <LOMN>3</LOMN>
                                  <LOMCN>1</LOMCN>
                                  <LOSN>1</LOSN>
                                  <LOEN>10</LOEN>
                                  <LOCN>9</LOCN>
                                </LnkInProps>
                              </LnkIn>
                            </Ctg>
                            <Ctg>
                              <CtgProps>
                                <R>4</R>
                              </CtgProps>
                              <LnkIn>
                                <LnkInProps>
                                  <MN>28</MN>
                                  <CLI>1,1,39,False,10</CLI>
                                  <ELN>1</ELN>
                                  <LOOT>0</LOOT>
                                  <LOMN>3</LOMN>
                                  <LOMCN>1</LOMCN>
                                  <LOSN>1</LOSN>
                                  <LOEN>10</LOEN>
                                  <LOCN>10</LOCN>
                                </LnkInProps>
                              </LnkIn>
                            </Ctg>
                            <Ctg>
                              <CtgProps>
                                <R>4</R>
                              </CtgProps>
                              <LnkIn>
                                <LnkInProps>
                                  <MN>28</MN>
                                  <CLI>1,1,39,False,11</CLI>
                                  <ELN>1</ELN>
                                  <LOOT>0</LOOT>
                                  <LOMN>3</LOMN>
                                  <LOMCN>1</LOMCN>
                                  <LOSN>1</LOSN>
                                  <LOEN>10</LOEN>
                                  <LOCN>11</LOCN>
                                </LnkInProps>
                              </LnkIn>
                            </Ctg>
                            <Ctg>
                              <CtgProps>
                                <R>4</R>
                              </CtgProps>
                              <LnkIn>
                                <LnkInProps>
                                  <MN>28</MN>
                                  <CLI>1,1,39,False,12</CLI>
                                  <ELN>1</ELN>
                                  <LOOT>0</LOOT>
                                  <LOMN>3</LOMN>
                                  <LOMCN>1</LOMCN>
                                  <LOSN>1</LOSN>
                                  <LOEN>10</LOEN>
                                  <LOCN>12</LOCN>
                                </LnkInProps>
                              </LnkIn>
                            </Ctg>
                            <Ctg>
                              <CtgProps>
                                <R>4</R>
                              </CtgProps>
                              <LnkIn>
                                <LnkInProps>
                                  <MN>28</MN>
                                  <CLI>1,1,39,False,13</CLI>
                                  <ELN>1</ELN>
                                  <LOOT>0</LOOT>
                                  <LOMN>3</LOMN>
                                  <LOMCN>1</LOMCN>
                                  <LOSN>1</LOSN>
                                  <LOEN>10</LOEN>
                                  <LOCN>13</LOCN>
                                </LnkInProps>
                              </LnkIn>
                            </Ctg>
                            <Ctg>
                              <CtgProps>
                                <R>4</R>
                              </CtgProps>
                              <LnkIn>
                                <LnkInProps>
                                  <MN>28</MN>
                                  <CLI>1,1,39,False,14</CLI>
                                  <ELN>1</ELN>
                                  <LOOT>0</LOOT>
                                  <LOMN>3</LOMN>
                                  <LOMCN>1</LOMCN>
                                  <LOSN>1</LOSN>
                                  <LOEN>10</LOEN>
                                  <LOCN>14</LOCN>
                                </LnkInProps>
                              </LnkIn>
                            </Ctg>
                            <Ctg>
                              <CtgProps>
                                <R>5</R>
                              </CtgProps>
                              <LnkIn>
                                <LnkInProps>
                                  <MN>28</MN>
                                  <CLI>1,1,39,False,15</CLI>
                                  <ELN>1</ELN>
                                  <LOOT>0</LOOT>
                                  <LOMN>3</LOMN>
                                  <LOMCN>1</LOMCN>
                                  <LOSN>1</LOSN>
                                  <LOEN>10</LOEN>
                                  <LOCN>15</LOCN>
                                </LnkInProps>
                              </LnkIn>
                            </Ctg>
                            <Ctg>
                              <CtgProps>
                                <R>5</R>
                              </CtgProps>
                              <LnkIn>
                                <LnkInProps>
                                  <MN>28</MN>
                                  <CLI>1,1,39,False,16</CLI>
                                  <ELN>1</ELN>
                                  <LOOT>0</LOOT>
                                  <LOMN>3</LOMN>
                                  <LOMCN>1</LOMCN>
                                  <LOSN>1</LOSN>
                                  <LOEN>10</LOEN>
                                  <LOCN>16</LOCN>
                                </LnkInProps>
                              </LnkIn>
                            </Ctg>
                            <Ctg>
                              <CtgProps>
                                <R>5</R>
                              </CtgProps>
                              <LnkIn>
                                <LnkInProps>
                                  <MN>28</MN>
                                  <CLI>1,1,39,False,17</CLI>
                                  <ELN>1</ELN>
                                  <LOOT>0</LOOT>
                                  <LOMN>3</LOMN>
                                  <LOMCN>1</LOMCN>
                                  <LOSN>1</LOSN>
                                  <LOEN>10</LOEN>
                                  <LOCN>17</LOCN>
                                </LnkInProps>
                              </LnkIn>
                            </Ctg>
                            <Ctg>
                              <CtgProps>
                                <R>5</R>
                              </CtgProps>
                              <LnkIn>
                                <LnkInProps>
                                  <MN>28</MN>
                                  <CLI>1,1,39,False,18</CLI>
                                  <ELN>1</ELN>
                                  <LOOT>0</LOOT>
                                  <LOMN>3</LOMN>
                                  <LOMCN>1</LOMCN>
                                  <LOSN>1</LOSN>
                                  <LOEN>10</LOEN>
                                  <LOCN>18</LOCN>
                                </LnkInProps>
                              </LnkIn>
                            </Ctg>
                            <Ctg>
                              <CtgProps>
                                <R>5</R>
                              </CtgProps>
                              <LnkIn>
                                <LnkInProps>
                                  <MN>28</MN>
                                  <CLI>1,1,39,False,19</CLI>
                                  <ELN>1</ELN>
                                  <LOOT>0</LOOT>
                                  <LOMN>3</LOMN>
                                  <LOMCN>1</LOMCN>
                                  <LOSN>1</LOSN>
                                  <LOEN>10</LOEN>
                                  <LOCN>19</LOCN>
                                </LnkInProps>
                              </LnkIn>
                            </Ctg>
                            <Ctg>
                              <CtgProps>
                                <R>5</R>
                              </CtgProps>
                              <LnkIn>
                                <LnkInProps>
                                  <MN>28</MN>
                                  <CLI>1,1,39,False,20</CLI>
                                  <ELN>1</ELN>
                                  <LOOT>0</LOOT>
                                  <LOMN>3</LOMN>
                                  <LOMCN>1</LOMCN>
                                  <LOSN>1</LOSN>
                                  <LOEN>10</LOEN>
                                  <LOCN>20</LOCN>
                                </LnkInProps>
                              </LnkIn>
                            </Ctg>
                            <Ctg>
                              <CtgProps>
                                <R>5</R>
                              </CtgProps>
                              <LnkIn>
                                <LnkInProps>
                                  <MN>28</MN>
                                  <CLI>1,1,39,False,21</CLI>
                                  <ELN>1</ELN>
                                  <LOOT>0</LOOT>
                                  <LOMN>3</LOMN>
                                  <LOMCN>1</LOMCN>
                                  <LOSN>1</LOSN>
                                  <LOEN>10</LOEN>
                                  <LOCN>21</LOCN>
                                </LnkInProps>
                              </LnkIn>
                            </Ctg>
                            <Ctg>
                              <CtgProps>
                                <R>5</R>
                              </CtgProps>
                              <LnkIn>
                                <LnkInProps>
                                  <MN>28</MN>
                                  <CLI>1,1,39,False,22</CLI>
                                  <ELN>1</ELN>
                                  <LOOT>0</LOOT>
                                  <LOMN>3</LOMN>
                                  <LOMCN>1</LOMCN>
                                  <LOSN>1</LOSN>
                                  <LOEN>10</LOEN>
                                  <LOCN>22</LOCN>
                                </LnkInProps>
                              </LnkIn>
                            </Ctg>
                            <Ctg>
                              <CtgProps>
                                <R>5</R>
                              </CtgProps>
                              <LnkIn>
                                <LnkInProps>
                                  <MN>28</MN>
                                  <CLI>1,1,39,False,23</CLI>
                                  <ELN>1</ELN>
                                  <LOOT>0</LOOT>
                                  <LOMN>3</LOMN>
                                  <LOMCN>1</LOMCN>
                                  <LOSN>1</LOSN>
                                  <LOEN>10</LOEN>
                                  <LOCN>23</LOCN>
                                </LnkInProps>
                              </LnkIn>
                            </Ctg>
                            <Ctg>
                              <CtgProps>
                                <R>5</R>
                              </CtgProps>
                              <LnkIn>
                                <LnkInProps>
                                  <MN>28</MN>
                                  <CLI>1,1,39,False,24</CLI>
                                  <ELN>1</ELN>
                                  <LOOT>0</LOOT>
                                  <LOMN>3</LOMN>
                                  <LOMCN>1</LOMCN>
                                  <LOSN>1</LOSN>
                                  <LOEN>10</LOEN>
                                  <LOCN>24</LOCN>
                                </LnkInProps>
                              </LnkIn>
                            </Ctg>
                            <Ctg>
                              <CtgProps>
                                <R>5</R>
                              </CtgProps>
                              <LnkIn>
                                <LnkInProps>
                                  <MN>28</MN>
                                  <CLI>1,1,39,False,25</CLI>
                                  <ELN>1</ELN>
                                  <LOOT>0</LOOT>
                                  <LOMN>3</LOMN>
                                  <LOMCN>1</LOMCN>
                                  <LOSN>1</LOSN>
                                  <LOEN>10</LOEN>
                                  <LOCN>25</LOCN>
                                </LnkInProps>
                              </LnkIn>
                            </Ctg>
                            <Ctg>
                              <CtgProps>
                                <R>5</R>
                              </CtgProps>
                              <LnkIn>
                                <LnkInProps>
                                  <MN>28</MN>
                                  <CLI>1,1,39,False,26</CLI>
                                  <ELN>1</ELN>
                                  <LOOT>0</LOOT>
                                  <LOMN>3</LOMN>
                                  <LOMCN>1</LOMCN>
                                  <LOSN>1</LOSN>
                                  <LOEN>10</LOEN>
                                  <LOCN>26</LOCN>
                                </LnkInProps>
                              </LnkIn>
                            </Ctg>
                            <Ctg>
                              <CtgProps>
                                <R>5</R>
                              </CtgProps>
                              <LnkIn>
                                <LnkInProps>
                                  <MN>28</MN>
                                  <CLI>1,1,39,False,27</CLI>
                                  <ELN>1</ELN>
                                  <LOOT>0</LOOT>
                                  <LOMN>3</LOMN>
                                  <LOMCN>1</LOMCN>
                                  <LOSN>1</LOSN>
                                  <LOEN>10</LOEN>
                                  <LOCN>27</LOCN>
                                </LnkInProps>
                              </LnkIn>
                            </Ctg>
                            <Ctg>
                              <CtgProps>
                                <R>5</R>
                              </CtgProps>
                              <LnkIn>
                                <LnkInProps>
                                  <MN>28</MN>
                                  <CLI>1,1,39,False,28</CLI>
                                  <ELN>1</ELN>
                                  <LOOT>0</LOOT>
                                  <LOMN>3</LOMN>
                                  <LOMCN>1</LOMCN>
                                  <LOSN>1</LOSN>
                                  <LOEN>10</LOEN>
                                  <LOCN>28</LOCN>
                                </LnkInProps>
                              </LnkIn>
                            </Ctg>
                            <Ctg>
                              <CtgProps>
                                <R>5</R>
                              </CtgProps>
                              <LnkIn>
                                <LnkInProps>
                                  <MN>28</MN>
                                  <CLI>1,1,39,False,29</CLI>
                                  <ELN>1</ELN>
                                  <LOOT>0</LOOT>
                                  <LOMN>3</LOMN>
                                  <LOMCN>1</LOMCN>
                                  <LOSN>1</LOSN>
                                  <LOEN>10</LOEN>
                                  <LOCN>29</LOCN>
                                </LnkInProps>
                              </LnkIn>
                            </Ctg>
                            <Ctg>
                              <CtgProps>
                                <R>5</R>
                              </CtgProps>
                              <LnkIn>
                                <LnkInProps>
                                  <MN>28</MN>
                                  <CLI>1,1,39,False,30</CLI>
                                  <ELN>1</ELN>
                                  <LOOT>0</LOOT>
                                  <LOMN>3</LOMN>
                                  <LOMCN>1</LOMCN>
                                  <LOSN>1</LOSN>
                                  <LOEN>10</LOEN>
                                  <LOCN>30</LOCN>
                                </LnkInProps>
                              </LnkIn>
                            </Ctg>
                            <Ctg>
                              <CtgProps>
                                <R>5</R>
                              </CtgProps>
                              <LnkIn>
                                <LnkInProps>
                                  <MN>28</MN>
                                  <CLI>1,1,39,False,31</CLI>
                                  <ELN>1</ELN>
                                  <LOOT>0</LOOT>
                                  <LOMN>3</LOMN>
                                  <LOMCN>1</LOMCN>
                                  <LOSN>1</LOSN>
                                  <LOEN>10</LOEN>
                                  <LOCN>31</LOCN>
                                </LnkInProps>
                              </LnkIn>
                            </Ctg>
                            <Ctg>
                              <CtgProps>
                                <R>5</R>
                              </CtgProps>
                              <LnkIn>
                                <LnkInProps>
                                  <MN>28</MN>
                                  <CLI>1,1,39,False,32</CLI>
                                  <ELN>1</ELN>
                                  <LOOT>0</LOOT>
                                  <LOMN>3</LOMN>
                                  <LOMCN>1</LOMCN>
                                  <LOSN>1</LOSN>
                                  <LOEN>10</LOEN>
                                  <LOCN>32</LOCN>
                                </LnkInProps>
                              </LnkIn>
                            </Ctg>
                            <Ctg>
                              <CtgProps>
                                <R>5</R>
                              </CtgProps>
                              <LnkIn>
                                <LnkInProps>
                                  <MN>28</MN>
                                  <CLI>1,1,39,False,33</CLI>
                                  <ELN>1</ELN>
                                  <LOOT>0</LOOT>
                                  <LOMN>3</LOMN>
                                  <LOMCN>1</LOMCN>
                                  <LOSN>1</LOSN>
                                  <LOEN>10</LOEN>
                                  <LOCN>33</LOCN>
                                </LnkInProps>
                              </LnkIn>
                            </Ctg>
                            <Ctg>
                              <CtgProps>
                                <R>5</R>
                              </CtgProps>
                              <LnkIn>
                                <LnkInProps>
                                  <MN>28</MN>
                                  <CLI>1,1,39,False,34</CLI>
                                  <ELN>1</ELN>
                                  <LOOT>0</LOOT>
                                  <LOMN>3</LOMN>
                                  <LOMCN>1</LOMCN>
                                  <LOSN>1</LOSN>
                                  <LOEN>10</LOEN>
                                  <LOCN>34</LOCN>
                                </LnkInProps>
                              </LnkIn>
                            </Ctg>
                            <Ctg>
                              <CtgProps>
                                <R>5</R>
                              </CtgProps>
                              <LnkIn>
                                <LnkInProps>
                                  <MN>28</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28</MN>
                                  <CLI>1,1,42,False,1</CLI>
                                  <ELN>1</ELN>
                                  <LOOT>0</LOOT>
                                  <LOMN>3</LOMN>
                                  <LOMCN>1</LOMCN>
                                  <LOSN>1</LOSN>
                                  <LOEN>15</LOEN>
                                  <LOCN>1</LOCN>
                                </LnkInProps>
                              </LnkIn>
                            </Ctg>
                            <Ctg>
                              <CtgProps>
                                <R>4</R>
                              </CtgProps>
                              <LnkIn>
                                <LnkInProps>
                                  <MN>28</MN>
                                  <CLI>1,1,42,False,2</CLI>
                                  <ELN>1</ELN>
                                  <LOOT>0</LOOT>
                                  <LOMN>3</LOMN>
                                  <LOMCN>1</LOMCN>
                                  <LOSN>1</LOSN>
                                  <LOEN>15</LOEN>
                                  <LOCN>2</LOCN>
                                </LnkInProps>
                              </LnkIn>
                            </Ctg>
                            <Ctg>
                              <CtgProps>
                                <R>4</R>
                              </CtgProps>
                              <LnkIn>
                                <LnkInProps>
                                  <MN>28</MN>
                                  <CLI>1,1,42,False,3</CLI>
                                  <ELN>1</ELN>
                                  <LOOT>0</LOOT>
                                  <LOMN>3</LOMN>
                                  <LOMCN>1</LOMCN>
                                  <LOSN>1</LOSN>
                                  <LOEN>15</LOEN>
                                  <LOCN>3</LOCN>
                                </LnkInProps>
                              </LnkIn>
                            </Ctg>
                            <Ctg>
                              <CtgProps>
                                <R>4</R>
                              </CtgProps>
                              <LnkIn>
                                <LnkInProps>
                                  <MN>28</MN>
                                  <CLI>1,1,42,False,4</CLI>
                                  <ELN>1</ELN>
                                  <LOOT>0</LOOT>
                                  <LOMN>3</LOMN>
                                  <LOMCN>1</LOMCN>
                                  <LOSN>1</LOSN>
                                  <LOEN>15</LOEN>
                                  <LOCN>4</LOCN>
                                </LnkInProps>
                              </LnkIn>
                            </Ctg>
                            <Ctg>
                              <CtgProps>
                                <R>5</R>
                              </CtgProps>
                              <LnkIn>
                                <LnkInProps>
                                  <MN>28</MN>
                                  <CLI>1,1,42,False,5</CLI>
                                  <ELN>1</ELN>
                                  <LOOT>0</LOOT>
                                  <LOMN>3</LOMN>
                                  <LOMCN>1</LOMCN>
                                  <LOSN>1</LOSN>
                                  <LOEN>15</LOEN>
                                  <LOCN>5</LOCN>
                                </LnkInProps>
                              </LnkIn>
                            </Ctg>
                            <Ctg>
                              <CtgProps>
                                <R>5</R>
                              </CtgProps>
                              <LnkIn>
                                <LnkInProps>
                                  <MN>28</MN>
                                  <CLI>1,1,42,False,6</CLI>
                                  <ELN>1</ELN>
                                  <LOOT>0</LOOT>
                                  <LOMN>3</LOMN>
                                  <LOMCN>1</LOMCN>
                                  <LOSN>1</LOSN>
                                  <LOEN>15</LOEN>
                                  <LOCN>6</LOCN>
                                </LnkInProps>
                              </LnkIn>
                            </Ctg>
                            <Ctg>
                              <CtgProps>
                                <R>5</R>
                              </CtgProps>
                              <LnkIn>
                                <LnkInProps>
                                  <MN>28</MN>
                                  <CLI>1,1,42,False,7</CLI>
                                  <ELN>1</ELN>
                                  <LOOT>0</LOOT>
                                  <LOMN>3</LOMN>
                                  <LOMCN>1</LOMCN>
                                  <LOSN>1</LOSN>
                                  <LOEN>15</LOEN>
                                  <LOCN>7</LOCN>
                                </LnkInProps>
                              </LnkIn>
                            </Ctg>
                            <Ctg>
                              <CtgProps>
                                <R>5</R>
                              </CtgProps>
                              <LnkIn>
                                <LnkInProps>
                                  <MN>28</MN>
                                  <CLI>1,1,42,False,8</CLI>
                                  <ELN>1</ELN>
                                  <LOOT>0</LOOT>
                                  <LOMN>3</LOMN>
                                  <LOMCN>1</LOMCN>
                                  <LOSN>1</LOSN>
                                  <LOEN>15</LOEN>
                                  <LOCN>8</LOCN>
                                </LnkInProps>
                              </LnkIn>
                            </Ctg>
                            <Ctg>
                              <CtgProps>
                                <R>5</R>
                              </CtgProps>
                              <LnkIn>
                                <LnkInProps>
                                  <MN>28</MN>
                                  <CLI>1,1,42,False,9</CLI>
                                  <ELN>1</ELN>
                                  <LOOT>0</LOOT>
                                  <LOMN>3</LOMN>
                                  <LOMCN>1</LOMCN>
                                  <LOSN>1</LOSN>
                                  <LOEN>15</LOEN>
                                  <LOCN>9</LOCN>
                                </LnkInProps>
                              </LnkIn>
                            </Ctg>
                            <Ctg>
                              <CtgProps>
                                <R>5</R>
                              </CtgProps>
                              <LnkIn>
                                <LnkInProps>
                                  <MN>28</MN>
                                  <CLI>1,1,42,False,10</CLI>
                                  <ELN>1</ELN>
                                  <LOOT>0</LOOT>
                                  <LOMN>3</LOMN>
                                  <LOMCN>1</LOMCN>
                                  <LOSN>1</LOSN>
                                  <LOEN>15</LOEN>
                                  <LOCN>10</LOCN>
                                </LnkInProps>
                              </LnkIn>
                            </Ctg>
                            <Ctg>
                              <CtgProps>
                                <R>5</R>
                              </CtgProps>
                              <LnkIn>
                                <LnkInProps>
                                  <MN>28</MN>
                                  <CLI>1,1,42,False,11</CLI>
                                  <ELN>1</ELN>
                                  <LOOT>0</LOOT>
                                  <LOMN>3</LOMN>
                                  <LOMCN>1</LOMCN>
                                  <LOSN>1</LOSN>
                                  <LOEN>15</LOEN>
                                  <LOCN>11</LOCN>
                                </LnkInProps>
                              </LnkIn>
                            </Ctg>
                            <Ctg>
                              <CtgProps>
                                <R>5</R>
                              </CtgProps>
                              <LnkIn>
                                <LnkInProps>
                                  <MN>28</MN>
                                  <CLI>1,1,42,False,12</CLI>
                                  <ELN>1</ELN>
                                  <LOOT>0</LOOT>
                                  <LOMN>3</LOMN>
                                  <LOMCN>1</LOMCN>
                                  <LOSN>1</LOSN>
                                  <LOEN>15</LOEN>
                                  <LOCN>12</LOCN>
                                </LnkInProps>
                              </LnkIn>
                            </Ctg>
                            <Ctg>
                              <CtgProps>
                                <R>5</R>
                              </CtgProps>
                              <LnkIn>
                                <LnkInProps>
                                  <MN>28</MN>
                                  <CLI>1,1,42,False,13</CLI>
                                  <ELN>1</ELN>
                                  <LOOT>0</LOOT>
                                  <LOMN>3</LOMN>
                                  <LOMCN>1</LOMCN>
                                  <LOSN>1</LOSN>
                                  <LOEN>15</LOEN>
                                  <LOCN>13</LOCN>
                                </LnkInProps>
                              </LnkIn>
                            </Ctg>
                            <Ctg>
                              <CtgProps>
                                <R>5</R>
                              </CtgProps>
                              <LnkIn>
                                <LnkInProps>
                                  <MN>28</MN>
                                  <CLI>1,1,42,False,14</CLI>
                                  <ELN>1</ELN>
                                  <LOOT>0</LOOT>
                                  <LOMN>3</LOMN>
                                  <LOMCN>1</LOMCN>
                                  <LOSN>1</LOSN>
                                  <LOEN>15</LOEN>
                                  <LOCN>14</LOCN>
                                </LnkInProps>
                              </LnkIn>
                            </Ctg>
                            <Ctg>
                              <CtgProps>
                                <R>5</R>
                              </CtgProps>
                              <LnkIn>
                                <LnkInProps>
                                  <MN>28</MN>
                                  <CLI>1,1,42,False,15</CLI>
                                  <ELN>1</ELN>
                                  <LOOT>0</LOOT>
                                  <LOMN>3</LOMN>
                                  <LOMCN>1</LOMCN>
                                  <LOSN>1</LOSN>
                                  <LOEN>15</LOEN>
                                  <LOCN>15</LOCN>
                                </LnkInProps>
                              </LnkIn>
                            </Ctg>
                            <Ctg>
                              <CtgProps>
                                <R>5</R>
                              </CtgProps>
                              <LnkIn>
                                <LnkInProps>
                                  <MN>28</MN>
                                  <CLI>1,1,42,False,16</CLI>
                                  <ELN>1</ELN>
                                  <LOOT>0</LOOT>
                                  <LOMN>3</LOMN>
                                  <LOMCN>1</LOMCN>
                                  <LOSN>1</LOSN>
                                  <LOEN>15</LOEN>
                                  <LOCN>16</LOCN>
                                </LnkInProps>
                              </LnkIn>
                            </Ctg>
                            <Ctg>
                              <CtgProps>
                                <R>4</R>
                              </CtgProps>
                              <LnkIn>
                                <LnkInProps>
                                  <MN>28</MN>
                                  <CLI>1,1,42,False,17</CLI>
                                  <ELN>1</ELN>
                                  <LOOT>0</LOOT>
                                  <LOMN>3</LOMN>
                                  <LOMCN>1</LOMCN>
                                  <LOSN>1</LOSN>
                                  <LOEN>15</LOEN>
                                  <LOCN>17</LOCN>
                                </LnkInProps>
                              </LnkIn>
                            </Ctg>
                            <Ctg>
                              <CtgProps>
                                <R>4</R>
                              </CtgProps>
                              <LnkIn>
                                <LnkInProps>
                                  <MN>28</MN>
                                  <CLI>1,1,42,False,18</CLI>
                                  <ELN>1</ELN>
                                  <LOOT>0</LOOT>
                                  <LOMN>3</LOMN>
                                  <LOMCN>1</LOMCN>
                                  <LOSN>1</LOSN>
                                  <LOEN>15</LOEN>
                                  <LOCN>18</LOCN>
                                </LnkInProps>
                              </LnkIn>
                            </Ctg>
                            <Ctg>
                              <CtgProps>
                                <R>4</R>
                              </CtgProps>
                              <LnkIn>
                                <LnkInProps>
                                  <MN>28</MN>
                                  <CLI>1,1,42,False,19</CLI>
                                  <ELN>1</ELN>
                                  <LOOT>0</LOOT>
                                  <LOMN>3</LOMN>
                                  <LOMCN>1</LOMCN>
                                  <LOSN>1</LOSN>
                                  <LOEN>15</LOEN>
                                  <LOCN>19</LOCN>
                                </LnkInProps>
                              </LnkIn>
                            </Ctg>
                            <Ctg>
                              <CtgProps>
                                <R>4</R>
                              </CtgProps>
                              <LnkIn>
                                <LnkInProps>
                                  <MN>28</MN>
                                  <CLI>1,1,42,False,20</CLI>
                                  <ELN>1</ELN>
                                  <LOOT>0</LOOT>
                                  <LOMN>3</LOMN>
                                  <LOMCN>1</LOMCN>
                                  <LOSN>1</LOSN>
                                  <LOEN>15</LOEN>
                                  <LOCN>20</LOCN>
                                </LnkInProps>
                              </LnkIn>
                            </Ctg>
                            <Ctg>
                              <CtgProps>
                                <R>4</R>
                              </CtgProps>
                              <LnkIn>
                                <LnkInProps>
                                  <MN>28</MN>
                                  <CLI>1,1,42,False,21</CLI>
                                  <ELN>1</ELN>
                                  <LOOT>0</LOOT>
                                  <LOMN>3</LOMN>
                                  <LOMCN>1</LOMCN>
                                  <LOSN>1</LOSN>
                                  <LOEN>15</LOEN>
                                  <LOCN>21</LOCN>
                                </LnkInProps>
                              </LnkIn>
                            </Ctg>
                            <Ctg>
                              <CtgProps>
                                <R>4</R>
                              </CtgProps>
                              <LnkIn>
                                <LnkInProps>
                                  <MN>28</MN>
                                  <CLI>1,1,42,False,22</CLI>
                                  <ELN>1</ELN>
                                  <LOOT>0</LOOT>
                                  <LOMN>3</LOMN>
                                  <LOMCN>1</LOMCN>
                                  <LOSN>1</LOSN>
                                  <LOEN>15</LOEN>
                                  <LOCN>22</LOCN>
                                </LnkInProps>
                              </LnkIn>
                            </Ctg>
                            <Ctg>
                              <CtgProps>
                                <R>5</R>
                              </CtgProps>
                              <LnkIn>
                                <LnkInProps>
                                  <MN>28</MN>
                                  <CLI>1,1,42,False,23</CLI>
                                  <ELN>1</ELN>
                                  <LOOT>0</LOOT>
                                  <LOMN>3</LOMN>
                                  <LOMCN>1</LOMCN>
                                  <LOSN>1</LOSN>
                                  <LOEN>15</LOEN>
                                  <LOCN>23</LOCN>
                                </LnkInProps>
                              </LnkIn>
                            </Ctg>
                            <Ctg>
                              <CtgProps>
                                <R>5</R>
                              </CtgProps>
                              <LnkIn>
                                <LnkInProps>
                                  <MN>28</MN>
                                  <CLI>1,1,42,False,24</CLI>
                                  <ELN>1</ELN>
                                  <LOOT>0</LOOT>
                                  <LOMN>3</LOMN>
                                  <LOMCN>1</LOMCN>
                                  <LOSN>1</LOSN>
                                  <LOEN>15</LOEN>
                                  <LOCN>24</LOCN>
                                </LnkInProps>
                              </LnkIn>
                            </Ctg>
                            <Ctg>
                              <CtgProps>
                                <R>5</R>
                              </CtgProps>
                              <LnkIn>
                                <LnkInProps>
                                  <MN>28</MN>
                                  <CLI>1,1,42,False,25</CLI>
                                  <ELN>1</ELN>
                                  <LOOT>0</LOOT>
                                  <LOMN>3</LOMN>
                                  <LOMCN>1</LOMCN>
                                  <LOSN>1</LOSN>
                                  <LOEN>15</LOEN>
                                  <LOCN>25</LOCN>
                                </LnkInProps>
                              </LnkIn>
                            </Ctg>
                            <Ctg>
                              <CtgProps>
                                <R>5</R>
                              </CtgProps>
                              <LnkIn>
                                <LnkInProps>
                                  <MN>28</MN>
                                  <CLI>1,1,42,False,26</CLI>
                                  <ELN>1</ELN>
                                  <LOOT>0</LOOT>
                                  <LOMN>3</LOMN>
                                  <LOMCN>1</LOMCN>
                                  <LOSN>1</LOSN>
                                  <LOEN>15</LOEN>
                                  <LOCN>26</LOCN>
                                </LnkInProps>
                              </LnkIn>
                            </Ctg>
                            <Ctg>
                              <CtgProps>
                                <R>5</R>
                              </CtgProps>
                              <LnkIn>
                                <LnkInProps>
                                  <MN>28</MN>
                                  <CLI>1,1,42,False,27</CLI>
                                  <ELN>1</ELN>
                                  <LOOT>0</LOOT>
                                  <LOMN>3</LOMN>
                                  <LOMCN>1</LOMCN>
                                  <LOSN>1</LOSN>
                                  <LOEN>15</LOEN>
                                  <LOCN>27</LOCN>
                                </LnkInProps>
                              </LnkIn>
                            </Ctg>
                            <Ctg>
                              <CtgProps>
                                <R>5</R>
                              </CtgProps>
                              <LnkIn>
                                <LnkInProps>
                                  <MN>28</MN>
                                  <CLI>1,1,42,False,28</CLI>
                                  <ELN>1</ELN>
                                  <LOOT>0</LOOT>
                                  <LOMN>3</LOMN>
                                  <LOMCN>1</LOMCN>
                                  <LOSN>1</LOSN>
                                  <LOEN>15</LOEN>
                                  <LOCN>28</LOCN>
                                </LnkInProps>
                              </LnkIn>
                            </Ctg>
                            <Ctg>
                              <CtgProps>
                                <R>5</R>
                              </CtgProps>
                              <LnkIn>
                                <LnkInProps>
                                  <MN>28</MN>
                                  <CLI>1,1,42,False,29</CLI>
                                  <ELN>1</ELN>
                                  <LOOT>0</LOOT>
                                  <LOMN>3</LOMN>
                                  <LOMCN>1</LOMCN>
                                  <LOSN>1</LOSN>
                                  <LOEN>15</LOEN>
                                  <LOCN>29</LOCN>
                                </LnkInProps>
                              </LnkIn>
                            </Ctg>
                            <Ctg>
                              <CtgProps>
                                <R>5</R>
                              </CtgProps>
                              <LnkIn>
                                <LnkInProps>
                                  <MN>28</MN>
                                  <CLI>1,1,42,False,30</CLI>
                                  <ELN>1</ELN>
                                  <LOOT>0</LOOT>
                                  <LOMN>3</LOMN>
                                  <LOMCN>1</LOMCN>
                                  <LOSN>1</LOSN>
                                  <LOEN>15</LOEN>
                                  <LOCN>30</LOCN>
                                </LnkInProps>
                              </LnkIn>
                            </Ctg>
                            <Ctg>
                              <CtgProps>
                                <R>4</R>
                              </CtgProps>
                              <LnkIn>
                                <LnkInProps>
                                  <MN>28</MN>
                                  <CLI>1,1,42,False,31</CLI>
                                  <ELN>1</ELN>
                                  <LOOT>0</LOOT>
                                  <LOMN>3</LOMN>
                                  <LOMCN>1</LOMCN>
                                  <LOSN>1</LOSN>
                                  <LOEN>15</LOEN>
                                  <LOCN>31</LOCN>
                                </LnkInProps>
                              </LnkIn>
                            </Ctg>
                            <Ctg>
                              <CtgProps>
                                <R>4</R>
                              </CtgProps>
                              <LnkIn>
                                <LnkInProps>
                                  <MN>28</MN>
                                  <CLI>1,1,42,False,32</CLI>
                                  <ELN>1</ELN>
                                  <LOOT>0</LOOT>
                                  <LOMN>3</LOMN>
                                  <LOMCN>1</LOMCN>
                                  <LOSN>1</LOSN>
                                  <LOEN>15</LOEN>
                                  <LOCN>32</LOCN>
                                </LnkInProps>
                              </LnkIn>
                            </Ctg>
                            <Ctg>
                              <CtgProps>
                                <R>4</R>
                              </CtgProps>
                              <LnkIn>
                                <LnkInProps>
                                  <MN>28</MN>
                                  <CLI>1,1,42,False,33</CLI>
                                  <ELN>1</ELN>
                                  <LOOT>0</LOOT>
                                  <LOMN>3</LOMN>
                                  <LOMCN>1</LOMCN>
                                  <LOSN>1</LOSN>
                                  <LOEN>15</LOEN>
                                  <LOCN>33</LOCN>
                                </LnkInProps>
                              </LnkIn>
                            </Ctg>
                            <Ctg>
                              <CtgProps>
                                <R>4</R>
                              </CtgProps>
                              <LnkIn>
                                <LnkInProps>
                                  <MN>28</MN>
                                  <CLI>1,1,42,False,34</CLI>
                                  <ELN>1</ELN>
                                  <LOOT>0</LOOT>
                                  <LOMN>3</LOMN>
                                  <LOMCN>1</LOMCN>
                                  <LOSN>1</LOSN>
                                  <LOEN>15</LOEN>
                                  <LOCN>34</LOCN>
                                </LnkInProps>
                              </LnkIn>
                            </Ctg>
                            <Ctg>
                              <CtgProps>
                                <R>4</R>
                              </CtgProps>
                              <LnkIn>
                                <LnkInProps>
                                  <MN>28</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28</MN>
                                  <CLI>1,1,46,False,1</CLI>
                                  <ELN>1</ELN>
                                  <LOOT>0</LOOT>
                                  <LOMN>3</LOMN>
                                  <LOMCN>1</LOMCN>
                                  <LOSN>1</LOSN>
                                  <LOEN>19</LOEN>
                                  <LOCN>1</LOCN>
                                </LnkInProps>
                              </LnkIn>
                            </Ctg>
                            <Ctg>
                              <CtgProps>
                                <R>4</R>
                              </CtgProps>
                              <LnkIn>
                                <LnkInProps>
                                  <MN>28</MN>
                                  <CLI>1,1,46,False,2</CLI>
                                  <ELN>1</ELN>
                                  <LOOT>0</LOOT>
                                  <LOMN>3</LOMN>
                                  <LOMCN>1</LOMCN>
                                  <LOSN>1</LOSN>
                                  <LOEN>19</LOEN>
                                  <LOCN>2</LOCN>
                                </LnkInProps>
                              </LnkIn>
                            </Ctg>
                            <Ctg>
                              <CtgProps>
                                <R>4</R>
                              </CtgProps>
                              <LnkIn>
                                <LnkInProps>
                                  <MN>28</MN>
                                  <CLI>1,1,46,False,3</CLI>
                                  <ELN>1</ELN>
                                  <LOOT>0</LOOT>
                                  <LOMN>3</LOMN>
                                  <LOMCN>1</LOMCN>
                                  <LOSN>1</LOSN>
                                  <LOEN>19</LOEN>
                                  <LOCN>3</LOCN>
                                </LnkInProps>
                              </LnkIn>
                            </Ctg>
                            <Ctg>
                              <CtgProps>
                                <R>4</R>
                              </CtgProps>
                              <LnkIn>
                                <LnkInProps>
                                  <MN>28</MN>
                                  <CLI>1,1,46,False,4</CLI>
                                  <ELN>1</ELN>
                                  <LOOT>0</LOOT>
                                  <LOMN>3</LOMN>
                                  <LOMCN>1</LOMCN>
                                  <LOSN>1</LOSN>
                                  <LOEN>19</LOEN>
                                  <LOCN>4</LOCN>
                                </LnkInProps>
                              </LnkIn>
                            </Ctg>
                            <Ctg>
                              <CtgProps>
                                <R>4</R>
                              </CtgProps>
                              <LnkIn>
                                <LnkInProps>
                                  <MN>28</MN>
                                  <CLI>1,1,46,False,5</CLI>
                                  <ELN>1</ELN>
                                  <LOOT>0</LOOT>
                                  <LOMN>3</LOMN>
                                  <LOMCN>1</LOMCN>
                                  <LOSN>1</LOSN>
                                  <LOEN>19</LOEN>
                                  <LOCN>5</LOCN>
                                </LnkInProps>
                              </LnkIn>
                            </Ctg>
                            <Ctg>
                              <CtgProps>
                                <R>4</R>
                              </CtgProps>
                              <LnkIn>
                                <LnkInProps>
                                  <MN>28</MN>
                                  <CLI>1,1,46,False,6</CLI>
                                  <ELN>1</ELN>
                                  <LOOT>0</LOOT>
                                  <LOMN>3</LOMN>
                                  <LOMCN>1</LOMCN>
                                  <LOSN>1</LOSN>
                                  <LOEN>19</LOEN>
                                  <LOCN>6</LOCN>
                                </LnkInProps>
                              </LnkIn>
                            </Ctg>
                            <Ctg>
                              <CtgProps>
                                <R>4</R>
                              </CtgProps>
                              <LnkIn>
                                <LnkInProps>
                                  <MN>28</MN>
                                  <CLI>1,1,46,False,7</CLI>
                                  <ELN>1</ELN>
                                  <LOOT>0</LOOT>
                                  <LOMN>3</LOMN>
                                  <LOMCN>1</LOMCN>
                                  <LOSN>1</LOSN>
                                  <LOEN>19</LOEN>
                                  <LOCN>7</LOCN>
                                </LnkInProps>
                              </LnkIn>
                            </Ctg>
                            <Ctg>
                              <CtgProps>
                                <R>4</R>
                              </CtgProps>
                              <LnkIn>
                                <LnkInProps>
                                  <MN>28</MN>
                                  <CLI>1,1,46,False,8</CLI>
                                  <ELN>1</ELN>
                                  <LOOT>0</LOOT>
                                  <LOMN>3</LOMN>
                                  <LOMCN>1</LOMCN>
                                  <LOSN>1</LOSN>
                                  <LOEN>19</LOEN>
                                  <LOCN>8</LOCN>
                                </LnkInProps>
                              </LnkIn>
                            </Ctg>
                            <Ctg>
                              <CtgProps>
                                <R>4</R>
                              </CtgProps>
                              <LnkIn>
                                <LnkInProps>
                                  <MN>28</MN>
                                  <CLI>1,1,46,False,9</CLI>
                                  <ELN>1</ELN>
                                  <LOOT>0</LOOT>
                                  <LOMN>3</LOMN>
                                  <LOMCN>1</LOMCN>
                                  <LOSN>1</LOSN>
                                  <LOEN>19</LOEN>
                                  <LOCN>9</LOCN>
                                </LnkInProps>
                              </LnkIn>
                            </Ctg>
                            <Ctg>
                              <CtgProps>
                                <R>4</R>
                              </CtgProps>
                              <LnkIn>
                                <LnkInProps>
                                  <MN>28</MN>
                                  <CLI>1,1,46,False,10</CLI>
                                  <ELN>1</ELN>
                                  <LOOT>0</LOOT>
                                  <LOMN>3</LOMN>
                                  <LOMCN>1</LOMCN>
                                  <LOSN>1</LOSN>
                                  <LOEN>19</LOEN>
                                  <LOCN>10</LOCN>
                                </LnkInProps>
                              </LnkIn>
                            </Ctg>
                            <Ctg>
                              <CtgProps>
                                <R>4</R>
                              </CtgProps>
                              <LnkIn>
                                <LnkInProps>
                                  <MN>28</MN>
                                  <CLI>1,1,46,False,11</CLI>
                                  <ELN>1</ELN>
                                  <LOOT>0</LOOT>
                                  <LOMN>3</LOMN>
                                  <LOMCN>1</LOMCN>
                                  <LOSN>1</LOSN>
                                  <LOEN>19</LOEN>
                                  <LOCN>11</LOCN>
                                </LnkInProps>
                              </LnkIn>
                            </Ctg>
                            <Ctg>
                              <CtgProps>
                                <R>4</R>
                              </CtgProps>
                              <LnkIn>
                                <LnkInProps>
                                  <MN>28</MN>
                                  <CLI>1,1,46,False,12</CLI>
                                  <ELN>1</ELN>
                                  <LOOT>0</LOOT>
                                  <LOMN>3</LOMN>
                                  <LOMCN>1</LOMCN>
                                  <LOSN>1</LOSN>
                                  <LOEN>19</LOEN>
                                  <LOCN>12</LOCN>
                                </LnkInProps>
                              </LnkIn>
                            </Ctg>
                            <Ctg>
                              <CtgProps>
                                <R>4</R>
                              </CtgProps>
                              <LnkIn>
                                <LnkInProps>
                                  <MN>28</MN>
                                  <CLI>1,1,46,False,13</CLI>
                                  <ELN>1</ELN>
                                  <LOOT>0</LOOT>
                                  <LOMN>3</LOMN>
                                  <LOMCN>1</LOMCN>
                                  <LOSN>1</LOSN>
                                  <LOEN>19</LOEN>
                                  <LOCN>13</LOCN>
                                </LnkInProps>
                              </LnkIn>
                            </Ctg>
                            <Ctg>
                              <CtgProps>
                                <R>4</R>
                              </CtgProps>
                              <LnkIn>
                                <LnkInProps>
                                  <MN>28</MN>
                                  <CLI>1,1,46,False,14</CLI>
                                  <ELN>1</ELN>
                                  <LOOT>0</LOOT>
                                  <LOMN>3</LOMN>
                                  <LOMCN>1</LOMCN>
                                  <LOSN>1</LOSN>
                                  <LOEN>19</LOEN>
                                  <LOCN>14</LOCN>
                                </LnkInProps>
                              </LnkIn>
                            </Ctg>
                            <Ctg>
                              <CtgProps>
                                <R>4</R>
                              </CtgProps>
                              <LnkIn>
                                <LnkInProps>
                                  <MN>28</MN>
                                  <CLI>1,1,46,False,15</CLI>
                                  <ELN>1</ELN>
                                  <LOOT>0</LOOT>
                                  <LOMN>3</LOMN>
                                  <LOMCN>1</LOMCN>
                                  <LOSN>1</LOSN>
                                  <LOEN>19</LOEN>
                                  <LOCN>15</LOCN>
                                </LnkInProps>
                              </LnkIn>
                            </Ctg>
                            <Ctg>
                              <CtgProps>
                                <R>5</R>
                              </CtgProps>
                              <LnkIn>
                                <LnkInProps>
                                  <MN>28</MN>
                                  <CLI>1,1,46,False,16</CLI>
                                  <ELN>1</ELN>
                                  <LOOT>0</LOOT>
                                  <LOMN>3</LOMN>
                                  <LOMCN>1</LOMCN>
                                  <LOSN>1</LOSN>
                                  <LOEN>19</LOEN>
                                  <LOCN>16</LOCN>
                                </LnkInProps>
                              </LnkIn>
                            </Ctg>
                            <Ctg>
                              <CtgProps>
                                <R>5</R>
                              </CtgProps>
                              <LnkIn>
                                <LnkInProps>
                                  <MN>28</MN>
                                  <CLI>1,1,46,False,17</CLI>
                                  <ELN>1</ELN>
                                  <LOOT>0</LOOT>
                                  <LOMN>3</LOMN>
                                  <LOMCN>1</LOMCN>
                                  <LOSN>1</LOSN>
                                  <LOEN>19</LOEN>
                                  <LOCN>17</LOCN>
                                </LnkInProps>
                              </LnkIn>
                            </Ctg>
                            <Ctg>
                              <CtgProps>
                                <R>5</R>
                              </CtgProps>
                              <LnkIn>
                                <LnkInProps>
                                  <MN>28</MN>
                                  <CLI>1,1,46,False,18</CLI>
                                  <ELN>1</ELN>
                                  <LOOT>0</LOOT>
                                  <LOMN>3</LOMN>
                                  <LOMCN>1</LOMCN>
                                  <LOSN>1</LOSN>
                                  <LOEN>19</LOEN>
                                  <LOCN>18</LOCN>
                                </LnkInProps>
                              </LnkIn>
                            </Ctg>
                            <Ctg>
                              <CtgProps>
                                <R>5</R>
                              </CtgProps>
                              <LnkIn>
                                <LnkInProps>
                                  <MN>28</MN>
                                  <CLI>1,1,46,False,19</CLI>
                                  <ELN>1</ELN>
                                  <LOOT>0</LOOT>
                                  <LOMN>3</LOMN>
                                  <LOMCN>1</LOMCN>
                                  <LOSN>1</LOSN>
                                  <LOEN>19</LOEN>
                                  <LOCN>19</LOCN>
                                </LnkInProps>
                              </LnkIn>
                            </Ctg>
                            <Ctg>
                              <CtgProps>
                                <R>5</R>
                              </CtgProps>
                              <LnkIn>
                                <LnkInProps>
                                  <MN>28</MN>
                                  <CLI>1,1,46,False,20</CLI>
                                  <ELN>1</ELN>
                                  <LOOT>0</LOOT>
                                  <LOMN>3</LOMN>
                                  <LOMCN>1</LOMCN>
                                  <LOSN>1</LOSN>
                                  <LOEN>19</LOEN>
                                  <LOCN>20</LOCN>
                                </LnkInProps>
                              </LnkIn>
                            </Ctg>
                            <Ctg>
                              <CtgProps>
                                <R>5</R>
                              </CtgProps>
                              <LnkIn>
                                <LnkInProps>
                                  <MN>28</MN>
                                  <CLI>1,1,46,False,21</CLI>
                                  <ELN>1</ELN>
                                  <LOOT>0</LOOT>
                                  <LOMN>3</LOMN>
                                  <LOMCN>1</LOMCN>
                                  <LOSN>1</LOSN>
                                  <LOEN>19</LOEN>
                                  <LOCN>21</LOCN>
                                </LnkInProps>
                              </LnkIn>
                            </Ctg>
                            <Ctg>
                              <CtgProps>
                                <R>5</R>
                              </CtgProps>
                              <LnkIn>
                                <LnkInProps>
                                  <MN>28</MN>
                                  <CLI>1,1,46,False,22</CLI>
                                  <ELN>1</ELN>
                                  <LOOT>0</LOOT>
                                  <LOMN>3</LOMN>
                                  <LOMCN>1</LOMCN>
                                  <LOSN>1</LOSN>
                                  <LOEN>19</LOEN>
                                  <LOCN>22</LOCN>
                                </LnkInProps>
                              </LnkIn>
                            </Ctg>
                            <Ctg>
                              <CtgProps>
                                <R>5</R>
                              </CtgProps>
                              <LnkIn>
                                <LnkInProps>
                                  <MN>28</MN>
                                  <CLI>1,1,46,False,23</CLI>
                                  <ELN>1</ELN>
                                  <LOOT>0</LOOT>
                                  <LOMN>3</LOMN>
                                  <LOMCN>1</LOMCN>
                                  <LOSN>1</LOSN>
                                  <LOEN>19</LOEN>
                                  <LOCN>23</LOCN>
                                </LnkInProps>
                              </LnkIn>
                            </Ctg>
                            <Ctg>
                              <CtgProps>
                                <R>5</R>
                              </CtgProps>
                              <LnkIn>
                                <LnkInProps>
                                  <MN>28</MN>
                                  <CLI>1,1,46,False,24</CLI>
                                  <ELN>1</ELN>
                                  <LOOT>0</LOOT>
                                  <LOMN>3</LOMN>
                                  <LOMCN>1</LOMCN>
                                  <LOSN>1</LOSN>
                                  <LOEN>19</LOEN>
                                  <LOCN>24</LOCN>
                                </LnkInProps>
                              </LnkIn>
                            </Ctg>
                            <Ctg>
                              <CtgProps>
                                <R>5</R>
                              </CtgProps>
                              <LnkIn>
                                <LnkInProps>
                                  <MN>28</MN>
                                  <CLI>1,1,46,False,25</CLI>
                                  <ELN>1</ELN>
                                  <LOOT>0</LOOT>
                                  <LOMN>3</LOMN>
                                  <LOMCN>1</LOMCN>
                                  <LOSN>1</LOSN>
                                  <LOEN>19</LOEN>
                                  <LOCN>25</LOCN>
                                </LnkInProps>
                              </LnkIn>
                            </Ctg>
                            <Ctg>
                              <CtgProps>
                                <R>5</R>
                              </CtgProps>
                              <LnkIn>
                                <LnkInProps>
                                  <MN>28</MN>
                                  <CLI>1,1,46,False,26</CLI>
                                  <ELN>1</ELN>
                                  <LOOT>0</LOOT>
                                  <LOMN>3</LOMN>
                                  <LOMCN>1</LOMCN>
                                  <LOSN>1</LOSN>
                                  <LOEN>19</LOEN>
                                  <LOCN>26</LOCN>
                                </LnkInProps>
                              </LnkIn>
                            </Ctg>
                            <Ctg>
                              <CtgProps>
                                <R>5</R>
                              </CtgProps>
                              <LnkIn>
                                <LnkInProps>
                                  <MN>28</MN>
                                  <CLI>1,1,46,False,27</CLI>
                                  <ELN>1</ELN>
                                  <LOOT>0</LOOT>
                                  <LOMN>3</LOMN>
                                  <LOMCN>1</LOMCN>
                                  <LOSN>1</LOSN>
                                  <LOEN>19</LOEN>
                                  <LOCN>27</LOCN>
                                </LnkInProps>
                              </LnkIn>
                            </Ctg>
                            <Ctg>
                              <CtgProps>
                                <R>5</R>
                              </CtgProps>
                              <LnkIn>
                                <LnkInProps>
                                  <MN>28</MN>
                                  <CLI>1,1,46,False,28</CLI>
                                  <ELN>1</ELN>
                                  <LOOT>0</LOOT>
                                  <LOMN>3</LOMN>
                                  <LOMCN>1</LOMCN>
                                  <LOSN>1</LOSN>
                                  <LOEN>19</LOEN>
                                  <LOCN>28</LOCN>
                                </LnkInProps>
                              </LnkIn>
                            </Ctg>
                            <Ctg>
                              <CtgProps>
                                <R>5</R>
                              </CtgProps>
                              <LnkIn>
                                <LnkInProps>
                                  <MN>28</MN>
                                  <CLI>1,1,46,False,29</CLI>
                                  <ELN>1</ELN>
                                  <LOOT>0</LOOT>
                                  <LOMN>3</LOMN>
                                  <LOMCN>1</LOMCN>
                                  <LOSN>1</LOSN>
                                  <LOEN>19</LOEN>
                                  <LOCN>29</LOCN>
                                </LnkInProps>
                              </LnkIn>
                            </Ctg>
                            <Ctg>
                              <CtgProps>
                                <R>5</R>
                              </CtgProps>
                              <LnkIn>
                                <LnkInProps>
                                  <MN>28</MN>
                                  <CLI>1,1,46,False,30</CLI>
                                  <ELN>1</ELN>
                                  <LOOT>0</LOOT>
                                  <LOMN>3</LOMN>
                                  <LOMCN>1</LOMCN>
                                  <LOSN>1</LOSN>
                                  <LOEN>19</LOEN>
                                  <LOCN>30</LOCN>
                                </LnkInProps>
                              </LnkIn>
                            </Ctg>
                            <Ctg>
                              <CtgProps>
                                <R>5</R>
                              </CtgProps>
                              <LnkIn>
                                <LnkInProps>
                                  <MN>28</MN>
                                  <CLI>1,1,46,False,31</CLI>
                                  <ELN>1</ELN>
                                  <LOOT>0</LOOT>
                                  <LOMN>3</LOMN>
                                  <LOMCN>1</LOMCN>
                                  <LOSN>1</LOSN>
                                  <LOEN>19</LOEN>
                                  <LOCN>31</LOCN>
                                </LnkInProps>
                              </LnkIn>
                            </Ctg>
                            <Ctg>
                              <CtgProps>
                                <R>5</R>
                              </CtgProps>
                              <LnkIn>
                                <LnkInProps>
                                  <MN>28</MN>
                                  <CLI>1,1,46,False,32</CLI>
                                  <ELN>1</ELN>
                                  <LOOT>0</LOOT>
                                  <LOMN>3</LOMN>
                                  <LOMCN>1</LOMCN>
                                  <LOSN>1</LOSN>
                                  <LOEN>19</LOEN>
                                  <LOCN>32</LOCN>
                                </LnkInProps>
                              </LnkIn>
                            </Ctg>
                            <Ctg>
                              <CtgProps>
                                <R>5</R>
                              </CtgProps>
                              <LnkIn>
                                <LnkInProps>
                                  <MN>28</MN>
                                  <CLI>1,1,46,False,33</CLI>
                                  <ELN>1</ELN>
                                  <LOOT>0</LOOT>
                                  <LOMN>3</LOMN>
                                  <LOMCN>1</LOMCN>
                                  <LOSN>1</LOSN>
                                  <LOEN>19</LOEN>
                                  <LOCN>33</LOCN>
                                </LnkInProps>
                              </LnkIn>
                            </Ctg>
                            <Ctg>
                              <CtgProps>
                                <R>5</R>
                              </CtgProps>
                              <LnkIn>
                                <LnkInProps>
                                  <MN>28</MN>
                                  <CLI>1,1,46,False,34</CLI>
                                  <ELN>1</ELN>
                                  <LOOT>0</LOOT>
                                  <LOMN>3</LOMN>
                                  <LOMCN>1</LOMCN>
                                  <LOSN>1</LOSN>
                                  <LOEN>19</LOEN>
                                  <LOCN>34</LOCN>
                                </LnkInProps>
                              </LnkIn>
                            </Ctg>
                            <Ctg>
                              <CtgProps>
                                <R>5</R>
                              </CtgProps>
                              <LnkIn>
                                <LnkInProps>
                                  <MN>28</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28</MN>
                                  <CLI>1,1,49,False,1</CLI>
                                  <ELN>1</ELN>
                                  <LOOT>0</LOOT>
                                  <LOMN>3</LOMN>
                                  <LOMCN>1</LOMCN>
                                  <LOSN>1</LOSN>
                                  <LOEN>24</LOEN>
                                  <LOCN>1</LOCN>
                                </LnkInProps>
                              </LnkIn>
                            </Ctg>
                            <Ctg>
                              <CtgProps>
                                <R>4</R>
                              </CtgProps>
                              <LnkIn>
                                <LnkInProps>
                                  <MN>28</MN>
                                  <CLI>1,1,49,False,2</CLI>
                                  <ELN>1</ELN>
                                  <LOOT>0</LOOT>
                                  <LOMN>3</LOMN>
                                  <LOMCN>1</LOMCN>
                                  <LOSN>1</LOSN>
                                  <LOEN>24</LOEN>
                                  <LOCN>2</LOCN>
                                </LnkInProps>
                              </LnkIn>
                            </Ctg>
                            <Ctg>
                              <CtgProps>
                                <R>4</R>
                              </CtgProps>
                              <LnkIn>
                                <LnkInProps>
                                  <MN>28</MN>
                                  <CLI>1,1,49,False,3</CLI>
                                  <ELN>1</ELN>
                                  <LOOT>0</LOOT>
                                  <LOMN>3</LOMN>
                                  <LOMCN>1</LOMCN>
                                  <LOSN>1</LOSN>
                                  <LOEN>24</LOEN>
                                  <LOCN>3</LOCN>
                                </LnkInProps>
                              </LnkIn>
                            </Ctg>
                            <Ctg>
                              <CtgProps>
                                <R>4</R>
                              </CtgProps>
                              <LnkIn>
                                <LnkInProps>
                                  <MN>28</MN>
                                  <CLI>1,1,49,False,4</CLI>
                                  <ELN>1</ELN>
                                  <LOOT>0</LOOT>
                                  <LOMN>3</LOMN>
                                  <LOMCN>1</LOMCN>
                                  <LOSN>1</LOSN>
                                  <LOEN>24</LOEN>
                                  <LOCN>4</LOCN>
                                </LnkInProps>
                              </LnkIn>
                            </Ctg>
                            <Ctg>
                              <CtgProps>
                                <R>4</R>
                              </CtgProps>
                              <LnkIn>
                                <LnkInProps>
                                  <MN>28</MN>
                                  <CLI>1,1,49,False,5</CLI>
                                  <ELN>1</ELN>
                                  <LOOT>0</LOOT>
                                  <LOMN>3</LOMN>
                                  <LOMCN>1</LOMCN>
                                  <LOSN>1</LOSN>
                                  <LOEN>24</LOEN>
                                  <LOCN>5</LOCN>
                                </LnkInProps>
                              </LnkIn>
                            </Ctg>
                            <Ctg>
                              <CtgProps>
                                <R>5</R>
                              </CtgProps>
                              <LnkIn>
                                <LnkInProps>
                                  <MN>28</MN>
                                  <CLI>1,1,49,False,6</CLI>
                                  <ELN>1</ELN>
                                  <LOOT>0</LOOT>
                                  <LOMN>3</LOMN>
                                  <LOMCN>1</LOMCN>
                                  <LOSN>1</LOSN>
                                  <LOEN>24</LOEN>
                                  <LOCN>6</LOCN>
                                </LnkInProps>
                              </LnkIn>
                            </Ctg>
                            <Ctg>
                              <CtgProps>
                                <R>5</R>
                              </CtgProps>
                              <LnkIn>
                                <LnkInProps>
                                  <MN>28</MN>
                                  <CLI>1,1,49,False,7</CLI>
                                  <ELN>1</ELN>
                                  <LOOT>0</LOOT>
                                  <LOMN>3</LOMN>
                                  <LOMCN>1</LOMCN>
                                  <LOSN>1</LOSN>
                                  <LOEN>24</LOEN>
                                  <LOCN>7</LOCN>
                                </LnkInProps>
                              </LnkIn>
                            </Ctg>
                            <Ctg>
                              <CtgProps>
                                <R>5</R>
                              </CtgProps>
                              <LnkIn>
                                <LnkInProps>
                                  <MN>28</MN>
                                  <CLI>1,1,49,False,8</CLI>
                                  <ELN>1</ELN>
                                  <LOOT>0</LOOT>
                                  <LOMN>3</LOMN>
                                  <LOMCN>1</LOMCN>
                                  <LOSN>1</LOSN>
                                  <LOEN>24</LOEN>
                                  <LOCN>8</LOCN>
                                </LnkInProps>
                              </LnkIn>
                            </Ctg>
                            <Ctg>
                              <CtgProps>
                                <R>5</R>
                              </CtgProps>
                              <LnkIn>
                                <LnkInProps>
                                  <MN>28</MN>
                                  <CLI>1,1,49,False,9</CLI>
                                  <ELN>1</ELN>
                                  <LOOT>0</LOOT>
                                  <LOMN>3</LOMN>
                                  <LOMCN>1</LOMCN>
                                  <LOSN>1</LOSN>
                                  <LOEN>24</LOEN>
                                  <LOCN>9</LOCN>
                                </LnkInProps>
                              </LnkIn>
                            </Ctg>
                            <Ctg>
                              <CtgProps>
                                <R>5</R>
                              </CtgProps>
                              <LnkIn>
                                <LnkInProps>
                                  <MN>28</MN>
                                  <CLI>1,1,49,False,10</CLI>
                                  <ELN>1</ELN>
                                  <LOOT>0</LOOT>
                                  <LOMN>3</LOMN>
                                  <LOMCN>1</LOMCN>
                                  <LOSN>1</LOSN>
                                  <LOEN>24</LOEN>
                                  <LOCN>10</LOCN>
                                </LnkInProps>
                              </LnkIn>
                            </Ctg>
                            <Ctg>
                              <CtgProps>
                                <R>5</R>
                              </CtgProps>
                              <LnkIn>
                                <LnkInProps>
                                  <MN>28</MN>
                                  <CLI>1,1,49,False,11</CLI>
                                  <ELN>1</ELN>
                                  <LOOT>0</LOOT>
                                  <LOMN>3</LOMN>
                                  <LOMCN>1</LOMCN>
                                  <LOSN>1</LOSN>
                                  <LOEN>24</LOEN>
                                  <LOCN>11</LOCN>
                                </LnkInProps>
                              </LnkIn>
                            </Ctg>
                            <Ctg>
                              <CtgProps>
                                <R>5</R>
                              </CtgProps>
                              <LnkIn>
                                <LnkInProps>
                                  <MN>28</MN>
                                  <CLI>1,1,49,False,12</CLI>
                                  <ELN>1</ELN>
                                  <LOOT>0</LOOT>
                                  <LOMN>3</LOMN>
                                  <LOMCN>1</LOMCN>
                                  <LOSN>1</LOSN>
                                  <LOEN>24</LOEN>
                                  <LOCN>12</LOCN>
                                </LnkInProps>
                              </LnkIn>
                            </Ctg>
                            <Ctg>
                              <CtgProps>
                                <R>5</R>
                              </CtgProps>
                              <LnkIn>
                                <LnkInProps>
                                  <MN>28</MN>
                                  <CLI>1,1,49,False,13</CLI>
                                  <ELN>1</ELN>
                                  <LOOT>0</LOOT>
                                  <LOMN>3</LOMN>
                                  <LOMCN>1</LOMCN>
                                  <LOSN>1</LOSN>
                                  <LOEN>24</LOEN>
                                  <LOCN>13</LOCN>
                                </LnkInProps>
                              </LnkIn>
                            </Ctg>
                            <Ctg>
                              <CtgProps>
                                <R>5</R>
                              </CtgProps>
                              <LnkIn>
                                <LnkInProps>
                                  <MN>28</MN>
                                  <CLI>1,1,49,False,14</CLI>
                                  <ELN>1</ELN>
                                  <LOOT>0</LOOT>
                                  <LOMN>3</LOMN>
                                  <LOMCN>1</LOMCN>
                                  <LOSN>1</LOSN>
                                  <LOEN>24</LOEN>
                                  <LOCN>14</LOCN>
                                </LnkInProps>
                              </LnkIn>
                            </Ctg>
                            <Ctg>
                              <CtgProps>
                                <R>5</R>
                              </CtgProps>
                              <LnkIn>
                                <LnkInProps>
                                  <MN>28</MN>
                                  <CLI>1,1,49,False,15</CLI>
                                  <ELN>1</ELN>
                                  <LOOT>0</LOOT>
                                  <LOMN>3</LOMN>
                                  <LOMCN>1</LOMCN>
                                  <LOSN>1</LOSN>
                                  <LOEN>24</LOEN>
                                  <LOCN>15</LOCN>
                                </LnkInProps>
                              </LnkIn>
                            </Ctg>
                            <Ctg>
                              <CtgProps>
                                <R>5</R>
                              </CtgProps>
                              <LnkIn>
                                <LnkInProps>
                                  <MN>28</MN>
                                  <CLI>1,1,49,False,16</CLI>
                                  <ELN>1</ELN>
                                  <LOOT>0</LOOT>
                                  <LOMN>3</LOMN>
                                  <LOMCN>1</LOMCN>
                                  <LOSN>1</LOSN>
                                  <LOEN>24</LOEN>
                                  <LOCN>16</LOCN>
                                </LnkInProps>
                              </LnkIn>
                            </Ctg>
                            <Ctg>
                              <CtgProps>
                                <R>5</R>
                              </CtgProps>
                              <LnkIn>
                                <LnkInProps>
                                  <MN>28</MN>
                                  <CLI>1,1,49,False,17</CLI>
                                  <ELN>1</ELN>
                                  <LOOT>0</LOOT>
                                  <LOMN>3</LOMN>
                                  <LOMCN>1</LOMCN>
                                  <LOSN>1</LOSN>
                                  <LOEN>24</LOEN>
                                  <LOCN>17</LOCN>
                                </LnkInProps>
                              </LnkIn>
                            </Ctg>
                            <Ctg>
                              <CtgProps>
                                <R>5</R>
                              </CtgProps>
                              <LnkIn>
                                <LnkInProps>
                                  <MN>28</MN>
                                  <CLI>1,1,49,False,18</CLI>
                                  <ELN>1</ELN>
                                  <LOOT>0</LOOT>
                                  <LOMN>3</LOMN>
                                  <LOMCN>1</LOMCN>
                                  <LOSN>1</LOSN>
                                  <LOEN>24</LOEN>
                                  <LOCN>18</LOCN>
                                </LnkInProps>
                              </LnkIn>
                            </Ctg>
                            <Ctg>
                              <CtgProps>
                                <R>5</R>
                              </CtgProps>
                              <LnkIn>
                                <LnkInProps>
                                  <MN>28</MN>
                                  <CLI>1,1,49,False,19</CLI>
                                  <ELN>1</ELN>
                                  <LOOT>0</LOOT>
                                  <LOMN>3</LOMN>
                                  <LOMCN>1</LOMCN>
                                  <LOSN>1</LOSN>
                                  <LOEN>24</LOEN>
                                  <LOCN>19</LOCN>
                                </LnkInProps>
                              </LnkIn>
                            </Ctg>
                            <Ctg>
                              <CtgProps>
                                <R>5</R>
                              </CtgProps>
                              <LnkIn>
                                <LnkInProps>
                                  <MN>28</MN>
                                  <CLI>1,1,49,False,20</CLI>
                                  <ELN>1</ELN>
                                  <LOOT>0</LOOT>
                                  <LOMN>3</LOMN>
                                  <LOMCN>1</LOMCN>
                                  <LOSN>1</LOSN>
                                  <LOEN>24</LOEN>
                                  <LOCN>20</LOCN>
                                </LnkInProps>
                              </LnkIn>
                            </Ctg>
                            <Ctg>
                              <CtgProps>
                                <R>5</R>
                              </CtgProps>
                              <LnkIn>
                                <LnkInProps>
                                  <MN>28</MN>
                                  <CLI>1,1,49,False,21</CLI>
                                  <ELN>1</ELN>
                                  <LOOT>0</LOOT>
                                  <LOMN>3</LOMN>
                                  <LOMCN>1</LOMCN>
                                  <LOSN>1</LOSN>
                                  <LOEN>24</LOEN>
                                  <LOCN>21</LOCN>
                                </LnkInProps>
                              </LnkIn>
                            </Ctg>
                            <Ctg>
                              <CtgProps>
                                <R>5</R>
                              </CtgProps>
                              <LnkIn>
                                <LnkInProps>
                                  <MN>28</MN>
                                  <CLI>1,1,49,False,22</CLI>
                                  <ELN>1</ELN>
                                  <LOOT>0</LOOT>
                                  <LOMN>3</LOMN>
                                  <LOMCN>1</LOMCN>
                                  <LOSN>1</LOSN>
                                  <LOEN>24</LOEN>
                                  <LOCN>22</LOCN>
                                </LnkInProps>
                              </LnkIn>
                            </Ctg>
                            <Ctg>
                              <CtgProps>
                                <R>5</R>
                              </CtgProps>
                              <LnkIn>
                                <LnkInProps>
                                  <MN>28</MN>
                                  <CLI>1,1,49,False,23</CLI>
                                  <ELN>1</ELN>
                                  <LOOT>0</LOOT>
                                  <LOMN>3</LOMN>
                                  <LOMCN>1</LOMCN>
                                  <LOSN>1</LOSN>
                                  <LOEN>24</LOEN>
                                  <LOCN>23</LOCN>
                                </LnkInProps>
                              </LnkIn>
                            </Ctg>
                            <Ctg>
                              <CtgProps>
                                <R>5</R>
                              </CtgProps>
                              <LnkIn>
                                <LnkInProps>
                                  <MN>28</MN>
                                  <CLI>1,1,49,False,24</CLI>
                                  <ELN>1</ELN>
                                  <LOOT>0</LOOT>
                                  <LOMN>3</LOMN>
                                  <LOMCN>1</LOMCN>
                                  <LOSN>1</LOSN>
                                  <LOEN>24</LOEN>
                                  <LOCN>24</LOCN>
                                </LnkInProps>
                              </LnkIn>
                            </Ctg>
                            <Ctg>
                              <CtgProps>
                                <R>5</R>
                              </CtgProps>
                              <LnkIn>
                                <LnkInProps>
                                  <MN>28</MN>
                                  <CLI>1,1,49,False,25</CLI>
                                  <ELN>1</ELN>
                                  <LOOT>0</LOOT>
                                  <LOMN>3</LOMN>
                                  <LOMCN>1</LOMCN>
                                  <LOSN>1</LOSN>
                                  <LOEN>24</LOEN>
                                  <LOCN>25</LOCN>
                                </LnkInProps>
                              </LnkIn>
                            </Ctg>
                            <Ctg>
                              <CtgProps>
                                <R>5</R>
                              </CtgProps>
                              <LnkIn>
                                <LnkInProps>
                                  <MN>28</MN>
                                  <CLI>1,1,49,False,26</CLI>
                                  <ELN>1</ELN>
                                  <LOOT>0</LOOT>
                                  <LOMN>3</LOMN>
                                  <LOMCN>1</LOMCN>
                                  <LOSN>1</LOSN>
                                  <LOEN>24</LOEN>
                                  <LOCN>26</LOCN>
                                </LnkInProps>
                              </LnkIn>
                            </Ctg>
                            <Ctg>
                              <CtgProps>
                                <R>5</R>
                              </CtgProps>
                              <LnkIn>
                                <LnkInProps>
                                  <MN>28</MN>
                                  <CLI>1,1,49,False,27</CLI>
                                  <ELN>1</ELN>
                                  <LOOT>0</LOOT>
                                  <LOMN>3</LOMN>
                                  <LOMCN>1</LOMCN>
                                  <LOSN>1</LOSN>
                                  <LOEN>24</LOEN>
                                  <LOCN>27</LOCN>
                                </LnkInProps>
                              </LnkIn>
                            </Ctg>
                            <Ctg>
                              <CtgProps>
                                <R>5</R>
                              </CtgProps>
                              <LnkIn>
                                <LnkInProps>
                                  <MN>28</MN>
                                  <CLI>1,1,49,False,28</CLI>
                                  <ELN>1</ELN>
                                  <LOOT>0</LOOT>
                                  <LOMN>3</LOMN>
                                  <LOMCN>1</LOMCN>
                                  <LOSN>1</LOSN>
                                  <LOEN>24</LOEN>
                                  <LOCN>28</LOCN>
                                </LnkInProps>
                              </LnkIn>
                            </Ctg>
                            <Ctg>
                              <CtgProps>
                                <R>5</R>
                              </CtgProps>
                              <LnkIn>
                                <LnkInProps>
                                  <MN>28</MN>
                                  <CLI>1,1,49,False,29</CLI>
                                  <ELN>1</ELN>
                                  <LOOT>0</LOOT>
                                  <LOMN>3</LOMN>
                                  <LOMCN>1</LOMCN>
                                  <LOSN>1</LOSN>
                                  <LOEN>24</LOEN>
                                  <LOCN>29</LOCN>
                                </LnkInProps>
                              </LnkIn>
                            </Ctg>
                            <Ctg>
                              <CtgProps>
                                <R>5</R>
                              </CtgProps>
                              <LnkIn>
                                <LnkInProps>
                                  <MN>28</MN>
                                  <CLI>1,1,49,False,30</CLI>
                                  <ELN>1</ELN>
                                  <LOOT>0</LOOT>
                                  <LOMN>3</LOMN>
                                  <LOMCN>1</LOMCN>
                                  <LOSN>1</LOSN>
                                  <LOEN>24</LOEN>
                                  <LOCN>30</LOCN>
                                </LnkInProps>
                              </LnkIn>
                            </Ctg>
                            <Ctg>
                              <CtgProps>
                                <R>5</R>
                              </CtgProps>
                              <LnkIn>
                                <LnkInProps>
                                  <MN>28</MN>
                                  <CLI>1,1,49,False,31</CLI>
                                  <ELN>1</ELN>
                                  <LOOT>0</LOOT>
                                  <LOMN>3</LOMN>
                                  <LOMCN>1</LOMCN>
                                  <LOSN>1</LOSN>
                                  <LOEN>24</LOEN>
                                  <LOCN>31</LOCN>
                                </LnkInProps>
                              </LnkIn>
                            </Ctg>
                            <Ctg>
                              <CtgProps>
                                <R>5</R>
                              </CtgProps>
                              <LnkIn>
                                <LnkInProps>
                                  <MN>28</MN>
                                  <CLI>1,1,49,False,32</CLI>
                                  <ELN>1</ELN>
                                  <LOOT>0</LOOT>
                                  <LOMN>3</LOMN>
                                  <LOMCN>1</LOMCN>
                                  <LOSN>1</LOSN>
                                  <LOEN>24</LOEN>
                                  <LOCN>32</LOCN>
                                </LnkInProps>
                              </LnkIn>
                            </Ctg>
                            <Ctg>
                              <CtgProps>
                                <R>5</R>
                              </CtgProps>
                              <LnkIn>
                                <LnkInProps>
                                  <MN>28</MN>
                                  <CLI>1,1,49,False,33</CLI>
                                  <ELN>1</ELN>
                                  <LOOT>0</LOOT>
                                  <LOMN>3</LOMN>
                                  <LOMCN>1</LOMCN>
                                  <LOSN>1</LOSN>
                                  <LOEN>24</LOEN>
                                  <LOCN>33</LOCN>
                                </LnkInProps>
                              </LnkIn>
                            </Ctg>
                            <Ctg>
                              <CtgProps>
                                <R>5</R>
                              </CtgProps>
                              <LnkIn>
                                <LnkInProps>
                                  <MN>28</MN>
                                  <CLI>1,1,49,False,34</CLI>
                                  <ELN>1</ELN>
                                  <LOOT>0</LOOT>
                                  <LOMN>3</LOMN>
                                  <LOMCN>1</LOMCN>
                                  <LOSN>1</LOSN>
                                  <LOEN>24</LOEN>
                                  <LOCN>34</LOCN>
                                </LnkInProps>
                              </LnkIn>
                            </Ctg>
                            <Ctg>
                              <CtgProps>
                                <R>5</R>
                              </CtgProps>
                              <LnkIn>
                                <LnkInProps>
                                  <MN>28</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28</MN>
                                  <CLI>1,1,53,False,1</CLI>
                                  <ELN>1</ELN>
                                  <LOOT>0</LOOT>
                                  <LOMN>3</LOMN>
                                  <LOMCN>1</LOMCN>
                                  <LOSN>1</LOSN>
                                  <LOEN>29</LOEN>
                                  <LOCN>1</LOCN>
                                </LnkInProps>
                              </LnkIn>
                            </Ctg>
                            <Ctg>
                              <CtgProps>
                                <R>4</R>
                              </CtgProps>
                              <LnkIn>
                                <LnkInProps>
                                  <MN>28</MN>
                                  <CLI>1,1,53,False,2</CLI>
                                  <ELN>1</ELN>
                                  <LOOT>0</LOOT>
                                  <LOMN>3</LOMN>
                                  <LOMCN>1</LOMCN>
                                  <LOSN>1</LOSN>
                                  <LOEN>29</LOEN>
                                  <LOCN>2</LOCN>
                                </LnkInProps>
                              </LnkIn>
                            </Ctg>
                            <Ctg>
                              <CtgProps>
                                <R>5</R>
                              </CtgProps>
                              <LnkIn>
                                <LnkInProps>
                                  <MN>28</MN>
                                  <CLI>1,1,53,False,3</CLI>
                                  <ELN>1</ELN>
                                  <LOOT>0</LOOT>
                                  <LOMN>3</LOMN>
                                  <LOMCN>1</LOMCN>
                                  <LOSN>1</LOSN>
                                  <LOEN>29</LOEN>
                                  <LOCN>3</LOCN>
                                </LnkInProps>
                              </LnkIn>
                            </Ctg>
                            <Ctg>
                              <CtgProps>
                                <R>5</R>
                              </CtgProps>
                              <LnkIn>
                                <LnkInProps>
                                  <MN>28</MN>
                                  <CLI>1,1,53,False,4</CLI>
                                  <ELN>1</ELN>
                                  <LOOT>0</LOOT>
                                  <LOMN>3</LOMN>
                                  <LOMCN>1</LOMCN>
                                  <LOSN>1</LOSN>
                                  <LOEN>29</LOEN>
                                  <LOCN>4</LOCN>
                                </LnkInProps>
                              </LnkIn>
                            </Ctg>
                            <Ctg>
                              <CtgProps>
                                <R>5</R>
                              </CtgProps>
                              <LnkIn>
                                <LnkInProps>
                                  <MN>28</MN>
                                  <CLI>1,1,53,False,5</CLI>
                                  <ELN>1</ELN>
                                  <LOOT>0</LOOT>
                                  <LOMN>3</LOMN>
                                  <LOMCN>1</LOMCN>
                                  <LOSN>1</LOSN>
                                  <LOEN>29</LOEN>
                                  <LOCN>5</LOCN>
                                </LnkInProps>
                              </LnkIn>
                            </Ctg>
                            <Ctg>
                              <CtgProps>
                                <R>5</R>
                              </CtgProps>
                              <LnkIn>
                                <LnkInProps>
                                  <MN>28</MN>
                                  <CLI>1,1,53,False,6</CLI>
                                  <ELN>1</ELN>
                                  <LOOT>0</LOOT>
                                  <LOMN>3</LOMN>
                                  <LOMCN>1</LOMCN>
                                  <LOSN>1</LOSN>
                                  <LOEN>29</LOEN>
                                  <LOCN>6</LOCN>
                                </LnkInProps>
                              </LnkIn>
                            </Ctg>
                            <Ctg>
                              <CtgProps>
                                <R>5</R>
                              </CtgProps>
                              <LnkIn>
                                <LnkInProps>
                                  <MN>28</MN>
                                  <CLI>1,1,53,False,7</CLI>
                                  <ELN>1</ELN>
                                  <LOOT>0</LOOT>
                                  <LOMN>3</LOMN>
                                  <LOMCN>1</LOMCN>
                                  <LOSN>1</LOSN>
                                  <LOEN>29</LOEN>
                                  <LOCN>7</LOCN>
                                </LnkInProps>
                              </LnkIn>
                            </Ctg>
                            <Ctg>
                              <CtgProps>
                                <R>5</R>
                              </CtgProps>
                              <LnkIn>
                                <LnkInProps>
                                  <MN>28</MN>
                                  <CLI>1,1,53,False,8</CLI>
                                  <ELN>1</ELN>
                                  <LOOT>0</LOOT>
                                  <LOMN>3</LOMN>
                                  <LOMCN>1</LOMCN>
                                  <LOSN>1</LOSN>
                                  <LOEN>29</LOEN>
                                  <LOCN>8</LOCN>
                                </LnkInProps>
                              </LnkIn>
                            </Ctg>
                            <Ctg>
                              <CtgProps>
                                <R>5</R>
                              </CtgProps>
                              <LnkIn>
                                <LnkInProps>
                                  <MN>28</MN>
                                  <CLI>1,1,53,False,9</CLI>
                                  <ELN>1</ELN>
                                  <LOOT>0</LOOT>
                                  <LOMN>3</LOMN>
                                  <LOMCN>1</LOMCN>
                                  <LOSN>1</LOSN>
                                  <LOEN>29</LOEN>
                                  <LOCN>9</LOCN>
                                </LnkInProps>
                              </LnkIn>
                            </Ctg>
                            <Ctg>
                              <CtgProps>
                                <R>5</R>
                              </CtgProps>
                              <LnkIn>
                                <LnkInProps>
                                  <MN>28</MN>
                                  <CLI>1,1,53,False,10</CLI>
                                  <ELN>1</ELN>
                                  <LOOT>0</LOOT>
                                  <LOMN>3</LOMN>
                                  <LOMCN>1</LOMCN>
                                  <LOSN>1</LOSN>
                                  <LOEN>29</LOEN>
                                  <LOCN>10</LOCN>
                                </LnkInProps>
                              </LnkIn>
                            </Ctg>
                            <Ctg>
                              <CtgProps>
                                <R>5</R>
                              </CtgProps>
                              <LnkIn>
                                <LnkInProps>
                                  <MN>28</MN>
                                  <CLI>1,1,53,False,11</CLI>
                                  <ELN>1</ELN>
                                  <LOOT>0</LOOT>
                                  <LOMN>3</LOMN>
                                  <LOMCN>1</LOMCN>
                                  <LOSN>1</LOSN>
                                  <LOEN>29</LOEN>
                                  <LOCN>11</LOCN>
                                </LnkInProps>
                              </LnkIn>
                            </Ctg>
                            <Ctg>
                              <CtgProps>
                                <R>5</R>
                              </CtgProps>
                              <LnkIn>
                                <LnkInProps>
                                  <MN>28</MN>
                                  <CLI>1,1,53,False,12</CLI>
                                  <ELN>1</ELN>
                                  <LOOT>0</LOOT>
                                  <LOMN>3</LOMN>
                                  <LOMCN>1</LOMCN>
                                  <LOSN>1</LOSN>
                                  <LOEN>29</LOEN>
                                  <LOCN>12</LOCN>
                                </LnkInProps>
                              </LnkIn>
                            </Ctg>
                            <Ctg>
                              <CtgProps>
                                <R>5</R>
                              </CtgProps>
                              <LnkIn>
                                <LnkInProps>
                                  <MN>28</MN>
                                  <CLI>1,1,53,False,13</CLI>
                                  <ELN>1</ELN>
                                  <LOOT>0</LOOT>
                                  <LOMN>3</LOMN>
                                  <LOMCN>1</LOMCN>
                                  <LOSN>1</LOSN>
                                  <LOEN>29</LOEN>
                                  <LOCN>13</LOCN>
                                </LnkInProps>
                              </LnkIn>
                            </Ctg>
                            <Ctg>
                              <CtgProps>
                                <R>5</R>
                              </CtgProps>
                              <LnkIn>
                                <LnkInProps>
                                  <MN>28</MN>
                                  <CLI>1,1,53,False,14</CLI>
                                  <ELN>1</ELN>
                                  <LOOT>0</LOOT>
                                  <LOMN>3</LOMN>
                                  <LOMCN>1</LOMCN>
                                  <LOSN>1</LOSN>
                                  <LOEN>29</LOEN>
                                  <LOCN>14</LOCN>
                                </LnkInProps>
                              </LnkIn>
                            </Ctg>
                            <Ctg>
                              <CtgProps>
                                <R>5</R>
                              </CtgProps>
                              <LnkIn>
                                <LnkInProps>
                                  <MN>28</MN>
                                  <CLI>1,1,53,False,15</CLI>
                                  <ELN>1</ELN>
                                  <LOOT>0</LOOT>
                                  <LOMN>3</LOMN>
                                  <LOMCN>1</LOMCN>
                                  <LOSN>1</LOSN>
                                  <LOEN>29</LOEN>
                                  <LOCN>15</LOCN>
                                </LnkInProps>
                              </LnkIn>
                            </Ctg>
                            <Ctg>
                              <CtgProps>
                                <R>5</R>
                              </CtgProps>
                              <LnkIn>
                                <LnkInProps>
                                  <MN>28</MN>
                                  <CLI>1,1,53,False,16</CLI>
                                  <ELN>1</ELN>
                                  <LOOT>0</LOOT>
                                  <LOMN>3</LOMN>
                                  <LOMCN>1</LOMCN>
                                  <LOSN>1</LOSN>
                                  <LOEN>29</LOEN>
                                  <LOCN>16</LOCN>
                                </LnkInProps>
                              </LnkIn>
                            </Ctg>
                            <Ctg>
                              <CtgProps>
                                <R>5</R>
                              </CtgProps>
                              <LnkIn>
                                <LnkInProps>
                                  <MN>28</MN>
                                  <CLI>1,1,53,False,17</CLI>
                                  <ELN>1</ELN>
                                  <LOOT>0</LOOT>
                                  <LOMN>3</LOMN>
                                  <LOMCN>1</LOMCN>
                                  <LOSN>1</LOSN>
                                  <LOEN>29</LOEN>
                                  <LOCN>17</LOCN>
                                </LnkInProps>
                              </LnkIn>
                            </Ctg>
                            <Ctg>
                              <CtgProps>
                                <R>5</R>
                              </CtgProps>
                              <LnkIn>
                                <LnkInProps>
                                  <MN>28</MN>
                                  <CLI>1,1,53,False,18</CLI>
                                  <ELN>1</ELN>
                                  <LOOT>0</LOOT>
                                  <LOMN>3</LOMN>
                                  <LOMCN>1</LOMCN>
                                  <LOSN>1</LOSN>
                                  <LOEN>29</LOEN>
                                  <LOCN>18</LOCN>
                                </LnkInProps>
                              </LnkIn>
                            </Ctg>
                            <Ctg>
                              <CtgProps>
                                <R>5</R>
                              </CtgProps>
                              <LnkIn>
                                <LnkInProps>
                                  <MN>28</MN>
                                  <CLI>1,1,53,False,19</CLI>
                                  <ELN>1</ELN>
                                  <LOOT>0</LOOT>
                                  <LOMN>3</LOMN>
                                  <LOMCN>1</LOMCN>
                                  <LOSN>1</LOSN>
                                  <LOEN>29</LOEN>
                                  <LOCN>19</LOCN>
                                </LnkInProps>
                              </LnkIn>
                            </Ctg>
                            <Ctg>
                              <CtgProps>
                                <R>5</R>
                              </CtgProps>
                              <LnkIn>
                                <LnkInProps>
                                  <MN>28</MN>
                                  <CLI>1,1,53,False,20</CLI>
                                  <ELN>1</ELN>
                                  <LOOT>0</LOOT>
                                  <LOMN>3</LOMN>
                                  <LOMCN>1</LOMCN>
                                  <LOSN>1</LOSN>
                                  <LOEN>29</LOEN>
                                  <LOCN>20</LOCN>
                                </LnkInProps>
                              </LnkIn>
                            </Ctg>
                            <Ctg>
                              <CtgProps>
                                <R>5</R>
                              </CtgProps>
                              <LnkIn>
                                <LnkInProps>
                                  <MN>28</MN>
                                  <CLI>1,1,53,False,21</CLI>
                                  <ELN>1</ELN>
                                  <LOOT>0</LOOT>
                                  <LOMN>3</LOMN>
                                  <LOMCN>1</LOMCN>
                                  <LOSN>1</LOSN>
                                  <LOEN>29</LOEN>
                                  <LOCN>21</LOCN>
                                </LnkInProps>
                              </LnkIn>
                            </Ctg>
                            <Ctg>
                              <CtgProps>
                                <R>5</R>
                              </CtgProps>
                              <LnkIn>
                                <LnkInProps>
                                  <MN>28</MN>
                                  <CLI>1,1,53,False,22</CLI>
                                  <ELN>1</ELN>
                                  <LOOT>0</LOOT>
                                  <LOMN>3</LOMN>
                                  <LOMCN>1</LOMCN>
                                  <LOSN>1</LOSN>
                                  <LOEN>29</LOEN>
                                  <LOCN>22</LOCN>
                                </LnkInProps>
                              </LnkIn>
                            </Ctg>
                            <Ctg>
                              <CtgProps>
                                <R>5</R>
                              </CtgProps>
                              <LnkIn>
                                <LnkInProps>
                                  <MN>28</MN>
                                  <CLI>1,1,53,False,23</CLI>
                                  <ELN>1</ELN>
                                  <LOOT>0</LOOT>
                                  <LOMN>3</LOMN>
                                  <LOMCN>1</LOMCN>
                                  <LOSN>1</LOSN>
                                  <LOEN>29</LOEN>
                                  <LOCN>23</LOCN>
                                </LnkInProps>
                              </LnkIn>
                            </Ctg>
                            <Ctg>
                              <CtgProps>
                                <R>5</R>
                              </CtgProps>
                              <LnkIn>
                                <LnkInProps>
                                  <MN>28</MN>
                                  <CLI>1,1,53,False,24</CLI>
                                  <ELN>1</ELN>
                                  <LOOT>0</LOOT>
                                  <LOMN>3</LOMN>
                                  <LOMCN>1</LOMCN>
                                  <LOSN>1</LOSN>
                                  <LOEN>29</LOEN>
                                  <LOCN>24</LOCN>
                                </LnkInProps>
                              </LnkIn>
                            </Ctg>
                            <Ctg>
                              <CtgProps>
                                <R>5</R>
                              </CtgProps>
                              <LnkIn>
                                <LnkInProps>
                                  <MN>28</MN>
                                  <CLI>1,1,53,False,25</CLI>
                                  <ELN>1</ELN>
                                  <LOOT>0</LOOT>
                                  <LOMN>3</LOMN>
                                  <LOMCN>1</LOMCN>
                                  <LOSN>1</LOSN>
                                  <LOEN>29</LOEN>
                                  <LOCN>25</LOCN>
                                </LnkInProps>
                              </LnkIn>
                            </Ctg>
                            <Ctg>
                              <CtgProps>
                                <R>5</R>
                              </CtgProps>
                              <LnkIn>
                                <LnkInProps>
                                  <MN>28</MN>
                                  <CLI>1,1,53,False,26</CLI>
                                  <ELN>1</ELN>
                                  <LOOT>0</LOOT>
                                  <LOMN>3</LOMN>
                                  <LOMCN>1</LOMCN>
                                  <LOSN>1</LOSN>
                                  <LOEN>29</LOEN>
                                  <LOCN>26</LOCN>
                                </LnkInProps>
                              </LnkIn>
                            </Ctg>
                            <Ctg>
                              <CtgProps>
                                <R>5</R>
                              </CtgProps>
                              <LnkIn>
                                <LnkInProps>
                                  <MN>28</MN>
                                  <CLI>1,1,53,False,27</CLI>
                                  <ELN>1</ELN>
                                  <LOOT>0</LOOT>
                                  <LOMN>3</LOMN>
                                  <LOMCN>1</LOMCN>
                                  <LOSN>1</LOSN>
                                  <LOEN>29</LOEN>
                                  <LOCN>27</LOCN>
                                </LnkInProps>
                              </LnkIn>
                            </Ctg>
                            <Ctg>
                              <CtgProps>
                                <R>5</R>
                              </CtgProps>
                              <LnkIn>
                                <LnkInProps>
                                  <MN>28</MN>
                                  <CLI>1,1,53,False,28</CLI>
                                  <ELN>1</ELN>
                                  <LOOT>0</LOOT>
                                  <LOMN>3</LOMN>
                                  <LOMCN>1</LOMCN>
                                  <LOSN>1</LOSN>
                                  <LOEN>29</LOEN>
                                  <LOCN>28</LOCN>
                                </LnkInProps>
                              </LnkIn>
                            </Ctg>
                            <Ctg>
                              <CtgProps>
                                <R>5</R>
                              </CtgProps>
                              <LnkIn>
                                <LnkInProps>
                                  <MN>28</MN>
                                  <CLI>1,1,53,False,29</CLI>
                                  <ELN>1</ELN>
                                  <LOOT>0</LOOT>
                                  <LOMN>3</LOMN>
                                  <LOMCN>1</LOMCN>
                                  <LOSN>1</LOSN>
                                  <LOEN>29</LOEN>
                                  <LOCN>29</LOCN>
                                </LnkInProps>
                              </LnkIn>
                            </Ctg>
                            <Ctg>
                              <CtgProps>
                                <R>5</R>
                              </CtgProps>
                              <LnkIn>
                                <LnkInProps>
                                  <MN>28</MN>
                                  <CLI>1,1,53,False,30</CLI>
                                  <ELN>1</ELN>
                                  <LOOT>0</LOOT>
                                  <LOMN>3</LOMN>
                                  <LOMCN>1</LOMCN>
                                  <LOSN>1</LOSN>
                                  <LOEN>29</LOEN>
                                  <LOCN>30</LOCN>
                                </LnkInProps>
                              </LnkIn>
                            </Ctg>
                            <Ctg>
                              <CtgProps>
                                <R>5</R>
                              </CtgProps>
                              <LnkIn>
                                <LnkInProps>
                                  <MN>28</MN>
                                  <CLI>1,1,53,False,31</CLI>
                                  <ELN>1</ELN>
                                  <LOOT>0</LOOT>
                                  <LOMN>3</LOMN>
                                  <LOMCN>1</LOMCN>
                                  <LOSN>1</LOSN>
                                  <LOEN>29</LOEN>
                                  <LOCN>31</LOCN>
                                </LnkInProps>
                              </LnkIn>
                            </Ctg>
                            <Ctg>
                              <CtgProps>
                                <R>5</R>
                              </CtgProps>
                              <LnkIn>
                                <LnkInProps>
                                  <MN>28</MN>
                                  <CLI>1,1,53,False,32</CLI>
                                  <ELN>1</ELN>
                                  <LOOT>0</LOOT>
                                  <LOMN>3</LOMN>
                                  <LOMCN>1</LOMCN>
                                  <LOSN>1</LOSN>
                                  <LOEN>29</LOEN>
                                  <LOCN>32</LOCN>
                                </LnkInProps>
                              </LnkIn>
                            </Ctg>
                            <Ctg>
                              <CtgProps>
                                <R>5</R>
                              </CtgProps>
                              <LnkIn>
                                <LnkInProps>
                                  <MN>28</MN>
                                  <CLI>1,1,53,False,33</CLI>
                                  <ELN>1</ELN>
                                  <LOOT>0</LOOT>
                                  <LOMN>3</LOMN>
                                  <LOMCN>1</LOMCN>
                                  <LOSN>1</LOSN>
                                  <LOEN>29</LOEN>
                                  <LOCN>33</LOCN>
                                </LnkInProps>
                              </LnkIn>
                            </Ctg>
                            <Ctg>
                              <CtgProps>
                                <R>5</R>
                              </CtgProps>
                              <LnkIn>
                                <LnkInProps>
                                  <MN>28</MN>
                                  <CLI>1,1,53,False,34</CLI>
                                  <ELN>1</ELN>
                                  <LOOT>0</LOOT>
                                  <LOMN>3</LOMN>
                                  <LOMCN>1</LOMCN>
                                  <LOSN>1</LOSN>
                                  <LOEN>29</LOEN>
                                  <LOCN>34</LOCN>
                                </LnkInProps>
                              </LnkIn>
                            </Ctg>
                            <Ctg>
                              <CtgProps>
                                <R>5</R>
                              </CtgProps>
                              <LnkIn>
                                <LnkInProps>
                                  <MN>28</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28</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28</MN>
                <MCN>2</MCN>
                <MCTK>BaseCase</MCTK>
                <RT><![CDATA[<ModuleName> - Assumptions]]></RT>
                <ERN>BPMMC96</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68</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28</MN>
                <MCN>3</MCN>
                <MCTK>OP</MCTK>
                <RT><![CDATA[<ModuleName> - Outputs]]></RT>
                <ERN>BPMMC97</ERN>
                <MCST>0</MCST>
                <IPMC>False</IPMC>
                <SN>31</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RND2HQA]]></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19</LCN>
                          </ClmnBlkProps>
                          <ClmnBlkPts>
                            <ClmnBlkPt>
                              <ClmnBlkPtProps>
                                <CBPT>5</CBPT>
                                <ST>-1</ST>
                                <SON>18</SON>
                                <VOFFF/>
                              </ClmnBlkPtProps>
                            </ClmnBlkPt>
                          </ClmnBlkPts>
                        </ClmnBlk>
                      </ClmnBlks>
                      <TtlCtg/>
                    </Elmt>
                  </Elmts>
                </Sect>
              </Sects>
            </ModComp>
            <ModComp>
              <ModCompProps>
                <MN>28</MN>
                <MCN>4</MCN>
                <MCTK>LU</MCTK>
                <RT><![CDATA[<ModuleName> - Lookups]]></RT>
                <ERN>BPMMC98</ERN>
                <MCST>3</MCST>
                <IPMC>False</IPMC>
                <SN>54</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70</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5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5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5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5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5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5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16</MN>
            <MAG>45338FE0-6C0B-4A55-A5AC-B1F2F9D32FCD</MAG>
            <BN><![CDATA[PLUG_ACTIVITY]]></BN>
            <N><![CDATA[ROUND2-FIELD SUPERVISION]]></N>
            <TS><![CDATA[Annual]]></TS>
            <D><![CDATA[Assists with planning the cost of an activity. Should be used with Prices module.]]></D>
            <FS/>
            <R/>
            <GE/>
            <CA/>
            <VA/>
            <GST/>
            <DE/>
            <E/>
            <C/>
            <W/>
            <K/>
            <CO/>
            <V>1.0.0.0.</V>
            <AX/>
            <PMLO>False</PMLO>
            <IPMLO>False</IPMLO>
            <MACA>1</MACA>
            <RTSM>True</RTSM>
            <CC>True</CC>
            <X>False</X>
            <G>8FDBFBCB-551A-4AA3-8C23-A1F9146EBB5D</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29</MN>
                <MCN>1</MCN>
                <MCTK>BaseCase</MCTK>
                <RT><![CDATA[<ModuleName> - Assumptions]]></RT>
                <ERN>BPMMC99</ERN>
                <MCST>0</MCST>
                <IPMC>False</IPMC>
                <SN>21</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71</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16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i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29</MN>
                                  <CLI>1,1,34,False,1</CLI>
                                  <ELN>1</ELN>
                                  <LOOT>0</LOOT>
                                  <LOMN>3</LOMN>
                                  <LOMCN>2</LOMCN>
                                  <LOSN>1</LOSN>
                                  <LOEN>4</LOEN>
                                  <LOCN>1</LOCN>
                                </LnkInProps>
                              </LnkIn>
                            </Ctg>
                            <Ctg>
                              <CtgProps>
                                <R>5</R>
                              </CtgProps>
                              <LnkIn>
                                <LnkInProps>
                                  <MN>29</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29</MN>
                                  <CLI>1,1,39,False,1</CLI>
                                  <ELN>1</ELN>
                                  <LOOT>0</LOOT>
                                  <LOMN>3</LOMN>
                                  <LOMCN>1</LOMCN>
                                  <LOSN>1</LOSN>
                                  <LOEN>10</LOEN>
                                  <LOCN>1</LOCN>
                                </LnkInProps>
                              </LnkIn>
                            </Ctg>
                            <Ctg>
                              <CtgProps>
                                <R>4</R>
                              </CtgProps>
                              <LnkIn>
                                <LnkInProps>
                                  <MN>29</MN>
                                  <CLI>1,1,39,False,2</CLI>
                                  <ELN>1</ELN>
                                  <LOOT>0</LOOT>
                                  <LOMN>3</LOMN>
                                  <LOMCN>1</LOMCN>
                                  <LOSN>1</LOSN>
                                  <LOEN>10</LOEN>
                                  <LOCN>2</LOCN>
                                </LnkInProps>
                              </LnkIn>
                            </Ctg>
                            <Ctg>
                              <CtgProps>
                                <R>4</R>
                              </CtgProps>
                              <LnkIn>
                                <LnkInProps>
                                  <MN>29</MN>
                                  <CLI>1,1,39,False,3</CLI>
                                  <ELN>1</ELN>
                                  <LOOT>0</LOOT>
                                  <LOMN>3</LOMN>
                                  <LOMCN>1</LOMCN>
                                  <LOSN>1</LOSN>
                                  <LOEN>10</LOEN>
                                  <LOCN>3</LOCN>
                                </LnkInProps>
                              </LnkIn>
                            </Ctg>
                            <Ctg>
                              <CtgProps>
                                <R>4</R>
                              </CtgProps>
                              <LnkIn>
                                <LnkInProps>
                                  <MN>29</MN>
                                  <CLI>1,1,39,False,4</CLI>
                                  <ELN>1</ELN>
                                  <LOOT>0</LOOT>
                                  <LOMN>3</LOMN>
                                  <LOMCN>1</LOMCN>
                                  <LOSN>1</LOSN>
                                  <LOEN>10</LOEN>
                                  <LOCN>4</LOCN>
                                </LnkInProps>
                              </LnkIn>
                            </Ctg>
                            <Ctg>
                              <CtgProps>
                                <R>4</R>
                              </CtgProps>
                              <LnkIn>
                                <LnkInProps>
                                  <MN>29</MN>
                                  <CLI>1,1,39,False,5</CLI>
                                  <ELN>1</ELN>
                                  <LOOT>0</LOOT>
                                  <LOMN>3</LOMN>
                                  <LOMCN>1</LOMCN>
                                  <LOSN>1</LOSN>
                                  <LOEN>10</LOEN>
                                  <LOCN>5</LOCN>
                                </LnkInProps>
                              </LnkIn>
                            </Ctg>
                            <Ctg>
                              <CtgProps>
                                <R>4</R>
                              </CtgProps>
                              <LnkIn>
                                <LnkInProps>
                                  <MN>29</MN>
                                  <CLI>1,1,39,False,6</CLI>
                                  <ELN>1</ELN>
                                  <LOOT>0</LOOT>
                                  <LOMN>3</LOMN>
                                  <LOMCN>1</LOMCN>
                                  <LOSN>1</LOSN>
                                  <LOEN>10</LOEN>
                                  <LOCN>6</LOCN>
                                </LnkInProps>
                              </LnkIn>
                            </Ctg>
                            <Ctg>
                              <CtgProps>
                                <R>4</R>
                              </CtgProps>
                              <LnkIn>
                                <LnkInProps>
                                  <MN>29</MN>
                                  <CLI>1,1,39,False,7</CLI>
                                  <ELN>1</ELN>
                                  <LOOT>0</LOOT>
                                  <LOMN>3</LOMN>
                                  <LOMCN>1</LOMCN>
                                  <LOSN>1</LOSN>
                                  <LOEN>10</LOEN>
                                  <LOCN>7</LOCN>
                                </LnkInProps>
                              </LnkIn>
                            </Ctg>
                            <Ctg>
                              <CtgProps>
                                <R>4</R>
                              </CtgProps>
                              <LnkIn>
                                <LnkInProps>
                                  <MN>29</MN>
                                  <CLI>1,1,39,False,8</CLI>
                                  <ELN>1</ELN>
                                  <LOOT>0</LOOT>
                                  <LOMN>3</LOMN>
                                  <LOMCN>1</LOMCN>
                                  <LOSN>1</LOSN>
                                  <LOEN>10</LOEN>
                                  <LOCN>8</LOCN>
                                </LnkInProps>
                              </LnkIn>
                            </Ctg>
                            <Ctg>
                              <CtgProps>
                                <R>4</R>
                              </CtgProps>
                              <LnkIn>
                                <LnkInProps>
                                  <MN>29</MN>
                                  <CLI>1,1,39,False,9</CLI>
                                  <ELN>1</ELN>
                                  <LOOT>0</LOOT>
                                  <LOMN>3</LOMN>
                                  <LOMCN>1</LOMCN>
                                  <LOSN>1</LOSN>
                                  <LOEN>10</LOEN>
                                  <LOCN>9</LOCN>
                                </LnkInProps>
                              </LnkIn>
                            </Ctg>
                            <Ctg>
                              <CtgProps>
                                <R>4</R>
                              </CtgProps>
                              <LnkIn>
                                <LnkInProps>
                                  <MN>29</MN>
                                  <CLI>1,1,39,False,10</CLI>
                                  <ELN>1</ELN>
                                  <LOOT>0</LOOT>
                                  <LOMN>3</LOMN>
                                  <LOMCN>1</LOMCN>
                                  <LOSN>1</LOSN>
                                  <LOEN>10</LOEN>
                                  <LOCN>10</LOCN>
                                </LnkInProps>
                              </LnkIn>
                            </Ctg>
                            <Ctg>
                              <CtgProps>
                                <R>4</R>
                              </CtgProps>
                              <LnkIn>
                                <LnkInProps>
                                  <MN>29</MN>
                                  <CLI>1,1,39,False,11</CLI>
                                  <ELN>1</ELN>
                                  <LOOT>0</LOOT>
                                  <LOMN>3</LOMN>
                                  <LOMCN>1</LOMCN>
                                  <LOSN>1</LOSN>
                                  <LOEN>10</LOEN>
                                  <LOCN>11</LOCN>
                                </LnkInProps>
                              </LnkIn>
                            </Ctg>
                            <Ctg>
                              <CtgProps>
                                <R>4</R>
                              </CtgProps>
                              <LnkIn>
                                <LnkInProps>
                                  <MN>29</MN>
                                  <CLI>1,1,39,False,12</CLI>
                                  <ELN>1</ELN>
                                  <LOOT>0</LOOT>
                                  <LOMN>3</LOMN>
                                  <LOMCN>1</LOMCN>
                                  <LOSN>1</LOSN>
                                  <LOEN>10</LOEN>
                                  <LOCN>12</LOCN>
                                </LnkInProps>
                              </LnkIn>
                            </Ctg>
                            <Ctg>
                              <CtgProps>
                                <R>4</R>
                              </CtgProps>
                              <LnkIn>
                                <LnkInProps>
                                  <MN>29</MN>
                                  <CLI>1,1,39,False,13</CLI>
                                  <ELN>1</ELN>
                                  <LOOT>0</LOOT>
                                  <LOMN>3</LOMN>
                                  <LOMCN>1</LOMCN>
                                  <LOSN>1</LOSN>
                                  <LOEN>10</LOEN>
                                  <LOCN>13</LOCN>
                                </LnkInProps>
                              </LnkIn>
                            </Ctg>
                            <Ctg>
                              <CtgProps>
                                <R>4</R>
                              </CtgProps>
                              <LnkIn>
                                <LnkInProps>
                                  <MN>29</MN>
                                  <CLI>1,1,39,False,14</CLI>
                                  <ELN>1</ELN>
                                  <LOOT>0</LOOT>
                                  <LOMN>3</LOMN>
                                  <LOMCN>1</LOMCN>
                                  <LOSN>1</LOSN>
                                  <LOEN>10</LOEN>
                                  <LOCN>14</LOCN>
                                </LnkInProps>
                              </LnkIn>
                            </Ctg>
                            <Ctg>
                              <CtgProps>
                                <R>5</R>
                              </CtgProps>
                              <LnkIn>
                                <LnkInProps>
                                  <MN>29</MN>
                                  <CLI>1,1,39,False,15</CLI>
                                  <ELN>1</ELN>
                                  <LOOT>0</LOOT>
                                  <LOMN>3</LOMN>
                                  <LOMCN>1</LOMCN>
                                  <LOSN>1</LOSN>
                                  <LOEN>10</LOEN>
                                  <LOCN>15</LOCN>
                                </LnkInProps>
                              </LnkIn>
                            </Ctg>
                            <Ctg>
                              <CtgProps>
                                <R>5</R>
                              </CtgProps>
                              <LnkIn>
                                <LnkInProps>
                                  <MN>29</MN>
                                  <CLI>1,1,39,False,16</CLI>
                                  <ELN>1</ELN>
                                  <LOOT>0</LOOT>
                                  <LOMN>3</LOMN>
                                  <LOMCN>1</LOMCN>
                                  <LOSN>1</LOSN>
                                  <LOEN>10</LOEN>
                                  <LOCN>16</LOCN>
                                </LnkInProps>
                              </LnkIn>
                            </Ctg>
                            <Ctg>
                              <CtgProps>
                                <R>5</R>
                              </CtgProps>
                              <LnkIn>
                                <LnkInProps>
                                  <MN>29</MN>
                                  <CLI>1,1,39,False,17</CLI>
                                  <ELN>1</ELN>
                                  <LOOT>0</LOOT>
                                  <LOMN>3</LOMN>
                                  <LOMCN>1</LOMCN>
                                  <LOSN>1</LOSN>
                                  <LOEN>10</LOEN>
                                  <LOCN>17</LOCN>
                                </LnkInProps>
                              </LnkIn>
                            </Ctg>
                            <Ctg>
                              <CtgProps>
                                <R>5</R>
                              </CtgProps>
                              <LnkIn>
                                <LnkInProps>
                                  <MN>29</MN>
                                  <CLI>1,1,39,False,18</CLI>
                                  <ELN>1</ELN>
                                  <LOOT>0</LOOT>
                                  <LOMN>3</LOMN>
                                  <LOMCN>1</LOMCN>
                                  <LOSN>1</LOSN>
                                  <LOEN>10</LOEN>
                                  <LOCN>18</LOCN>
                                </LnkInProps>
                              </LnkIn>
                            </Ctg>
                            <Ctg>
                              <CtgProps>
                                <R>5</R>
                              </CtgProps>
                              <LnkIn>
                                <LnkInProps>
                                  <MN>29</MN>
                                  <CLI>1,1,39,False,19</CLI>
                                  <ELN>1</ELN>
                                  <LOOT>0</LOOT>
                                  <LOMN>3</LOMN>
                                  <LOMCN>1</LOMCN>
                                  <LOSN>1</LOSN>
                                  <LOEN>10</LOEN>
                                  <LOCN>19</LOCN>
                                </LnkInProps>
                              </LnkIn>
                            </Ctg>
                            <Ctg>
                              <CtgProps>
                                <R>5</R>
                              </CtgProps>
                              <LnkIn>
                                <LnkInProps>
                                  <MN>29</MN>
                                  <CLI>1,1,39,False,20</CLI>
                                  <ELN>1</ELN>
                                  <LOOT>0</LOOT>
                                  <LOMN>3</LOMN>
                                  <LOMCN>1</LOMCN>
                                  <LOSN>1</LOSN>
                                  <LOEN>10</LOEN>
                                  <LOCN>20</LOCN>
                                </LnkInProps>
                              </LnkIn>
                            </Ctg>
                            <Ctg>
                              <CtgProps>
                                <R>5</R>
                              </CtgProps>
                              <LnkIn>
                                <LnkInProps>
                                  <MN>29</MN>
                                  <CLI>1,1,39,False,21</CLI>
                                  <ELN>1</ELN>
                                  <LOOT>0</LOOT>
                                  <LOMN>3</LOMN>
                                  <LOMCN>1</LOMCN>
                                  <LOSN>1</LOSN>
                                  <LOEN>10</LOEN>
                                  <LOCN>21</LOCN>
                                </LnkInProps>
                              </LnkIn>
                            </Ctg>
                            <Ctg>
                              <CtgProps>
                                <R>5</R>
                              </CtgProps>
                              <LnkIn>
                                <LnkInProps>
                                  <MN>29</MN>
                                  <CLI>1,1,39,False,22</CLI>
                                  <ELN>1</ELN>
                                  <LOOT>0</LOOT>
                                  <LOMN>3</LOMN>
                                  <LOMCN>1</LOMCN>
                                  <LOSN>1</LOSN>
                                  <LOEN>10</LOEN>
                                  <LOCN>22</LOCN>
                                </LnkInProps>
                              </LnkIn>
                            </Ctg>
                            <Ctg>
                              <CtgProps>
                                <R>5</R>
                              </CtgProps>
                              <LnkIn>
                                <LnkInProps>
                                  <MN>29</MN>
                                  <CLI>1,1,39,False,23</CLI>
                                  <ELN>1</ELN>
                                  <LOOT>0</LOOT>
                                  <LOMN>3</LOMN>
                                  <LOMCN>1</LOMCN>
                                  <LOSN>1</LOSN>
                                  <LOEN>10</LOEN>
                                  <LOCN>23</LOCN>
                                </LnkInProps>
                              </LnkIn>
                            </Ctg>
                            <Ctg>
                              <CtgProps>
                                <R>5</R>
                              </CtgProps>
                              <LnkIn>
                                <LnkInProps>
                                  <MN>29</MN>
                                  <CLI>1,1,39,False,24</CLI>
                                  <ELN>1</ELN>
                                  <LOOT>0</LOOT>
                                  <LOMN>3</LOMN>
                                  <LOMCN>1</LOMCN>
                                  <LOSN>1</LOSN>
                                  <LOEN>10</LOEN>
                                  <LOCN>24</LOCN>
                                </LnkInProps>
                              </LnkIn>
                            </Ctg>
                            <Ctg>
                              <CtgProps>
                                <R>5</R>
                              </CtgProps>
                              <LnkIn>
                                <LnkInProps>
                                  <MN>29</MN>
                                  <CLI>1,1,39,False,25</CLI>
                                  <ELN>1</ELN>
                                  <LOOT>0</LOOT>
                                  <LOMN>3</LOMN>
                                  <LOMCN>1</LOMCN>
                                  <LOSN>1</LOSN>
                                  <LOEN>10</LOEN>
                                  <LOCN>25</LOCN>
                                </LnkInProps>
                              </LnkIn>
                            </Ctg>
                            <Ctg>
                              <CtgProps>
                                <R>5</R>
                              </CtgProps>
                              <LnkIn>
                                <LnkInProps>
                                  <MN>29</MN>
                                  <CLI>1,1,39,False,26</CLI>
                                  <ELN>1</ELN>
                                  <LOOT>0</LOOT>
                                  <LOMN>3</LOMN>
                                  <LOMCN>1</LOMCN>
                                  <LOSN>1</LOSN>
                                  <LOEN>10</LOEN>
                                  <LOCN>26</LOCN>
                                </LnkInProps>
                              </LnkIn>
                            </Ctg>
                            <Ctg>
                              <CtgProps>
                                <R>5</R>
                              </CtgProps>
                              <LnkIn>
                                <LnkInProps>
                                  <MN>29</MN>
                                  <CLI>1,1,39,False,27</CLI>
                                  <ELN>1</ELN>
                                  <LOOT>0</LOOT>
                                  <LOMN>3</LOMN>
                                  <LOMCN>1</LOMCN>
                                  <LOSN>1</LOSN>
                                  <LOEN>10</LOEN>
                                  <LOCN>27</LOCN>
                                </LnkInProps>
                              </LnkIn>
                            </Ctg>
                            <Ctg>
                              <CtgProps>
                                <R>5</R>
                              </CtgProps>
                              <LnkIn>
                                <LnkInProps>
                                  <MN>29</MN>
                                  <CLI>1,1,39,False,28</CLI>
                                  <ELN>1</ELN>
                                  <LOOT>0</LOOT>
                                  <LOMN>3</LOMN>
                                  <LOMCN>1</LOMCN>
                                  <LOSN>1</LOSN>
                                  <LOEN>10</LOEN>
                                  <LOCN>28</LOCN>
                                </LnkInProps>
                              </LnkIn>
                            </Ctg>
                            <Ctg>
                              <CtgProps>
                                <R>5</R>
                              </CtgProps>
                              <LnkIn>
                                <LnkInProps>
                                  <MN>29</MN>
                                  <CLI>1,1,39,False,29</CLI>
                                  <ELN>1</ELN>
                                  <LOOT>0</LOOT>
                                  <LOMN>3</LOMN>
                                  <LOMCN>1</LOMCN>
                                  <LOSN>1</LOSN>
                                  <LOEN>10</LOEN>
                                  <LOCN>29</LOCN>
                                </LnkInProps>
                              </LnkIn>
                            </Ctg>
                            <Ctg>
                              <CtgProps>
                                <R>5</R>
                              </CtgProps>
                              <LnkIn>
                                <LnkInProps>
                                  <MN>29</MN>
                                  <CLI>1,1,39,False,30</CLI>
                                  <ELN>1</ELN>
                                  <LOOT>0</LOOT>
                                  <LOMN>3</LOMN>
                                  <LOMCN>1</LOMCN>
                                  <LOSN>1</LOSN>
                                  <LOEN>10</LOEN>
                                  <LOCN>30</LOCN>
                                </LnkInProps>
                              </LnkIn>
                            </Ctg>
                            <Ctg>
                              <CtgProps>
                                <R>5</R>
                              </CtgProps>
                              <LnkIn>
                                <LnkInProps>
                                  <MN>29</MN>
                                  <CLI>1,1,39,False,31</CLI>
                                  <ELN>1</ELN>
                                  <LOOT>0</LOOT>
                                  <LOMN>3</LOMN>
                                  <LOMCN>1</LOMCN>
                                  <LOSN>1</LOSN>
                                  <LOEN>10</LOEN>
                                  <LOCN>31</LOCN>
                                </LnkInProps>
                              </LnkIn>
                            </Ctg>
                            <Ctg>
                              <CtgProps>
                                <R>5</R>
                              </CtgProps>
                              <LnkIn>
                                <LnkInProps>
                                  <MN>29</MN>
                                  <CLI>1,1,39,False,32</CLI>
                                  <ELN>1</ELN>
                                  <LOOT>0</LOOT>
                                  <LOMN>3</LOMN>
                                  <LOMCN>1</LOMCN>
                                  <LOSN>1</LOSN>
                                  <LOEN>10</LOEN>
                                  <LOCN>32</LOCN>
                                </LnkInProps>
                              </LnkIn>
                            </Ctg>
                            <Ctg>
                              <CtgProps>
                                <R>5</R>
                              </CtgProps>
                              <LnkIn>
                                <LnkInProps>
                                  <MN>29</MN>
                                  <CLI>1,1,39,False,33</CLI>
                                  <ELN>1</ELN>
                                  <LOOT>0</LOOT>
                                  <LOMN>3</LOMN>
                                  <LOMCN>1</LOMCN>
                                  <LOSN>1</LOSN>
                                  <LOEN>10</LOEN>
                                  <LOCN>33</LOCN>
                                </LnkInProps>
                              </LnkIn>
                            </Ctg>
                            <Ctg>
                              <CtgProps>
                                <R>5</R>
                              </CtgProps>
                              <LnkIn>
                                <LnkInProps>
                                  <MN>29</MN>
                                  <CLI>1,1,39,False,34</CLI>
                                  <ELN>1</ELN>
                                  <LOOT>0</LOOT>
                                  <LOMN>3</LOMN>
                                  <LOMCN>1</LOMCN>
                                  <LOSN>1</LOSN>
                                  <LOEN>10</LOEN>
                                  <LOCN>34</LOCN>
                                </LnkInProps>
                              </LnkIn>
                            </Ctg>
                            <Ctg>
                              <CtgProps>
                                <R>5</R>
                              </CtgProps>
                              <LnkIn>
                                <LnkInProps>
                                  <MN>29</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29</MN>
                                  <CLI>1,1,42,False,1</CLI>
                                  <ELN>1</ELN>
                                  <LOOT>0</LOOT>
                                  <LOMN>3</LOMN>
                                  <LOMCN>1</LOMCN>
                                  <LOSN>1</LOSN>
                                  <LOEN>15</LOEN>
                                  <LOCN>1</LOCN>
                                </LnkInProps>
                              </LnkIn>
                            </Ctg>
                            <Ctg>
                              <CtgProps>
                                <R>4</R>
                              </CtgProps>
                              <LnkIn>
                                <LnkInProps>
                                  <MN>29</MN>
                                  <CLI>1,1,42,False,2</CLI>
                                  <ELN>1</ELN>
                                  <LOOT>0</LOOT>
                                  <LOMN>3</LOMN>
                                  <LOMCN>1</LOMCN>
                                  <LOSN>1</LOSN>
                                  <LOEN>15</LOEN>
                                  <LOCN>2</LOCN>
                                </LnkInProps>
                              </LnkIn>
                            </Ctg>
                            <Ctg>
                              <CtgProps>
                                <R>4</R>
                              </CtgProps>
                              <LnkIn>
                                <LnkInProps>
                                  <MN>29</MN>
                                  <CLI>1,1,42,False,3</CLI>
                                  <ELN>1</ELN>
                                  <LOOT>0</LOOT>
                                  <LOMN>3</LOMN>
                                  <LOMCN>1</LOMCN>
                                  <LOSN>1</LOSN>
                                  <LOEN>15</LOEN>
                                  <LOCN>3</LOCN>
                                </LnkInProps>
                              </LnkIn>
                            </Ctg>
                            <Ctg>
                              <CtgProps>
                                <R>4</R>
                              </CtgProps>
                              <LnkIn>
                                <LnkInProps>
                                  <MN>29</MN>
                                  <CLI>1,1,42,False,4</CLI>
                                  <ELN>1</ELN>
                                  <LOOT>0</LOOT>
                                  <LOMN>3</LOMN>
                                  <LOMCN>1</LOMCN>
                                  <LOSN>1</LOSN>
                                  <LOEN>15</LOEN>
                                  <LOCN>4</LOCN>
                                </LnkInProps>
                              </LnkIn>
                            </Ctg>
                            <Ctg>
                              <CtgProps>
                                <R>5</R>
                              </CtgProps>
                              <LnkIn>
                                <LnkInProps>
                                  <MN>29</MN>
                                  <CLI>1,1,42,False,5</CLI>
                                  <ELN>1</ELN>
                                  <LOOT>0</LOOT>
                                  <LOMN>3</LOMN>
                                  <LOMCN>1</LOMCN>
                                  <LOSN>1</LOSN>
                                  <LOEN>15</LOEN>
                                  <LOCN>5</LOCN>
                                </LnkInProps>
                              </LnkIn>
                            </Ctg>
                            <Ctg>
                              <CtgProps>
                                <R>5</R>
                              </CtgProps>
                              <LnkIn>
                                <LnkInProps>
                                  <MN>29</MN>
                                  <CLI>1,1,42,False,6</CLI>
                                  <ELN>1</ELN>
                                  <LOOT>0</LOOT>
                                  <LOMN>3</LOMN>
                                  <LOMCN>1</LOMCN>
                                  <LOSN>1</LOSN>
                                  <LOEN>15</LOEN>
                                  <LOCN>6</LOCN>
                                </LnkInProps>
                              </LnkIn>
                            </Ctg>
                            <Ctg>
                              <CtgProps>
                                <R>5</R>
                              </CtgProps>
                              <LnkIn>
                                <LnkInProps>
                                  <MN>29</MN>
                                  <CLI>1,1,42,False,7</CLI>
                                  <ELN>1</ELN>
                                  <LOOT>0</LOOT>
                                  <LOMN>3</LOMN>
                                  <LOMCN>1</LOMCN>
                                  <LOSN>1</LOSN>
                                  <LOEN>15</LOEN>
                                  <LOCN>7</LOCN>
                                </LnkInProps>
                              </LnkIn>
                            </Ctg>
                            <Ctg>
                              <CtgProps>
                                <R>5</R>
                              </CtgProps>
                              <LnkIn>
                                <LnkInProps>
                                  <MN>29</MN>
                                  <CLI>1,1,42,False,8</CLI>
                                  <ELN>1</ELN>
                                  <LOOT>0</LOOT>
                                  <LOMN>3</LOMN>
                                  <LOMCN>1</LOMCN>
                                  <LOSN>1</LOSN>
                                  <LOEN>15</LOEN>
                                  <LOCN>8</LOCN>
                                </LnkInProps>
                              </LnkIn>
                            </Ctg>
                            <Ctg>
                              <CtgProps>
                                <R>5</R>
                              </CtgProps>
                              <LnkIn>
                                <LnkInProps>
                                  <MN>29</MN>
                                  <CLI>1,1,42,False,9</CLI>
                                  <ELN>1</ELN>
                                  <LOOT>0</LOOT>
                                  <LOMN>3</LOMN>
                                  <LOMCN>1</LOMCN>
                                  <LOSN>1</LOSN>
                                  <LOEN>15</LOEN>
                                  <LOCN>9</LOCN>
                                </LnkInProps>
                              </LnkIn>
                            </Ctg>
                            <Ctg>
                              <CtgProps>
                                <R>5</R>
                              </CtgProps>
                              <LnkIn>
                                <LnkInProps>
                                  <MN>29</MN>
                                  <CLI>1,1,42,False,10</CLI>
                                  <ELN>1</ELN>
                                  <LOOT>0</LOOT>
                                  <LOMN>3</LOMN>
                                  <LOMCN>1</LOMCN>
                                  <LOSN>1</LOSN>
                                  <LOEN>15</LOEN>
                                  <LOCN>10</LOCN>
                                </LnkInProps>
                              </LnkIn>
                            </Ctg>
                            <Ctg>
                              <CtgProps>
                                <R>5</R>
                              </CtgProps>
                              <LnkIn>
                                <LnkInProps>
                                  <MN>29</MN>
                                  <CLI>1,1,42,False,11</CLI>
                                  <ELN>1</ELN>
                                  <LOOT>0</LOOT>
                                  <LOMN>3</LOMN>
                                  <LOMCN>1</LOMCN>
                                  <LOSN>1</LOSN>
                                  <LOEN>15</LOEN>
                                  <LOCN>11</LOCN>
                                </LnkInProps>
                              </LnkIn>
                            </Ctg>
                            <Ctg>
                              <CtgProps>
                                <R>5</R>
                              </CtgProps>
                              <LnkIn>
                                <LnkInProps>
                                  <MN>29</MN>
                                  <CLI>1,1,42,False,12</CLI>
                                  <ELN>1</ELN>
                                  <LOOT>0</LOOT>
                                  <LOMN>3</LOMN>
                                  <LOMCN>1</LOMCN>
                                  <LOSN>1</LOSN>
                                  <LOEN>15</LOEN>
                                  <LOCN>12</LOCN>
                                </LnkInProps>
                              </LnkIn>
                            </Ctg>
                            <Ctg>
                              <CtgProps>
                                <R>5</R>
                              </CtgProps>
                              <LnkIn>
                                <LnkInProps>
                                  <MN>29</MN>
                                  <CLI>1,1,42,False,13</CLI>
                                  <ELN>1</ELN>
                                  <LOOT>0</LOOT>
                                  <LOMN>3</LOMN>
                                  <LOMCN>1</LOMCN>
                                  <LOSN>1</LOSN>
                                  <LOEN>15</LOEN>
                                  <LOCN>13</LOCN>
                                </LnkInProps>
                              </LnkIn>
                            </Ctg>
                            <Ctg>
                              <CtgProps>
                                <R>5</R>
                              </CtgProps>
                              <LnkIn>
                                <LnkInProps>
                                  <MN>29</MN>
                                  <CLI>1,1,42,False,14</CLI>
                                  <ELN>1</ELN>
                                  <LOOT>0</LOOT>
                                  <LOMN>3</LOMN>
                                  <LOMCN>1</LOMCN>
                                  <LOSN>1</LOSN>
                                  <LOEN>15</LOEN>
                                  <LOCN>14</LOCN>
                                </LnkInProps>
                              </LnkIn>
                            </Ctg>
                            <Ctg>
                              <CtgProps>
                                <R>5</R>
                              </CtgProps>
                              <LnkIn>
                                <LnkInProps>
                                  <MN>29</MN>
                                  <CLI>1,1,42,False,15</CLI>
                                  <ELN>1</ELN>
                                  <LOOT>0</LOOT>
                                  <LOMN>3</LOMN>
                                  <LOMCN>1</LOMCN>
                                  <LOSN>1</LOSN>
                                  <LOEN>15</LOEN>
                                  <LOCN>15</LOCN>
                                </LnkInProps>
                              </LnkIn>
                            </Ctg>
                            <Ctg>
                              <CtgProps>
                                <R>5</R>
                              </CtgProps>
                              <LnkIn>
                                <LnkInProps>
                                  <MN>29</MN>
                                  <CLI>1,1,42,False,16</CLI>
                                  <ELN>1</ELN>
                                  <LOOT>0</LOOT>
                                  <LOMN>3</LOMN>
                                  <LOMCN>1</LOMCN>
                                  <LOSN>1</LOSN>
                                  <LOEN>15</LOEN>
                                  <LOCN>16</LOCN>
                                </LnkInProps>
                              </LnkIn>
                            </Ctg>
                            <Ctg>
                              <CtgProps>
                                <R>4</R>
                              </CtgProps>
                              <LnkIn>
                                <LnkInProps>
                                  <MN>29</MN>
                                  <CLI>1,1,42,False,17</CLI>
                                  <ELN>1</ELN>
                                  <LOOT>0</LOOT>
                                  <LOMN>3</LOMN>
                                  <LOMCN>1</LOMCN>
                                  <LOSN>1</LOSN>
                                  <LOEN>15</LOEN>
                                  <LOCN>17</LOCN>
                                </LnkInProps>
                              </LnkIn>
                            </Ctg>
                            <Ctg>
                              <CtgProps>
                                <R>4</R>
                              </CtgProps>
                              <LnkIn>
                                <LnkInProps>
                                  <MN>29</MN>
                                  <CLI>1,1,42,False,18</CLI>
                                  <ELN>1</ELN>
                                  <LOOT>0</LOOT>
                                  <LOMN>3</LOMN>
                                  <LOMCN>1</LOMCN>
                                  <LOSN>1</LOSN>
                                  <LOEN>15</LOEN>
                                  <LOCN>18</LOCN>
                                </LnkInProps>
                              </LnkIn>
                            </Ctg>
                            <Ctg>
                              <CtgProps>
                                <R>4</R>
                              </CtgProps>
                              <LnkIn>
                                <LnkInProps>
                                  <MN>29</MN>
                                  <CLI>1,1,42,False,19</CLI>
                                  <ELN>1</ELN>
                                  <LOOT>0</LOOT>
                                  <LOMN>3</LOMN>
                                  <LOMCN>1</LOMCN>
                                  <LOSN>1</LOSN>
                                  <LOEN>15</LOEN>
                                  <LOCN>19</LOCN>
                                </LnkInProps>
                              </LnkIn>
                            </Ctg>
                            <Ctg>
                              <CtgProps>
                                <R>4</R>
                              </CtgProps>
                              <LnkIn>
                                <LnkInProps>
                                  <MN>29</MN>
                                  <CLI>1,1,42,False,20</CLI>
                                  <ELN>1</ELN>
                                  <LOOT>0</LOOT>
                                  <LOMN>3</LOMN>
                                  <LOMCN>1</LOMCN>
                                  <LOSN>1</LOSN>
                                  <LOEN>15</LOEN>
                                  <LOCN>20</LOCN>
                                </LnkInProps>
                              </LnkIn>
                            </Ctg>
                            <Ctg>
                              <CtgProps>
                                <R>4</R>
                              </CtgProps>
                              <LnkIn>
                                <LnkInProps>
                                  <MN>29</MN>
                                  <CLI>1,1,42,False,21</CLI>
                                  <ELN>1</ELN>
                                  <LOOT>0</LOOT>
                                  <LOMN>3</LOMN>
                                  <LOMCN>1</LOMCN>
                                  <LOSN>1</LOSN>
                                  <LOEN>15</LOEN>
                                  <LOCN>21</LOCN>
                                </LnkInProps>
                              </LnkIn>
                            </Ctg>
                            <Ctg>
                              <CtgProps>
                                <R>4</R>
                              </CtgProps>
                              <LnkIn>
                                <LnkInProps>
                                  <MN>29</MN>
                                  <CLI>1,1,42,False,22</CLI>
                                  <ELN>1</ELN>
                                  <LOOT>0</LOOT>
                                  <LOMN>3</LOMN>
                                  <LOMCN>1</LOMCN>
                                  <LOSN>1</LOSN>
                                  <LOEN>15</LOEN>
                                  <LOCN>22</LOCN>
                                </LnkInProps>
                              </LnkIn>
                            </Ctg>
                            <Ctg>
                              <CtgProps>
                                <R>5</R>
                              </CtgProps>
                              <LnkIn>
                                <LnkInProps>
                                  <MN>29</MN>
                                  <CLI>1,1,42,False,23</CLI>
                                  <ELN>1</ELN>
                                  <LOOT>0</LOOT>
                                  <LOMN>3</LOMN>
                                  <LOMCN>1</LOMCN>
                                  <LOSN>1</LOSN>
                                  <LOEN>15</LOEN>
                                  <LOCN>23</LOCN>
                                </LnkInProps>
                              </LnkIn>
                            </Ctg>
                            <Ctg>
                              <CtgProps>
                                <R>5</R>
                              </CtgProps>
                              <LnkIn>
                                <LnkInProps>
                                  <MN>29</MN>
                                  <CLI>1,1,42,False,24</CLI>
                                  <ELN>1</ELN>
                                  <LOOT>0</LOOT>
                                  <LOMN>3</LOMN>
                                  <LOMCN>1</LOMCN>
                                  <LOSN>1</LOSN>
                                  <LOEN>15</LOEN>
                                  <LOCN>24</LOCN>
                                </LnkInProps>
                              </LnkIn>
                            </Ctg>
                            <Ctg>
                              <CtgProps>
                                <R>5</R>
                              </CtgProps>
                              <LnkIn>
                                <LnkInProps>
                                  <MN>29</MN>
                                  <CLI>1,1,42,False,25</CLI>
                                  <ELN>1</ELN>
                                  <LOOT>0</LOOT>
                                  <LOMN>3</LOMN>
                                  <LOMCN>1</LOMCN>
                                  <LOSN>1</LOSN>
                                  <LOEN>15</LOEN>
                                  <LOCN>25</LOCN>
                                </LnkInProps>
                              </LnkIn>
                            </Ctg>
                            <Ctg>
                              <CtgProps>
                                <R>5</R>
                              </CtgProps>
                              <LnkIn>
                                <LnkInProps>
                                  <MN>29</MN>
                                  <CLI>1,1,42,False,26</CLI>
                                  <ELN>1</ELN>
                                  <LOOT>0</LOOT>
                                  <LOMN>3</LOMN>
                                  <LOMCN>1</LOMCN>
                                  <LOSN>1</LOSN>
                                  <LOEN>15</LOEN>
                                  <LOCN>26</LOCN>
                                </LnkInProps>
                              </LnkIn>
                            </Ctg>
                            <Ctg>
                              <CtgProps>
                                <R>5</R>
                              </CtgProps>
                              <LnkIn>
                                <LnkInProps>
                                  <MN>29</MN>
                                  <CLI>1,1,42,False,27</CLI>
                                  <ELN>1</ELN>
                                  <LOOT>0</LOOT>
                                  <LOMN>3</LOMN>
                                  <LOMCN>1</LOMCN>
                                  <LOSN>1</LOSN>
                                  <LOEN>15</LOEN>
                                  <LOCN>27</LOCN>
                                </LnkInProps>
                              </LnkIn>
                            </Ctg>
                            <Ctg>
                              <CtgProps>
                                <R>5</R>
                              </CtgProps>
                              <LnkIn>
                                <LnkInProps>
                                  <MN>29</MN>
                                  <CLI>1,1,42,False,28</CLI>
                                  <ELN>1</ELN>
                                  <LOOT>0</LOOT>
                                  <LOMN>3</LOMN>
                                  <LOMCN>1</LOMCN>
                                  <LOSN>1</LOSN>
                                  <LOEN>15</LOEN>
                                  <LOCN>28</LOCN>
                                </LnkInProps>
                              </LnkIn>
                            </Ctg>
                            <Ctg>
                              <CtgProps>
                                <R>5</R>
                              </CtgProps>
                              <LnkIn>
                                <LnkInProps>
                                  <MN>29</MN>
                                  <CLI>1,1,42,False,29</CLI>
                                  <ELN>1</ELN>
                                  <LOOT>0</LOOT>
                                  <LOMN>3</LOMN>
                                  <LOMCN>1</LOMCN>
                                  <LOSN>1</LOSN>
                                  <LOEN>15</LOEN>
                                  <LOCN>29</LOCN>
                                </LnkInProps>
                              </LnkIn>
                            </Ctg>
                            <Ctg>
                              <CtgProps>
                                <R>5</R>
                              </CtgProps>
                              <LnkIn>
                                <LnkInProps>
                                  <MN>29</MN>
                                  <CLI>1,1,42,False,30</CLI>
                                  <ELN>1</ELN>
                                  <LOOT>0</LOOT>
                                  <LOMN>3</LOMN>
                                  <LOMCN>1</LOMCN>
                                  <LOSN>1</LOSN>
                                  <LOEN>15</LOEN>
                                  <LOCN>30</LOCN>
                                </LnkInProps>
                              </LnkIn>
                            </Ctg>
                            <Ctg>
                              <CtgProps>
                                <R>4</R>
                              </CtgProps>
                              <LnkIn>
                                <LnkInProps>
                                  <MN>29</MN>
                                  <CLI>1,1,42,False,31</CLI>
                                  <ELN>1</ELN>
                                  <LOOT>0</LOOT>
                                  <LOMN>3</LOMN>
                                  <LOMCN>1</LOMCN>
                                  <LOSN>1</LOSN>
                                  <LOEN>15</LOEN>
                                  <LOCN>31</LOCN>
                                </LnkInProps>
                              </LnkIn>
                            </Ctg>
                            <Ctg>
                              <CtgProps>
                                <R>4</R>
                              </CtgProps>
                              <LnkIn>
                                <LnkInProps>
                                  <MN>29</MN>
                                  <CLI>1,1,42,False,32</CLI>
                                  <ELN>1</ELN>
                                  <LOOT>0</LOOT>
                                  <LOMN>3</LOMN>
                                  <LOMCN>1</LOMCN>
                                  <LOSN>1</LOSN>
                                  <LOEN>15</LOEN>
                                  <LOCN>32</LOCN>
                                </LnkInProps>
                              </LnkIn>
                            </Ctg>
                            <Ctg>
                              <CtgProps>
                                <R>4</R>
                              </CtgProps>
                              <LnkIn>
                                <LnkInProps>
                                  <MN>29</MN>
                                  <CLI>1,1,42,False,33</CLI>
                                  <ELN>1</ELN>
                                  <LOOT>0</LOOT>
                                  <LOMN>3</LOMN>
                                  <LOMCN>1</LOMCN>
                                  <LOSN>1</LOSN>
                                  <LOEN>15</LOEN>
                                  <LOCN>33</LOCN>
                                </LnkInProps>
                              </LnkIn>
                            </Ctg>
                            <Ctg>
                              <CtgProps>
                                <R>4</R>
                              </CtgProps>
                              <LnkIn>
                                <LnkInProps>
                                  <MN>29</MN>
                                  <CLI>1,1,42,False,34</CLI>
                                  <ELN>1</ELN>
                                  <LOOT>0</LOOT>
                                  <LOMN>3</LOMN>
                                  <LOMCN>1</LOMCN>
                                  <LOSN>1</LOSN>
                                  <LOEN>15</LOEN>
                                  <LOCN>34</LOCN>
                                </LnkInProps>
                              </LnkIn>
                            </Ctg>
                            <Ctg>
                              <CtgProps>
                                <R>4</R>
                              </CtgProps>
                              <LnkIn>
                                <LnkInProps>
                                  <MN>29</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29</MN>
                                  <CLI>1,1,46,False,1</CLI>
                                  <ELN>1</ELN>
                                  <LOOT>0</LOOT>
                                  <LOMN>3</LOMN>
                                  <LOMCN>1</LOMCN>
                                  <LOSN>1</LOSN>
                                  <LOEN>19</LOEN>
                                  <LOCN>1</LOCN>
                                </LnkInProps>
                              </LnkIn>
                            </Ctg>
                            <Ctg>
                              <CtgProps>
                                <R>4</R>
                              </CtgProps>
                              <LnkIn>
                                <LnkInProps>
                                  <MN>29</MN>
                                  <CLI>1,1,46,False,2</CLI>
                                  <ELN>1</ELN>
                                  <LOOT>0</LOOT>
                                  <LOMN>3</LOMN>
                                  <LOMCN>1</LOMCN>
                                  <LOSN>1</LOSN>
                                  <LOEN>19</LOEN>
                                  <LOCN>2</LOCN>
                                </LnkInProps>
                              </LnkIn>
                            </Ctg>
                            <Ctg>
                              <CtgProps>
                                <R>4</R>
                              </CtgProps>
                              <LnkIn>
                                <LnkInProps>
                                  <MN>29</MN>
                                  <CLI>1,1,46,False,3</CLI>
                                  <ELN>1</ELN>
                                  <LOOT>0</LOOT>
                                  <LOMN>3</LOMN>
                                  <LOMCN>1</LOMCN>
                                  <LOSN>1</LOSN>
                                  <LOEN>19</LOEN>
                                  <LOCN>3</LOCN>
                                </LnkInProps>
                              </LnkIn>
                            </Ctg>
                            <Ctg>
                              <CtgProps>
                                <R>4</R>
                              </CtgProps>
                              <LnkIn>
                                <LnkInProps>
                                  <MN>29</MN>
                                  <CLI>1,1,46,False,4</CLI>
                                  <ELN>1</ELN>
                                  <LOOT>0</LOOT>
                                  <LOMN>3</LOMN>
                                  <LOMCN>1</LOMCN>
                                  <LOSN>1</LOSN>
                                  <LOEN>19</LOEN>
                                  <LOCN>4</LOCN>
                                </LnkInProps>
                              </LnkIn>
                            </Ctg>
                            <Ctg>
                              <CtgProps>
                                <R>4</R>
                              </CtgProps>
                              <LnkIn>
                                <LnkInProps>
                                  <MN>29</MN>
                                  <CLI>1,1,46,False,5</CLI>
                                  <ELN>1</ELN>
                                  <LOOT>0</LOOT>
                                  <LOMN>3</LOMN>
                                  <LOMCN>1</LOMCN>
                                  <LOSN>1</LOSN>
                                  <LOEN>19</LOEN>
                                  <LOCN>5</LOCN>
                                </LnkInProps>
                              </LnkIn>
                            </Ctg>
                            <Ctg>
                              <CtgProps>
                                <R>4</R>
                              </CtgProps>
                              <LnkIn>
                                <LnkInProps>
                                  <MN>29</MN>
                                  <CLI>1,1,46,False,6</CLI>
                                  <ELN>1</ELN>
                                  <LOOT>0</LOOT>
                                  <LOMN>3</LOMN>
                                  <LOMCN>1</LOMCN>
                                  <LOSN>1</LOSN>
                                  <LOEN>19</LOEN>
                                  <LOCN>6</LOCN>
                                </LnkInProps>
                              </LnkIn>
                            </Ctg>
                            <Ctg>
                              <CtgProps>
                                <R>4</R>
                              </CtgProps>
                              <LnkIn>
                                <LnkInProps>
                                  <MN>29</MN>
                                  <CLI>1,1,46,False,7</CLI>
                                  <ELN>1</ELN>
                                  <LOOT>0</LOOT>
                                  <LOMN>3</LOMN>
                                  <LOMCN>1</LOMCN>
                                  <LOSN>1</LOSN>
                                  <LOEN>19</LOEN>
                                  <LOCN>7</LOCN>
                                </LnkInProps>
                              </LnkIn>
                            </Ctg>
                            <Ctg>
                              <CtgProps>
                                <R>4</R>
                              </CtgProps>
                              <LnkIn>
                                <LnkInProps>
                                  <MN>29</MN>
                                  <CLI>1,1,46,False,8</CLI>
                                  <ELN>1</ELN>
                                  <LOOT>0</LOOT>
                                  <LOMN>3</LOMN>
                                  <LOMCN>1</LOMCN>
                                  <LOSN>1</LOSN>
                                  <LOEN>19</LOEN>
                                  <LOCN>8</LOCN>
                                </LnkInProps>
                              </LnkIn>
                            </Ctg>
                            <Ctg>
                              <CtgProps>
                                <R>4</R>
                              </CtgProps>
                              <LnkIn>
                                <LnkInProps>
                                  <MN>29</MN>
                                  <CLI>1,1,46,False,9</CLI>
                                  <ELN>1</ELN>
                                  <LOOT>0</LOOT>
                                  <LOMN>3</LOMN>
                                  <LOMCN>1</LOMCN>
                                  <LOSN>1</LOSN>
                                  <LOEN>19</LOEN>
                                  <LOCN>9</LOCN>
                                </LnkInProps>
                              </LnkIn>
                            </Ctg>
                            <Ctg>
                              <CtgProps>
                                <R>4</R>
                              </CtgProps>
                              <LnkIn>
                                <LnkInProps>
                                  <MN>29</MN>
                                  <CLI>1,1,46,False,10</CLI>
                                  <ELN>1</ELN>
                                  <LOOT>0</LOOT>
                                  <LOMN>3</LOMN>
                                  <LOMCN>1</LOMCN>
                                  <LOSN>1</LOSN>
                                  <LOEN>19</LOEN>
                                  <LOCN>10</LOCN>
                                </LnkInProps>
                              </LnkIn>
                            </Ctg>
                            <Ctg>
                              <CtgProps>
                                <R>4</R>
                              </CtgProps>
                              <LnkIn>
                                <LnkInProps>
                                  <MN>29</MN>
                                  <CLI>1,1,46,False,11</CLI>
                                  <ELN>1</ELN>
                                  <LOOT>0</LOOT>
                                  <LOMN>3</LOMN>
                                  <LOMCN>1</LOMCN>
                                  <LOSN>1</LOSN>
                                  <LOEN>19</LOEN>
                                  <LOCN>11</LOCN>
                                </LnkInProps>
                              </LnkIn>
                            </Ctg>
                            <Ctg>
                              <CtgProps>
                                <R>4</R>
                              </CtgProps>
                              <LnkIn>
                                <LnkInProps>
                                  <MN>29</MN>
                                  <CLI>1,1,46,False,12</CLI>
                                  <ELN>1</ELN>
                                  <LOOT>0</LOOT>
                                  <LOMN>3</LOMN>
                                  <LOMCN>1</LOMCN>
                                  <LOSN>1</LOSN>
                                  <LOEN>19</LOEN>
                                  <LOCN>12</LOCN>
                                </LnkInProps>
                              </LnkIn>
                            </Ctg>
                            <Ctg>
                              <CtgProps>
                                <R>4</R>
                              </CtgProps>
                              <LnkIn>
                                <LnkInProps>
                                  <MN>29</MN>
                                  <CLI>1,1,46,False,13</CLI>
                                  <ELN>1</ELN>
                                  <LOOT>0</LOOT>
                                  <LOMN>3</LOMN>
                                  <LOMCN>1</LOMCN>
                                  <LOSN>1</LOSN>
                                  <LOEN>19</LOEN>
                                  <LOCN>13</LOCN>
                                </LnkInProps>
                              </LnkIn>
                            </Ctg>
                            <Ctg>
                              <CtgProps>
                                <R>4</R>
                              </CtgProps>
                              <LnkIn>
                                <LnkInProps>
                                  <MN>29</MN>
                                  <CLI>1,1,46,False,14</CLI>
                                  <ELN>1</ELN>
                                  <LOOT>0</LOOT>
                                  <LOMN>3</LOMN>
                                  <LOMCN>1</LOMCN>
                                  <LOSN>1</LOSN>
                                  <LOEN>19</LOEN>
                                  <LOCN>14</LOCN>
                                </LnkInProps>
                              </LnkIn>
                            </Ctg>
                            <Ctg>
                              <CtgProps>
                                <R>4</R>
                              </CtgProps>
                              <LnkIn>
                                <LnkInProps>
                                  <MN>29</MN>
                                  <CLI>1,1,46,False,15</CLI>
                                  <ELN>1</ELN>
                                  <LOOT>0</LOOT>
                                  <LOMN>3</LOMN>
                                  <LOMCN>1</LOMCN>
                                  <LOSN>1</LOSN>
                                  <LOEN>19</LOEN>
                                  <LOCN>15</LOCN>
                                </LnkInProps>
                              </LnkIn>
                            </Ctg>
                            <Ctg>
                              <CtgProps>
                                <R>5</R>
                              </CtgProps>
                              <LnkIn>
                                <LnkInProps>
                                  <MN>29</MN>
                                  <CLI>1,1,46,False,16</CLI>
                                  <ELN>1</ELN>
                                  <LOOT>0</LOOT>
                                  <LOMN>3</LOMN>
                                  <LOMCN>1</LOMCN>
                                  <LOSN>1</LOSN>
                                  <LOEN>19</LOEN>
                                  <LOCN>16</LOCN>
                                </LnkInProps>
                              </LnkIn>
                            </Ctg>
                            <Ctg>
                              <CtgProps>
                                <R>5</R>
                              </CtgProps>
                              <LnkIn>
                                <LnkInProps>
                                  <MN>29</MN>
                                  <CLI>1,1,46,False,17</CLI>
                                  <ELN>1</ELN>
                                  <LOOT>0</LOOT>
                                  <LOMN>3</LOMN>
                                  <LOMCN>1</LOMCN>
                                  <LOSN>1</LOSN>
                                  <LOEN>19</LOEN>
                                  <LOCN>17</LOCN>
                                </LnkInProps>
                              </LnkIn>
                            </Ctg>
                            <Ctg>
                              <CtgProps>
                                <R>5</R>
                              </CtgProps>
                              <LnkIn>
                                <LnkInProps>
                                  <MN>29</MN>
                                  <CLI>1,1,46,False,18</CLI>
                                  <ELN>1</ELN>
                                  <LOOT>0</LOOT>
                                  <LOMN>3</LOMN>
                                  <LOMCN>1</LOMCN>
                                  <LOSN>1</LOSN>
                                  <LOEN>19</LOEN>
                                  <LOCN>18</LOCN>
                                </LnkInProps>
                              </LnkIn>
                            </Ctg>
                            <Ctg>
                              <CtgProps>
                                <R>5</R>
                              </CtgProps>
                              <LnkIn>
                                <LnkInProps>
                                  <MN>29</MN>
                                  <CLI>1,1,46,False,19</CLI>
                                  <ELN>1</ELN>
                                  <LOOT>0</LOOT>
                                  <LOMN>3</LOMN>
                                  <LOMCN>1</LOMCN>
                                  <LOSN>1</LOSN>
                                  <LOEN>19</LOEN>
                                  <LOCN>19</LOCN>
                                </LnkInProps>
                              </LnkIn>
                            </Ctg>
                            <Ctg>
                              <CtgProps>
                                <R>5</R>
                              </CtgProps>
                              <LnkIn>
                                <LnkInProps>
                                  <MN>29</MN>
                                  <CLI>1,1,46,False,20</CLI>
                                  <ELN>1</ELN>
                                  <LOOT>0</LOOT>
                                  <LOMN>3</LOMN>
                                  <LOMCN>1</LOMCN>
                                  <LOSN>1</LOSN>
                                  <LOEN>19</LOEN>
                                  <LOCN>20</LOCN>
                                </LnkInProps>
                              </LnkIn>
                            </Ctg>
                            <Ctg>
                              <CtgProps>
                                <R>5</R>
                              </CtgProps>
                              <LnkIn>
                                <LnkInProps>
                                  <MN>29</MN>
                                  <CLI>1,1,46,False,21</CLI>
                                  <ELN>1</ELN>
                                  <LOOT>0</LOOT>
                                  <LOMN>3</LOMN>
                                  <LOMCN>1</LOMCN>
                                  <LOSN>1</LOSN>
                                  <LOEN>19</LOEN>
                                  <LOCN>21</LOCN>
                                </LnkInProps>
                              </LnkIn>
                            </Ctg>
                            <Ctg>
                              <CtgProps>
                                <R>5</R>
                              </CtgProps>
                              <LnkIn>
                                <LnkInProps>
                                  <MN>29</MN>
                                  <CLI>1,1,46,False,22</CLI>
                                  <ELN>1</ELN>
                                  <LOOT>0</LOOT>
                                  <LOMN>3</LOMN>
                                  <LOMCN>1</LOMCN>
                                  <LOSN>1</LOSN>
                                  <LOEN>19</LOEN>
                                  <LOCN>22</LOCN>
                                </LnkInProps>
                              </LnkIn>
                            </Ctg>
                            <Ctg>
                              <CtgProps>
                                <R>5</R>
                              </CtgProps>
                              <LnkIn>
                                <LnkInProps>
                                  <MN>29</MN>
                                  <CLI>1,1,46,False,23</CLI>
                                  <ELN>1</ELN>
                                  <LOOT>0</LOOT>
                                  <LOMN>3</LOMN>
                                  <LOMCN>1</LOMCN>
                                  <LOSN>1</LOSN>
                                  <LOEN>19</LOEN>
                                  <LOCN>23</LOCN>
                                </LnkInProps>
                              </LnkIn>
                            </Ctg>
                            <Ctg>
                              <CtgProps>
                                <R>5</R>
                              </CtgProps>
                              <LnkIn>
                                <LnkInProps>
                                  <MN>29</MN>
                                  <CLI>1,1,46,False,24</CLI>
                                  <ELN>1</ELN>
                                  <LOOT>0</LOOT>
                                  <LOMN>3</LOMN>
                                  <LOMCN>1</LOMCN>
                                  <LOSN>1</LOSN>
                                  <LOEN>19</LOEN>
                                  <LOCN>24</LOCN>
                                </LnkInProps>
                              </LnkIn>
                            </Ctg>
                            <Ctg>
                              <CtgProps>
                                <R>5</R>
                              </CtgProps>
                              <LnkIn>
                                <LnkInProps>
                                  <MN>29</MN>
                                  <CLI>1,1,46,False,25</CLI>
                                  <ELN>1</ELN>
                                  <LOOT>0</LOOT>
                                  <LOMN>3</LOMN>
                                  <LOMCN>1</LOMCN>
                                  <LOSN>1</LOSN>
                                  <LOEN>19</LOEN>
                                  <LOCN>25</LOCN>
                                </LnkInProps>
                              </LnkIn>
                            </Ctg>
                            <Ctg>
                              <CtgProps>
                                <R>5</R>
                              </CtgProps>
                              <LnkIn>
                                <LnkInProps>
                                  <MN>29</MN>
                                  <CLI>1,1,46,False,26</CLI>
                                  <ELN>1</ELN>
                                  <LOOT>0</LOOT>
                                  <LOMN>3</LOMN>
                                  <LOMCN>1</LOMCN>
                                  <LOSN>1</LOSN>
                                  <LOEN>19</LOEN>
                                  <LOCN>26</LOCN>
                                </LnkInProps>
                              </LnkIn>
                            </Ctg>
                            <Ctg>
                              <CtgProps>
                                <R>5</R>
                              </CtgProps>
                              <LnkIn>
                                <LnkInProps>
                                  <MN>29</MN>
                                  <CLI>1,1,46,False,27</CLI>
                                  <ELN>1</ELN>
                                  <LOOT>0</LOOT>
                                  <LOMN>3</LOMN>
                                  <LOMCN>1</LOMCN>
                                  <LOSN>1</LOSN>
                                  <LOEN>19</LOEN>
                                  <LOCN>27</LOCN>
                                </LnkInProps>
                              </LnkIn>
                            </Ctg>
                            <Ctg>
                              <CtgProps>
                                <R>5</R>
                              </CtgProps>
                              <LnkIn>
                                <LnkInProps>
                                  <MN>29</MN>
                                  <CLI>1,1,46,False,28</CLI>
                                  <ELN>1</ELN>
                                  <LOOT>0</LOOT>
                                  <LOMN>3</LOMN>
                                  <LOMCN>1</LOMCN>
                                  <LOSN>1</LOSN>
                                  <LOEN>19</LOEN>
                                  <LOCN>28</LOCN>
                                </LnkInProps>
                              </LnkIn>
                            </Ctg>
                            <Ctg>
                              <CtgProps>
                                <R>5</R>
                              </CtgProps>
                              <LnkIn>
                                <LnkInProps>
                                  <MN>29</MN>
                                  <CLI>1,1,46,False,29</CLI>
                                  <ELN>1</ELN>
                                  <LOOT>0</LOOT>
                                  <LOMN>3</LOMN>
                                  <LOMCN>1</LOMCN>
                                  <LOSN>1</LOSN>
                                  <LOEN>19</LOEN>
                                  <LOCN>29</LOCN>
                                </LnkInProps>
                              </LnkIn>
                            </Ctg>
                            <Ctg>
                              <CtgProps>
                                <R>5</R>
                              </CtgProps>
                              <LnkIn>
                                <LnkInProps>
                                  <MN>29</MN>
                                  <CLI>1,1,46,False,30</CLI>
                                  <ELN>1</ELN>
                                  <LOOT>0</LOOT>
                                  <LOMN>3</LOMN>
                                  <LOMCN>1</LOMCN>
                                  <LOSN>1</LOSN>
                                  <LOEN>19</LOEN>
                                  <LOCN>30</LOCN>
                                </LnkInProps>
                              </LnkIn>
                            </Ctg>
                            <Ctg>
                              <CtgProps>
                                <R>5</R>
                              </CtgProps>
                              <LnkIn>
                                <LnkInProps>
                                  <MN>29</MN>
                                  <CLI>1,1,46,False,31</CLI>
                                  <ELN>1</ELN>
                                  <LOOT>0</LOOT>
                                  <LOMN>3</LOMN>
                                  <LOMCN>1</LOMCN>
                                  <LOSN>1</LOSN>
                                  <LOEN>19</LOEN>
                                  <LOCN>31</LOCN>
                                </LnkInProps>
                              </LnkIn>
                            </Ctg>
                            <Ctg>
                              <CtgProps>
                                <R>5</R>
                              </CtgProps>
                              <LnkIn>
                                <LnkInProps>
                                  <MN>29</MN>
                                  <CLI>1,1,46,False,32</CLI>
                                  <ELN>1</ELN>
                                  <LOOT>0</LOOT>
                                  <LOMN>3</LOMN>
                                  <LOMCN>1</LOMCN>
                                  <LOSN>1</LOSN>
                                  <LOEN>19</LOEN>
                                  <LOCN>32</LOCN>
                                </LnkInProps>
                              </LnkIn>
                            </Ctg>
                            <Ctg>
                              <CtgProps>
                                <R>5</R>
                              </CtgProps>
                              <LnkIn>
                                <LnkInProps>
                                  <MN>29</MN>
                                  <CLI>1,1,46,False,33</CLI>
                                  <ELN>1</ELN>
                                  <LOOT>0</LOOT>
                                  <LOMN>3</LOMN>
                                  <LOMCN>1</LOMCN>
                                  <LOSN>1</LOSN>
                                  <LOEN>19</LOEN>
                                  <LOCN>33</LOCN>
                                </LnkInProps>
                              </LnkIn>
                            </Ctg>
                            <Ctg>
                              <CtgProps>
                                <R>5</R>
                              </CtgProps>
                              <LnkIn>
                                <LnkInProps>
                                  <MN>29</MN>
                                  <CLI>1,1,46,False,34</CLI>
                                  <ELN>1</ELN>
                                  <LOOT>0</LOOT>
                                  <LOMN>3</LOMN>
                                  <LOMCN>1</LOMCN>
                                  <LOSN>1</LOSN>
                                  <LOEN>19</LOEN>
                                  <LOCN>34</LOCN>
                                </LnkInProps>
                              </LnkIn>
                            </Ctg>
                            <Ctg>
                              <CtgProps>
                                <R>5</R>
                              </CtgProps>
                              <LnkIn>
                                <LnkInProps>
                                  <MN>29</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29</MN>
                                  <CLI>1,1,49,False,1</CLI>
                                  <ELN>1</ELN>
                                  <LOOT>0</LOOT>
                                  <LOMN>3</LOMN>
                                  <LOMCN>1</LOMCN>
                                  <LOSN>1</LOSN>
                                  <LOEN>24</LOEN>
                                  <LOCN>1</LOCN>
                                </LnkInProps>
                              </LnkIn>
                            </Ctg>
                            <Ctg>
                              <CtgProps>
                                <R>4</R>
                              </CtgProps>
                              <LnkIn>
                                <LnkInProps>
                                  <MN>29</MN>
                                  <CLI>1,1,49,False,2</CLI>
                                  <ELN>1</ELN>
                                  <LOOT>0</LOOT>
                                  <LOMN>3</LOMN>
                                  <LOMCN>1</LOMCN>
                                  <LOSN>1</LOSN>
                                  <LOEN>24</LOEN>
                                  <LOCN>2</LOCN>
                                </LnkInProps>
                              </LnkIn>
                            </Ctg>
                            <Ctg>
                              <CtgProps>
                                <R>4</R>
                              </CtgProps>
                              <LnkIn>
                                <LnkInProps>
                                  <MN>29</MN>
                                  <CLI>1,1,49,False,3</CLI>
                                  <ELN>1</ELN>
                                  <LOOT>0</LOOT>
                                  <LOMN>3</LOMN>
                                  <LOMCN>1</LOMCN>
                                  <LOSN>1</LOSN>
                                  <LOEN>24</LOEN>
                                  <LOCN>3</LOCN>
                                </LnkInProps>
                              </LnkIn>
                            </Ctg>
                            <Ctg>
                              <CtgProps>
                                <R>4</R>
                              </CtgProps>
                              <LnkIn>
                                <LnkInProps>
                                  <MN>29</MN>
                                  <CLI>1,1,49,False,4</CLI>
                                  <ELN>1</ELN>
                                  <LOOT>0</LOOT>
                                  <LOMN>3</LOMN>
                                  <LOMCN>1</LOMCN>
                                  <LOSN>1</LOSN>
                                  <LOEN>24</LOEN>
                                  <LOCN>4</LOCN>
                                </LnkInProps>
                              </LnkIn>
                            </Ctg>
                            <Ctg>
                              <CtgProps>
                                <R>4</R>
                              </CtgProps>
                              <LnkIn>
                                <LnkInProps>
                                  <MN>29</MN>
                                  <CLI>1,1,49,False,5</CLI>
                                  <ELN>1</ELN>
                                  <LOOT>0</LOOT>
                                  <LOMN>3</LOMN>
                                  <LOMCN>1</LOMCN>
                                  <LOSN>1</LOSN>
                                  <LOEN>24</LOEN>
                                  <LOCN>5</LOCN>
                                </LnkInProps>
                              </LnkIn>
                            </Ctg>
                            <Ctg>
                              <CtgProps>
                                <R>5</R>
                              </CtgProps>
                              <LnkIn>
                                <LnkInProps>
                                  <MN>29</MN>
                                  <CLI>1,1,49,False,6</CLI>
                                  <ELN>1</ELN>
                                  <LOOT>0</LOOT>
                                  <LOMN>3</LOMN>
                                  <LOMCN>1</LOMCN>
                                  <LOSN>1</LOSN>
                                  <LOEN>24</LOEN>
                                  <LOCN>6</LOCN>
                                </LnkInProps>
                              </LnkIn>
                            </Ctg>
                            <Ctg>
                              <CtgProps>
                                <R>5</R>
                              </CtgProps>
                              <LnkIn>
                                <LnkInProps>
                                  <MN>29</MN>
                                  <CLI>1,1,49,False,7</CLI>
                                  <ELN>1</ELN>
                                  <LOOT>0</LOOT>
                                  <LOMN>3</LOMN>
                                  <LOMCN>1</LOMCN>
                                  <LOSN>1</LOSN>
                                  <LOEN>24</LOEN>
                                  <LOCN>7</LOCN>
                                </LnkInProps>
                              </LnkIn>
                            </Ctg>
                            <Ctg>
                              <CtgProps>
                                <R>5</R>
                              </CtgProps>
                              <LnkIn>
                                <LnkInProps>
                                  <MN>29</MN>
                                  <CLI>1,1,49,False,8</CLI>
                                  <ELN>1</ELN>
                                  <LOOT>0</LOOT>
                                  <LOMN>3</LOMN>
                                  <LOMCN>1</LOMCN>
                                  <LOSN>1</LOSN>
                                  <LOEN>24</LOEN>
                                  <LOCN>8</LOCN>
                                </LnkInProps>
                              </LnkIn>
                            </Ctg>
                            <Ctg>
                              <CtgProps>
                                <R>5</R>
                              </CtgProps>
                              <LnkIn>
                                <LnkInProps>
                                  <MN>29</MN>
                                  <CLI>1,1,49,False,9</CLI>
                                  <ELN>1</ELN>
                                  <LOOT>0</LOOT>
                                  <LOMN>3</LOMN>
                                  <LOMCN>1</LOMCN>
                                  <LOSN>1</LOSN>
                                  <LOEN>24</LOEN>
                                  <LOCN>9</LOCN>
                                </LnkInProps>
                              </LnkIn>
                            </Ctg>
                            <Ctg>
                              <CtgProps>
                                <R>5</R>
                              </CtgProps>
                              <LnkIn>
                                <LnkInProps>
                                  <MN>29</MN>
                                  <CLI>1,1,49,False,10</CLI>
                                  <ELN>1</ELN>
                                  <LOOT>0</LOOT>
                                  <LOMN>3</LOMN>
                                  <LOMCN>1</LOMCN>
                                  <LOSN>1</LOSN>
                                  <LOEN>24</LOEN>
                                  <LOCN>10</LOCN>
                                </LnkInProps>
                              </LnkIn>
                            </Ctg>
                            <Ctg>
                              <CtgProps>
                                <R>5</R>
                              </CtgProps>
                              <LnkIn>
                                <LnkInProps>
                                  <MN>29</MN>
                                  <CLI>1,1,49,False,11</CLI>
                                  <ELN>1</ELN>
                                  <LOOT>0</LOOT>
                                  <LOMN>3</LOMN>
                                  <LOMCN>1</LOMCN>
                                  <LOSN>1</LOSN>
                                  <LOEN>24</LOEN>
                                  <LOCN>11</LOCN>
                                </LnkInProps>
                              </LnkIn>
                            </Ctg>
                            <Ctg>
                              <CtgProps>
                                <R>5</R>
                              </CtgProps>
                              <LnkIn>
                                <LnkInProps>
                                  <MN>29</MN>
                                  <CLI>1,1,49,False,12</CLI>
                                  <ELN>1</ELN>
                                  <LOOT>0</LOOT>
                                  <LOMN>3</LOMN>
                                  <LOMCN>1</LOMCN>
                                  <LOSN>1</LOSN>
                                  <LOEN>24</LOEN>
                                  <LOCN>12</LOCN>
                                </LnkInProps>
                              </LnkIn>
                            </Ctg>
                            <Ctg>
                              <CtgProps>
                                <R>5</R>
                              </CtgProps>
                              <LnkIn>
                                <LnkInProps>
                                  <MN>29</MN>
                                  <CLI>1,1,49,False,13</CLI>
                                  <ELN>1</ELN>
                                  <LOOT>0</LOOT>
                                  <LOMN>3</LOMN>
                                  <LOMCN>1</LOMCN>
                                  <LOSN>1</LOSN>
                                  <LOEN>24</LOEN>
                                  <LOCN>13</LOCN>
                                </LnkInProps>
                              </LnkIn>
                            </Ctg>
                            <Ctg>
                              <CtgProps>
                                <R>5</R>
                              </CtgProps>
                              <LnkIn>
                                <LnkInProps>
                                  <MN>29</MN>
                                  <CLI>1,1,49,False,14</CLI>
                                  <ELN>1</ELN>
                                  <LOOT>0</LOOT>
                                  <LOMN>3</LOMN>
                                  <LOMCN>1</LOMCN>
                                  <LOSN>1</LOSN>
                                  <LOEN>24</LOEN>
                                  <LOCN>14</LOCN>
                                </LnkInProps>
                              </LnkIn>
                            </Ctg>
                            <Ctg>
                              <CtgProps>
                                <R>5</R>
                              </CtgProps>
                              <LnkIn>
                                <LnkInProps>
                                  <MN>29</MN>
                                  <CLI>1,1,49,False,15</CLI>
                                  <ELN>1</ELN>
                                  <LOOT>0</LOOT>
                                  <LOMN>3</LOMN>
                                  <LOMCN>1</LOMCN>
                                  <LOSN>1</LOSN>
                                  <LOEN>24</LOEN>
                                  <LOCN>15</LOCN>
                                </LnkInProps>
                              </LnkIn>
                            </Ctg>
                            <Ctg>
                              <CtgProps>
                                <R>5</R>
                              </CtgProps>
                              <LnkIn>
                                <LnkInProps>
                                  <MN>29</MN>
                                  <CLI>1,1,49,False,16</CLI>
                                  <ELN>1</ELN>
                                  <LOOT>0</LOOT>
                                  <LOMN>3</LOMN>
                                  <LOMCN>1</LOMCN>
                                  <LOSN>1</LOSN>
                                  <LOEN>24</LOEN>
                                  <LOCN>16</LOCN>
                                </LnkInProps>
                              </LnkIn>
                            </Ctg>
                            <Ctg>
                              <CtgProps>
                                <R>5</R>
                              </CtgProps>
                              <LnkIn>
                                <LnkInProps>
                                  <MN>29</MN>
                                  <CLI>1,1,49,False,17</CLI>
                                  <ELN>1</ELN>
                                  <LOOT>0</LOOT>
                                  <LOMN>3</LOMN>
                                  <LOMCN>1</LOMCN>
                                  <LOSN>1</LOSN>
                                  <LOEN>24</LOEN>
                                  <LOCN>17</LOCN>
                                </LnkInProps>
                              </LnkIn>
                            </Ctg>
                            <Ctg>
                              <CtgProps>
                                <R>5</R>
                              </CtgProps>
                              <LnkIn>
                                <LnkInProps>
                                  <MN>29</MN>
                                  <CLI>1,1,49,False,18</CLI>
                                  <ELN>1</ELN>
                                  <LOOT>0</LOOT>
                                  <LOMN>3</LOMN>
                                  <LOMCN>1</LOMCN>
                                  <LOSN>1</LOSN>
                                  <LOEN>24</LOEN>
                                  <LOCN>18</LOCN>
                                </LnkInProps>
                              </LnkIn>
                            </Ctg>
                            <Ctg>
                              <CtgProps>
                                <R>5</R>
                              </CtgProps>
                              <LnkIn>
                                <LnkInProps>
                                  <MN>29</MN>
                                  <CLI>1,1,49,False,19</CLI>
                                  <ELN>1</ELN>
                                  <LOOT>0</LOOT>
                                  <LOMN>3</LOMN>
                                  <LOMCN>1</LOMCN>
                                  <LOSN>1</LOSN>
                                  <LOEN>24</LOEN>
                                  <LOCN>19</LOCN>
                                </LnkInProps>
                              </LnkIn>
                            </Ctg>
                            <Ctg>
                              <CtgProps>
                                <R>5</R>
                              </CtgProps>
                              <LnkIn>
                                <LnkInProps>
                                  <MN>29</MN>
                                  <CLI>1,1,49,False,20</CLI>
                                  <ELN>1</ELN>
                                  <LOOT>0</LOOT>
                                  <LOMN>3</LOMN>
                                  <LOMCN>1</LOMCN>
                                  <LOSN>1</LOSN>
                                  <LOEN>24</LOEN>
                                  <LOCN>20</LOCN>
                                </LnkInProps>
                              </LnkIn>
                            </Ctg>
                            <Ctg>
                              <CtgProps>
                                <R>5</R>
                              </CtgProps>
                              <LnkIn>
                                <LnkInProps>
                                  <MN>29</MN>
                                  <CLI>1,1,49,False,21</CLI>
                                  <ELN>1</ELN>
                                  <LOOT>0</LOOT>
                                  <LOMN>3</LOMN>
                                  <LOMCN>1</LOMCN>
                                  <LOSN>1</LOSN>
                                  <LOEN>24</LOEN>
                                  <LOCN>21</LOCN>
                                </LnkInProps>
                              </LnkIn>
                            </Ctg>
                            <Ctg>
                              <CtgProps>
                                <R>5</R>
                              </CtgProps>
                              <LnkIn>
                                <LnkInProps>
                                  <MN>29</MN>
                                  <CLI>1,1,49,False,22</CLI>
                                  <ELN>1</ELN>
                                  <LOOT>0</LOOT>
                                  <LOMN>3</LOMN>
                                  <LOMCN>1</LOMCN>
                                  <LOSN>1</LOSN>
                                  <LOEN>24</LOEN>
                                  <LOCN>22</LOCN>
                                </LnkInProps>
                              </LnkIn>
                            </Ctg>
                            <Ctg>
                              <CtgProps>
                                <R>5</R>
                              </CtgProps>
                              <LnkIn>
                                <LnkInProps>
                                  <MN>29</MN>
                                  <CLI>1,1,49,False,23</CLI>
                                  <ELN>1</ELN>
                                  <LOOT>0</LOOT>
                                  <LOMN>3</LOMN>
                                  <LOMCN>1</LOMCN>
                                  <LOSN>1</LOSN>
                                  <LOEN>24</LOEN>
                                  <LOCN>23</LOCN>
                                </LnkInProps>
                              </LnkIn>
                            </Ctg>
                            <Ctg>
                              <CtgProps>
                                <R>5</R>
                              </CtgProps>
                              <LnkIn>
                                <LnkInProps>
                                  <MN>29</MN>
                                  <CLI>1,1,49,False,24</CLI>
                                  <ELN>1</ELN>
                                  <LOOT>0</LOOT>
                                  <LOMN>3</LOMN>
                                  <LOMCN>1</LOMCN>
                                  <LOSN>1</LOSN>
                                  <LOEN>24</LOEN>
                                  <LOCN>24</LOCN>
                                </LnkInProps>
                              </LnkIn>
                            </Ctg>
                            <Ctg>
                              <CtgProps>
                                <R>5</R>
                              </CtgProps>
                              <LnkIn>
                                <LnkInProps>
                                  <MN>29</MN>
                                  <CLI>1,1,49,False,25</CLI>
                                  <ELN>1</ELN>
                                  <LOOT>0</LOOT>
                                  <LOMN>3</LOMN>
                                  <LOMCN>1</LOMCN>
                                  <LOSN>1</LOSN>
                                  <LOEN>24</LOEN>
                                  <LOCN>25</LOCN>
                                </LnkInProps>
                              </LnkIn>
                            </Ctg>
                            <Ctg>
                              <CtgProps>
                                <R>5</R>
                              </CtgProps>
                              <LnkIn>
                                <LnkInProps>
                                  <MN>29</MN>
                                  <CLI>1,1,49,False,26</CLI>
                                  <ELN>1</ELN>
                                  <LOOT>0</LOOT>
                                  <LOMN>3</LOMN>
                                  <LOMCN>1</LOMCN>
                                  <LOSN>1</LOSN>
                                  <LOEN>24</LOEN>
                                  <LOCN>26</LOCN>
                                </LnkInProps>
                              </LnkIn>
                            </Ctg>
                            <Ctg>
                              <CtgProps>
                                <R>5</R>
                              </CtgProps>
                              <LnkIn>
                                <LnkInProps>
                                  <MN>29</MN>
                                  <CLI>1,1,49,False,27</CLI>
                                  <ELN>1</ELN>
                                  <LOOT>0</LOOT>
                                  <LOMN>3</LOMN>
                                  <LOMCN>1</LOMCN>
                                  <LOSN>1</LOSN>
                                  <LOEN>24</LOEN>
                                  <LOCN>27</LOCN>
                                </LnkInProps>
                              </LnkIn>
                            </Ctg>
                            <Ctg>
                              <CtgProps>
                                <R>5</R>
                              </CtgProps>
                              <LnkIn>
                                <LnkInProps>
                                  <MN>29</MN>
                                  <CLI>1,1,49,False,28</CLI>
                                  <ELN>1</ELN>
                                  <LOOT>0</LOOT>
                                  <LOMN>3</LOMN>
                                  <LOMCN>1</LOMCN>
                                  <LOSN>1</LOSN>
                                  <LOEN>24</LOEN>
                                  <LOCN>28</LOCN>
                                </LnkInProps>
                              </LnkIn>
                            </Ctg>
                            <Ctg>
                              <CtgProps>
                                <R>5</R>
                              </CtgProps>
                              <LnkIn>
                                <LnkInProps>
                                  <MN>29</MN>
                                  <CLI>1,1,49,False,29</CLI>
                                  <ELN>1</ELN>
                                  <LOOT>0</LOOT>
                                  <LOMN>3</LOMN>
                                  <LOMCN>1</LOMCN>
                                  <LOSN>1</LOSN>
                                  <LOEN>24</LOEN>
                                  <LOCN>29</LOCN>
                                </LnkInProps>
                              </LnkIn>
                            </Ctg>
                            <Ctg>
                              <CtgProps>
                                <R>5</R>
                              </CtgProps>
                              <LnkIn>
                                <LnkInProps>
                                  <MN>29</MN>
                                  <CLI>1,1,49,False,30</CLI>
                                  <ELN>1</ELN>
                                  <LOOT>0</LOOT>
                                  <LOMN>3</LOMN>
                                  <LOMCN>1</LOMCN>
                                  <LOSN>1</LOSN>
                                  <LOEN>24</LOEN>
                                  <LOCN>30</LOCN>
                                </LnkInProps>
                              </LnkIn>
                            </Ctg>
                            <Ctg>
                              <CtgProps>
                                <R>5</R>
                              </CtgProps>
                              <LnkIn>
                                <LnkInProps>
                                  <MN>29</MN>
                                  <CLI>1,1,49,False,31</CLI>
                                  <ELN>1</ELN>
                                  <LOOT>0</LOOT>
                                  <LOMN>3</LOMN>
                                  <LOMCN>1</LOMCN>
                                  <LOSN>1</LOSN>
                                  <LOEN>24</LOEN>
                                  <LOCN>31</LOCN>
                                </LnkInProps>
                              </LnkIn>
                            </Ctg>
                            <Ctg>
                              <CtgProps>
                                <R>5</R>
                              </CtgProps>
                              <LnkIn>
                                <LnkInProps>
                                  <MN>29</MN>
                                  <CLI>1,1,49,False,32</CLI>
                                  <ELN>1</ELN>
                                  <LOOT>0</LOOT>
                                  <LOMN>3</LOMN>
                                  <LOMCN>1</LOMCN>
                                  <LOSN>1</LOSN>
                                  <LOEN>24</LOEN>
                                  <LOCN>32</LOCN>
                                </LnkInProps>
                              </LnkIn>
                            </Ctg>
                            <Ctg>
                              <CtgProps>
                                <R>5</R>
                              </CtgProps>
                              <LnkIn>
                                <LnkInProps>
                                  <MN>29</MN>
                                  <CLI>1,1,49,False,33</CLI>
                                  <ELN>1</ELN>
                                  <LOOT>0</LOOT>
                                  <LOMN>3</LOMN>
                                  <LOMCN>1</LOMCN>
                                  <LOSN>1</LOSN>
                                  <LOEN>24</LOEN>
                                  <LOCN>33</LOCN>
                                </LnkInProps>
                              </LnkIn>
                            </Ctg>
                            <Ctg>
                              <CtgProps>
                                <R>5</R>
                              </CtgProps>
                              <LnkIn>
                                <LnkInProps>
                                  <MN>29</MN>
                                  <CLI>1,1,49,False,34</CLI>
                                  <ELN>1</ELN>
                                  <LOOT>0</LOOT>
                                  <LOMN>3</LOMN>
                                  <LOMCN>1</LOMCN>
                                  <LOSN>1</LOSN>
                                  <LOEN>24</LOEN>
                                  <LOCN>34</LOCN>
                                </LnkInProps>
                              </LnkIn>
                            </Ctg>
                            <Ctg>
                              <CtgProps>
                                <R>5</R>
                              </CtgProps>
                              <LnkIn>
                                <LnkInProps>
                                  <MN>29</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29</MN>
                                  <CLI>1,1,53,False,1</CLI>
                                  <ELN>1</ELN>
                                  <LOOT>0</LOOT>
                                  <LOMN>3</LOMN>
                                  <LOMCN>1</LOMCN>
                                  <LOSN>1</LOSN>
                                  <LOEN>29</LOEN>
                                  <LOCN>1</LOCN>
                                </LnkInProps>
                              </LnkIn>
                            </Ctg>
                            <Ctg>
                              <CtgProps>
                                <R>4</R>
                              </CtgProps>
                              <LnkIn>
                                <LnkInProps>
                                  <MN>29</MN>
                                  <CLI>1,1,53,False,2</CLI>
                                  <ELN>1</ELN>
                                  <LOOT>0</LOOT>
                                  <LOMN>3</LOMN>
                                  <LOMCN>1</LOMCN>
                                  <LOSN>1</LOSN>
                                  <LOEN>29</LOEN>
                                  <LOCN>2</LOCN>
                                </LnkInProps>
                              </LnkIn>
                            </Ctg>
                            <Ctg>
                              <CtgProps>
                                <R>5</R>
                              </CtgProps>
                              <LnkIn>
                                <LnkInProps>
                                  <MN>29</MN>
                                  <CLI>1,1,53,False,3</CLI>
                                  <ELN>1</ELN>
                                  <LOOT>0</LOOT>
                                  <LOMN>3</LOMN>
                                  <LOMCN>1</LOMCN>
                                  <LOSN>1</LOSN>
                                  <LOEN>29</LOEN>
                                  <LOCN>3</LOCN>
                                </LnkInProps>
                              </LnkIn>
                            </Ctg>
                            <Ctg>
                              <CtgProps>
                                <R>5</R>
                              </CtgProps>
                              <LnkIn>
                                <LnkInProps>
                                  <MN>29</MN>
                                  <CLI>1,1,53,False,4</CLI>
                                  <ELN>1</ELN>
                                  <LOOT>0</LOOT>
                                  <LOMN>3</LOMN>
                                  <LOMCN>1</LOMCN>
                                  <LOSN>1</LOSN>
                                  <LOEN>29</LOEN>
                                  <LOCN>4</LOCN>
                                </LnkInProps>
                              </LnkIn>
                            </Ctg>
                            <Ctg>
                              <CtgProps>
                                <R>5</R>
                              </CtgProps>
                              <LnkIn>
                                <LnkInProps>
                                  <MN>29</MN>
                                  <CLI>1,1,53,False,5</CLI>
                                  <ELN>1</ELN>
                                  <LOOT>0</LOOT>
                                  <LOMN>3</LOMN>
                                  <LOMCN>1</LOMCN>
                                  <LOSN>1</LOSN>
                                  <LOEN>29</LOEN>
                                  <LOCN>5</LOCN>
                                </LnkInProps>
                              </LnkIn>
                            </Ctg>
                            <Ctg>
                              <CtgProps>
                                <R>5</R>
                              </CtgProps>
                              <LnkIn>
                                <LnkInProps>
                                  <MN>29</MN>
                                  <CLI>1,1,53,False,6</CLI>
                                  <ELN>1</ELN>
                                  <LOOT>0</LOOT>
                                  <LOMN>3</LOMN>
                                  <LOMCN>1</LOMCN>
                                  <LOSN>1</LOSN>
                                  <LOEN>29</LOEN>
                                  <LOCN>6</LOCN>
                                </LnkInProps>
                              </LnkIn>
                            </Ctg>
                            <Ctg>
                              <CtgProps>
                                <R>5</R>
                              </CtgProps>
                              <LnkIn>
                                <LnkInProps>
                                  <MN>29</MN>
                                  <CLI>1,1,53,False,7</CLI>
                                  <ELN>1</ELN>
                                  <LOOT>0</LOOT>
                                  <LOMN>3</LOMN>
                                  <LOMCN>1</LOMCN>
                                  <LOSN>1</LOSN>
                                  <LOEN>29</LOEN>
                                  <LOCN>7</LOCN>
                                </LnkInProps>
                              </LnkIn>
                            </Ctg>
                            <Ctg>
                              <CtgProps>
                                <R>5</R>
                              </CtgProps>
                              <LnkIn>
                                <LnkInProps>
                                  <MN>29</MN>
                                  <CLI>1,1,53,False,8</CLI>
                                  <ELN>1</ELN>
                                  <LOOT>0</LOOT>
                                  <LOMN>3</LOMN>
                                  <LOMCN>1</LOMCN>
                                  <LOSN>1</LOSN>
                                  <LOEN>29</LOEN>
                                  <LOCN>8</LOCN>
                                </LnkInProps>
                              </LnkIn>
                            </Ctg>
                            <Ctg>
                              <CtgProps>
                                <R>5</R>
                              </CtgProps>
                              <LnkIn>
                                <LnkInProps>
                                  <MN>29</MN>
                                  <CLI>1,1,53,False,9</CLI>
                                  <ELN>1</ELN>
                                  <LOOT>0</LOOT>
                                  <LOMN>3</LOMN>
                                  <LOMCN>1</LOMCN>
                                  <LOSN>1</LOSN>
                                  <LOEN>29</LOEN>
                                  <LOCN>9</LOCN>
                                </LnkInProps>
                              </LnkIn>
                            </Ctg>
                            <Ctg>
                              <CtgProps>
                                <R>5</R>
                              </CtgProps>
                              <LnkIn>
                                <LnkInProps>
                                  <MN>29</MN>
                                  <CLI>1,1,53,False,10</CLI>
                                  <ELN>1</ELN>
                                  <LOOT>0</LOOT>
                                  <LOMN>3</LOMN>
                                  <LOMCN>1</LOMCN>
                                  <LOSN>1</LOSN>
                                  <LOEN>29</LOEN>
                                  <LOCN>10</LOCN>
                                </LnkInProps>
                              </LnkIn>
                            </Ctg>
                            <Ctg>
                              <CtgProps>
                                <R>5</R>
                              </CtgProps>
                              <LnkIn>
                                <LnkInProps>
                                  <MN>29</MN>
                                  <CLI>1,1,53,False,11</CLI>
                                  <ELN>1</ELN>
                                  <LOOT>0</LOOT>
                                  <LOMN>3</LOMN>
                                  <LOMCN>1</LOMCN>
                                  <LOSN>1</LOSN>
                                  <LOEN>29</LOEN>
                                  <LOCN>11</LOCN>
                                </LnkInProps>
                              </LnkIn>
                            </Ctg>
                            <Ctg>
                              <CtgProps>
                                <R>5</R>
                              </CtgProps>
                              <LnkIn>
                                <LnkInProps>
                                  <MN>29</MN>
                                  <CLI>1,1,53,False,12</CLI>
                                  <ELN>1</ELN>
                                  <LOOT>0</LOOT>
                                  <LOMN>3</LOMN>
                                  <LOMCN>1</LOMCN>
                                  <LOSN>1</LOSN>
                                  <LOEN>29</LOEN>
                                  <LOCN>12</LOCN>
                                </LnkInProps>
                              </LnkIn>
                            </Ctg>
                            <Ctg>
                              <CtgProps>
                                <R>5</R>
                              </CtgProps>
                              <LnkIn>
                                <LnkInProps>
                                  <MN>29</MN>
                                  <CLI>1,1,53,False,13</CLI>
                                  <ELN>1</ELN>
                                  <LOOT>0</LOOT>
                                  <LOMN>3</LOMN>
                                  <LOMCN>1</LOMCN>
                                  <LOSN>1</LOSN>
                                  <LOEN>29</LOEN>
                                  <LOCN>13</LOCN>
                                </LnkInProps>
                              </LnkIn>
                            </Ctg>
                            <Ctg>
                              <CtgProps>
                                <R>5</R>
                              </CtgProps>
                              <LnkIn>
                                <LnkInProps>
                                  <MN>29</MN>
                                  <CLI>1,1,53,False,14</CLI>
                                  <ELN>1</ELN>
                                  <LOOT>0</LOOT>
                                  <LOMN>3</LOMN>
                                  <LOMCN>1</LOMCN>
                                  <LOSN>1</LOSN>
                                  <LOEN>29</LOEN>
                                  <LOCN>14</LOCN>
                                </LnkInProps>
                              </LnkIn>
                            </Ctg>
                            <Ctg>
                              <CtgProps>
                                <R>5</R>
                              </CtgProps>
                              <LnkIn>
                                <LnkInProps>
                                  <MN>29</MN>
                                  <CLI>1,1,53,False,15</CLI>
                                  <ELN>1</ELN>
                                  <LOOT>0</LOOT>
                                  <LOMN>3</LOMN>
                                  <LOMCN>1</LOMCN>
                                  <LOSN>1</LOSN>
                                  <LOEN>29</LOEN>
                                  <LOCN>15</LOCN>
                                </LnkInProps>
                              </LnkIn>
                            </Ctg>
                            <Ctg>
                              <CtgProps>
                                <R>5</R>
                              </CtgProps>
                              <LnkIn>
                                <LnkInProps>
                                  <MN>29</MN>
                                  <CLI>1,1,53,False,16</CLI>
                                  <ELN>1</ELN>
                                  <LOOT>0</LOOT>
                                  <LOMN>3</LOMN>
                                  <LOMCN>1</LOMCN>
                                  <LOSN>1</LOSN>
                                  <LOEN>29</LOEN>
                                  <LOCN>16</LOCN>
                                </LnkInProps>
                              </LnkIn>
                            </Ctg>
                            <Ctg>
                              <CtgProps>
                                <R>5</R>
                              </CtgProps>
                              <LnkIn>
                                <LnkInProps>
                                  <MN>29</MN>
                                  <CLI>1,1,53,False,17</CLI>
                                  <ELN>1</ELN>
                                  <LOOT>0</LOOT>
                                  <LOMN>3</LOMN>
                                  <LOMCN>1</LOMCN>
                                  <LOSN>1</LOSN>
                                  <LOEN>29</LOEN>
                                  <LOCN>17</LOCN>
                                </LnkInProps>
                              </LnkIn>
                            </Ctg>
                            <Ctg>
                              <CtgProps>
                                <R>5</R>
                              </CtgProps>
                              <LnkIn>
                                <LnkInProps>
                                  <MN>29</MN>
                                  <CLI>1,1,53,False,18</CLI>
                                  <ELN>1</ELN>
                                  <LOOT>0</LOOT>
                                  <LOMN>3</LOMN>
                                  <LOMCN>1</LOMCN>
                                  <LOSN>1</LOSN>
                                  <LOEN>29</LOEN>
                                  <LOCN>18</LOCN>
                                </LnkInProps>
                              </LnkIn>
                            </Ctg>
                            <Ctg>
                              <CtgProps>
                                <R>5</R>
                              </CtgProps>
                              <LnkIn>
                                <LnkInProps>
                                  <MN>29</MN>
                                  <CLI>1,1,53,False,19</CLI>
                                  <ELN>1</ELN>
                                  <LOOT>0</LOOT>
                                  <LOMN>3</LOMN>
                                  <LOMCN>1</LOMCN>
                                  <LOSN>1</LOSN>
                                  <LOEN>29</LOEN>
                                  <LOCN>19</LOCN>
                                </LnkInProps>
                              </LnkIn>
                            </Ctg>
                            <Ctg>
                              <CtgProps>
                                <R>5</R>
                              </CtgProps>
                              <LnkIn>
                                <LnkInProps>
                                  <MN>29</MN>
                                  <CLI>1,1,53,False,20</CLI>
                                  <ELN>1</ELN>
                                  <LOOT>0</LOOT>
                                  <LOMN>3</LOMN>
                                  <LOMCN>1</LOMCN>
                                  <LOSN>1</LOSN>
                                  <LOEN>29</LOEN>
                                  <LOCN>20</LOCN>
                                </LnkInProps>
                              </LnkIn>
                            </Ctg>
                            <Ctg>
                              <CtgProps>
                                <R>5</R>
                              </CtgProps>
                              <LnkIn>
                                <LnkInProps>
                                  <MN>29</MN>
                                  <CLI>1,1,53,False,21</CLI>
                                  <ELN>1</ELN>
                                  <LOOT>0</LOOT>
                                  <LOMN>3</LOMN>
                                  <LOMCN>1</LOMCN>
                                  <LOSN>1</LOSN>
                                  <LOEN>29</LOEN>
                                  <LOCN>21</LOCN>
                                </LnkInProps>
                              </LnkIn>
                            </Ctg>
                            <Ctg>
                              <CtgProps>
                                <R>5</R>
                              </CtgProps>
                              <LnkIn>
                                <LnkInProps>
                                  <MN>29</MN>
                                  <CLI>1,1,53,False,22</CLI>
                                  <ELN>1</ELN>
                                  <LOOT>0</LOOT>
                                  <LOMN>3</LOMN>
                                  <LOMCN>1</LOMCN>
                                  <LOSN>1</LOSN>
                                  <LOEN>29</LOEN>
                                  <LOCN>22</LOCN>
                                </LnkInProps>
                              </LnkIn>
                            </Ctg>
                            <Ctg>
                              <CtgProps>
                                <R>5</R>
                              </CtgProps>
                              <LnkIn>
                                <LnkInProps>
                                  <MN>29</MN>
                                  <CLI>1,1,53,False,23</CLI>
                                  <ELN>1</ELN>
                                  <LOOT>0</LOOT>
                                  <LOMN>3</LOMN>
                                  <LOMCN>1</LOMCN>
                                  <LOSN>1</LOSN>
                                  <LOEN>29</LOEN>
                                  <LOCN>23</LOCN>
                                </LnkInProps>
                              </LnkIn>
                            </Ctg>
                            <Ctg>
                              <CtgProps>
                                <R>5</R>
                              </CtgProps>
                              <LnkIn>
                                <LnkInProps>
                                  <MN>29</MN>
                                  <CLI>1,1,53,False,24</CLI>
                                  <ELN>1</ELN>
                                  <LOOT>0</LOOT>
                                  <LOMN>3</LOMN>
                                  <LOMCN>1</LOMCN>
                                  <LOSN>1</LOSN>
                                  <LOEN>29</LOEN>
                                  <LOCN>24</LOCN>
                                </LnkInProps>
                              </LnkIn>
                            </Ctg>
                            <Ctg>
                              <CtgProps>
                                <R>5</R>
                              </CtgProps>
                              <LnkIn>
                                <LnkInProps>
                                  <MN>29</MN>
                                  <CLI>1,1,53,False,25</CLI>
                                  <ELN>1</ELN>
                                  <LOOT>0</LOOT>
                                  <LOMN>3</LOMN>
                                  <LOMCN>1</LOMCN>
                                  <LOSN>1</LOSN>
                                  <LOEN>29</LOEN>
                                  <LOCN>25</LOCN>
                                </LnkInProps>
                              </LnkIn>
                            </Ctg>
                            <Ctg>
                              <CtgProps>
                                <R>5</R>
                              </CtgProps>
                              <LnkIn>
                                <LnkInProps>
                                  <MN>29</MN>
                                  <CLI>1,1,53,False,26</CLI>
                                  <ELN>1</ELN>
                                  <LOOT>0</LOOT>
                                  <LOMN>3</LOMN>
                                  <LOMCN>1</LOMCN>
                                  <LOSN>1</LOSN>
                                  <LOEN>29</LOEN>
                                  <LOCN>26</LOCN>
                                </LnkInProps>
                              </LnkIn>
                            </Ctg>
                            <Ctg>
                              <CtgProps>
                                <R>5</R>
                              </CtgProps>
                              <LnkIn>
                                <LnkInProps>
                                  <MN>29</MN>
                                  <CLI>1,1,53,False,27</CLI>
                                  <ELN>1</ELN>
                                  <LOOT>0</LOOT>
                                  <LOMN>3</LOMN>
                                  <LOMCN>1</LOMCN>
                                  <LOSN>1</LOSN>
                                  <LOEN>29</LOEN>
                                  <LOCN>27</LOCN>
                                </LnkInProps>
                              </LnkIn>
                            </Ctg>
                            <Ctg>
                              <CtgProps>
                                <R>5</R>
                              </CtgProps>
                              <LnkIn>
                                <LnkInProps>
                                  <MN>29</MN>
                                  <CLI>1,1,53,False,28</CLI>
                                  <ELN>1</ELN>
                                  <LOOT>0</LOOT>
                                  <LOMN>3</LOMN>
                                  <LOMCN>1</LOMCN>
                                  <LOSN>1</LOSN>
                                  <LOEN>29</LOEN>
                                  <LOCN>28</LOCN>
                                </LnkInProps>
                              </LnkIn>
                            </Ctg>
                            <Ctg>
                              <CtgProps>
                                <R>5</R>
                              </CtgProps>
                              <LnkIn>
                                <LnkInProps>
                                  <MN>29</MN>
                                  <CLI>1,1,53,False,29</CLI>
                                  <ELN>1</ELN>
                                  <LOOT>0</LOOT>
                                  <LOMN>3</LOMN>
                                  <LOMCN>1</LOMCN>
                                  <LOSN>1</LOSN>
                                  <LOEN>29</LOEN>
                                  <LOCN>29</LOCN>
                                </LnkInProps>
                              </LnkIn>
                            </Ctg>
                            <Ctg>
                              <CtgProps>
                                <R>5</R>
                              </CtgProps>
                              <LnkIn>
                                <LnkInProps>
                                  <MN>29</MN>
                                  <CLI>1,1,53,False,30</CLI>
                                  <ELN>1</ELN>
                                  <LOOT>0</LOOT>
                                  <LOMN>3</LOMN>
                                  <LOMCN>1</LOMCN>
                                  <LOSN>1</LOSN>
                                  <LOEN>29</LOEN>
                                  <LOCN>30</LOCN>
                                </LnkInProps>
                              </LnkIn>
                            </Ctg>
                            <Ctg>
                              <CtgProps>
                                <R>5</R>
                              </CtgProps>
                              <LnkIn>
                                <LnkInProps>
                                  <MN>29</MN>
                                  <CLI>1,1,53,False,31</CLI>
                                  <ELN>1</ELN>
                                  <LOOT>0</LOOT>
                                  <LOMN>3</LOMN>
                                  <LOMCN>1</LOMCN>
                                  <LOSN>1</LOSN>
                                  <LOEN>29</LOEN>
                                  <LOCN>31</LOCN>
                                </LnkInProps>
                              </LnkIn>
                            </Ctg>
                            <Ctg>
                              <CtgProps>
                                <R>5</R>
                              </CtgProps>
                              <LnkIn>
                                <LnkInProps>
                                  <MN>29</MN>
                                  <CLI>1,1,53,False,32</CLI>
                                  <ELN>1</ELN>
                                  <LOOT>0</LOOT>
                                  <LOMN>3</LOMN>
                                  <LOMCN>1</LOMCN>
                                  <LOSN>1</LOSN>
                                  <LOEN>29</LOEN>
                                  <LOCN>32</LOCN>
                                </LnkInProps>
                              </LnkIn>
                            </Ctg>
                            <Ctg>
                              <CtgProps>
                                <R>5</R>
                              </CtgProps>
                              <LnkIn>
                                <LnkInProps>
                                  <MN>29</MN>
                                  <CLI>1,1,53,False,33</CLI>
                                  <ELN>1</ELN>
                                  <LOOT>0</LOOT>
                                  <LOMN>3</LOMN>
                                  <LOMCN>1</LOMCN>
                                  <LOSN>1</LOSN>
                                  <LOEN>29</LOEN>
                                  <LOCN>33</LOCN>
                                </LnkInProps>
                              </LnkIn>
                            </Ctg>
                            <Ctg>
                              <CtgProps>
                                <R>5</R>
                              </CtgProps>
                              <LnkIn>
                                <LnkInProps>
                                  <MN>29</MN>
                                  <CLI>1,1,53,False,34</CLI>
                                  <ELN>1</ELN>
                                  <LOOT>0</LOOT>
                                  <LOMN>3</LOMN>
                                  <LOMCN>1</LOMCN>
                                  <LOSN>1</LOSN>
                                  <LOEN>29</LOEN>
                                  <LOCN>34</LOCN>
                                </LnkInProps>
                              </LnkIn>
                            </Ctg>
                            <Ctg>
                              <CtgProps>
                                <R>5</R>
                              </CtgProps>
                              <LnkIn>
                                <LnkInProps>
                                  <MN>29</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29</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29</MN>
                <MCN>2</MCN>
                <MCTK>BaseCase</MCTK>
                <RT><![CDATA[<ModuleName> - Assumptions]]></RT>
                <ERN>BPMMC100</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72</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29</MN>
                <MCN>3</MCN>
                <MCTK>OP</MCTK>
                <RT><![CDATA[<ModuleName> - Outputs]]></RT>
                <ERN>BPMMC101</ERN>
                <MCST>0</MCST>
                <IPMC>False</IPMC>
                <SN>31</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RND2_SITEB]]></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19</LCN>
                          </ClmnBlkProps>
                          <ClmnBlkPts>
                            <ClmnBlkPt>
                              <ClmnBlkPtProps>
                                <CBPT>5</CBPT>
                                <ST>-1</ST>
                                <SON>18</SON>
                                <VOFFF/>
                              </ClmnBlkPtProps>
                            </ClmnBlkPt>
                          </ClmnBlkPts>
                        </ClmnBlk>
                      </ClmnBlks>
                      <TtlCtg/>
                    </Elmt>
                  </Elmts>
                </Sect>
              </Sects>
            </ModComp>
            <ModComp>
              <ModCompProps>
                <MN>29</MN>
                <MCN>4</MCN>
                <MCTK>LU</MCTK>
                <RT><![CDATA[<ModuleName> - Lookups]]></RT>
                <ERN>BPMMC102</ERN>
                <MCST>3</MCST>
                <IPMC>False</IPMC>
                <SN>55</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74</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6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6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6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6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6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16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0</MT>
            <SCT>-1</SCT>
            <P><![CDATA[ACT]]></P>
            <OI>0</OI>
            <MN>24</MN>
            <MAG>45338FE0-6C0B-4A55-A5AC-B1F2F9D32FCD</MAG>
            <BN><![CDATA[PLUG_ACTIVITY]]></BN>
            <N><![CDATA[ROUND2HQ SUPPORT]]></N>
            <TS><![CDATA[Annual]]></TS>
            <D><![CDATA[Assists with planning the cost of an activity. Should be used with Prices module.]]></D>
            <FS/>
            <R/>
            <GE/>
            <CA/>
            <VA/>
            <GST/>
            <DE/>
            <E/>
            <C/>
            <W/>
            <K/>
            <CO/>
            <V>1.0.0.0.</V>
            <AX/>
            <PMLO>False</PMLO>
            <IPMLO>False</IPMLO>
            <MACA>1</MACA>
            <RTSM>True</RTSM>
            <CC>True</CC>
            <X>False</X>
            <G>282CE4DB-675F-4E0D-BC4E-B96AF03B4111</G>
          </ModProps>
          <RowStgs>
            <RowStg>
              <RowStgProps>
                <RSN>1</RSN>
                <RHST>0</RHST>
                <HS>0</HS>
                <OL>3</OL>
                <RH>False</RH>
              </RowStgProps>
            </RowStg>
            <RowStg>
              <RowStgProps>
                <RSN>2</RSN>
                <RHST>1</RHST>
                <HS>50</HS>
                <OL>3</OL>
                <RH>False</RH>
              </RowStgProps>
            </RowStg>
            <RowStg>
              <RowStgProps>
                <RSN>3</RSN>
                <RHST>2</RHST>
                <HS>10.5</HS>
                <OL>1</OL>
                <RH>False</RH>
              </RowStgProps>
            </RowStg>
            <RowStg>
              <RowStgProps>
                <RSN>4</RSN>
                <RHST>0</RHST>
                <HS>0</HS>
                <OL>2</OL>
                <RH>False</RH>
              </RowStgProps>
            </RowStg>
            <RowStg>
              <RowStgProps>
                <RSN>5</RSN>
                <RHST>0</RHST>
                <HS>0</HS>
                <OL>2</OL>
                <RH>True</RH>
              </RowStgProps>
            </RowStg>
          </RowStgs>
          <StlOvlys>
            <StlOvly>
              <StlOvlyProps>
                <SON>1</SON>
              </StlOvlyProps>
              <FntOvly>
                <FntOvlyProps>
                  <PT>1</PT>
                  <SON>1</SON>
                  <CBPLI>0,0,0,0,0</CBPLI>
                  <FCN>0</FCN>
                  <CN>0</CN>
                  <IB>True</IB>
                  <B>True</B>
                </FntOvlyProps>
              </FntOvly>
            </StlOvly>
            <StlOvly>
              <StlOvlyProps>
                <SON>2</SON>
                <IHA>True</IHA>
                <IRT>True</IRT>
                <HA>-4108</HA>
                <WT>True</WT>
              </StlOvlyProps>
            </StlOvly>
            <StlOvly>
              <StlOvlyProps>
                <SON>3</SON>
                <IHA>True</IHA>
                <IRT>True</IRT>
                <HA>-4108</HA>
                <WT>True</WT>
              </StlOvlyProps>
              <FntOvly>
                <FntOvlyProps>
                  <PT>1</PT>
                  <SON>3</SON>
                  <CBPLI>0,0,0,0,0</CBPLI>
                  <FCN>0</FCN>
                  <CN>0</CN>
                  <IB>True</IB>
                  <B>True</B>
                </FntOvlyProps>
              </FntOvly>
            </StlOvly>
            <StlOvly>
              <StlOvlyProps>
                <SON>4</SON>
                <IHA>True</IHA>
                <HA>-4152</HA>
              </StlOvlyProps>
            </StlOvly>
            <StlOvly>
              <StlOvlyProps>
                <SON>5</SON>
              </StlOvlyProps>
              <FntOvly>
                <FntOvlyProps>
                  <PT>1</PT>
                  <SON>5</SON>
                  <CBPLI>0,0,0,0,0</CBPLI>
                  <FCN>0</FCN>
                  <CN>0</CN>
                  <IC>True</IC>
                  <CT>-2</CT>
                  <CNU>0</CNU>
                  <CPR>0</CPR>
                  <TAS>0</TAS>
                </FntOvlyProps>
              </FntOvly>
            </StlOvly>
            <StlOvly>
              <StlOvlyProps>
                <SON>6</SON>
                <INF>True</INF>
                <NT>0</NT>
                <DP>0</DP>
                <CNF/>
              </StlOvlyProps>
              <FntOvly>
                <FntOvlyProps>
                  <PT>1</PT>
                  <SON>6</SON>
                  <CBPLI>0,0,0,0,0</CBPLI>
                  <FCN>0</FCN>
                  <CN>0</CN>
                  <IB>True</IB>
                  <B>True</B>
                </FntOvlyProps>
              </FntOvly>
              <BdrOvlys>
                <BdrOvly>
                  <BdrOvlyProps>
                    <PT>1</PT>
                    <SON>6</SON>
                    <CBPLI/>
                    <FCN>0</FCN>
                    <I>True</I>
                    <BI>8</BI>
                    <LS>1</LS>
                    <W>2</W>
                  </BdrOvlyProps>
                </BdrOvly>
                <BdrOvly>
                  <BdrOvlyProps>
                    <PT>1</PT>
                    <SON>6</SON>
                    <CBPLI/>
                    <FCN>0</FCN>
                    <I>True</I>
                    <BI>9</BI>
                    <LS>-4119</LS>
                    <W>4</W>
                  </BdrOvlyProps>
                </BdrOvly>
              </BdrOvlys>
            </StlOvly>
            <StlOvly>
              <StlOvlyProps>
                <SON>7</SON>
                <IRT>True</IRT>
                <WT>False</WT>
              </StlOvlyProps>
              <BdrOvlys>
                <BdrOvly>
                  <BdrOvlyProps>
                    <PT>1</PT>
                    <SON>7</SON>
                    <CBPLI/>
                    <FCN>0</FCN>
                    <I>True</I>
                    <BI>9</BI>
                    <LS>1</LS>
                    <W>2</W>
                  </BdrOvlyProps>
                </BdrOvly>
              </BdrOvlys>
            </StlOvly>
            <StlOvly>
              <StlOvlyProps>
                <SON>8</SON>
                <IRT>True</IRT>
                <WT>False</WT>
              </StlOvlyProps>
            </StlOvly>
            <StlOvly>
              <StlOvlyProps>
                <SON>9</SON>
                <IRT>True</IRT>
                <WT>False</WT>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HA>True</IHA>
                <IRT>True</IRT>
                <HA>-4108</HA>
                <WT>False</WT>
              </StlOvlyProps>
            </StlOvly>
            <StlOvly>
              <StlOvlyProps>
                <SON>11</SON>
                <INF>True</INF>
                <IRT>True</IRT>
                <NT>0</NT>
                <DP>0</DP>
                <CNF/>
                <WT>False</WT>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HA>True</IHA>
                <IRT>True</IRT>
                <HA>-4108</HA>
                <WT>False</WT>
              </StlOvlyProps>
              <BdrOvlys>
                <BdrOvly>
                  <BdrOvlyProps>
                    <PT>1</PT>
                    <SON>12</SON>
                    <CBPLI/>
                    <FCN>0</FCN>
                    <I>True</I>
                    <BI>9</BI>
                    <LS>1</LS>
                    <W>2</W>
                  </BdrOvlyProps>
                </BdrOvly>
              </BdrOvlys>
            </StlOvly>
            <StlOvly>
              <StlOvlyProps>
                <SON>13</SON>
                <IHA>True</IHA>
                <IRT>True</IRT>
                <HA>-4108</HA>
                <WT>False</WT>
              </StlOvlyProps>
              <FntOvly>
                <FntOvlyProps>
                  <PT>1</PT>
                  <SON>13</SON>
                  <CBPLI>0,0,0,0,0</CBPLI>
                  <FCN>0</FCN>
                  <CN>0</CN>
                  <IB>True</IB>
                  <B>True</B>
                </FntOvlyProps>
              </FntOvly>
              <BdrOvlys>
                <BdrOvly>
                  <BdrOvlyProps>
                    <PT>1</PT>
                    <SON>13</SON>
                    <CBPLI/>
                    <FCN>0</FCN>
                    <I>True</I>
                    <BI>8</BI>
                    <LS>1</LS>
                    <W>2</W>
                  </BdrOvlyProps>
                </BdrOvly>
                <BdrOvly>
                  <BdrOvlyProps>
                    <PT>1</PT>
                    <SON>13</SON>
                    <CBPLI/>
                    <FCN>0</FCN>
                    <I>True</I>
                    <BI>9</BI>
                    <LS>1</LS>
                    <W>2</W>
                  </BdrOvlyProps>
                </BdrOvly>
              </BdrOvlys>
            </StlOvly>
            <StlOvly>
              <StlOvlyProps>
                <SON>14</SON>
                <INF>True</INF>
                <NT>0</NT>
                <DP>0</DP>
                <CNF/>
              </StlOvlyProps>
            </StlOvly>
            <StlOvly>
              <StlOvlyProps>
                <SON>15</SON>
                <IHA>True</IHA>
                <HA>-4108</HA>
              </StlOvlyProps>
            </StlOvly>
            <StlOvly>
              <StlOvlyProps>
                <SON>16</SON>
                <INF>True</INF>
                <NT>0</NT>
                <DP>0</DP>
                <CNF/>
              </StlOvlyProps>
              <FntOvly>
                <FntOvlyProps>
                  <PT>1</PT>
                  <SON>16</SON>
                  <CBPLI>0,0,0,0,0</CBPLI>
                  <FCN>0</FCN>
                  <CN>0</CN>
                  <IB>True</IB>
                  <B>False</B>
                </FntOvlyProps>
              </FntOvly>
              <BdrOvlys>
                <BdrOvly>
                  <BdrOvlyProps>
                    <PT>1</PT>
                    <SON>16</SON>
                    <CBPLI/>
                    <FCN>0</FCN>
                    <I>True</I>
                    <BI>8</BI>
                    <LS>1</LS>
                    <W>2</W>
                  </BdrOvlyProps>
                </BdrOvly>
                <BdrOvly>
                  <BdrOvlyProps>
                    <PT>1</PT>
                    <SON>16</SON>
                    <CBPLI/>
                    <FCN>0</FCN>
                    <I>True</I>
                    <BI>9</BI>
                    <LS>1</LS>
                    <W>2</W>
                  </BdrOvlyProps>
                </BdrOvly>
              </BdrOvlys>
            </StlOvly>
            <StlOvly>
              <StlOvlyProps>
                <SON>17</SON>
                <INF>True</INF>
                <NT>0</NT>
                <DP>0</DP>
                <CNF/>
              </StlOvlyProps>
              <FntOvly>
                <FntOvlyProps>
                  <PT>1</PT>
                  <SON>17</SON>
                  <CBPLI>0,0,0,0,0</CBPLI>
                  <FCN>0</FCN>
                  <CN>0</CN>
                  <IB>True</IB>
                  <IC>True</IC>
                  <B>False</B>
                  <CT>2</CT>
                  <CNU>2</CNU>
                  <CPR>0</CPR>
                  <TAS>0</TAS>
                </FntOvlyProps>
              </FntOvly>
              <BdrOvlys>
                <BdrOvly>
                  <BdrOvlyProps>
                    <PT>1</PT>
                    <SON>17</SON>
                    <CBPLI/>
                    <FCN>0</FCN>
                    <I>True</I>
                    <BI>8</BI>
                    <LS>1</LS>
                    <W>2</W>
                  </BdrOvlyProps>
                </BdrOvly>
                <BdrOvly>
                  <BdrOvlyProps>
                    <PT>1</PT>
                    <SON>17</SON>
                    <CBPLI/>
                    <FCN>0</FCN>
                    <I>True</I>
                    <BI>9</BI>
                    <LS>1</LS>
                    <W>2</W>
                  </BdrOvlyProps>
                </BdrOvly>
              </BdrOvlys>
            </StlOvly>
            <StlOvly>
              <StlOvlyProps>
                <SON>18</SON>
              </StlOvlyProps>
              <BdrOvlys>
                <BdrOvly>
                  <BdrOvlyProps>
                    <PT>1</PT>
                    <SON>18</SON>
                    <CBPLI/>
                    <FCN>0</FCN>
                    <I>True</I>
                    <BI>9</BI>
                    <LS>1</LS>
                    <W>2</W>
                  </BdrOvlyProps>
                </BdrOvly>
              </BdrOvlys>
            </StlOvly>
          </StlOvlys>
          <ElmtsGrps>
            <ElmtsGrp>
              <ElmtsGrpProps>
                <NU>1</NU>
                <NA><![CDATA[Activity Personnel]]></NA>
                <EGT>0</EGT>
                <DCC>5</DCC>
                <AST>False</AST>
                <ISTH>True</ISTH>
                <PTMCN>0</PTMCN>
                <PTBN>0</PTBN>
                <PTBI>0</PTBI>
                <GLN/>
                <CLOT>0</CLOT>
                <CLIT>0</CLIT>
                <PMLO>0</PMLO>
                <IPMLO>0</IPMLO>
              </ElmtsGrpProps>
            </ElmtsGrp>
            <ElmtsGrp>
              <ElmtsGrpProps>
                <NU>2</NU>
                <NA><![CDATA[Materials & Supplies]]></NA>
                <EGT>0</EGT>
                <DCC>8</DCC>
                <AST>False</AST>
                <ISTH>True</ISTH>
                <PTMCN>0</PTMCN>
                <PTBN>0</PTBN>
                <PTBI>0</PTBI>
                <GLN/>
                <CLOT>0</CLOT>
                <CLIT>0</CLIT>
                <PMLO>0</PMLO>
                <IPMLO>0</IPMLO>
              </ElmtsGrpProps>
            </ElmtsGrp>
            <ElmtsGrp>
              <ElmtsGrpProps>
                <NU>3</NU>
                <NA><![CDATA[Equipment]]></NA>
                <EGT>0</EGT>
                <DCC>5</DCC>
                <AST>False</AST>
                <ISTH>True</ISTH>
                <PTMCN>0</PTMCN>
                <PTBN>0</PTBN>
                <PTBI>0</PTBI>
                <GLN/>
                <CLOT>0</CLOT>
                <CLIT>0</CLIT>
                <PMLO>0</PMLO>
                <IPMLO>0</IPMLO>
              </ElmtsGrpProps>
            </ElmtsGrp>
            <ElmtsGrp>
              <ElmtsGrpProps>
                <NU>4</NU>
                <NA><![CDATA[Other Direct Cost]]></NA>
                <EGT>0</EGT>
                <DCC>5</DCC>
                <AST>False</AST>
                <ISTH>True</ISTH>
                <PTMCN>0</PTMCN>
                <PTBN>0</PTBN>
                <PTBI>0</PTBI>
                <GLN/>
                <CLOT>0</CLOT>
                <CLIT>0</CLIT>
                <PMLO>0</PMLO>
                <IPMLO>0</IPMLO>
              </ElmtsGrpProps>
            </ElmtsGrp>
            <ElmtsGrp>
              <ElmtsGrpProps>
                <NU>5</NU>
                <NA><![CDATA[Currencies]]></NA>
                <EGT>0</EGT>
                <DCC>2</DCC>
                <AST>False</AST>
                <ISTH>True</ISTH>
                <PTMCN>0</PTMCN>
                <PTBN>0</PTBN>
                <PTBI>0</PTBI>
                <GLN/>
                <CLOT>0</CLOT>
                <CLIT>0</CLIT>
                <PMLO>0</PMLO>
                <IPMLO>0</IPMLO>
              </ElmtsGrpProps>
            </ElmtsGrp>
            <ElmtsGrp>
              <ElmtsGrpProps>
                <NU>6</NU>
                <NA><![CDATA[Personnel_Resources]]></NA>
                <EGT>0</EGT>
                <DCC>10</DCC>
                <AST>False</AST>
                <ISTH>True</ISTH>
                <PTMCN>0</PTMCN>
                <PTBN>0</PTBN>
                <PTBI>0</PTBI>
                <GLN/>
                <CLOT>0</CLOT>
                <CLIT>0</CLIT>
                <PMLO>0</PMLO>
                <IPMLO>0</IPMLO>
              </ElmtsGrpProps>
            </ElmtsGrp>
            <ElmtsGrp>
              <ElmtsGrpProps>
                <NU>7</NU>
                <NA><![CDATA[Allowance Resources]]></NA>
                <EGT>0</EGT>
                <DCC>10</DCC>
                <AST>False</AST>
                <ISTH>True</ISTH>
                <PTMCN>0</PTMCN>
                <PTBN>0</PTBN>
                <PTBI>0</PTBI>
                <GLN/>
                <CLOT>0</CLOT>
                <CLIT>0</CLIT>
                <PMLO>0</PMLO>
                <IPMLO>0</IPMLO>
              </ElmtsGrpProps>
            </ElmtsGrp>
            <ElmtsGrp>
              <ElmtsGrpProps>
                <NU>8</NU>
                <NA><![CDATA[Supply Resources]]></NA>
                <EGT>0</EGT>
                <DCC>10</DCC>
                <AST>False</AST>
                <ISTH>True</ISTH>
                <PTMCN>0</PTMCN>
                <PTBN>0</PTBN>
                <PTBI>0</PTBI>
                <GLN/>
                <CLOT>0</CLOT>
                <CLIT>0</CLIT>
                <PMLO>0</PMLO>
                <IPMLO>0</IPMLO>
              </ElmtsGrpProps>
            </ElmtsGrp>
            <ElmtsGrp>
              <ElmtsGrpProps>
                <NU>9</NU>
                <NA><![CDATA[Equipment Resources]]></NA>
                <EGT>0</EGT>
                <DCC>10</DCC>
                <AST>False</AST>
                <ISTH>True</ISTH>
                <PTMCN>0</PTMCN>
                <PTBN>0</PTBN>
                <PTBI>0</PTBI>
                <GLN/>
                <CLOT>0</CLOT>
                <CLIT>0</CLIT>
                <PMLO>0</PMLO>
                <IPMLO>0</IPMLO>
              </ElmtsGrpProps>
            </ElmtsGrp>
            <ElmtsGrp>
              <ElmtsGrpProps>
                <NU>10</NU>
                <NA><![CDATA[ODC Resources]]></NA>
                <EGT>0</EGT>
                <DCC>10</DCC>
                <AST>False</AST>
                <ISTH>True</ISTH>
                <PTMCN>0</PTMCN>
                <PTBN>0</PTBN>
                <PTBI>0</PTBI>
                <GLN/>
                <CLOT>0</CLOT>
                <CLIT>0</CLIT>
                <PMLO>0</PMLO>
                <IPMLO>0</IPMLO>
              </ElmtsGrpProps>
            </ElmtsGrp>
          </ElmtsGrps>
          <ModComps>
            <ModComp>
              <ModCompProps>
                <MN>30</MN>
                <MCN>1</MCN>
                <MCTK>BaseCase</MCTK>
                <RT><![CDATA[<ModuleName> - Assumptions]]></RT>
                <ERN>BPMMC145</ERN>
                <MCST>0</MCST>
                <IPMC>False</IPMC>
                <SN>21</SN>
                <LODS>False</LODS>
                <LST>False</LST>
                <HS>False</HS>
                <IBOA>0</IBOA>
                <IB>True</IB>
                <CI/>
                <PTI/>
                <PTP>False</PTP>
                <PTD/>
                <PTMCN>0</PTMCN>
                <CROL>0</CROL>
                <CCOL>0</CCOL>
                <AMFN>0</AMFN>
              </ModCompProps>
              <Sects>
                <Sect>
                  <SectProps>
                    <LI>1,1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25</CTHN>
                                <ST>3</ST>
                                <VOFFF><![CDATA[=§A¿0,1,0,1,4,2,1,-1,0,0,FALSE,FALSE§Z¿]]></VOFFF>
                              </ClmnBlkPtProps>
                            </ClmnBlkPt>
                          </ClmnBlkPts>
                        </ClmnBlk>
                      </ClmnBlks>
                      <TtlCtg/>
                    </Elmt>
                    <Elmt>
                      <ElmtProps>
                        <CPT>2</CPT>
                      </ElmtProps>
                      <ClmnBlks>
                        <ClmnBlk>
                          <ClmnBlkProps>
                            <FCPT>0</FCPT>
                            <FCN>7</FCN>
                            <LCPT>0</LCPT>
                            <LCN>7</LCN>
                          </ClmnBlkProps>
                          <ClmnBlkPts>
                            <ClmnBlkPt>
                              <ClmnBlkPtProps>
                                <CBPT>5</CBPT>
                                <ST>6</ST>
                                <SON>4</SON>
                                <VOFFF><![CDATA[Activity Name:]]></VOFFF>
                              </ClmnBlkPtProps>
                            </ClmnBlkPt>
                          </ClmnBlkPts>
                        </ClmnBlk>
                        <ClmnBlk>
                          <ClmnBlkProps>
                            <FCPT>0</FCPT>
                            <FCN>9</FCN>
                            <LCPT>0</LCPT>
                            <LCN>13</LCN>
                          </ClmnBlkProps>
                          <ClmnBlkPts>
                            <ClmnBlkPt>
                              <ClmnBlkPtProps>
                                <CBPT>5</CBPT>
                                <ST>8</ST>
                                <MC>True</MC>
                                <VOFFF/>
                              </ClmnBlkPtProps>
                            </ClmnBlkPt>
                          </ClmnBlkPts>
                        </ClmnBlk>
                      </ClmnBlks>
                      <TtlCtg/>
                    </Elmt>
                    <Elmt>
                      <ElmtProps>
                        <CPT>2</CPT>
                      </ElmtProps>
                      <ClmnBlks>
                        <ClmnBlk>
                          <ClmnBlkProps>
                            <FCPT>0</FCPT>
                            <FCN>7</FCN>
                            <LCPT>0</LCPT>
                            <LCN>7</LCN>
                          </ClmnBlkProps>
                          <ClmnBlkPts>
                            <ClmnBlkPt>
                              <ClmnBlkPtProps>
                                <CBPT>5</CBPT>
                                <ST>6</ST>
                                <SON>4</SON>
                                <VOFFF><![CDATA[Applied Currency (Select):]]></VOFFF>
                              </ClmnBlkPtProps>
                            </ClmnBlkPt>
                          </ClmnBlkPts>
                        </ClmnBlk>
                        <ClmnBlk>
                          <ClmnBlkProps>
                            <FCPT>0</FCPT>
                            <FCN>9</FCN>
                            <LCPT>0</LCPT>
                            <LCN>9</LCN>
                          </ClmnBlkProps>
                          <ClmnBlkPts>
                            <ClmnBlkPt>
                              <ClmnBlkPtProps>
                                <CBPT>5</CBPT>
                                <ST>15</ST>
                                <SON>5</SON>
                                <VOFFF><![CDATA[1]]></VOFFF>
                                <UDAV><![CDATA[1]]></UDAV>
                              </ClmnBlkPtProps>
                              <Vdtn>
                                <VdtnProps>
                                  <CBPLI>1,1,5,2,1</CBPLI>
                                  <ADVT>-1</ADVT>
                                  <VT>1</VT>
                                  <AS>1</AS>
                                  <O>1</O>
                                  <F1FFF><![CDATA[1]]></F1FFF>
                                  <F2FFF><![CDATA[=ROWS(§A¿1,1,4,1,9,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Meet1_Curr]]></SP1>
                                    <SP2/>
                                    <FFF/>
                                    <CMT/>
                                  </RgeNmeProps>
                                </RgeNme>
                              </RgeNmes>
                            </ClmnBlkPt>
                          </ClmnBlkPts>
                        </ClmnBlk>
                      </ClmnBlks>
                      <TtlCtg>
                        <TtlCtgProps>
                          <R>3</R>
                        </TtlCtgProps>
                      </TtlCtg>
                      <ShpNmes>
                        <ShpNme>
                          <ShpNmeProps>
                            <ELI>1,1,5</ELI>
                            <COSTN>0</COSTN>
                            <ST>1</ST>
                            <SNPT>2</SNPT>
                            <N><![CDATA[bpmDropDownACT_241]]></N>
                            <SHN>1</SHN>
                            <SHTN>1</SHTN>
                          </ShpNmeProps>
                        </ShpNme>
                      </ShpNmes>
                    </Elmt>
                    <Elmt>
                      <ElmtProps>
                        <CPT>2</CPT>
                      </ElmtProps>
                      <ClmnBlks>
                        <ClmnBlk>
                          <ClmnBlkProps>
                            <FCPT>0</FCPT>
                            <FCN>3</FCN>
                            <LCPT>0</LCPT>
                            <LCN>3</LCN>
                          </ClmnBlkProps>
                          <ClmnBlkPts>
                            <ClmnBlkPt>
                              <ClmnBlkPtProps>
                                <CBPT>5</CBPT>
                                <ST>4</ST>
                                <VOFFF><![CDATA[Personnel]]></VOFFF>
                              </ClmnBlkPtProps>
                            </ClmnBlkPt>
                          </ClmnBlkPts>
                        </ClmnBlk>
                        <ClmnBlk>
                          <ClmnBlkProps>
                            <FCPT>0</FCPT>
                            <FCN>13</FCN>
                            <LCPT>0</LCPT>
                            <LCN>13</LCN>
                          </ClmnBlkProps>
                          <ClmnBlkPts>
                            <ClmnBlkPt>
                              <ClmnBlkPtProps>
                                <CBPT>5</CBPT>
                                <ST>18</ST>
                                <VOFFF><![CDATA[=IF(§A¿1,1,1,1,5,0,2,1,1§Z¿=1,§A¿0,1,0,1,34,1,1,1,0,0,TRUE,TRUE§Z¿,§A¿0,1,0,1,34,1,1,2,0,0,TRUE,TRUE§Z¿)]]></VOFFF>
                              </ClmnBlkPtProps>
                            </ClmnBlkPt>
                          </ClmnBlkPts>
                        </ClmnBlk>
                        <ClmnBlk>
                          <ClmnBlkProps>
                            <FCPT>0</FCPT>
                            <FCN>15</FCN>
                            <LCPT>0</LCPT>
                            <LCN>15</LCN>
                          </ClmnBlkProps>
                          <ClmnBlkPts>
                            <ClmnBlkPt>
                              <ClmnBlkPtProps>
                                <CBPT>5</CBPT>
                                <ST>18</ST>
                                <VOFFF><![CDATA[=IF(§A¿1,1,1,1,5,0,2,1,1§Z¿=1,§A¿0,1,0,1,34,1,1,1,0,0,TRUE,TRUE§Z¿,§A¿0,1,0,1,34,1,1,2,0,0,TRUE,TRUE§Z¿)]]></VOFFF>
                              </ClmnBlkPtProps>
                            </ClmnBlkPt>
                          </ClmnBlkPts>
                        </ClmnBlk>
                        <ClmnBlk>
                          <ClmnBlkProps>
                            <FCPT>0</FCPT>
                            <FCN>17</FCN>
                            <LCPT>0</LCPT>
                            <LCN>17</LCN>
                          </ClmnBlkProps>
                          <ClmnBlkPts>
                            <ClmnBlkPt>
                              <ClmnBlkPtProps>
                                <CBPT>5</CBPT>
                                <ST>18</ST>
                                <VOFFF><![CDATA[=IF(§A¿1,1,1,1,5,0,2,1,1§Z¿=1,§A¿0,1,0,1,34,1,1,1,0,0,TRUE,TRUE§Z¿,§A¿0,1,0,1,34,1,1,2,0,0,TRUE,TRUE§Z¿)]]></VOFFF>
                              </ClmnBlkPtProps>
                            </ClmnBlkPt>
                          </ClmnBlkPts>
                        </ClmnBlk>
                        <ClmnBlk>
                          <ClmnBlkProps>
                            <FCPT>0</FCPT>
                            <FCN>19</FCN>
                            <LCPT>0</LCPT>
                            <LCN>19</LCN>
                          </ClmnBlkProps>
                          <ClmnBlkPts>
                            <ClmnBlkPt>
                              <ClmnBlkPtProps>
                                <CBPT>5</CBPT>
                                <ST>18</ST>
                                <VOFFF><![CDATA[=IF(§A¿1,1,1,1,5,0,2,1,1§Z¿=1,§A¿0,1,0,1,34,1,1,1,0,0,TRUE,TRUE§Z¿,§A¿0,1,0,1,34,1,1,2,0,0,TRUE,TRUE§Z¿)]]></VOFFF>
                              </ClmnBlkPtProps>
                            </ClmnBlkPt>
                          </ClmnBlkPts>
                        </ClmnBlk>
                      </ClmnBlks>
                      <TtlCtg/>
                    </Elmt>
                    <Elmt>
                      <ElmtProps>
                        <CPT>2</CPT>
                      </ElmtProps>
                      <ClmnBlks>
                        <ClmnBlk>
                          <ClmnBlkProps>
                            <FCPT>0</FCPT>
                            <FCN>4</FCN>
                            <LCPT>0</LCPT>
                            <LCN>4</LCN>
                          </ClmnBlkProps>
                          <ClmnBlkPts>
                            <ClmnBlkPt>
                              <ClmnBlkPtProps>
                                <CBPT>5</CBPT>
                                <ST>5</ST>
                                <VOFFF><![CDATA[Personnel]]></VOFFF>
                              </ClmnBlkPtProps>
                            </ClmnBlkPt>
                          </ClmnBlkPts>
                        </ClmnBlk>
                        <ClmnBlk>
                          <ClmnBlkProps>
                            <FCPT>0</FCPT>
                            <FCN>9</FCN>
                            <LCPT>0</LCPT>
                            <LCN>9</LCN>
                          </ClmnBlkProps>
                          <ClmnBlkPts>
                            <ClmnBlkPt>
                              <ClmnBlkPtProps>
                                <CBPT>5</CBPT>
                                <ST>6</ST>
                                <SON>15</SON>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1,1,8,1,1</CBPLI>
                                  <ADVT>-1</ADVT>
                                  <VT>3</VT>
                                  <AS>1</AS>
                                  <O>1</O>
                                  <F1FFF><![CDATA[=§A¿1,1,4,1,13,0,1,1,1§Z¿]]></F1FFF>
                                  <F2FFF/>
                                  <IB>True</IB>
                                  <ICDD>True</ICDD>
                                  <SI>True</SI>
                                  <IT/>
                                  <IM/>
                                  <SE>True</SE>
                                  <ET/>
                                  <EM/>
                                  <IMO>0</IMO>
                                </VdtnProps>
                              </Vdtn>
                            </ClmnBlkPt>
                            <ClmnBlkPt>
                              <ClmnBlkPtProps>
                                <CBPT>1</CBPT>
                                <ST>6</ST>
                                <MC>True</MC>
                                <VOFFF><![CDATA[="Total "&§A¿0,1,0,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Personnel]]></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CDATA[=§A¿2§Z¿]]></VOFFF>
                              </ClmnBlkPtProps>
                            </ClmnBlkPt>
                            <ClmnBlkPt>
                              <ClmnBlkPtProps>
                                <CBPT>2</CBPT>
                                <ST>6</ST>
                                <SON>2</SON>
                                <VOFFF><![CDATA[# Personne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 Day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39,2,1,1,0,0,TRUE,TRUE,1,39,2,1,2,0,0,TRUE,TRUE§Z¿,MATCH(§A¿0,1,0,1,8,1,1,0,0,0,FALSE,FALSE§Z¿,§A¿1,1,4,1,13,0,1,1,1§Z¿,0)),INDEX(§A¿0,1,1,1,39,4,1,1,0,0,TRUE,TRUE,1,39,4,1,2,0,0,TRUE,TRUE§Z¿,MATCH(§A¿0,1,0,1,8,1,1,0,0,0,FALSE,FALSE§Z¿,§A¿1,1,4,1,13,0,1,1,1§Z¿,0))),0)]]></VOFFF>
                                <UDAV><![CDATA[0]]></UDAV>
                              </ClmnBlkPtProps>
                            </ClmnBlkPt>
                            <ClmnBlkPt>
                              <ClmnBlkPtProps>
                                <CBPT>1</CBPT>
                                <ST>-1</ST>
                                <VOFFF/>
                              </ClmnBlkPtProps>
                            </ClmnBlkPt>
                            <ClmnBlkPt>
                              <ClmnBlkPtProps>
                                <CBPT>2</CBPT>
                                <ST>6</ST>
                                <SON>2</SON>
                                <VOFFF><![CDATA[Cost per Person per Day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39,3,1,1,0,0,TRUE,TRUE,1,39,3,1,2,0,0,TRUE,TRUE§Z¿,MATCH(§A¿0,1,0,1,8,1,1,0,0,0,FALSE,FALSE§Z¿,§A¿1,1,4,1,13,0,1,1,1§Z¿,0)),INDEX(§A¿0,1,1,1,39,5,1,1,0,0,TRUE,TRUE,1,39,5,1,2,0,0,TRUE,TRUE§Z¿,MATCH(§A¿0,1,0,1,8,1,1,0,0,0,FALSE,FALSE§Z¿,§A¿1,1,4,1,13,0,1,1,1§Z¿,0))),0)]]></VOFFF>
                                <UDAV><![CDATA[0]]></UDAV>
                              </ClmnBlkPtProps>
                            </ClmnBlkPt>
                            <ClmnBlkPt>
                              <ClmnBlkPtProps>
                                <CBPT>1</CBPT>
                                <ST>-1</ST>
                                <VOFFF/>
                              </ClmnBlkPtProps>
                            </ClmnBlkPt>
                            <ClmnBlkPt>
                              <ClmnBlkPtProps>
                                <CBPT>2</CBPT>
                                <ST>6</ST>
                                <SON>2</SON>
                                <VOFFF><![CDATA[Cost per Person per Day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8,2,1,0,0,0,FALSE,FALSE§Z¿*§A¿0,1,0,1,8,3,1,0,0,0,FALSE,FALSE§Z¿*§A¿0,1,0,1,8,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8,2,1,0,0,0,FALSE,FALSE§Z¿*§A¿0,1,0,1,8,3,1,0,0,0,FALSE,FALSE§Z¿*§A¿0,1,0,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Allowanc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Person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Daily Cost (Financial)]]></VOFFF>
                              </ClmnBlkPtProps>
                            </ClmnBlkPt>
                          </ClmnBlkPts>
                        </ClmnBlk>
                        <ClmnBlk>
                          <ClmnBlkProps>
                            <FCPT>0</FCPT>
                            <FCN>15</FCN>
                            <LCPT>0</LCPT>
                            <LCN>15</LCN>
                          </ClmnBlkProps>
                          <ClmnBlkPts>
                            <ClmnBlkPt>
                              <ClmnBlkPtProps>
                                <CBPT>5</CBPT>
                                <ST>6</ST>
                                <SON>2</SON>
                                <VOFFF><![CDATA[Daily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1</EGN>
                      </ElmtProps>
                      <ClmnBlks>
                        <ClmnBlk>
                          <ClmnBlkProps>
                            <FCPT>0</FCPT>
                            <FCN>4</FCN>
                            <LCPT>0</LCPT>
                            <LCN>7</LCN>
                          </ClmnBlkProps>
                          <ClmnBlkPts>
                            <ClmnBlkPt>
                              <ClmnBlkPtProps>
                                <CBPT>0</CBPT>
                                <ST>8</ST>
                                <MC>True</MC>
                                <VOFFF><![CDATA[<Travel & Allowances> Category <CategoryNumber>]]></VOFFF>
                                <UDAV><![CDATA[<Travel & Allowances> Category <CategoryNumber>]]></UDAV>
                              </ClmnBlkPtProps>
                              <Vdtn>
                                <VdtnProps>
                                  <CBPLI>1,1,12,1,1</CBPLI>
                                  <ADVT>-1</ADVT>
                                  <VT>3</VT>
                                  <AS>1</AS>
                                  <O>1</O>
                                  <F1FFF><![CDATA[=§A¿1,1,4,1,17,0,1,1,1§Z¿]]></F1FFF>
                                  <F2FFF/>
                                  <IB>True</IB>
                                  <ICDD>True</ICDD>
                                  <SI>True</SI>
                                  <IT/>
                                  <IM/>
                                  <SE>True</SE>
                                  <ET/>
                                  <EM/>
                                  <IMO>0</IMO>
                                </VdtnProps>
                              </Vdtn>
                            </ClmnBlkPt>
                            <ClmnBlkPt>
                              <ClmnBlkPtProps>
                                <CBPT>1</CBPT>
                                <ST>6</ST>
                                <MC>True</MC>
                                <VOFFF><![CDATA[="Total "&§A¿0,1,0,1,12,1,3,0,0,0,FALSE,FALSE§Z¿]]></VOFFF>
                                <UDAV><![CDATA[<CategoriesGroupName> Sub-Total <SubTotalNumber>]]></UDAV>
                              </ClmnBlkPtProps>
                            </ClmnBlkPt>
                            <ClmnBlkPt>
                              <ClmnBlkPtProps>
                                <CBPT>2</CBPT>
                                <ST>5</ST>
                                <MC>True</MC>
                                <VOFFF><![CDATA[=§A¿0,1,0,1,8,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Travel & Allowances]]></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Persons]]></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Allowances per Person]]></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2,2,1,1,0,0,TRUE,TRUE,1,42,2,1,2,0,0,TRUE,TRUE§Z¿,MATCH(§A¿0,1,0,1,12,1,1,0,0,0,FALSE,FALSE§Z¿,§A¿1,1,4,1,17,0,1,1,1§Z¿,0)),INDEX(§A¿0,1,1,1,42,4,1,1,0,0,TRUE,TRUE,1,42,4,1,2,0,0,TRUE,TRUE§Z¿,MATCH(§A¿0,1,0,1,12,1,1,0,0,0,FALSE,FALSE§Z¿,§A¿1,1,4,1,17,0,1,1,1§Z¿,0))),0)]]></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2,3,1,1,0,0,TRUE,TRUE,1,42,3,1,2,0,0,TRUE,TRUE§Z¿,MATCH(§A¿0,1,0,1,12,1,1,0,0,0,FALSE,FALSE§Z¿,§A¿1,1,4,1,17,0,1,1,1§Z¿,0)),INDEX(§A¿0,1,1,1,42,5,1,1,0,0,TRUE,TRUE,1,42,5,1,2,0,0,TRUE,TRUE§Z¿,MATCH(§A¿0,1,0,1,12,1,1,0,0,0,FALSE,FALSE§Z¿,§A¿1,1,4,1,17,0,1,1,1§Z¿,0))),0)]]></VOFFF>
                                <UDAV><![CDATA[0]]></UDAV>
                              </ClmnBlkPtProps>
                            </ClmnBlkPt>
                            <ClmnBlkPt>
                              <ClmnBlkPtProps>
                                <CBPT>1</CBPT>
                                <ST>-1</ST>
                                <VOFFF/>
                              </ClmnBlkPtProps>
                            </ClmnBlkPt>
                            <ClmnBlkPt>
                              <ClmnBlkPtProps>
                                <CBPT>2</CBPT>
                                <ST>6</ST>
                                <SON>2</SON>
                                <VOFFF><![CDATA[Unit Cost-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7</SON>
                                <VOFFF><![CDATA[=§A¿0,1,0,1,12,2,1,0,0,0,FALSE,FALSE§Z¿*§A¿0,1,0,1,12,3,1,0,0,0,FALSE,FALSE§Z¿*§A¿0,1,0,1,12,4,1,0,0,0,FALSE,FALSE§Z¿]]></VOFFF>
                              </ClmnBlkPtProps>
                            </ClmnBlkPt>
                            <ClmnBlkPt>
                              <ClmnBlkPtProps>
                                <CBPT>1</CBPT>
                                <ST>18</ST>
                                <SON>8</SON>
                                <VOFFF><![CDATA[=§A¿2§Z¿]]></VOFFF>
                              </ClmnBlkPtProps>
                            </ClmnBlkPt>
                            <ClmnBlkPt>
                              <ClmnBlkPtProps>
                                <CBPT>2</CBPT>
                                <ST>18</ST>
                                <SON>3</SON>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19</FCN>
                            <LCPT>0</LCPT>
                            <LCN>19</LCN>
                          </ClmnBlkProps>
                          <ClmnBlkPts>
                            <ClmnBlkPt>
                              <ClmnBlkPtProps>
                                <CBPT>0</CBPT>
                                <ST>18</ST>
                                <SON>7</SON>
                                <VOFFF><![CDATA[=§A¿0,1,0,1,12,2,1,0,0,0,FALSE,FALSE§Z¿*§A¿0,1,0,1,12,3,1,0,0,0,FALSE,FALSE§Z¿*§A¿0,1,0,1,12,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Props>
                            <R>1</R>
                          </SubTtlProps>
                          <SubTtlHdgRow>
                            <SubTtlHdgRowProps>
                              <STLI>1,1,12,1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TtlCtg/>
                    </Elmt>
                    <Elmt>
                      <ElmtProps>
                        <CPT>2</CPT>
                      </ElmtProps>
                      <TtlCtg/>
                    </Elmt>
                    <Elmt>
                      <ElmtProps>
                        <CPT>2</CPT>
                      </ElmtProps>
                      <ClmnBlks>
                        <ClmnBlk>
                          <ClmnBlkProps>
                            <FCPT>0</FCPT>
                            <FCN>3</FCN>
                            <LCPT>0</LCPT>
                            <LCN>3</LCN>
                          </ClmnBlkProps>
                          <ClmnBlkPts>
                            <ClmnBlkPt>
                              <ClmnBlkPtProps>
                                <CBPT>5</CBPT>
                                <ST>4</ST>
                                <VOFFF><![CDATA[Materials & Supplies]]></VOFFF>
                              </ClmnBlkPtProps>
                            </ClmnBlkPt>
                          </ClmnBlkPts>
                        </ClmnBlk>
                      </ClmnBlks>
                      <TtlCtg/>
                    </Elmt>
                    <Elmt>
                      <ElmtProps>
                        <CPT>2</CPT>
                      </ElmtProps>
                      <ClmnBlks>
                        <ClmnBlk>
                          <ClmnBlkProps>
                            <FCPT>0</FCPT>
                            <FCN>4</FCN>
                            <LCPT>0</LCPT>
                            <LCN>4</LCN>
                          </ClmnBlkProps>
                          <ClmnBlkPts>
                            <ClmnBlkPt>
                              <ClmnBlkPtProps>
                                <CBPT>5</CBPT>
                                <ST>5</ST>
                                <VOFFF><![CDATA[Description of Cost Item]]></VOFFF>
                              </ClmnBlkPtProps>
                            </ClmnBlkPt>
                          </ClmnBlkPts>
                        </ClmnBlk>
                        <ClmnBlk>
                          <ClmnBlkProps>
                            <FCPT>0</FCPT>
                            <FCN>9</FCN>
                            <LCPT>0</LCPT>
                            <LCN>9</LCN>
                          </ClmnBlkProps>
                          <ClmnBlkPts>
                            <ClmnBlkPt>
                              <ClmnBlkPtProps>
                                <CBPT>5</CBPT>
                                <ST>6</ST>
                                <VOFFF><![CDATA[# Units]]></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Financial)]]></VOFFF>
                              </ClmnBlkPtProps>
                            </ClmnBlkPt>
                          </ClmnBlkPts>
                        </ClmnBlk>
                        <ClmnBlk>
                          <ClmnBlkProps>
                            <FCPT>0</FCPT>
                            <FCN>15</FCN>
                            <LCPT>0</LCPT>
                            <LCN>15</LCN>
                          </ClmnBlkProps>
                          <ClmnBlkPts>
                            <ClmnBlkPt>
                              <ClmnBlkPtProps>
                                <CBPT>5</CBPT>
                                <ST>6</ST>
                                <SON>2</SON>
                                <VOFFF><![CDATA[Unit Cost (Economic)]]></VOFFF>
                              </ClmnBlkPtProps>
                            </ClmnBlkPt>
                          </ClmnBlkPts>
                        </ClmnBlk>
                        <ClmnBlk>
                          <ClmnBlkProps>
                            <FCPT>0</FCPT>
                            <FCN>17</FCN>
                            <LCPT>0</LCPT>
                            <LCN>17</LCN>
                          </ClmnBlkProps>
                          <ClmnBlkPts>
                            <ClmnBlkPt>
                              <ClmnBlkPtProps>
                                <CBPT>5</CBPT>
                                <ST>6</ST>
                                <SON>2</SON>
                                <VOFFF><![CDATA[Total Cost (Financial)]]></VOFFF>
                              </ClmnBlkPtProps>
                            </ClmnBlkPt>
                          </ClmnBlkPts>
                        </ClmnBlk>
                        <ClmnBlk>
                          <ClmnBlkProps>
                            <FCPT>0</FCPT>
                            <FCN>19</FCN>
                            <LCPT>0</LCPT>
                            <LCN>19</LCN>
                          </ClmnBlkProps>
                          <ClmnBlkPts>
                            <ClmnBlkPt>
                              <ClmnBlkPtProps>
                                <CBPT>5</CBPT>
                                <ST>6</ST>
                                <SON>2</SON>
                                <VOFFF><![CDATA[Total Cost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2</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1,1,18,1,1</CBPLI>
                                  <ADVT>-1</ADVT>
                                  <VT>3</VT>
                                  <AS>1</AS>
                                  <O>1</O>
                                  <F1FFF><![CDATA[=§A¿1,1,4,1,22,0,1,1,1§Z¿]]></F1FFF>
                                  <F2FFF/>
                                  <IB>True</IB>
                                  <ICDD>True</ICDD>
                                  <SI>True</SI>
                                  <IT/>
                                  <IM/>
                                  <SE>True</SE>
                                  <ET/>
                                  <EM/>
                                  <IMO>0</IMO>
                                </VdtnProps>
                              </Vdtn>
                            </ClmnBlkPt>
                            <ClmnBlkPt>
                              <ClmnBlkPtProps>
                                <CBPT>1</CBPT>
                                <ST>6</ST>
                                <MC>True</MC>
                                <VOFFF><![CDATA[="Total "&§A¿0,1,0,1,18,1,3,0,0,0,FALSE,FALSE§Z¿]]></VOFFF>
                                <UDAV><![CDATA[<CategoriesGroupName> Sub-Total <SubTotalNumber>]]></UDAV>
                              </ClmnBlkPtProps>
                            </ClmnBlkPt>
                            <ClmnBlkPt>
                              <ClmnBlkPtProps>
                                <CBPT>2</CBPT>
                                <ST>7</ST>
                                <SON>1</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
                                <UDAV><![CDATA[0]]></UDAV>
                              </ClmnBlkPtProps>
                            </ClmnBlkPt>
                            <ClmnBlkPt>
                              <ClmnBlkPtProps>
                                <CBPT>1</CBPT>
                                <ST>-1</ST>
                                <VOFFF/>
                              </ClmnBlkPtProps>
                            </ClmnBlkPt>
                            <ClmnBlkPt>
                              <ClmnBlkPtProps>
                                <CBPT>2</CBPT>
                                <ST>6</ST>
                                <SON>2</SON>
                                <VOFFF><![CDATA[# Each]]></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11</FCN>
                            <LCPT>0</LCPT>
                            <LCN>11</LCN>
                          </ClmnBlkProps>
                          <ClmnBlkPts>
                            <ClmnBlkPt>
                              <ClmnBlkPtProps>
                                <CBPT>0</CBPT>
                                <ST>11</ST>
                                <VOFFF/>
                                <UDAV><![CDATA[0]]></UDAV>
                              </ClmnBlkPtProps>
                            </ClmnBlkPt>
                            <ClmnBlkPt>
                              <ClmnBlkPtProps>
                                <CBPT>1</CBPT>
                                <ST>-1</ST>
                                <VOFFF/>
                              </ClmnBlkPtProps>
                            </ClmnBlkPt>
                            <ClmnBlkPt>
                              <ClmnBlkPtProps>
                                <CBPT>2</CBPT>
                                <ST>6</ST>
                                <SON>2</SON>
                                <VOFFF><![CDATA[Unit Cost - Financial]]></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13</FCN>
                            <LCPT>0</LCPT>
                            <LCN>13</LCN>
                          </ClmnBlkProps>
                          <ClmnBlkPts>
                            <ClmnBlkPt>
                              <ClmnBlkPtProps>
                                <CBPT>0</CBPT>
                                <ST>18</ST>
                                <VOFFF><![CDATA[=IFERROR(IF(§A¿1,1,1,1,5,0,2,1,1§Z¿=1,INDEX(§A¿0,1,1,1,46,2,1,1,0,0,TRUE,TRUE,1,46,2,1,2,0,0,TRUE,TRUE§Z¿,MATCH(§A¿0,1,0,1,18,1,1,0,0,0,FALSE,FALSE§Z¿,§A¿1,1,4,1,22,0,1,1,1§Z¿,0)),INDEX(§A¿0,1,1,1,46,4,1,1,0,0,TRUE,TRUE,1,46,4,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15</FCN>
                            <LCPT>0</LCPT>
                            <LCN>15</LCN>
                          </ClmnBlkProps>
                          <ClmnBlkPts>
                            <ClmnBlkPt>
                              <ClmnBlkPtProps>
                                <CBPT>0</CBPT>
                                <ST>18</ST>
                                <VOFFF><![CDATA[=IFERROR(IF(§A¿1,1,1,1,5,0,2,1,1§Z¿=1,INDEX(§A¿0,1,1,1,46,3,1,1,0,0,TRUE,TRUE,1,46,3,1,2,0,0,TRUE,TRUE§Z¿,MATCH(§A¿0,1,0,1,18,1,1,0,0,0,FALSE,FALSE§Z¿,§A¿1,1,4,1,22,0,1,1,1§Z¿,0)),INDEX(§A¿0,1,1,1,46,5,1,1,0,0,TRUE,TRUE,1,46,5,1,2,0,0,TRUE,TRUE§Z¿,MATCH(§A¿0,1,0,1,18,1,1,0,0,0,FALSE,FALSE§Z¿,§A¿1,1,4,1,22,0,1,1,1§Z¿,0))),0)]]></VOFFF>
                                <UDAV><![CDATA[0]]></UDAV>
                              </ClmnBlkPtProps>
                            </ClmnBlkPt>
                            <ClmnBlkPt>
                              <ClmnBlkPtProps>
                                <CBPT>1</CBPT>
                                <ST>-1</ST>
                                <VOFFF/>
                              </ClmnBlkPtProps>
                            </ClmnBlkPt>
                            <ClmnBlkPt>
                              <ClmnBlkPtProps>
                                <CBPT>2</CBPT>
                                <ST>6</ST>
                                <SON>2</SON>
                                <VOFFF><![CDATA[Unit Cost - Economic]]></VOFFF>
                              </ClmnBlkPtProps>
                            </ClmnBlkPt>
                            <ClmnBlkPt>
                              <ClmnBlkPtProps>
                                <CBPT>3</CBPT>
                                <ST>-1</ST>
                                <VOFFF/>
                              </ClmnBlkPtProps>
                            </ClmnBlkPt>
                            <ClmnBlkPt>
                              <ClmnBlkPtProps>
                                <CBPT>4</CBPT>
                                <ST>-1</ST>
                                <VOFFF/>
                              </ClmnBlkPtProps>
                            </ClmnBlkPt>
                            <ClmnBlkPt>
                              <ClmnBlkPtProps>
                                <CBPT>5</CBPT>
                                <ST>5</ST>
                                <VOFFF/>
                              </ClmnBlkPtProps>
                            </ClmnBlkPt>
                          </ClmnBlkPts>
                        </ClmnBlk>
                        <ClmnBlk>
                          <ClmnBlkProps>
                            <FCPT>0</FCPT>
                            <FCN>17</FCN>
                            <LCPT>0</LCPT>
                            <LCN>17</LCN>
                          </ClmnBlkProps>
                          <ClmnBlkPts>
                            <ClmnBlkPt>
                              <ClmnBlkPtProps>
                                <CBPT>0</CBPT>
                                <ST>18</ST>
                                <SON>12</SON>
                                <MC>True</MC>
                                <VOFFF><![CDATA[=§A¿0,1,0,1,18,2,1,0,0,0,FALSE,FALSE§Z¿*§A¿0,1,0,1,18,3,1,0,0,0,FALSE,FALSE§Z¿*§A¿0,1,0,1,18,4,1,0,0,0,FALSE,FALSE§Z¿]]></VOFFF>
                              </ClmnBlkPtProps>
                            </ClmnBlkPt>
                            <ClmnBlkPt>
                              <ClmnBlkPtProps>
                                <CBPT>1</CBPT>
                                <ST>18</ST>
                                <SON>10</SON>
                                <MC>True</MC>
                                <VOFFF><![CDATA[=§A¿2§Z¿]]></VOFFF>
                              </ClmnBlkPtProps>
                            </ClmnBlkPt>
                            <ClmnBlkPt>
                              <ClmnBlkPtProps>
                                <CBPT>2</CBPT>
                                <ST>18</ST>
                                <SON>3</SON>
                                <MC>True</MC>
                                <VOFFF><![CDATA[="FINANCIAL COST ("&INDEX(§A¿1,1,4,1,9,0,1,1,1§Z¿,§A¿1,1,1,1,5,0,2,1,1§Z¿)&")"]]></VOFFF>
                              </ClmnBlkPtProps>
                            </ClmnBlkPt>
                            <ClmnBlkPt>
                              <ClmnBlkPtProps>
                                <CBPT>3</CBPT>
                                <ST>-1</ST>
                                <VOFFF/>
                              </ClmnBlkPtProps>
                            </ClmnBlkPt>
                            <ClmnBlkPt>
                              <ClmnBlkPtProps>
                                <CBPT>4</CBPT>
                                <ST>-1</ST>
                                <SON>8</SON>
                                <VOFFF/>
                              </ClmnBlkPtProps>
                            </ClmnBlkPt>
                            <ClmnBlkPt>
                              <ClmnBlkPtProps>
                                <CBPT>5</CBPT>
                                <ST>18</ST>
                                <SON>13</SON>
                                <MC>True</MC>
                                <VOFFF><![CDATA[=§A¿3§Z¿]]></VOFFF>
                              </ClmnBlkPtProps>
                            </ClmnBlkPt>
                          </ClmnBlkPts>
                        </ClmnBlk>
                        <ClmnBlk>
                          <ClmnBlkProps>
                            <FCPT>0</FCPT>
                            <FCN>19</FCN>
                            <LCPT>0</LCPT>
                            <LCN>19</LCN>
                          </ClmnBlkProps>
                          <ClmnBlkPts>
                            <ClmnBlkPt>
                              <ClmnBlkPtProps>
                                <CBPT>0</CBPT>
                                <ST>18</ST>
                                <SON>7</SON>
                                <VOFFF><![CDATA[=§A¿0,1,0,1,18,2,1,0,0,0,FALSE,FALSE§Z¿*§A¿0,1,0,1,18,3,1,0,0,0,FALSE,FALSE§Z¿*§A¿0,1,0,1,18,5,1,0,0,0,FALSE,FALSE§Z¿]]></VOFFF>
                              </ClmnBlkPtProps>
                            </ClmnBlkPt>
                            <ClmnBlkPt>
                              <ClmnBlkPtProps>
                                <CBPT>1</CBPT>
                                <ST>18</ST>
                                <SON>8</SON>
                                <VOFFF><![CDATA[=§A¿2§Z¿]]></VOFFF>
                              </ClmnBlkPtProps>
                            </ClmnBlkPt>
                            <ClmnBlkPt>
                              <ClmnBlkPtProps>
                                <CBPT>2</CBPT>
                                <ST>18</ST>
                                <SON>3</SON>
                                <VOFFF><![CDATA[="ECONOMIC COST ("&INDEX(§A¿1,1,4,1,9,0,1,1,1§Z¿,§A¿1,1,1,1,5,0,2,1,1§Z¿)&")"]]></VOFFF>
                              </ClmnBlkPtProps>
                            </ClmnBlkPt>
                            <ClmnBlkPt>
                              <ClmnBlkPtProps>
                                <CBPT>3</CBPT>
                                <ST>-1</ST>
                                <VOFFF/>
                              </ClmnBlkPtProps>
                            </ClmnBlkPt>
                            <ClmnBlkPt>
                              <ClmnBlkPtProps>
                                <CBPT>4</CBPT>
                                <ST>-1</ST>
                                <SON>8</SON>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6</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VOFFF/>
                              </ClmnBlkPtProps>
                            </ClmnBlkPt>
                          </ClmnBlkPts>
                        </ClmnBlk>
                      </ClmnBlks>
                      <SubTtls>
                        <SubTtl>
                          <SubTtlProps>
                            <R>1</R>
                          </SubTtlProps>
                          <SubTtlHdgRow>
                            <SubTtlHdgRowProps>
                              <STLI>1,1,18,1</STLI>
                              <R>1</R>
                            </SubTtlHdgRowProps>
                          </SubTtlHdgRow>
                          <TtlSpcrRow>
                            <TtlSpcrRowProps>
                              <RSN>2</RSN>
                            </TtlSpcrRowProps>
                          </TtlSpcrRow>
                          <CatSpan>
                            <CatSpanProps>
                              <CC>25</CC>
                              <R>0</R>
                            </CatSpanProps>
                          </CatSpan>
                        </SubTtl>
                      </SubTtls>
                      <TtlCtg>
                        <TtlSpcrRow>
                          <TtlSpcrRowProps>
                            <RSN>2</RSN>
                          </TtlSpcrRowProps>
                        </TtlSpcrRow>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13</FCN>
                            <LCPT>0</LCPT>
                            <LCN>13</LCN>
                          </ClmnBlkProps>
                          <ClmnBlkPts>
                            <ClmnBlkPt>
                              <ClmnBlkPtProps>
                                <CBPT>5</CBPT>
                                <ST>6</ST>
                                <VOFFF><![CDATA[Unit Cost - Financial]]></VOFFF>
                              </ClmnBlkPtProps>
                            </ClmnBlkPt>
                          </ClmnBlkPts>
                        </ClmnBlk>
                        <ClmnBlk>
                          <ClmnBlkProps>
                            <FCPT>0</FCPT>
                            <FCN>15</FCN>
                            <LCPT>0</LCPT>
                            <LCN>15</LCN>
                          </ClmnBlkProps>
                          <ClmnBlkPts>
                            <ClmnBlkPt>
                              <ClmnBlkPtProps>
                                <CBPT>5</CBPT>
                                <ST>6</ST>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3</EGN>
                      </ElmtProps>
                      <ClmnBlks>
                        <ClmnBlk>
                          <ClmnBlkProps>
                            <FCPT>0</FCPT>
                            <FCN>4</FCN>
                            <LCPT>0</LCPT>
                            <LCN>7</LCN>
                          </ClmnBlkProps>
                          <ClmnBlkPts>
                            <ClmnBlkPt>
                              <ClmnBlkPtProps>
                                <CBPT>0</CBPT>
                                <ST>8</ST>
                                <MC>True</MC>
                                <VOFFF><![CDATA[0]]></VOFFF>
                                <UDAV><![CDATA[<CategoriesGroupName> Category <CategoryNumber>]]></UDAV>
                              </ClmnBlkPtProps>
                              <Vdtn>
                                <VdtnProps>
                                  <CBPLI>1,1,22,1,1</CBPLI>
                                  <ADVT>-1</ADVT>
                                  <VT>3</VT>
                                  <AS>1</AS>
                                  <O>1</O>
                                  <F1FFF><![CDATA[=§A¿1,1,4,1,27,0,1,1,1§Z¿]]></F1FFF>
                                  <F2FFF/>
                                  <IB>True</IB>
                                  <ICDD>True</ICDD>
                                  <SI>True</SI>
                                  <IT/>
                                  <IM/>
                                  <SE>True</SE>
                                  <ET/>
                                  <EM/>
                                  <IMO>0</IMO>
                                </VdtnProps>
                              </Vdtn>
                            </ClmnBlkPt>
                            <ClmnBlkPt>
                              <ClmnBlkPtProps>
                                <CBPT>1</CBPT>
                                <ST>6</ST>
                                <MC>True</MC>
                                <VOFFF><![CDATA[="Total "&§A¿0,1,0,1,22,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13</FCN>
                            <LCPT>0</LCPT>
                            <LCN>13</LCN>
                          </ClmnBlkProps>
                          <ClmnBlkPts>
                            <ClmnBlkPt>
                              <ClmnBlkPtProps>
                                <CBPT>0</CBPT>
                                <ST>18</ST>
                                <VOFFF><![CDATA[=IFERROR(IF(§A¿1,1,1,1,5,0,2,1,1§Z¿=1,INDEX(§A¿0,1,1,1,49,2,1,1,0,0,TRUE,TRUE,1,49,2,1,2,0,0,TRUE,TRUE§Z¿,MATCH(§A¿0,1,0,1,22,1,1,0,0,0,FALSE,FALSE§Z¿,§A¿1,1,4,1,27,0,1,1,1§Z¿,0)),INDEX(§A¿0,1,1,1,49,4,1,1,0,0,TRUE,TRUE,1,49,4,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49,3,1,1,0,0,TRUE,TRUE,1,49,3,1,2,0,0,TRUE,TRUE§Z¿,MATCH(§A¿0,1,0,1,22,1,1,0,0,0,FALSE,FALSE§Z¿,§A¿1,1,4,1,27,0,1,1,1§Z¿,0)),INDEX(§A¿0,1,1,1,49,5,1,1,0,0,TRUE,TRUE,1,49,5,1,2,0,0,TRUE,TRUE§Z¿,MATCH(§A¿0,1,0,1,22,1,1,0,0,0,FALSE,FALSE§Z¿,§A¿1,1,4,1,27,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2,2,1,0,0,0,FALSE,FALSE§Z¿*§A¿0,1,0,1,2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2,2,1,0,0,0,FALSE,FALSE§Z¿*§A¿0,1,0,1,22,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s>
                      <TtlCtg/>
                    </Elmt>
                    <Elmt>
                      <ElmtProps>
                        <CPT>2</CPT>
                      </ElmtProps>
                      <ClmnBlks>
                        <ClmnBlk>
                          <ClmnBlkProps>
                            <FCPT>0</FCPT>
                            <FCN>4</FCN>
                            <LCPT>0</LCPT>
                            <LCN>4</LCN>
                          </ClmnBlkProps>
                          <ClmnBlkPts>
                            <ClmnBlkPt>
                              <ClmnBlkPtProps>
                                <CBPT>5</CBPT>
                                <ST>5</ST>
                                <VOFFF><![CDATA[Description]]></VOFFF>
                              </ClmnBlkPtProps>
                            </ClmnBlkPt>
                          </ClmnBlkPts>
                        </ClmnBlk>
                        <ClmnBlk>
                          <ClmnBlkProps>
                            <FCPT>0</FCPT>
                            <FCN>9</FCN>
                            <LCPT>0</LCPT>
                            <LCN>9</LCN>
                          </ClmnBlkProps>
                          <ClmnBlkPts>
                            <ClmnBlkPt>
                              <ClmnBlkPtProps>
                                <CBPT>5</CBPT>
                                <ST>6</ST>
                                <VOFFF><![CDATA[# Count]]></VOFFF>
                              </ClmnBlkPtProps>
                            </ClmnBlkPt>
                          </ClmnBlkPts>
                        </ClmnBlk>
                        <ClmnBlk>
                          <ClmnBlkProps>
                            <FCPT>0</FCPT>
                            <FCN>11</FCN>
                            <LCPT>0</LCPT>
                            <LCN>11</LCN>
                          </ClmnBlkProps>
                          <ClmnBlkPts>
                            <ClmnBlkPt>
                              <ClmnBlkPtProps>
                                <CBPT>5</CBPT>
                                <ST>6</ST>
                                <VOFFF><![CDATA[# Repetitions]]></VOFFF>
                              </ClmnBlkPtProps>
                            </ClmnBlkPt>
                          </ClmnBlkPts>
                        </ClmnBlk>
                        <ClmnBlk>
                          <ClmnBlkProps>
                            <FCPT>0</FCPT>
                            <FCN>13</FCN>
                            <LCPT>0</LCPT>
                            <LCN>13</LCN>
                          </ClmnBlkProps>
                          <ClmnBlkPts>
                            <ClmnBlkPt>
                              <ClmnBlkPtProps>
                                <CBPT>5</CBPT>
                                <ST>6</ST>
                                <SON>2</SON>
                                <VOFFF><![CDATA[Unit Cost - Financial]]></VOFFF>
                              </ClmnBlkPtProps>
                            </ClmnBlkPt>
                          </ClmnBlkPts>
                        </ClmnBlk>
                        <ClmnBlk>
                          <ClmnBlkProps>
                            <FCPT>0</FCPT>
                            <FCN>15</FCN>
                            <LCPT>0</LCPT>
                            <LCN>15</LCN>
                          </ClmnBlkProps>
                          <ClmnBlkPts>
                            <ClmnBlkPt>
                              <ClmnBlkPtProps>
                                <CBPT>5</CBPT>
                                <ST>6</ST>
                                <SON>2</SON>
                                <VOFFF><![CDATA[Unit Cost - Economic]]></VOFFF>
                              </ClmnBlkPtProps>
                            </ClmnBlkPt>
                          </ClmnBlkPts>
                        </ClmnBlk>
                        <ClmnBlk>
                          <ClmnBlkProps>
                            <FCPT>0</FCPT>
                            <FCN>21</FCN>
                            <LCPT>0</LCPT>
                            <LCN>24</LCN>
                          </ClmnBlkProps>
                          <ClmnBlkPts>
                            <ClmnBlkPt>
                              <ClmnBlkPtProps>
                                <CBPT>5</CBPT>
                                <ST>6</ST>
                                <SON>15</SON>
                                <MC>True</MC>
                                <VOFFF><![CDATA[Notes and Information Sources]]></VOFFF>
                              </ClmnBlkPtProps>
                            </ClmnBlkPt>
                          </ClmnBlkPts>
                        </ClmnBlk>
                      </ClmnBlks>
                      <TtlCtg/>
                    </Elmt>
                    <Elmt>
                      <ElmtProps>
                        <CPT>0</CPT>
                        <TOT>False</TOT>
                        <EGN>4</EGN>
                      </ElmtProps>
                      <ClmnBlks>
                        <ClmnBlk>
                          <ClmnBlkProps>
                            <FCPT>0</FCPT>
                            <FCN>4</FCN>
                            <LCPT>0</LCPT>
                            <LCN>7</LCN>
                          </ClmnBlkProps>
                          <ClmnBlkPts>
                            <ClmnBlkPt>
                              <ClmnBlkPtProps>
                                <CBPT>0</CBPT>
                                <ST>8</ST>
                                <MC>True</MC>
                                <VOFFF><![CDATA[<CategoriesGroupName> Category <CategoryNumber>]]></VOFFF>
                                <UDAV><![CDATA[<CategoriesGroupName> Category <CategoryNumber>]]></UDAV>
                              </ClmnBlkPtProps>
                              <Vdtn>
                                <VdtnProps>
                                  <CBPLI>1,1,27,1,1</CBPLI>
                                  <ADVT>-1</ADVT>
                                  <VT>3</VT>
                                  <AS>1</AS>
                                  <O>1</O>
                                  <F1FFF><![CDATA[=§A¿1,1,4,1,31,0,1,1,1§Z¿]]></F1FFF>
                                  <F2FFF/>
                                  <IB>True</IB>
                                  <ICDD>True</ICDD>
                                  <SI>True</SI>
                                  <IT/>
                                  <IM/>
                                  <SE>True</SE>
                                  <ET/>
                                  <EM/>
                                  <IMO>0</IMO>
                                </VdtnProps>
                              </Vdtn>
                            </ClmnBlkPt>
                            <ClmnBlkPt>
                              <ClmnBlkPtProps>
                                <CBPT>1</CBPT>
                                <ST>6</ST>
                                <MC>True</MC>
                                <VOFFF><![CDATA[="Total "&§A¿0,1,0,1,27,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9</LCN>
                          </ClmnBlkProps>
                          <ClmnBlkPts>
                            <ClmnBlkPt>
                              <ClmnBlkPtProps>
                                <CBPT>0</CBPT>
                                <ST>11</ST>
                                <VOFFF><![CDATA[131]]></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11</FCN>
                            <LCPT>0</LCPT>
                            <LCN>11</LCN>
                          </ClmnBlkProps>
                          <ClmnBlkPts>
                            <ClmnBlkPt>
                              <ClmnBlkPtProps>
                                <CBPT>0</CBPT>
                                <ST>11</ST>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18</ST>
                                <VOFFF><![CDATA[=IFERROR(IF(§A¿1,1,1,1,5,0,2,1,1§Z¿=1,INDEX(§A¿0,1,1,1,53,2,1,1,0,0,TRUE,TRUE,1,53,2,1,2,0,0,TRUE,TRUE§Z¿,MATCH(§A¿0,1,0,1,27,1,1,0,0,0,FALSE,FALSE§Z¿,§A¿1,1,4,1,31,0,1,1,1§Z¿,0)),INDEX(§A¿0,1,1,1,53,4,1,1,0,0,TRUE,TRUE,1,53,4,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15</FCN>
                            <LCPT>0</LCPT>
                            <LCN>15</LCN>
                          </ClmnBlkProps>
                          <ClmnBlkPts>
                            <ClmnBlkPt>
                              <ClmnBlkPtProps>
                                <CBPT>0</CBPT>
                                <ST>18</ST>
                                <VOFFF><![CDATA[=IFERROR(IF(§A¿1,1,1,1,5,0,2,1,1§Z¿=1,INDEX(§A¿0,1,1,1,53,3,1,1,0,0,TRUE,TRUE,1,53,3,1,2,0,0,TRUE,TRUE§Z¿,MATCH(§A¿0,1,0,1,27,1,1,0,0,0,FALSE,FALSE§Z¿,§A¿1,1,4,1,31,0,1,1,1§Z¿,0)),INDEX(§A¿0,1,1,1,53,5,1,1,0,0,TRUE,TRUE,1,53,5,1,2,0,0,TRUE,TRUE§Z¿,MATCH(§A¿0,1,0,1,27,1,1,0,0,0,FALSE,FALSE§Z¿,§A¿1,1,4,1,31,0,1,1,1§Z¿,0))),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0</FCPT>
                            <FCN>17</FCN>
                            <LCPT>0</LCPT>
                            <LCN>17</LCN>
                          </ClmnBlkProps>
                          <ClmnBlkPts>
                            <ClmnBlkPt>
                              <ClmnBlkPtProps>
                                <CBPT>0</CBPT>
                                <ST>18</ST>
                                <SON>8</SON>
                                <VOFFF><![CDATA[=§A¿0,1,0,1,27,2,1,0,0,0,FALSE,FALSE§Z¿*§A¿0,1,0,1,27,3,1,0,0,0,FALSE,FALSE§Z¿*§A¿0,1,0,1,2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19</FCN>
                            <LCPT>0</LCPT>
                            <LCN>19</LCN>
                          </ClmnBlkProps>
                          <ClmnBlkPts>
                            <ClmnBlkPt>
                              <ClmnBlkPtProps>
                                <CBPT>0</CBPT>
                                <ST>18</ST>
                                <SON>8</SON>
                                <VOFFF><![CDATA[=§A¿0,1,0,1,27,2,1,0,0,0,FALSE,FALSE§Z¿*§A¿0,1,0,1,27,3,1,0,0,0,FALSE,FALSE§Z¿*§A¿0,1,0,1,27,5,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9</SON>
                                <VOFFF><![CDATA[=§A¿3§Z¿]]></VOFFF>
                              </ClmnBlkPtProps>
                            </ClmnBlkPt>
                          </ClmnBlkPts>
                        </ClmnBlk>
                        <ClmnBlk>
                          <ClmnBlkProps>
                            <FCPT>0</FCPT>
                            <FCN>21</FCN>
                            <LCPT>0</LCPT>
                            <LCN>24</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TtlCtg/>
                    </Elmt>
                    <Elmt>
                      <ElmtProps>
                        <CPT>2</CPT>
                      </ElmtProps>
                      <ClmnBlks>
                        <ClmnBlk>
                          <ClmnBlkProps>
                            <FCPT>0</FCPT>
                            <FCN>17</FCN>
                            <LCPT>0</LCPT>
                            <LCN>17</LCN>
                          </ClmnBlkProps>
                          <ClmnBlkPts>
                            <ClmnBlkPt>
                              <ClmnBlkPtProps>
                                <CBPT>5</CBPT>
                                <ST>6</ST>
                                <SON>2</SON>
                                <VOFFF><![CDATA[="FINANCIAL COST ("&INDEX(§A¿1,1,4,1,9,0,1,1,1§Z¿,§A¿1,1,1,1,5,0,2,1,1§Z¿)&")"]]></VOFFF>
                              </ClmnBlkPtProps>
                            </ClmnBlkPt>
                          </ClmnBlkPts>
                        </ClmnBlk>
                        <ClmnBlk>
                          <ClmnBlkProps>
                            <FCPT>0</FCPT>
                            <FCN>19</FCN>
                            <LCPT>0</LCPT>
                            <LCN>19</LCN>
                          </ClmnBlkProps>
                          <ClmnBlkPts>
                            <ClmnBlkPt>
                              <ClmnBlkPtProps>
                                <CBPT>5</CBPT>
                                <ST>6</ST>
                                <SON>2</SON>
                                <VOFFF><![CDATA[="ECONOMIC COST ("&INDEX(§A¿1,1,4,1,9,0,1,1,1§Z¿,§A¿1,1,1,1,5,0,2,1,1§Z¿)&")"]]></VOFFF>
                              </ClmnBlkPtProps>
                            </ClmnBlkPt>
                          </ClmnBlkPts>
                        </ClmnBlk>
                        <ClmnBlk>
                          <ClmnBlkProps>
                            <FCPT>0</FCPT>
                            <FCN>21</FCN>
                            <LCPT>0</LCPT>
                            <LCN>21</LCN>
                          </ClmnBlkProps>
                          <ClmnBlkPts>
                            <ClmnBlkPt>
                              <ClmnBlkPtProps>
                                <CBPT>5</CBPT>
                                <ST>6</ST>
                                <SON>2</SON>
                                <VOFFF><![CDATA[="FINANCIAL COST ("&IF(§A¿1,1,1,1,5,0,2,1,1§Z¿=2,§A¿0,1,0,1,34,1,1,1,0,0,TRUE,TRUE§Z¿,§A¿0,1,0,1,34,1,1,2,0,0,TRUE,TRUE§Z¿)&")"]]></VOFFF>
                              </ClmnBlkPtProps>
                            </ClmnBlkPt>
                          </ClmnBlkPts>
                        </ClmnBlk>
                        <ClmnBlk>
                          <ClmnBlkProps>
                            <FCPT>0</FCPT>
                            <FCN>23</FCN>
                            <LCPT>0</LCPT>
                            <LCN>23</LCN>
                          </ClmnBlkProps>
                          <ClmnBlkPts>
                            <ClmnBlkPt>
                              <ClmnBlkPtProps>
                                <CBPT>5</CBPT>
                                <ST>6</ST>
                                <SON>2</SON>
                                <VOFFF><![CDATA[="ECONOMIC COST ("&IF(§A¿1,1,1,1,5,0,2,1,1§Z¿=2,§A¿0,1,0,1,34,1,1,1,0,0,TRUE,TRUE§Z¿,§A¿0,1,0,1,34,1,1,2,0,0,TRUE,TRUE§Z¿)&")"]]></VOFFF>
                              </ClmnBlkPtProps>
                            </ClmnBlkPt>
                          </ClmnBlkPts>
                        </ClmnBlk>
                      </ClmnBlks>
                      <TtlCtg/>
                    </Elmt>
                    <Elmt>
                      <ElmtProps>
                        <CPT>2</CPT>
                      </ElmtProps>
                      <ClmnBlks>
                        <ClmnBlk>
                          <ClmnBlkProps>
                            <FCPT>0</FCPT>
                            <FCN>2</FCN>
                            <LCPT>0</LCPT>
                            <LCN>2</LCN>
                          </ClmnBlkProps>
                          <ClmnBlkPts>
                            <ClmnBlkPt>
                              <ClmnBlkPtProps>
                                <CBPT>5</CBPT>
                                <ST>3</ST>
                                <VOFFF><![CDATA[Total Estimated Costs]]></VOFFF>
                              </ClmnBlkPtProps>
                            </ClmnBlkPt>
                          </ClmnBlkPts>
                        </ClmnBlk>
                        <ClmnBlk>
                          <ClmnBlkProps>
                            <FCPT>0</FCPT>
                            <FCN>17</FCN>
                            <LCPT>0</LCPT>
                            <LCN>17</LCN>
                          </ClmnBlkProps>
                          <ClmnBlkPts>
                            <ClmnBlkPt>
                              <ClmnBlkPtProps>
                                <CBPT>5</CBPT>
                                <ST>18</ST>
                                <SON>11</SON>
                                <VOFFF><![CDATA[=SUM(§A¿0,1,0,1,8,6,6,-1,0,0,FALSE,FALSE§Z¿,§A¿0,1,0,1,12,6,6,-1,0,0,FALSE,FALSE§Z¿,§A¿0,1,0,1,18,6,6,-1,0,0,FALSE,FALSE§Z¿,§A¿0,1,0,1,22,5,6,-1,0,0,FALSE,FALSE§Z¿,§A¿0,1,0,1,27,6,6,-1,0,0,FALSE,FALSE§Z¿)]]></VOFFF>
                              </ClmnBlkPtProps>
                            </ClmnBlkPt>
                          </ClmnBlkPts>
                        </ClmnBlk>
                        <ClmnBlk>
                          <ClmnBlkProps>
                            <FCPT>0</FCPT>
                            <FCN>19</FCN>
                            <LCPT>0</LCPT>
                            <LCN>19</LCN>
                          </ClmnBlkProps>
                          <ClmnBlkPts>
                            <ClmnBlkPt>
                              <ClmnBlkPtProps>
                                <CBPT>5</CBPT>
                                <ST>18</ST>
                                <SON>11</SON>
                                <VOFFF><![CDATA[=SUM(§A¿0,1,0,1,8,7,6,-1,0,0,FALSE,FALSE§Z¿,§A¿0,1,0,1,12,7,6,-1,0,0,FALSE,FALSE§Z¿,§A¿0,1,0,1,18,7,6,-1,0,0,FALSE,FALSE§Z¿,§A¿0,1,0,1,22,6,6,-1,0,0,FALSE,FALSE§Z¿,§A¿0,1,0,1,27,7,6,-1,0,0,FALSE,FALSE§Z¿)]]></VOFFF>
                              </ClmnBlkPtProps>
                            </ClmnBlkPt>
                          </ClmnBlkPts>
                        </ClmnBlk>
                        <ClmnBlk>
                          <ClmnBlkProps>
                            <FCPT>0</FCPT>
                            <FCN>21</FCN>
                            <LCPT>0</LCPT>
                            <LCN>21</LCN>
                          </ClmnBlkProps>
                          <ClmnBlkPts>
                            <ClmnBlkPt>
                              <ClmnBlkPtProps>
                                <CBPT>5</CBPT>
                                <ST>18</ST>
                                <SON>6</SON>
                                <VOFFF><![CDATA[=IFERROR(IF(§A¿1,1,1,1,5,0,2,1,1§Z¿=2,§A¿0,1,0,1,30,2,1,-1,0,0,FALSE,TRUE§Z¿/§A¿0,1,0,1,34,2,1,2,0,0,TRUE,TRUE§Z¿,§A¿0,1,0,1,30,2,1,-1,0,0,FALSE,TRUE§Z¿*§A¿0,1,0,1,34,2,1,2,0,0,TRUE,TRUE§Z¿), 0)]]></VOFFF>
                              </ClmnBlkPtProps>
                            </ClmnBlkPt>
                          </ClmnBlkPts>
                        </ClmnBlk>
                        <ClmnBlk>
                          <ClmnBlkProps>
                            <FCPT>0</FCPT>
                            <FCN>23</FCN>
                            <LCPT>0</LCPT>
                            <LCN>23</LCN>
                          </ClmnBlkProps>
                          <ClmnBlkPts>
                            <ClmnBlkPt>
                              <ClmnBlkPtProps>
                                <CBPT>5</CBPT>
                                <ST>18</ST>
                                <SON>6</SON>
                                <VOFFF><![CDATA[=IFERROR(IF(§A¿1,1,1,1,5,0,2,1,1§Z¿=2,§A¿0,1,0,1,30,3,1,-1,0,0,FALSE,TRUE§Z¿/§A¿0,1,0,1,34,2,1,2,0,0,TRUE,TRUE§Z¿,§A¿0,1,0,1,30,3,1,-1,0,0,FALSE,TRUE§Z¿*§A¿0,1,0,1,34,2,1,2,0,0,TRUE,TRUE§Z¿), 0)]]></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TtlCtg>
                        <TtlCtgProps>
                          <R>4</R>
                        </TtlCtgProps>
                      </TtlCtg>
                    </Elmt>
                    <Elmt>
                      <ElmtProps>
                        <CPT>1</CPT>
                        <TOT>False</TOT>
                        <EGN>5</EGN>
                      </ElmtProps>
                      <ClmnBlks>
                        <ClmnBlk>
                          <ClmnBlkProps>
                            <FCPT>0</FCPT>
                            <FCN>4</FCN>
                            <LCPT>0</LCPT>
                            <LCN>7</LCN>
                          </ClmnBlkProps>
                          <ClmnBlkPts>
                            <ClmnBlkPt>
                              <ClmnBlkPtProps>
                                <CBPT>0</CBPT>
                                <ST>8</ST>
                                <MC>True</MC>
                                <VOFFF><![CDATA[USD]]></VOFFF>
                                <UDAV><![CDATA[<CategoriesGroupName> Category <CategoryNumber>]]></UDAV>
                              </ClmnBlkPtProps>
                              <LnkInForms>
                                <LnkInForm>
                                  <LnkInFormProps>
                                    <CBPLI>1,1,34,1,1</CBPLI>
                                    <ELN>1</ELN>
                                    <FFF><![CDATA[=§A¿10,FALSE,0,1,0,FALSE§Z¿]]></FFF>
                                  </LnkInFormProps>
                                </LnkInForm>
                              </LnkInForms>
                            </ClmnBlkPt>
                            <ClmnBlkPt>
                              <ClmnBlkPtProps>
                                <CBPT>1</CBPT>
                                <ST>6</ST>
                                <MC>True</MC>
                                <VOFFF><![CDATA[="Total "&§A¿0,1,0,1,34,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UDAV><![CDATA[Total <CategoriesGroupName>]]></UDAV>
                              </ClmnBlkPtProps>
                            </ClmnBlkPt>
                          </ClmnBlkPts>
                        </ClmnBlk>
                        <ClmnBlk>
                          <ClmnBlkProps>
                            <FCPT>0</FCPT>
                            <FCN>9</FCN>
                            <LCPT>0</LCPT>
                            <LCN>12</LCN>
                          </ClmnBlkProps>
                          <ClmnBlkPts>
                            <ClmnBlkPt>
                              <ClmnBlkPtProps>
                                <CBPT>0</CBPT>
                                <ST>11</ST>
                                <VOFFF/>
                                <UDAV><![CDATA[0]]></UDAV>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30</MN>
                                  <CLI>1,1,34,False,1</CLI>
                                  <ELN>1</ELN>
                                  <LOOT>0</LOOT>
                                  <LOMN>3</LOMN>
                                  <LOMCN>2</LOMCN>
                                  <LOSN>1</LOSN>
                                  <LOEN>4</LOEN>
                                  <LOCN>1</LOCN>
                                </LnkInProps>
                              </LnkIn>
                            </Ctg>
                            <Ctg>
                              <CtgProps>
                                <R>5</R>
                              </CtgProps>
                              <LnkIn>
                                <LnkInProps>
                                  <MN>30</MN>
                                  <CLI>1,1,34,False,2</CLI>
                                  <ELN>1</ELN>
                                  <LOOT>0</LOOT>
                                  <LOMN>3</LOMN>
                                  <LOMCN>2</LOMCN>
                                  <LOSN>1</LOSN>
                                  <LOEN>4</LOEN>
                                  <LOCN>2</LOCN>
                                </LnkInProps>
                              </LnkIn>
                            </Ctg>
                          </Ctgs>
                        </SubTtl>
                      </SubTtls>
                      <TtlCtg/>
                      <ElmtLnksIn>
                        <ElmtLnk>
                          <ElmtLnkProps>
                            <ELI>1,1,34</ELI>
                            <ELN>1</ELN>
                            <ELGN>1</ELGN>
                            <MLG>1638744F-648F-4D87-8C2C-69B71D7C5AA6</MLG>
                            <ICBI>1,2</ICBI>
                            <ILBN/>
                            <LIBN>0</LIBN>
                          </ElmtLnkProps>
                        </ElmtLnk>
                      </ElmtLnksIn>
                    </Elmt>
                    <Elmt>
                      <ElmtProps>
                        <CPT>2</CPT>
                      </ElmtProps>
                      <TtlCtg/>
                    </Elmt>
                    <Elmt>
                      <ElmtProps>
                        <CPT>2</CPT>
                      </ElmtProps>
                      <TtlCtg/>
                    </Elmt>
                    <Elmt>
                      <ElmtProps>
                        <CPT>2</CPT>
                      </ElmtProps>
                      <ClmnBlks>
                        <ClmnBlk>
                          <ClmnBlkProps>
                            <FCPT>0</FCPT>
                            <FCN>3</FCN>
                            <LCPT>0</LCPT>
                            <LCN>3</LCN>
                          </ClmnBlkProps>
                          <ClmnBlkPts>
                            <ClmnBlkPt>
                              <ClmnBlkPtProps>
                                <CBPT>5</CBPT>
                                <ST>6</ST>
                                <VOFFF><![CDATA[Resource Lists Reference Links (User can change in Step 1.e)]]></VOFFF>
                              </ClmnBlkPtProps>
                            </ClmnBlkPt>
                          </ClmnBlkPts>
                        </ClmnBlk>
                      </ClmnBlk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6</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1,1,39,1,1</CBPLI>
                                    <ELN>1</ELN>
                                    <FFF><![CDATA[=§A¿10,FALSE,0,1,0,FALSE§Z¿]]></FFF>
                                  </LnkInFormProps>
                                </LnkInForm>
                              </LnkInForms>
                            </ClmnBlkPt>
                            <ClmnBlkPt>
                              <ClmnBlkPtProps>
                                <CBPT>1</CBPT>
                                <ST>6</ST>
                                <VOFFF><![CDATA[="Total "&§A¿0,1,0,1,3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UDAV><![CDATA[0]]></UDAV>
                              </ClmnBlkPtProps>
                              <LnkInForms>
                                <LnkInForm>
                                  <LnkInFormProps>
                                    <CBPLI>1,1,39,2,1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UDAV><![CDATA[0]]></UDAV>
                              </ClmnBlkPtProps>
                              <LnkInForms>
                                <LnkInForm>
                                  <LnkInFormProps>
                                    <CBPLI>1,1,39,3,1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1,1,39,4,1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1,1,39,5,1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30</MN>
                                  <CLI>1,1,39,False,1</CLI>
                                  <ELN>1</ELN>
                                  <LOOT>0</LOOT>
                                  <LOMN>3</LOMN>
                                  <LOMCN>1</LOMCN>
                                  <LOSN>1</LOSN>
                                  <LOEN>10</LOEN>
                                  <LOCN>1</LOCN>
                                </LnkInProps>
                              </LnkIn>
                            </Ctg>
                            <Ctg>
                              <CtgProps>
                                <R>4</R>
                              </CtgProps>
                              <LnkIn>
                                <LnkInProps>
                                  <MN>30</MN>
                                  <CLI>1,1,39,False,2</CLI>
                                  <ELN>1</ELN>
                                  <LOOT>0</LOOT>
                                  <LOMN>3</LOMN>
                                  <LOMCN>1</LOMCN>
                                  <LOSN>1</LOSN>
                                  <LOEN>10</LOEN>
                                  <LOCN>2</LOCN>
                                </LnkInProps>
                              </LnkIn>
                            </Ctg>
                            <Ctg>
                              <CtgProps>
                                <R>4</R>
                              </CtgProps>
                              <LnkIn>
                                <LnkInProps>
                                  <MN>30</MN>
                                  <CLI>1,1,39,False,3</CLI>
                                  <ELN>1</ELN>
                                  <LOOT>0</LOOT>
                                  <LOMN>3</LOMN>
                                  <LOMCN>1</LOMCN>
                                  <LOSN>1</LOSN>
                                  <LOEN>10</LOEN>
                                  <LOCN>3</LOCN>
                                </LnkInProps>
                              </LnkIn>
                            </Ctg>
                            <Ctg>
                              <CtgProps>
                                <R>4</R>
                              </CtgProps>
                              <LnkIn>
                                <LnkInProps>
                                  <MN>30</MN>
                                  <CLI>1,1,39,False,4</CLI>
                                  <ELN>1</ELN>
                                  <LOOT>0</LOOT>
                                  <LOMN>3</LOMN>
                                  <LOMCN>1</LOMCN>
                                  <LOSN>1</LOSN>
                                  <LOEN>10</LOEN>
                                  <LOCN>4</LOCN>
                                </LnkInProps>
                              </LnkIn>
                            </Ctg>
                            <Ctg>
                              <CtgProps>
                                <R>4</R>
                              </CtgProps>
                              <LnkIn>
                                <LnkInProps>
                                  <MN>30</MN>
                                  <CLI>1,1,39,False,5</CLI>
                                  <ELN>1</ELN>
                                  <LOOT>0</LOOT>
                                  <LOMN>3</LOMN>
                                  <LOMCN>1</LOMCN>
                                  <LOSN>1</LOSN>
                                  <LOEN>10</LOEN>
                                  <LOCN>5</LOCN>
                                </LnkInProps>
                              </LnkIn>
                            </Ctg>
                            <Ctg>
                              <CtgProps>
                                <R>4</R>
                              </CtgProps>
                              <LnkIn>
                                <LnkInProps>
                                  <MN>30</MN>
                                  <CLI>1,1,39,False,6</CLI>
                                  <ELN>1</ELN>
                                  <LOOT>0</LOOT>
                                  <LOMN>3</LOMN>
                                  <LOMCN>1</LOMCN>
                                  <LOSN>1</LOSN>
                                  <LOEN>10</LOEN>
                                  <LOCN>6</LOCN>
                                </LnkInProps>
                              </LnkIn>
                            </Ctg>
                            <Ctg>
                              <CtgProps>
                                <R>4</R>
                              </CtgProps>
                              <LnkIn>
                                <LnkInProps>
                                  <MN>30</MN>
                                  <CLI>1,1,39,False,7</CLI>
                                  <ELN>1</ELN>
                                  <LOOT>0</LOOT>
                                  <LOMN>3</LOMN>
                                  <LOMCN>1</LOMCN>
                                  <LOSN>1</LOSN>
                                  <LOEN>10</LOEN>
                                  <LOCN>7</LOCN>
                                </LnkInProps>
                              </LnkIn>
                            </Ctg>
                            <Ctg>
                              <CtgProps>
                                <R>4</R>
                              </CtgProps>
                              <LnkIn>
                                <LnkInProps>
                                  <MN>30</MN>
                                  <CLI>1,1,39,False,8</CLI>
                                  <ELN>1</ELN>
                                  <LOOT>0</LOOT>
                                  <LOMN>3</LOMN>
                                  <LOMCN>1</LOMCN>
                                  <LOSN>1</LOSN>
                                  <LOEN>10</LOEN>
                                  <LOCN>8</LOCN>
                                </LnkInProps>
                              </LnkIn>
                            </Ctg>
                            <Ctg>
                              <CtgProps>
                                <R>4</R>
                              </CtgProps>
                              <LnkIn>
                                <LnkInProps>
                                  <MN>30</MN>
                                  <CLI>1,1,39,False,9</CLI>
                                  <ELN>1</ELN>
                                  <LOOT>0</LOOT>
                                  <LOMN>3</LOMN>
                                  <LOMCN>1</LOMCN>
                                  <LOSN>1</LOSN>
                                  <LOEN>10</LOEN>
                                  <LOCN>9</LOCN>
                                </LnkInProps>
                              </LnkIn>
                            </Ctg>
                            <Ctg>
                              <CtgProps>
                                <R>4</R>
                              </CtgProps>
                              <LnkIn>
                                <LnkInProps>
                                  <MN>30</MN>
                                  <CLI>1,1,39,False,10</CLI>
                                  <ELN>1</ELN>
                                  <LOOT>0</LOOT>
                                  <LOMN>3</LOMN>
                                  <LOMCN>1</LOMCN>
                                  <LOSN>1</LOSN>
                                  <LOEN>10</LOEN>
                                  <LOCN>10</LOCN>
                                </LnkInProps>
                              </LnkIn>
                            </Ctg>
                            <Ctg>
                              <CtgProps>
                                <R>4</R>
                              </CtgProps>
                              <LnkIn>
                                <LnkInProps>
                                  <MN>30</MN>
                                  <CLI>1,1,39,False,11</CLI>
                                  <ELN>1</ELN>
                                  <LOOT>0</LOOT>
                                  <LOMN>3</LOMN>
                                  <LOMCN>1</LOMCN>
                                  <LOSN>1</LOSN>
                                  <LOEN>10</LOEN>
                                  <LOCN>11</LOCN>
                                </LnkInProps>
                              </LnkIn>
                            </Ctg>
                            <Ctg>
                              <CtgProps>
                                <R>4</R>
                              </CtgProps>
                              <LnkIn>
                                <LnkInProps>
                                  <MN>30</MN>
                                  <CLI>1,1,39,False,12</CLI>
                                  <ELN>1</ELN>
                                  <LOOT>0</LOOT>
                                  <LOMN>3</LOMN>
                                  <LOMCN>1</LOMCN>
                                  <LOSN>1</LOSN>
                                  <LOEN>10</LOEN>
                                  <LOCN>12</LOCN>
                                </LnkInProps>
                              </LnkIn>
                            </Ctg>
                            <Ctg>
                              <CtgProps>
                                <R>4</R>
                              </CtgProps>
                              <LnkIn>
                                <LnkInProps>
                                  <MN>30</MN>
                                  <CLI>1,1,39,False,13</CLI>
                                  <ELN>1</ELN>
                                  <LOOT>0</LOOT>
                                  <LOMN>3</LOMN>
                                  <LOMCN>1</LOMCN>
                                  <LOSN>1</LOSN>
                                  <LOEN>10</LOEN>
                                  <LOCN>13</LOCN>
                                </LnkInProps>
                              </LnkIn>
                            </Ctg>
                            <Ctg>
                              <CtgProps>
                                <R>4</R>
                              </CtgProps>
                              <LnkIn>
                                <LnkInProps>
                                  <MN>30</MN>
                                  <CLI>1,1,39,False,14</CLI>
                                  <ELN>1</ELN>
                                  <LOOT>0</LOOT>
                                  <LOMN>3</LOMN>
                                  <LOMCN>1</LOMCN>
                                  <LOSN>1</LOSN>
                                  <LOEN>10</LOEN>
                                  <LOCN>14</LOCN>
                                </LnkInProps>
                              </LnkIn>
                            </Ctg>
                            <Ctg>
                              <CtgProps>
                                <R>5</R>
                              </CtgProps>
                              <LnkIn>
                                <LnkInProps>
                                  <MN>30</MN>
                                  <CLI>1,1,39,False,15</CLI>
                                  <ELN>1</ELN>
                                  <LOOT>0</LOOT>
                                  <LOMN>3</LOMN>
                                  <LOMCN>1</LOMCN>
                                  <LOSN>1</LOSN>
                                  <LOEN>10</LOEN>
                                  <LOCN>15</LOCN>
                                </LnkInProps>
                              </LnkIn>
                            </Ctg>
                            <Ctg>
                              <CtgProps>
                                <R>5</R>
                              </CtgProps>
                              <LnkIn>
                                <LnkInProps>
                                  <MN>30</MN>
                                  <CLI>1,1,39,False,16</CLI>
                                  <ELN>1</ELN>
                                  <LOOT>0</LOOT>
                                  <LOMN>3</LOMN>
                                  <LOMCN>1</LOMCN>
                                  <LOSN>1</LOSN>
                                  <LOEN>10</LOEN>
                                  <LOCN>16</LOCN>
                                </LnkInProps>
                              </LnkIn>
                            </Ctg>
                            <Ctg>
                              <CtgProps>
                                <R>5</R>
                              </CtgProps>
                              <LnkIn>
                                <LnkInProps>
                                  <MN>30</MN>
                                  <CLI>1,1,39,False,17</CLI>
                                  <ELN>1</ELN>
                                  <LOOT>0</LOOT>
                                  <LOMN>3</LOMN>
                                  <LOMCN>1</LOMCN>
                                  <LOSN>1</LOSN>
                                  <LOEN>10</LOEN>
                                  <LOCN>17</LOCN>
                                </LnkInProps>
                              </LnkIn>
                            </Ctg>
                            <Ctg>
                              <CtgProps>
                                <R>5</R>
                              </CtgProps>
                              <LnkIn>
                                <LnkInProps>
                                  <MN>30</MN>
                                  <CLI>1,1,39,False,18</CLI>
                                  <ELN>1</ELN>
                                  <LOOT>0</LOOT>
                                  <LOMN>3</LOMN>
                                  <LOMCN>1</LOMCN>
                                  <LOSN>1</LOSN>
                                  <LOEN>10</LOEN>
                                  <LOCN>18</LOCN>
                                </LnkInProps>
                              </LnkIn>
                            </Ctg>
                            <Ctg>
                              <CtgProps>
                                <R>5</R>
                              </CtgProps>
                              <LnkIn>
                                <LnkInProps>
                                  <MN>30</MN>
                                  <CLI>1,1,39,False,19</CLI>
                                  <ELN>1</ELN>
                                  <LOOT>0</LOOT>
                                  <LOMN>3</LOMN>
                                  <LOMCN>1</LOMCN>
                                  <LOSN>1</LOSN>
                                  <LOEN>10</LOEN>
                                  <LOCN>19</LOCN>
                                </LnkInProps>
                              </LnkIn>
                            </Ctg>
                            <Ctg>
                              <CtgProps>
                                <R>5</R>
                              </CtgProps>
                              <LnkIn>
                                <LnkInProps>
                                  <MN>30</MN>
                                  <CLI>1,1,39,False,20</CLI>
                                  <ELN>1</ELN>
                                  <LOOT>0</LOOT>
                                  <LOMN>3</LOMN>
                                  <LOMCN>1</LOMCN>
                                  <LOSN>1</LOSN>
                                  <LOEN>10</LOEN>
                                  <LOCN>20</LOCN>
                                </LnkInProps>
                              </LnkIn>
                            </Ctg>
                            <Ctg>
                              <CtgProps>
                                <R>5</R>
                              </CtgProps>
                              <LnkIn>
                                <LnkInProps>
                                  <MN>30</MN>
                                  <CLI>1,1,39,False,21</CLI>
                                  <ELN>1</ELN>
                                  <LOOT>0</LOOT>
                                  <LOMN>3</LOMN>
                                  <LOMCN>1</LOMCN>
                                  <LOSN>1</LOSN>
                                  <LOEN>10</LOEN>
                                  <LOCN>21</LOCN>
                                </LnkInProps>
                              </LnkIn>
                            </Ctg>
                            <Ctg>
                              <CtgProps>
                                <R>5</R>
                              </CtgProps>
                              <LnkIn>
                                <LnkInProps>
                                  <MN>30</MN>
                                  <CLI>1,1,39,False,22</CLI>
                                  <ELN>1</ELN>
                                  <LOOT>0</LOOT>
                                  <LOMN>3</LOMN>
                                  <LOMCN>1</LOMCN>
                                  <LOSN>1</LOSN>
                                  <LOEN>10</LOEN>
                                  <LOCN>22</LOCN>
                                </LnkInProps>
                              </LnkIn>
                            </Ctg>
                            <Ctg>
                              <CtgProps>
                                <R>5</R>
                              </CtgProps>
                              <LnkIn>
                                <LnkInProps>
                                  <MN>30</MN>
                                  <CLI>1,1,39,False,23</CLI>
                                  <ELN>1</ELN>
                                  <LOOT>0</LOOT>
                                  <LOMN>3</LOMN>
                                  <LOMCN>1</LOMCN>
                                  <LOSN>1</LOSN>
                                  <LOEN>10</LOEN>
                                  <LOCN>23</LOCN>
                                </LnkInProps>
                              </LnkIn>
                            </Ctg>
                            <Ctg>
                              <CtgProps>
                                <R>5</R>
                              </CtgProps>
                              <LnkIn>
                                <LnkInProps>
                                  <MN>30</MN>
                                  <CLI>1,1,39,False,24</CLI>
                                  <ELN>1</ELN>
                                  <LOOT>0</LOOT>
                                  <LOMN>3</LOMN>
                                  <LOMCN>1</LOMCN>
                                  <LOSN>1</LOSN>
                                  <LOEN>10</LOEN>
                                  <LOCN>24</LOCN>
                                </LnkInProps>
                              </LnkIn>
                            </Ctg>
                            <Ctg>
                              <CtgProps>
                                <R>5</R>
                              </CtgProps>
                              <LnkIn>
                                <LnkInProps>
                                  <MN>30</MN>
                                  <CLI>1,1,39,False,25</CLI>
                                  <ELN>1</ELN>
                                  <LOOT>0</LOOT>
                                  <LOMN>3</LOMN>
                                  <LOMCN>1</LOMCN>
                                  <LOSN>1</LOSN>
                                  <LOEN>10</LOEN>
                                  <LOCN>25</LOCN>
                                </LnkInProps>
                              </LnkIn>
                            </Ctg>
                            <Ctg>
                              <CtgProps>
                                <R>5</R>
                              </CtgProps>
                              <LnkIn>
                                <LnkInProps>
                                  <MN>30</MN>
                                  <CLI>1,1,39,False,26</CLI>
                                  <ELN>1</ELN>
                                  <LOOT>0</LOOT>
                                  <LOMN>3</LOMN>
                                  <LOMCN>1</LOMCN>
                                  <LOSN>1</LOSN>
                                  <LOEN>10</LOEN>
                                  <LOCN>26</LOCN>
                                </LnkInProps>
                              </LnkIn>
                            </Ctg>
                            <Ctg>
                              <CtgProps>
                                <R>5</R>
                              </CtgProps>
                              <LnkIn>
                                <LnkInProps>
                                  <MN>30</MN>
                                  <CLI>1,1,39,False,27</CLI>
                                  <ELN>1</ELN>
                                  <LOOT>0</LOOT>
                                  <LOMN>3</LOMN>
                                  <LOMCN>1</LOMCN>
                                  <LOSN>1</LOSN>
                                  <LOEN>10</LOEN>
                                  <LOCN>27</LOCN>
                                </LnkInProps>
                              </LnkIn>
                            </Ctg>
                            <Ctg>
                              <CtgProps>
                                <R>5</R>
                              </CtgProps>
                              <LnkIn>
                                <LnkInProps>
                                  <MN>30</MN>
                                  <CLI>1,1,39,False,28</CLI>
                                  <ELN>1</ELN>
                                  <LOOT>0</LOOT>
                                  <LOMN>3</LOMN>
                                  <LOMCN>1</LOMCN>
                                  <LOSN>1</LOSN>
                                  <LOEN>10</LOEN>
                                  <LOCN>28</LOCN>
                                </LnkInProps>
                              </LnkIn>
                            </Ctg>
                            <Ctg>
                              <CtgProps>
                                <R>5</R>
                              </CtgProps>
                              <LnkIn>
                                <LnkInProps>
                                  <MN>30</MN>
                                  <CLI>1,1,39,False,29</CLI>
                                  <ELN>1</ELN>
                                  <LOOT>0</LOOT>
                                  <LOMN>3</LOMN>
                                  <LOMCN>1</LOMCN>
                                  <LOSN>1</LOSN>
                                  <LOEN>10</LOEN>
                                  <LOCN>29</LOCN>
                                </LnkInProps>
                              </LnkIn>
                            </Ctg>
                            <Ctg>
                              <CtgProps>
                                <R>5</R>
                              </CtgProps>
                              <LnkIn>
                                <LnkInProps>
                                  <MN>30</MN>
                                  <CLI>1,1,39,False,30</CLI>
                                  <ELN>1</ELN>
                                  <LOOT>0</LOOT>
                                  <LOMN>3</LOMN>
                                  <LOMCN>1</LOMCN>
                                  <LOSN>1</LOSN>
                                  <LOEN>10</LOEN>
                                  <LOCN>30</LOCN>
                                </LnkInProps>
                              </LnkIn>
                            </Ctg>
                            <Ctg>
                              <CtgProps>
                                <R>5</R>
                              </CtgProps>
                              <LnkIn>
                                <LnkInProps>
                                  <MN>30</MN>
                                  <CLI>1,1,39,False,31</CLI>
                                  <ELN>1</ELN>
                                  <LOOT>0</LOOT>
                                  <LOMN>3</LOMN>
                                  <LOMCN>1</LOMCN>
                                  <LOSN>1</LOSN>
                                  <LOEN>10</LOEN>
                                  <LOCN>31</LOCN>
                                </LnkInProps>
                              </LnkIn>
                            </Ctg>
                            <Ctg>
                              <CtgProps>
                                <R>5</R>
                              </CtgProps>
                              <LnkIn>
                                <LnkInProps>
                                  <MN>30</MN>
                                  <CLI>1,1,39,False,32</CLI>
                                  <ELN>1</ELN>
                                  <LOOT>0</LOOT>
                                  <LOMN>3</LOMN>
                                  <LOMCN>1</LOMCN>
                                  <LOSN>1</LOSN>
                                  <LOEN>10</LOEN>
                                  <LOCN>32</LOCN>
                                </LnkInProps>
                              </LnkIn>
                            </Ctg>
                            <Ctg>
                              <CtgProps>
                                <R>5</R>
                              </CtgProps>
                              <LnkIn>
                                <LnkInProps>
                                  <MN>30</MN>
                                  <CLI>1,1,39,False,33</CLI>
                                  <ELN>1</ELN>
                                  <LOOT>0</LOOT>
                                  <LOMN>3</LOMN>
                                  <LOMCN>1</LOMCN>
                                  <LOSN>1</LOSN>
                                  <LOEN>10</LOEN>
                                  <LOCN>33</LOCN>
                                </LnkInProps>
                              </LnkIn>
                            </Ctg>
                            <Ctg>
                              <CtgProps>
                                <R>5</R>
                              </CtgProps>
                              <LnkIn>
                                <LnkInProps>
                                  <MN>30</MN>
                                  <CLI>1,1,39,False,34</CLI>
                                  <ELN>1</ELN>
                                  <LOOT>0</LOOT>
                                  <LOMN>3</LOMN>
                                  <LOMCN>1</LOMCN>
                                  <LOSN>1</LOSN>
                                  <LOEN>10</LOEN>
                                  <LOCN>34</LOCN>
                                </LnkInProps>
                              </LnkIn>
                            </Ctg>
                            <Ctg>
                              <CtgProps>
                                <R>5</R>
                              </CtgProps>
                              <LnkIn>
                                <LnkInProps>
                                  <MN>30</MN>
                                  <CLI>1,1,39,False,35</CLI>
                                  <ELN>1</ELN>
                                  <LOOT>0</LOOT>
                                  <LOMN>3</LOMN>
                                  <LOMCN>1</LOMCN>
                                  <LOSN>1</LOSN>
                                  <LOEN>10</LOEN>
                                  <LOCN>35</LOCN>
                                </LnkInProps>
                              </LnkIn>
                            </Ctg>
                          </Ctgs>
                        </SubTtl>
                      </SubTtls>
                      <TtlCtg/>
                      <ElmtLnksIn>
                        <ElmtLnk>
                          <ElmtLnkProps>
                            <ELI>1,1,39</ELI>
                            <ELN>1</ELN>
                            <ELGN>2</ELGN>
                            <MLG>CAC8B5C0-233F-4D13-BCDB-E76500A60063</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7</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1,1,42,3,1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1,1,42,4,1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1,1,42,5,1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30</MN>
                                  <CLI>1,1,42,False,1</CLI>
                                  <ELN>1</ELN>
                                  <LOOT>0</LOOT>
                                  <LOMN>3</LOMN>
                                  <LOMCN>1</LOMCN>
                                  <LOSN>1</LOSN>
                                  <LOEN>15</LOEN>
                                  <LOCN>1</LOCN>
                                </LnkInProps>
                              </LnkIn>
                            </Ctg>
                            <Ctg>
                              <CtgProps>
                                <R>4</R>
                              </CtgProps>
                              <LnkIn>
                                <LnkInProps>
                                  <MN>30</MN>
                                  <CLI>1,1,42,False,2</CLI>
                                  <ELN>1</ELN>
                                  <LOOT>0</LOOT>
                                  <LOMN>3</LOMN>
                                  <LOMCN>1</LOMCN>
                                  <LOSN>1</LOSN>
                                  <LOEN>15</LOEN>
                                  <LOCN>2</LOCN>
                                </LnkInProps>
                              </LnkIn>
                            </Ctg>
                            <Ctg>
                              <CtgProps>
                                <R>4</R>
                              </CtgProps>
                              <LnkIn>
                                <LnkInProps>
                                  <MN>30</MN>
                                  <CLI>1,1,42,False,3</CLI>
                                  <ELN>1</ELN>
                                  <LOOT>0</LOOT>
                                  <LOMN>3</LOMN>
                                  <LOMCN>1</LOMCN>
                                  <LOSN>1</LOSN>
                                  <LOEN>15</LOEN>
                                  <LOCN>3</LOCN>
                                </LnkInProps>
                              </LnkIn>
                            </Ctg>
                            <Ctg>
                              <CtgProps>
                                <R>4</R>
                              </CtgProps>
                              <LnkIn>
                                <LnkInProps>
                                  <MN>30</MN>
                                  <CLI>1,1,42,False,4</CLI>
                                  <ELN>1</ELN>
                                  <LOOT>0</LOOT>
                                  <LOMN>3</LOMN>
                                  <LOMCN>1</LOMCN>
                                  <LOSN>1</LOSN>
                                  <LOEN>15</LOEN>
                                  <LOCN>4</LOCN>
                                </LnkInProps>
                              </LnkIn>
                            </Ctg>
                            <Ctg>
                              <CtgProps>
                                <R>5</R>
                              </CtgProps>
                              <LnkIn>
                                <LnkInProps>
                                  <MN>30</MN>
                                  <CLI>1,1,42,False,5</CLI>
                                  <ELN>1</ELN>
                                  <LOOT>0</LOOT>
                                  <LOMN>3</LOMN>
                                  <LOMCN>1</LOMCN>
                                  <LOSN>1</LOSN>
                                  <LOEN>15</LOEN>
                                  <LOCN>5</LOCN>
                                </LnkInProps>
                              </LnkIn>
                            </Ctg>
                            <Ctg>
                              <CtgProps>
                                <R>5</R>
                              </CtgProps>
                              <LnkIn>
                                <LnkInProps>
                                  <MN>30</MN>
                                  <CLI>1,1,42,False,6</CLI>
                                  <ELN>1</ELN>
                                  <LOOT>0</LOOT>
                                  <LOMN>3</LOMN>
                                  <LOMCN>1</LOMCN>
                                  <LOSN>1</LOSN>
                                  <LOEN>15</LOEN>
                                  <LOCN>6</LOCN>
                                </LnkInProps>
                              </LnkIn>
                            </Ctg>
                            <Ctg>
                              <CtgProps>
                                <R>5</R>
                              </CtgProps>
                              <LnkIn>
                                <LnkInProps>
                                  <MN>30</MN>
                                  <CLI>1,1,42,False,7</CLI>
                                  <ELN>1</ELN>
                                  <LOOT>0</LOOT>
                                  <LOMN>3</LOMN>
                                  <LOMCN>1</LOMCN>
                                  <LOSN>1</LOSN>
                                  <LOEN>15</LOEN>
                                  <LOCN>7</LOCN>
                                </LnkInProps>
                              </LnkIn>
                            </Ctg>
                            <Ctg>
                              <CtgProps>
                                <R>5</R>
                              </CtgProps>
                              <LnkIn>
                                <LnkInProps>
                                  <MN>30</MN>
                                  <CLI>1,1,42,False,8</CLI>
                                  <ELN>1</ELN>
                                  <LOOT>0</LOOT>
                                  <LOMN>3</LOMN>
                                  <LOMCN>1</LOMCN>
                                  <LOSN>1</LOSN>
                                  <LOEN>15</LOEN>
                                  <LOCN>8</LOCN>
                                </LnkInProps>
                              </LnkIn>
                            </Ctg>
                            <Ctg>
                              <CtgProps>
                                <R>5</R>
                              </CtgProps>
                              <LnkIn>
                                <LnkInProps>
                                  <MN>30</MN>
                                  <CLI>1,1,42,False,9</CLI>
                                  <ELN>1</ELN>
                                  <LOOT>0</LOOT>
                                  <LOMN>3</LOMN>
                                  <LOMCN>1</LOMCN>
                                  <LOSN>1</LOSN>
                                  <LOEN>15</LOEN>
                                  <LOCN>9</LOCN>
                                </LnkInProps>
                              </LnkIn>
                            </Ctg>
                            <Ctg>
                              <CtgProps>
                                <R>5</R>
                              </CtgProps>
                              <LnkIn>
                                <LnkInProps>
                                  <MN>30</MN>
                                  <CLI>1,1,42,False,10</CLI>
                                  <ELN>1</ELN>
                                  <LOOT>0</LOOT>
                                  <LOMN>3</LOMN>
                                  <LOMCN>1</LOMCN>
                                  <LOSN>1</LOSN>
                                  <LOEN>15</LOEN>
                                  <LOCN>10</LOCN>
                                </LnkInProps>
                              </LnkIn>
                            </Ctg>
                            <Ctg>
                              <CtgProps>
                                <R>5</R>
                              </CtgProps>
                              <LnkIn>
                                <LnkInProps>
                                  <MN>30</MN>
                                  <CLI>1,1,42,False,11</CLI>
                                  <ELN>1</ELN>
                                  <LOOT>0</LOOT>
                                  <LOMN>3</LOMN>
                                  <LOMCN>1</LOMCN>
                                  <LOSN>1</LOSN>
                                  <LOEN>15</LOEN>
                                  <LOCN>11</LOCN>
                                </LnkInProps>
                              </LnkIn>
                            </Ctg>
                            <Ctg>
                              <CtgProps>
                                <R>5</R>
                              </CtgProps>
                              <LnkIn>
                                <LnkInProps>
                                  <MN>30</MN>
                                  <CLI>1,1,42,False,12</CLI>
                                  <ELN>1</ELN>
                                  <LOOT>0</LOOT>
                                  <LOMN>3</LOMN>
                                  <LOMCN>1</LOMCN>
                                  <LOSN>1</LOSN>
                                  <LOEN>15</LOEN>
                                  <LOCN>12</LOCN>
                                </LnkInProps>
                              </LnkIn>
                            </Ctg>
                            <Ctg>
                              <CtgProps>
                                <R>5</R>
                              </CtgProps>
                              <LnkIn>
                                <LnkInProps>
                                  <MN>30</MN>
                                  <CLI>1,1,42,False,13</CLI>
                                  <ELN>1</ELN>
                                  <LOOT>0</LOOT>
                                  <LOMN>3</LOMN>
                                  <LOMCN>1</LOMCN>
                                  <LOSN>1</LOSN>
                                  <LOEN>15</LOEN>
                                  <LOCN>13</LOCN>
                                </LnkInProps>
                              </LnkIn>
                            </Ctg>
                            <Ctg>
                              <CtgProps>
                                <R>5</R>
                              </CtgProps>
                              <LnkIn>
                                <LnkInProps>
                                  <MN>30</MN>
                                  <CLI>1,1,42,False,14</CLI>
                                  <ELN>1</ELN>
                                  <LOOT>0</LOOT>
                                  <LOMN>3</LOMN>
                                  <LOMCN>1</LOMCN>
                                  <LOSN>1</LOSN>
                                  <LOEN>15</LOEN>
                                  <LOCN>14</LOCN>
                                </LnkInProps>
                              </LnkIn>
                            </Ctg>
                            <Ctg>
                              <CtgProps>
                                <R>5</R>
                              </CtgProps>
                              <LnkIn>
                                <LnkInProps>
                                  <MN>30</MN>
                                  <CLI>1,1,42,False,15</CLI>
                                  <ELN>1</ELN>
                                  <LOOT>0</LOOT>
                                  <LOMN>3</LOMN>
                                  <LOMCN>1</LOMCN>
                                  <LOSN>1</LOSN>
                                  <LOEN>15</LOEN>
                                  <LOCN>15</LOCN>
                                </LnkInProps>
                              </LnkIn>
                            </Ctg>
                            <Ctg>
                              <CtgProps>
                                <R>5</R>
                              </CtgProps>
                              <LnkIn>
                                <LnkInProps>
                                  <MN>30</MN>
                                  <CLI>1,1,42,False,16</CLI>
                                  <ELN>1</ELN>
                                  <LOOT>0</LOOT>
                                  <LOMN>3</LOMN>
                                  <LOMCN>1</LOMCN>
                                  <LOSN>1</LOSN>
                                  <LOEN>15</LOEN>
                                  <LOCN>16</LOCN>
                                </LnkInProps>
                              </LnkIn>
                            </Ctg>
                            <Ctg>
                              <CtgProps>
                                <R>4</R>
                              </CtgProps>
                              <LnkIn>
                                <LnkInProps>
                                  <MN>30</MN>
                                  <CLI>1,1,42,False,17</CLI>
                                  <ELN>1</ELN>
                                  <LOOT>0</LOOT>
                                  <LOMN>3</LOMN>
                                  <LOMCN>1</LOMCN>
                                  <LOSN>1</LOSN>
                                  <LOEN>15</LOEN>
                                  <LOCN>17</LOCN>
                                </LnkInProps>
                              </LnkIn>
                            </Ctg>
                            <Ctg>
                              <CtgProps>
                                <R>4</R>
                              </CtgProps>
                              <LnkIn>
                                <LnkInProps>
                                  <MN>30</MN>
                                  <CLI>1,1,42,False,18</CLI>
                                  <ELN>1</ELN>
                                  <LOOT>0</LOOT>
                                  <LOMN>3</LOMN>
                                  <LOMCN>1</LOMCN>
                                  <LOSN>1</LOSN>
                                  <LOEN>15</LOEN>
                                  <LOCN>18</LOCN>
                                </LnkInProps>
                              </LnkIn>
                            </Ctg>
                            <Ctg>
                              <CtgProps>
                                <R>4</R>
                              </CtgProps>
                              <LnkIn>
                                <LnkInProps>
                                  <MN>30</MN>
                                  <CLI>1,1,42,False,19</CLI>
                                  <ELN>1</ELN>
                                  <LOOT>0</LOOT>
                                  <LOMN>3</LOMN>
                                  <LOMCN>1</LOMCN>
                                  <LOSN>1</LOSN>
                                  <LOEN>15</LOEN>
                                  <LOCN>19</LOCN>
                                </LnkInProps>
                              </LnkIn>
                            </Ctg>
                            <Ctg>
                              <CtgProps>
                                <R>4</R>
                              </CtgProps>
                              <LnkIn>
                                <LnkInProps>
                                  <MN>30</MN>
                                  <CLI>1,1,42,False,20</CLI>
                                  <ELN>1</ELN>
                                  <LOOT>0</LOOT>
                                  <LOMN>3</LOMN>
                                  <LOMCN>1</LOMCN>
                                  <LOSN>1</LOSN>
                                  <LOEN>15</LOEN>
                                  <LOCN>20</LOCN>
                                </LnkInProps>
                              </LnkIn>
                            </Ctg>
                            <Ctg>
                              <CtgProps>
                                <R>4</R>
                              </CtgProps>
                              <LnkIn>
                                <LnkInProps>
                                  <MN>30</MN>
                                  <CLI>1,1,42,False,21</CLI>
                                  <ELN>1</ELN>
                                  <LOOT>0</LOOT>
                                  <LOMN>3</LOMN>
                                  <LOMCN>1</LOMCN>
                                  <LOSN>1</LOSN>
                                  <LOEN>15</LOEN>
                                  <LOCN>21</LOCN>
                                </LnkInProps>
                              </LnkIn>
                            </Ctg>
                            <Ctg>
                              <CtgProps>
                                <R>4</R>
                              </CtgProps>
                              <LnkIn>
                                <LnkInProps>
                                  <MN>30</MN>
                                  <CLI>1,1,42,False,22</CLI>
                                  <ELN>1</ELN>
                                  <LOOT>0</LOOT>
                                  <LOMN>3</LOMN>
                                  <LOMCN>1</LOMCN>
                                  <LOSN>1</LOSN>
                                  <LOEN>15</LOEN>
                                  <LOCN>22</LOCN>
                                </LnkInProps>
                              </LnkIn>
                            </Ctg>
                            <Ctg>
                              <CtgProps>
                                <R>5</R>
                              </CtgProps>
                              <LnkIn>
                                <LnkInProps>
                                  <MN>30</MN>
                                  <CLI>1,1,42,False,23</CLI>
                                  <ELN>1</ELN>
                                  <LOOT>0</LOOT>
                                  <LOMN>3</LOMN>
                                  <LOMCN>1</LOMCN>
                                  <LOSN>1</LOSN>
                                  <LOEN>15</LOEN>
                                  <LOCN>23</LOCN>
                                </LnkInProps>
                              </LnkIn>
                            </Ctg>
                            <Ctg>
                              <CtgProps>
                                <R>5</R>
                              </CtgProps>
                              <LnkIn>
                                <LnkInProps>
                                  <MN>30</MN>
                                  <CLI>1,1,42,False,24</CLI>
                                  <ELN>1</ELN>
                                  <LOOT>0</LOOT>
                                  <LOMN>3</LOMN>
                                  <LOMCN>1</LOMCN>
                                  <LOSN>1</LOSN>
                                  <LOEN>15</LOEN>
                                  <LOCN>24</LOCN>
                                </LnkInProps>
                              </LnkIn>
                            </Ctg>
                            <Ctg>
                              <CtgProps>
                                <R>5</R>
                              </CtgProps>
                              <LnkIn>
                                <LnkInProps>
                                  <MN>30</MN>
                                  <CLI>1,1,42,False,25</CLI>
                                  <ELN>1</ELN>
                                  <LOOT>0</LOOT>
                                  <LOMN>3</LOMN>
                                  <LOMCN>1</LOMCN>
                                  <LOSN>1</LOSN>
                                  <LOEN>15</LOEN>
                                  <LOCN>25</LOCN>
                                </LnkInProps>
                              </LnkIn>
                            </Ctg>
                            <Ctg>
                              <CtgProps>
                                <R>5</R>
                              </CtgProps>
                              <LnkIn>
                                <LnkInProps>
                                  <MN>30</MN>
                                  <CLI>1,1,42,False,26</CLI>
                                  <ELN>1</ELN>
                                  <LOOT>0</LOOT>
                                  <LOMN>3</LOMN>
                                  <LOMCN>1</LOMCN>
                                  <LOSN>1</LOSN>
                                  <LOEN>15</LOEN>
                                  <LOCN>26</LOCN>
                                </LnkInProps>
                              </LnkIn>
                            </Ctg>
                            <Ctg>
                              <CtgProps>
                                <R>5</R>
                              </CtgProps>
                              <LnkIn>
                                <LnkInProps>
                                  <MN>30</MN>
                                  <CLI>1,1,42,False,27</CLI>
                                  <ELN>1</ELN>
                                  <LOOT>0</LOOT>
                                  <LOMN>3</LOMN>
                                  <LOMCN>1</LOMCN>
                                  <LOSN>1</LOSN>
                                  <LOEN>15</LOEN>
                                  <LOCN>27</LOCN>
                                </LnkInProps>
                              </LnkIn>
                            </Ctg>
                            <Ctg>
                              <CtgProps>
                                <R>5</R>
                              </CtgProps>
                              <LnkIn>
                                <LnkInProps>
                                  <MN>30</MN>
                                  <CLI>1,1,42,False,28</CLI>
                                  <ELN>1</ELN>
                                  <LOOT>0</LOOT>
                                  <LOMN>3</LOMN>
                                  <LOMCN>1</LOMCN>
                                  <LOSN>1</LOSN>
                                  <LOEN>15</LOEN>
                                  <LOCN>28</LOCN>
                                </LnkInProps>
                              </LnkIn>
                            </Ctg>
                            <Ctg>
                              <CtgProps>
                                <R>5</R>
                              </CtgProps>
                              <LnkIn>
                                <LnkInProps>
                                  <MN>30</MN>
                                  <CLI>1,1,42,False,29</CLI>
                                  <ELN>1</ELN>
                                  <LOOT>0</LOOT>
                                  <LOMN>3</LOMN>
                                  <LOMCN>1</LOMCN>
                                  <LOSN>1</LOSN>
                                  <LOEN>15</LOEN>
                                  <LOCN>29</LOCN>
                                </LnkInProps>
                              </LnkIn>
                            </Ctg>
                            <Ctg>
                              <CtgProps>
                                <R>5</R>
                              </CtgProps>
                              <LnkIn>
                                <LnkInProps>
                                  <MN>30</MN>
                                  <CLI>1,1,42,False,30</CLI>
                                  <ELN>1</ELN>
                                  <LOOT>0</LOOT>
                                  <LOMN>3</LOMN>
                                  <LOMCN>1</LOMCN>
                                  <LOSN>1</LOSN>
                                  <LOEN>15</LOEN>
                                  <LOCN>30</LOCN>
                                </LnkInProps>
                              </LnkIn>
                            </Ctg>
                            <Ctg>
                              <CtgProps>
                                <R>4</R>
                              </CtgProps>
                              <LnkIn>
                                <LnkInProps>
                                  <MN>30</MN>
                                  <CLI>1,1,42,False,31</CLI>
                                  <ELN>1</ELN>
                                  <LOOT>0</LOOT>
                                  <LOMN>3</LOMN>
                                  <LOMCN>1</LOMCN>
                                  <LOSN>1</LOSN>
                                  <LOEN>15</LOEN>
                                  <LOCN>31</LOCN>
                                </LnkInProps>
                              </LnkIn>
                            </Ctg>
                            <Ctg>
                              <CtgProps>
                                <R>4</R>
                              </CtgProps>
                              <LnkIn>
                                <LnkInProps>
                                  <MN>30</MN>
                                  <CLI>1,1,42,False,32</CLI>
                                  <ELN>1</ELN>
                                  <LOOT>0</LOOT>
                                  <LOMN>3</LOMN>
                                  <LOMCN>1</LOMCN>
                                  <LOSN>1</LOSN>
                                  <LOEN>15</LOEN>
                                  <LOCN>32</LOCN>
                                </LnkInProps>
                              </LnkIn>
                            </Ctg>
                            <Ctg>
                              <CtgProps>
                                <R>4</R>
                              </CtgProps>
                              <LnkIn>
                                <LnkInProps>
                                  <MN>30</MN>
                                  <CLI>1,1,42,False,33</CLI>
                                  <ELN>1</ELN>
                                  <LOOT>0</LOOT>
                                  <LOMN>3</LOMN>
                                  <LOMCN>1</LOMCN>
                                  <LOSN>1</LOSN>
                                  <LOEN>15</LOEN>
                                  <LOCN>33</LOCN>
                                </LnkInProps>
                              </LnkIn>
                            </Ctg>
                            <Ctg>
                              <CtgProps>
                                <R>4</R>
                              </CtgProps>
                              <LnkIn>
                                <LnkInProps>
                                  <MN>30</MN>
                                  <CLI>1,1,42,False,34</CLI>
                                  <ELN>1</ELN>
                                  <LOOT>0</LOOT>
                                  <LOMN>3</LOMN>
                                  <LOMCN>1</LOMCN>
                                  <LOSN>1</LOSN>
                                  <LOEN>15</LOEN>
                                  <LOCN>34</LOCN>
                                </LnkInProps>
                              </LnkIn>
                            </Ctg>
                            <Ctg>
                              <CtgProps>
                                <R>4</R>
                              </CtgProps>
                              <LnkIn>
                                <LnkInProps>
                                  <MN>30</MN>
                                  <CLI>1,1,42,False,35</CLI>
                                  <ELN>1</ELN>
                                  <LOOT>0</LOOT>
                                  <LOMN>3</LOMN>
                                  <LOMCN>1</LOMCN>
                                  <LOSN>1</LOSN>
                                  <LOEN>15</LOEN>
                                  <LOCN>35</LOCN>
                                </LnkInProps>
                              </LnkIn>
                            </Ctg>
                          </Ctgs>
                        </SubTtl>
                      </SubTtls>
                      <TtlCtg/>
                      <ElmtLnksIn>
                        <ElmtLnk>
                          <ElmtLnkProps>
                            <ELI>1,1,42</ELI>
                            <ELN>1</ELN>
                            <ELGN>3</ELGN>
                            <MLG>9954C197-DC59-49F2-BACE-BDAFCC88813C</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8</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1,1,46,3,1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1,1,46,4,1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1,1,46,5,1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30</MN>
                                  <CLI>1,1,46,False,1</CLI>
                                  <ELN>1</ELN>
                                  <LOOT>0</LOOT>
                                  <LOMN>3</LOMN>
                                  <LOMCN>1</LOMCN>
                                  <LOSN>1</LOSN>
                                  <LOEN>19</LOEN>
                                  <LOCN>1</LOCN>
                                </LnkInProps>
                              </LnkIn>
                            </Ctg>
                            <Ctg>
                              <CtgProps>
                                <R>4</R>
                              </CtgProps>
                              <LnkIn>
                                <LnkInProps>
                                  <MN>30</MN>
                                  <CLI>1,1,46,False,2</CLI>
                                  <ELN>1</ELN>
                                  <LOOT>0</LOOT>
                                  <LOMN>3</LOMN>
                                  <LOMCN>1</LOMCN>
                                  <LOSN>1</LOSN>
                                  <LOEN>19</LOEN>
                                  <LOCN>2</LOCN>
                                </LnkInProps>
                              </LnkIn>
                            </Ctg>
                            <Ctg>
                              <CtgProps>
                                <R>4</R>
                              </CtgProps>
                              <LnkIn>
                                <LnkInProps>
                                  <MN>30</MN>
                                  <CLI>1,1,46,False,3</CLI>
                                  <ELN>1</ELN>
                                  <LOOT>0</LOOT>
                                  <LOMN>3</LOMN>
                                  <LOMCN>1</LOMCN>
                                  <LOSN>1</LOSN>
                                  <LOEN>19</LOEN>
                                  <LOCN>3</LOCN>
                                </LnkInProps>
                              </LnkIn>
                            </Ctg>
                            <Ctg>
                              <CtgProps>
                                <R>4</R>
                              </CtgProps>
                              <LnkIn>
                                <LnkInProps>
                                  <MN>30</MN>
                                  <CLI>1,1,46,False,4</CLI>
                                  <ELN>1</ELN>
                                  <LOOT>0</LOOT>
                                  <LOMN>3</LOMN>
                                  <LOMCN>1</LOMCN>
                                  <LOSN>1</LOSN>
                                  <LOEN>19</LOEN>
                                  <LOCN>4</LOCN>
                                </LnkInProps>
                              </LnkIn>
                            </Ctg>
                            <Ctg>
                              <CtgProps>
                                <R>4</R>
                              </CtgProps>
                              <LnkIn>
                                <LnkInProps>
                                  <MN>30</MN>
                                  <CLI>1,1,46,False,5</CLI>
                                  <ELN>1</ELN>
                                  <LOOT>0</LOOT>
                                  <LOMN>3</LOMN>
                                  <LOMCN>1</LOMCN>
                                  <LOSN>1</LOSN>
                                  <LOEN>19</LOEN>
                                  <LOCN>5</LOCN>
                                </LnkInProps>
                              </LnkIn>
                            </Ctg>
                            <Ctg>
                              <CtgProps>
                                <R>4</R>
                              </CtgProps>
                              <LnkIn>
                                <LnkInProps>
                                  <MN>30</MN>
                                  <CLI>1,1,46,False,6</CLI>
                                  <ELN>1</ELN>
                                  <LOOT>0</LOOT>
                                  <LOMN>3</LOMN>
                                  <LOMCN>1</LOMCN>
                                  <LOSN>1</LOSN>
                                  <LOEN>19</LOEN>
                                  <LOCN>6</LOCN>
                                </LnkInProps>
                              </LnkIn>
                            </Ctg>
                            <Ctg>
                              <CtgProps>
                                <R>4</R>
                              </CtgProps>
                              <LnkIn>
                                <LnkInProps>
                                  <MN>30</MN>
                                  <CLI>1,1,46,False,7</CLI>
                                  <ELN>1</ELN>
                                  <LOOT>0</LOOT>
                                  <LOMN>3</LOMN>
                                  <LOMCN>1</LOMCN>
                                  <LOSN>1</LOSN>
                                  <LOEN>19</LOEN>
                                  <LOCN>7</LOCN>
                                </LnkInProps>
                              </LnkIn>
                            </Ctg>
                            <Ctg>
                              <CtgProps>
                                <R>4</R>
                              </CtgProps>
                              <LnkIn>
                                <LnkInProps>
                                  <MN>30</MN>
                                  <CLI>1,1,46,False,8</CLI>
                                  <ELN>1</ELN>
                                  <LOOT>0</LOOT>
                                  <LOMN>3</LOMN>
                                  <LOMCN>1</LOMCN>
                                  <LOSN>1</LOSN>
                                  <LOEN>19</LOEN>
                                  <LOCN>8</LOCN>
                                </LnkInProps>
                              </LnkIn>
                            </Ctg>
                            <Ctg>
                              <CtgProps>
                                <R>4</R>
                              </CtgProps>
                              <LnkIn>
                                <LnkInProps>
                                  <MN>30</MN>
                                  <CLI>1,1,46,False,9</CLI>
                                  <ELN>1</ELN>
                                  <LOOT>0</LOOT>
                                  <LOMN>3</LOMN>
                                  <LOMCN>1</LOMCN>
                                  <LOSN>1</LOSN>
                                  <LOEN>19</LOEN>
                                  <LOCN>9</LOCN>
                                </LnkInProps>
                              </LnkIn>
                            </Ctg>
                            <Ctg>
                              <CtgProps>
                                <R>4</R>
                              </CtgProps>
                              <LnkIn>
                                <LnkInProps>
                                  <MN>30</MN>
                                  <CLI>1,1,46,False,10</CLI>
                                  <ELN>1</ELN>
                                  <LOOT>0</LOOT>
                                  <LOMN>3</LOMN>
                                  <LOMCN>1</LOMCN>
                                  <LOSN>1</LOSN>
                                  <LOEN>19</LOEN>
                                  <LOCN>10</LOCN>
                                </LnkInProps>
                              </LnkIn>
                            </Ctg>
                            <Ctg>
                              <CtgProps>
                                <R>4</R>
                              </CtgProps>
                              <LnkIn>
                                <LnkInProps>
                                  <MN>30</MN>
                                  <CLI>1,1,46,False,11</CLI>
                                  <ELN>1</ELN>
                                  <LOOT>0</LOOT>
                                  <LOMN>3</LOMN>
                                  <LOMCN>1</LOMCN>
                                  <LOSN>1</LOSN>
                                  <LOEN>19</LOEN>
                                  <LOCN>11</LOCN>
                                </LnkInProps>
                              </LnkIn>
                            </Ctg>
                            <Ctg>
                              <CtgProps>
                                <R>4</R>
                              </CtgProps>
                              <LnkIn>
                                <LnkInProps>
                                  <MN>30</MN>
                                  <CLI>1,1,46,False,12</CLI>
                                  <ELN>1</ELN>
                                  <LOOT>0</LOOT>
                                  <LOMN>3</LOMN>
                                  <LOMCN>1</LOMCN>
                                  <LOSN>1</LOSN>
                                  <LOEN>19</LOEN>
                                  <LOCN>12</LOCN>
                                </LnkInProps>
                              </LnkIn>
                            </Ctg>
                            <Ctg>
                              <CtgProps>
                                <R>4</R>
                              </CtgProps>
                              <LnkIn>
                                <LnkInProps>
                                  <MN>30</MN>
                                  <CLI>1,1,46,False,13</CLI>
                                  <ELN>1</ELN>
                                  <LOOT>0</LOOT>
                                  <LOMN>3</LOMN>
                                  <LOMCN>1</LOMCN>
                                  <LOSN>1</LOSN>
                                  <LOEN>19</LOEN>
                                  <LOCN>13</LOCN>
                                </LnkInProps>
                              </LnkIn>
                            </Ctg>
                            <Ctg>
                              <CtgProps>
                                <R>4</R>
                              </CtgProps>
                              <LnkIn>
                                <LnkInProps>
                                  <MN>30</MN>
                                  <CLI>1,1,46,False,14</CLI>
                                  <ELN>1</ELN>
                                  <LOOT>0</LOOT>
                                  <LOMN>3</LOMN>
                                  <LOMCN>1</LOMCN>
                                  <LOSN>1</LOSN>
                                  <LOEN>19</LOEN>
                                  <LOCN>14</LOCN>
                                </LnkInProps>
                              </LnkIn>
                            </Ctg>
                            <Ctg>
                              <CtgProps>
                                <R>4</R>
                              </CtgProps>
                              <LnkIn>
                                <LnkInProps>
                                  <MN>30</MN>
                                  <CLI>1,1,46,False,15</CLI>
                                  <ELN>1</ELN>
                                  <LOOT>0</LOOT>
                                  <LOMN>3</LOMN>
                                  <LOMCN>1</LOMCN>
                                  <LOSN>1</LOSN>
                                  <LOEN>19</LOEN>
                                  <LOCN>15</LOCN>
                                </LnkInProps>
                              </LnkIn>
                            </Ctg>
                            <Ctg>
                              <CtgProps>
                                <R>5</R>
                              </CtgProps>
                              <LnkIn>
                                <LnkInProps>
                                  <MN>30</MN>
                                  <CLI>1,1,46,False,16</CLI>
                                  <ELN>1</ELN>
                                  <LOOT>0</LOOT>
                                  <LOMN>3</LOMN>
                                  <LOMCN>1</LOMCN>
                                  <LOSN>1</LOSN>
                                  <LOEN>19</LOEN>
                                  <LOCN>16</LOCN>
                                </LnkInProps>
                              </LnkIn>
                            </Ctg>
                            <Ctg>
                              <CtgProps>
                                <R>5</R>
                              </CtgProps>
                              <LnkIn>
                                <LnkInProps>
                                  <MN>30</MN>
                                  <CLI>1,1,46,False,17</CLI>
                                  <ELN>1</ELN>
                                  <LOOT>0</LOOT>
                                  <LOMN>3</LOMN>
                                  <LOMCN>1</LOMCN>
                                  <LOSN>1</LOSN>
                                  <LOEN>19</LOEN>
                                  <LOCN>17</LOCN>
                                </LnkInProps>
                              </LnkIn>
                            </Ctg>
                            <Ctg>
                              <CtgProps>
                                <R>5</R>
                              </CtgProps>
                              <LnkIn>
                                <LnkInProps>
                                  <MN>30</MN>
                                  <CLI>1,1,46,False,18</CLI>
                                  <ELN>1</ELN>
                                  <LOOT>0</LOOT>
                                  <LOMN>3</LOMN>
                                  <LOMCN>1</LOMCN>
                                  <LOSN>1</LOSN>
                                  <LOEN>19</LOEN>
                                  <LOCN>18</LOCN>
                                </LnkInProps>
                              </LnkIn>
                            </Ctg>
                            <Ctg>
                              <CtgProps>
                                <R>5</R>
                              </CtgProps>
                              <LnkIn>
                                <LnkInProps>
                                  <MN>30</MN>
                                  <CLI>1,1,46,False,19</CLI>
                                  <ELN>1</ELN>
                                  <LOOT>0</LOOT>
                                  <LOMN>3</LOMN>
                                  <LOMCN>1</LOMCN>
                                  <LOSN>1</LOSN>
                                  <LOEN>19</LOEN>
                                  <LOCN>19</LOCN>
                                </LnkInProps>
                              </LnkIn>
                            </Ctg>
                            <Ctg>
                              <CtgProps>
                                <R>5</R>
                              </CtgProps>
                              <LnkIn>
                                <LnkInProps>
                                  <MN>30</MN>
                                  <CLI>1,1,46,False,20</CLI>
                                  <ELN>1</ELN>
                                  <LOOT>0</LOOT>
                                  <LOMN>3</LOMN>
                                  <LOMCN>1</LOMCN>
                                  <LOSN>1</LOSN>
                                  <LOEN>19</LOEN>
                                  <LOCN>20</LOCN>
                                </LnkInProps>
                              </LnkIn>
                            </Ctg>
                            <Ctg>
                              <CtgProps>
                                <R>5</R>
                              </CtgProps>
                              <LnkIn>
                                <LnkInProps>
                                  <MN>30</MN>
                                  <CLI>1,1,46,False,21</CLI>
                                  <ELN>1</ELN>
                                  <LOOT>0</LOOT>
                                  <LOMN>3</LOMN>
                                  <LOMCN>1</LOMCN>
                                  <LOSN>1</LOSN>
                                  <LOEN>19</LOEN>
                                  <LOCN>21</LOCN>
                                </LnkInProps>
                              </LnkIn>
                            </Ctg>
                            <Ctg>
                              <CtgProps>
                                <R>5</R>
                              </CtgProps>
                              <LnkIn>
                                <LnkInProps>
                                  <MN>30</MN>
                                  <CLI>1,1,46,False,22</CLI>
                                  <ELN>1</ELN>
                                  <LOOT>0</LOOT>
                                  <LOMN>3</LOMN>
                                  <LOMCN>1</LOMCN>
                                  <LOSN>1</LOSN>
                                  <LOEN>19</LOEN>
                                  <LOCN>22</LOCN>
                                </LnkInProps>
                              </LnkIn>
                            </Ctg>
                            <Ctg>
                              <CtgProps>
                                <R>5</R>
                              </CtgProps>
                              <LnkIn>
                                <LnkInProps>
                                  <MN>30</MN>
                                  <CLI>1,1,46,False,23</CLI>
                                  <ELN>1</ELN>
                                  <LOOT>0</LOOT>
                                  <LOMN>3</LOMN>
                                  <LOMCN>1</LOMCN>
                                  <LOSN>1</LOSN>
                                  <LOEN>19</LOEN>
                                  <LOCN>23</LOCN>
                                </LnkInProps>
                              </LnkIn>
                            </Ctg>
                            <Ctg>
                              <CtgProps>
                                <R>5</R>
                              </CtgProps>
                              <LnkIn>
                                <LnkInProps>
                                  <MN>30</MN>
                                  <CLI>1,1,46,False,24</CLI>
                                  <ELN>1</ELN>
                                  <LOOT>0</LOOT>
                                  <LOMN>3</LOMN>
                                  <LOMCN>1</LOMCN>
                                  <LOSN>1</LOSN>
                                  <LOEN>19</LOEN>
                                  <LOCN>24</LOCN>
                                </LnkInProps>
                              </LnkIn>
                            </Ctg>
                            <Ctg>
                              <CtgProps>
                                <R>5</R>
                              </CtgProps>
                              <LnkIn>
                                <LnkInProps>
                                  <MN>30</MN>
                                  <CLI>1,1,46,False,25</CLI>
                                  <ELN>1</ELN>
                                  <LOOT>0</LOOT>
                                  <LOMN>3</LOMN>
                                  <LOMCN>1</LOMCN>
                                  <LOSN>1</LOSN>
                                  <LOEN>19</LOEN>
                                  <LOCN>25</LOCN>
                                </LnkInProps>
                              </LnkIn>
                            </Ctg>
                            <Ctg>
                              <CtgProps>
                                <R>5</R>
                              </CtgProps>
                              <LnkIn>
                                <LnkInProps>
                                  <MN>30</MN>
                                  <CLI>1,1,46,False,26</CLI>
                                  <ELN>1</ELN>
                                  <LOOT>0</LOOT>
                                  <LOMN>3</LOMN>
                                  <LOMCN>1</LOMCN>
                                  <LOSN>1</LOSN>
                                  <LOEN>19</LOEN>
                                  <LOCN>26</LOCN>
                                </LnkInProps>
                              </LnkIn>
                            </Ctg>
                            <Ctg>
                              <CtgProps>
                                <R>5</R>
                              </CtgProps>
                              <LnkIn>
                                <LnkInProps>
                                  <MN>30</MN>
                                  <CLI>1,1,46,False,27</CLI>
                                  <ELN>1</ELN>
                                  <LOOT>0</LOOT>
                                  <LOMN>3</LOMN>
                                  <LOMCN>1</LOMCN>
                                  <LOSN>1</LOSN>
                                  <LOEN>19</LOEN>
                                  <LOCN>27</LOCN>
                                </LnkInProps>
                              </LnkIn>
                            </Ctg>
                            <Ctg>
                              <CtgProps>
                                <R>5</R>
                              </CtgProps>
                              <LnkIn>
                                <LnkInProps>
                                  <MN>30</MN>
                                  <CLI>1,1,46,False,28</CLI>
                                  <ELN>1</ELN>
                                  <LOOT>0</LOOT>
                                  <LOMN>3</LOMN>
                                  <LOMCN>1</LOMCN>
                                  <LOSN>1</LOSN>
                                  <LOEN>19</LOEN>
                                  <LOCN>28</LOCN>
                                </LnkInProps>
                              </LnkIn>
                            </Ctg>
                            <Ctg>
                              <CtgProps>
                                <R>5</R>
                              </CtgProps>
                              <LnkIn>
                                <LnkInProps>
                                  <MN>30</MN>
                                  <CLI>1,1,46,False,29</CLI>
                                  <ELN>1</ELN>
                                  <LOOT>0</LOOT>
                                  <LOMN>3</LOMN>
                                  <LOMCN>1</LOMCN>
                                  <LOSN>1</LOSN>
                                  <LOEN>19</LOEN>
                                  <LOCN>29</LOCN>
                                </LnkInProps>
                              </LnkIn>
                            </Ctg>
                            <Ctg>
                              <CtgProps>
                                <R>5</R>
                              </CtgProps>
                              <LnkIn>
                                <LnkInProps>
                                  <MN>30</MN>
                                  <CLI>1,1,46,False,30</CLI>
                                  <ELN>1</ELN>
                                  <LOOT>0</LOOT>
                                  <LOMN>3</LOMN>
                                  <LOMCN>1</LOMCN>
                                  <LOSN>1</LOSN>
                                  <LOEN>19</LOEN>
                                  <LOCN>30</LOCN>
                                </LnkInProps>
                              </LnkIn>
                            </Ctg>
                            <Ctg>
                              <CtgProps>
                                <R>5</R>
                              </CtgProps>
                              <LnkIn>
                                <LnkInProps>
                                  <MN>30</MN>
                                  <CLI>1,1,46,False,31</CLI>
                                  <ELN>1</ELN>
                                  <LOOT>0</LOOT>
                                  <LOMN>3</LOMN>
                                  <LOMCN>1</LOMCN>
                                  <LOSN>1</LOSN>
                                  <LOEN>19</LOEN>
                                  <LOCN>31</LOCN>
                                </LnkInProps>
                              </LnkIn>
                            </Ctg>
                            <Ctg>
                              <CtgProps>
                                <R>5</R>
                              </CtgProps>
                              <LnkIn>
                                <LnkInProps>
                                  <MN>30</MN>
                                  <CLI>1,1,46,False,32</CLI>
                                  <ELN>1</ELN>
                                  <LOOT>0</LOOT>
                                  <LOMN>3</LOMN>
                                  <LOMCN>1</LOMCN>
                                  <LOSN>1</LOSN>
                                  <LOEN>19</LOEN>
                                  <LOCN>32</LOCN>
                                </LnkInProps>
                              </LnkIn>
                            </Ctg>
                            <Ctg>
                              <CtgProps>
                                <R>5</R>
                              </CtgProps>
                              <LnkIn>
                                <LnkInProps>
                                  <MN>30</MN>
                                  <CLI>1,1,46,False,33</CLI>
                                  <ELN>1</ELN>
                                  <LOOT>0</LOOT>
                                  <LOMN>3</LOMN>
                                  <LOMCN>1</LOMCN>
                                  <LOSN>1</LOSN>
                                  <LOEN>19</LOEN>
                                  <LOCN>33</LOCN>
                                </LnkInProps>
                              </LnkIn>
                            </Ctg>
                            <Ctg>
                              <CtgProps>
                                <R>5</R>
                              </CtgProps>
                              <LnkIn>
                                <LnkInProps>
                                  <MN>30</MN>
                                  <CLI>1,1,46,False,34</CLI>
                                  <ELN>1</ELN>
                                  <LOOT>0</LOOT>
                                  <LOMN>3</LOMN>
                                  <LOMCN>1</LOMCN>
                                  <LOSN>1</LOSN>
                                  <LOEN>19</LOEN>
                                  <LOCN>34</LOCN>
                                </LnkInProps>
                              </LnkIn>
                            </Ctg>
                            <Ctg>
                              <CtgProps>
                                <R>5</R>
                              </CtgProps>
                              <LnkIn>
                                <LnkInProps>
                                  <MN>30</MN>
                                  <CLI>1,1,46,False,35</CLI>
                                  <ELN>1</ELN>
                                  <LOOT>0</LOOT>
                                  <LOMN>3</LOMN>
                                  <LOMCN>1</LOMCN>
                                  <LOSN>1</LOSN>
                                  <LOEN>19</LOEN>
                                  <LOCN>35</LOCN>
                                </LnkInProps>
                              </LnkIn>
                            </Ctg>
                          </Ctgs>
                        </SubTtl>
                      </SubTtls>
                      <TtlCtg/>
                      <ElmtLnksIn>
                        <ElmtLnk>
                          <ElmtLnkProps>
                            <ELI>1,1,46</ELI>
                            <ELN>1</ELN>
                            <ELGN>4</ELGN>
                            <MLG>FC884D76-0FF7-48B7-B658-EABC523ECBF4</MLG>
                            <ICBI>1,2,3,4,5</ICBI>
                            <ILBN/>
                            <LIBN>0</LIBN>
                          </ElmtLnkProps>
                        </ElmtLnk>
                      </ElmtLnksIn>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9</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1,1,49,1,1</CBPLI>
                                    <ELN>1</ELN>
                                    <FFF><![CDATA[=§A¿10,FALSE,0,1,0,FALSE§Z¿]]></FFF>
                                  </LnkInFormProps>
                                </LnkInForm>
                              </LnkInForms>
                            </ClmnBlkPt>
                            <ClmnBlkPt>
                              <ClmnBlkPtProps>
                                <CBPT>1</CBPT>
                                <ST>6</ST>
                                <VOFFF><![CDATA[="Total "&§A¿0,1,0,1,49,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1,1,49,2,1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1,1,49,3,1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1,1,49,4,1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1,1,49,5,1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30</MN>
                                  <CLI>1,1,49,False,1</CLI>
                                  <ELN>1</ELN>
                                  <LOOT>0</LOOT>
                                  <LOMN>3</LOMN>
                                  <LOMCN>1</LOMCN>
                                  <LOSN>1</LOSN>
                                  <LOEN>24</LOEN>
                                  <LOCN>1</LOCN>
                                </LnkInProps>
                              </LnkIn>
                            </Ctg>
                            <Ctg>
                              <CtgProps>
                                <R>4</R>
                              </CtgProps>
                              <LnkIn>
                                <LnkInProps>
                                  <MN>30</MN>
                                  <CLI>1,1,49,False,2</CLI>
                                  <ELN>1</ELN>
                                  <LOOT>0</LOOT>
                                  <LOMN>3</LOMN>
                                  <LOMCN>1</LOMCN>
                                  <LOSN>1</LOSN>
                                  <LOEN>24</LOEN>
                                  <LOCN>2</LOCN>
                                </LnkInProps>
                              </LnkIn>
                            </Ctg>
                            <Ctg>
                              <CtgProps>
                                <R>4</R>
                              </CtgProps>
                              <LnkIn>
                                <LnkInProps>
                                  <MN>30</MN>
                                  <CLI>1,1,49,False,3</CLI>
                                  <ELN>1</ELN>
                                  <LOOT>0</LOOT>
                                  <LOMN>3</LOMN>
                                  <LOMCN>1</LOMCN>
                                  <LOSN>1</LOSN>
                                  <LOEN>24</LOEN>
                                  <LOCN>3</LOCN>
                                </LnkInProps>
                              </LnkIn>
                            </Ctg>
                            <Ctg>
                              <CtgProps>
                                <R>4</R>
                              </CtgProps>
                              <LnkIn>
                                <LnkInProps>
                                  <MN>30</MN>
                                  <CLI>1,1,49,False,4</CLI>
                                  <ELN>1</ELN>
                                  <LOOT>0</LOOT>
                                  <LOMN>3</LOMN>
                                  <LOMCN>1</LOMCN>
                                  <LOSN>1</LOSN>
                                  <LOEN>24</LOEN>
                                  <LOCN>4</LOCN>
                                </LnkInProps>
                              </LnkIn>
                            </Ctg>
                            <Ctg>
                              <CtgProps>
                                <R>4</R>
                              </CtgProps>
                              <LnkIn>
                                <LnkInProps>
                                  <MN>30</MN>
                                  <CLI>1,1,49,False,5</CLI>
                                  <ELN>1</ELN>
                                  <LOOT>0</LOOT>
                                  <LOMN>3</LOMN>
                                  <LOMCN>1</LOMCN>
                                  <LOSN>1</LOSN>
                                  <LOEN>24</LOEN>
                                  <LOCN>5</LOCN>
                                </LnkInProps>
                              </LnkIn>
                            </Ctg>
                            <Ctg>
                              <CtgProps>
                                <R>5</R>
                              </CtgProps>
                              <LnkIn>
                                <LnkInProps>
                                  <MN>30</MN>
                                  <CLI>1,1,49,False,6</CLI>
                                  <ELN>1</ELN>
                                  <LOOT>0</LOOT>
                                  <LOMN>3</LOMN>
                                  <LOMCN>1</LOMCN>
                                  <LOSN>1</LOSN>
                                  <LOEN>24</LOEN>
                                  <LOCN>6</LOCN>
                                </LnkInProps>
                              </LnkIn>
                            </Ctg>
                            <Ctg>
                              <CtgProps>
                                <R>5</R>
                              </CtgProps>
                              <LnkIn>
                                <LnkInProps>
                                  <MN>30</MN>
                                  <CLI>1,1,49,False,7</CLI>
                                  <ELN>1</ELN>
                                  <LOOT>0</LOOT>
                                  <LOMN>3</LOMN>
                                  <LOMCN>1</LOMCN>
                                  <LOSN>1</LOSN>
                                  <LOEN>24</LOEN>
                                  <LOCN>7</LOCN>
                                </LnkInProps>
                              </LnkIn>
                            </Ctg>
                            <Ctg>
                              <CtgProps>
                                <R>5</R>
                              </CtgProps>
                              <LnkIn>
                                <LnkInProps>
                                  <MN>30</MN>
                                  <CLI>1,1,49,False,8</CLI>
                                  <ELN>1</ELN>
                                  <LOOT>0</LOOT>
                                  <LOMN>3</LOMN>
                                  <LOMCN>1</LOMCN>
                                  <LOSN>1</LOSN>
                                  <LOEN>24</LOEN>
                                  <LOCN>8</LOCN>
                                </LnkInProps>
                              </LnkIn>
                            </Ctg>
                            <Ctg>
                              <CtgProps>
                                <R>5</R>
                              </CtgProps>
                              <LnkIn>
                                <LnkInProps>
                                  <MN>30</MN>
                                  <CLI>1,1,49,False,9</CLI>
                                  <ELN>1</ELN>
                                  <LOOT>0</LOOT>
                                  <LOMN>3</LOMN>
                                  <LOMCN>1</LOMCN>
                                  <LOSN>1</LOSN>
                                  <LOEN>24</LOEN>
                                  <LOCN>9</LOCN>
                                </LnkInProps>
                              </LnkIn>
                            </Ctg>
                            <Ctg>
                              <CtgProps>
                                <R>5</R>
                              </CtgProps>
                              <LnkIn>
                                <LnkInProps>
                                  <MN>30</MN>
                                  <CLI>1,1,49,False,10</CLI>
                                  <ELN>1</ELN>
                                  <LOOT>0</LOOT>
                                  <LOMN>3</LOMN>
                                  <LOMCN>1</LOMCN>
                                  <LOSN>1</LOSN>
                                  <LOEN>24</LOEN>
                                  <LOCN>10</LOCN>
                                </LnkInProps>
                              </LnkIn>
                            </Ctg>
                            <Ctg>
                              <CtgProps>
                                <R>5</R>
                              </CtgProps>
                              <LnkIn>
                                <LnkInProps>
                                  <MN>30</MN>
                                  <CLI>1,1,49,False,11</CLI>
                                  <ELN>1</ELN>
                                  <LOOT>0</LOOT>
                                  <LOMN>3</LOMN>
                                  <LOMCN>1</LOMCN>
                                  <LOSN>1</LOSN>
                                  <LOEN>24</LOEN>
                                  <LOCN>11</LOCN>
                                </LnkInProps>
                              </LnkIn>
                            </Ctg>
                            <Ctg>
                              <CtgProps>
                                <R>5</R>
                              </CtgProps>
                              <LnkIn>
                                <LnkInProps>
                                  <MN>30</MN>
                                  <CLI>1,1,49,False,12</CLI>
                                  <ELN>1</ELN>
                                  <LOOT>0</LOOT>
                                  <LOMN>3</LOMN>
                                  <LOMCN>1</LOMCN>
                                  <LOSN>1</LOSN>
                                  <LOEN>24</LOEN>
                                  <LOCN>12</LOCN>
                                </LnkInProps>
                              </LnkIn>
                            </Ctg>
                            <Ctg>
                              <CtgProps>
                                <R>5</R>
                              </CtgProps>
                              <LnkIn>
                                <LnkInProps>
                                  <MN>30</MN>
                                  <CLI>1,1,49,False,13</CLI>
                                  <ELN>1</ELN>
                                  <LOOT>0</LOOT>
                                  <LOMN>3</LOMN>
                                  <LOMCN>1</LOMCN>
                                  <LOSN>1</LOSN>
                                  <LOEN>24</LOEN>
                                  <LOCN>13</LOCN>
                                </LnkInProps>
                              </LnkIn>
                            </Ctg>
                            <Ctg>
                              <CtgProps>
                                <R>5</R>
                              </CtgProps>
                              <LnkIn>
                                <LnkInProps>
                                  <MN>30</MN>
                                  <CLI>1,1,49,False,14</CLI>
                                  <ELN>1</ELN>
                                  <LOOT>0</LOOT>
                                  <LOMN>3</LOMN>
                                  <LOMCN>1</LOMCN>
                                  <LOSN>1</LOSN>
                                  <LOEN>24</LOEN>
                                  <LOCN>14</LOCN>
                                </LnkInProps>
                              </LnkIn>
                            </Ctg>
                            <Ctg>
                              <CtgProps>
                                <R>5</R>
                              </CtgProps>
                              <LnkIn>
                                <LnkInProps>
                                  <MN>30</MN>
                                  <CLI>1,1,49,False,15</CLI>
                                  <ELN>1</ELN>
                                  <LOOT>0</LOOT>
                                  <LOMN>3</LOMN>
                                  <LOMCN>1</LOMCN>
                                  <LOSN>1</LOSN>
                                  <LOEN>24</LOEN>
                                  <LOCN>15</LOCN>
                                </LnkInProps>
                              </LnkIn>
                            </Ctg>
                            <Ctg>
                              <CtgProps>
                                <R>5</R>
                              </CtgProps>
                              <LnkIn>
                                <LnkInProps>
                                  <MN>30</MN>
                                  <CLI>1,1,49,False,16</CLI>
                                  <ELN>1</ELN>
                                  <LOOT>0</LOOT>
                                  <LOMN>3</LOMN>
                                  <LOMCN>1</LOMCN>
                                  <LOSN>1</LOSN>
                                  <LOEN>24</LOEN>
                                  <LOCN>16</LOCN>
                                </LnkInProps>
                              </LnkIn>
                            </Ctg>
                            <Ctg>
                              <CtgProps>
                                <R>5</R>
                              </CtgProps>
                              <LnkIn>
                                <LnkInProps>
                                  <MN>30</MN>
                                  <CLI>1,1,49,False,17</CLI>
                                  <ELN>1</ELN>
                                  <LOOT>0</LOOT>
                                  <LOMN>3</LOMN>
                                  <LOMCN>1</LOMCN>
                                  <LOSN>1</LOSN>
                                  <LOEN>24</LOEN>
                                  <LOCN>17</LOCN>
                                </LnkInProps>
                              </LnkIn>
                            </Ctg>
                            <Ctg>
                              <CtgProps>
                                <R>5</R>
                              </CtgProps>
                              <LnkIn>
                                <LnkInProps>
                                  <MN>30</MN>
                                  <CLI>1,1,49,False,18</CLI>
                                  <ELN>1</ELN>
                                  <LOOT>0</LOOT>
                                  <LOMN>3</LOMN>
                                  <LOMCN>1</LOMCN>
                                  <LOSN>1</LOSN>
                                  <LOEN>24</LOEN>
                                  <LOCN>18</LOCN>
                                </LnkInProps>
                              </LnkIn>
                            </Ctg>
                            <Ctg>
                              <CtgProps>
                                <R>5</R>
                              </CtgProps>
                              <LnkIn>
                                <LnkInProps>
                                  <MN>30</MN>
                                  <CLI>1,1,49,False,19</CLI>
                                  <ELN>1</ELN>
                                  <LOOT>0</LOOT>
                                  <LOMN>3</LOMN>
                                  <LOMCN>1</LOMCN>
                                  <LOSN>1</LOSN>
                                  <LOEN>24</LOEN>
                                  <LOCN>19</LOCN>
                                </LnkInProps>
                              </LnkIn>
                            </Ctg>
                            <Ctg>
                              <CtgProps>
                                <R>5</R>
                              </CtgProps>
                              <LnkIn>
                                <LnkInProps>
                                  <MN>30</MN>
                                  <CLI>1,1,49,False,20</CLI>
                                  <ELN>1</ELN>
                                  <LOOT>0</LOOT>
                                  <LOMN>3</LOMN>
                                  <LOMCN>1</LOMCN>
                                  <LOSN>1</LOSN>
                                  <LOEN>24</LOEN>
                                  <LOCN>20</LOCN>
                                </LnkInProps>
                              </LnkIn>
                            </Ctg>
                            <Ctg>
                              <CtgProps>
                                <R>5</R>
                              </CtgProps>
                              <LnkIn>
                                <LnkInProps>
                                  <MN>30</MN>
                                  <CLI>1,1,49,False,21</CLI>
                                  <ELN>1</ELN>
                                  <LOOT>0</LOOT>
                                  <LOMN>3</LOMN>
                                  <LOMCN>1</LOMCN>
                                  <LOSN>1</LOSN>
                                  <LOEN>24</LOEN>
                                  <LOCN>21</LOCN>
                                </LnkInProps>
                              </LnkIn>
                            </Ctg>
                            <Ctg>
                              <CtgProps>
                                <R>5</R>
                              </CtgProps>
                              <LnkIn>
                                <LnkInProps>
                                  <MN>30</MN>
                                  <CLI>1,1,49,False,22</CLI>
                                  <ELN>1</ELN>
                                  <LOOT>0</LOOT>
                                  <LOMN>3</LOMN>
                                  <LOMCN>1</LOMCN>
                                  <LOSN>1</LOSN>
                                  <LOEN>24</LOEN>
                                  <LOCN>22</LOCN>
                                </LnkInProps>
                              </LnkIn>
                            </Ctg>
                            <Ctg>
                              <CtgProps>
                                <R>5</R>
                              </CtgProps>
                              <LnkIn>
                                <LnkInProps>
                                  <MN>30</MN>
                                  <CLI>1,1,49,False,23</CLI>
                                  <ELN>1</ELN>
                                  <LOOT>0</LOOT>
                                  <LOMN>3</LOMN>
                                  <LOMCN>1</LOMCN>
                                  <LOSN>1</LOSN>
                                  <LOEN>24</LOEN>
                                  <LOCN>23</LOCN>
                                </LnkInProps>
                              </LnkIn>
                            </Ctg>
                            <Ctg>
                              <CtgProps>
                                <R>5</R>
                              </CtgProps>
                              <LnkIn>
                                <LnkInProps>
                                  <MN>30</MN>
                                  <CLI>1,1,49,False,24</CLI>
                                  <ELN>1</ELN>
                                  <LOOT>0</LOOT>
                                  <LOMN>3</LOMN>
                                  <LOMCN>1</LOMCN>
                                  <LOSN>1</LOSN>
                                  <LOEN>24</LOEN>
                                  <LOCN>24</LOCN>
                                </LnkInProps>
                              </LnkIn>
                            </Ctg>
                            <Ctg>
                              <CtgProps>
                                <R>5</R>
                              </CtgProps>
                              <LnkIn>
                                <LnkInProps>
                                  <MN>30</MN>
                                  <CLI>1,1,49,False,25</CLI>
                                  <ELN>1</ELN>
                                  <LOOT>0</LOOT>
                                  <LOMN>3</LOMN>
                                  <LOMCN>1</LOMCN>
                                  <LOSN>1</LOSN>
                                  <LOEN>24</LOEN>
                                  <LOCN>25</LOCN>
                                </LnkInProps>
                              </LnkIn>
                            </Ctg>
                            <Ctg>
                              <CtgProps>
                                <R>5</R>
                              </CtgProps>
                              <LnkIn>
                                <LnkInProps>
                                  <MN>30</MN>
                                  <CLI>1,1,49,False,26</CLI>
                                  <ELN>1</ELN>
                                  <LOOT>0</LOOT>
                                  <LOMN>3</LOMN>
                                  <LOMCN>1</LOMCN>
                                  <LOSN>1</LOSN>
                                  <LOEN>24</LOEN>
                                  <LOCN>26</LOCN>
                                </LnkInProps>
                              </LnkIn>
                            </Ctg>
                            <Ctg>
                              <CtgProps>
                                <R>5</R>
                              </CtgProps>
                              <LnkIn>
                                <LnkInProps>
                                  <MN>30</MN>
                                  <CLI>1,1,49,False,27</CLI>
                                  <ELN>1</ELN>
                                  <LOOT>0</LOOT>
                                  <LOMN>3</LOMN>
                                  <LOMCN>1</LOMCN>
                                  <LOSN>1</LOSN>
                                  <LOEN>24</LOEN>
                                  <LOCN>27</LOCN>
                                </LnkInProps>
                              </LnkIn>
                            </Ctg>
                            <Ctg>
                              <CtgProps>
                                <R>5</R>
                              </CtgProps>
                              <LnkIn>
                                <LnkInProps>
                                  <MN>30</MN>
                                  <CLI>1,1,49,False,28</CLI>
                                  <ELN>1</ELN>
                                  <LOOT>0</LOOT>
                                  <LOMN>3</LOMN>
                                  <LOMCN>1</LOMCN>
                                  <LOSN>1</LOSN>
                                  <LOEN>24</LOEN>
                                  <LOCN>28</LOCN>
                                </LnkInProps>
                              </LnkIn>
                            </Ctg>
                            <Ctg>
                              <CtgProps>
                                <R>5</R>
                              </CtgProps>
                              <LnkIn>
                                <LnkInProps>
                                  <MN>30</MN>
                                  <CLI>1,1,49,False,29</CLI>
                                  <ELN>1</ELN>
                                  <LOOT>0</LOOT>
                                  <LOMN>3</LOMN>
                                  <LOMCN>1</LOMCN>
                                  <LOSN>1</LOSN>
                                  <LOEN>24</LOEN>
                                  <LOCN>29</LOCN>
                                </LnkInProps>
                              </LnkIn>
                            </Ctg>
                            <Ctg>
                              <CtgProps>
                                <R>5</R>
                              </CtgProps>
                              <LnkIn>
                                <LnkInProps>
                                  <MN>30</MN>
                                  <CLI>1,1,49,False,30</CLI>
                                  <ELN>1</ELN>
                                  <LOOT>0</LOOT>
                                  <LOMN>3</LOMN>
                                  <LOMCN>1</LOMCN>
                                  <LOSN>1</LOSN>
                                  <LOEN>24</LOEN>
                                  <LOCN>30</LOCN>
                                </LnkInProps>
                              </LnkIn>
                            </Ctg>
                            <Ctg>
                              <CtgProps>
                                <R>5</R>
                              </CtgProps>
                              <LnkIn>
                                <LnkInProps>
                                  <MN>30</MN>
                                  <CLI>1,1,49,False,31</CLI>
                                  <ELN>1</ELN>
                                  <LOOT>0</LOOT>
                                  <LOMN>3</LOMN>
                                  <LOMCN>1</LOMCN>
                                  <LOSN>1</LOSN>
                                  <LOEN>24</LOEN>
                                  <LOCN>31</LOCN>
                                </LnkInProps>
                              </LnkIn>
                            </Ctg>
                            <Ctg>
                              <CtgProps>
                                <R>5</R>
                              </CtgProps>
                              <LnkIn>
                                <LnkInProps>
                                  <MN>30</MN>
                                  <CLI>1,1,49,False,32</CLI>
                                  <ELN>1</ELN>
                                  <LOOT>0</LOOT>
                                  <LOMN>3</LOMN>
                                  <LOMCN>1</LOMCN>
                                  <LOSN>1</LOSN>
                                  <LOEN>24</LOEN>
                                  <LOCN>32</LOCN>
                                </LnkInProps>
                              </LnkIn>
                            </Ctg>
                            <Ctg>
                              <CtgProps>
                                <R>5</R>
                              </CtgProps>
                              <LnkIn>
                                <LnkInProps>
                                  <MN>30</MN>
                                  <CLI>1,1,49,False,33</CLI>
                                  <ELN>1</ELN>
                                  <LOOT>0</LOOT>
                                  <LOMN>3</LOMN>
                                  <LOMCN>1</LOMCN>
                                  <LOSN>1</LOSN>
                                  <LOEN>24</LOEN>
                                  <LOCN>33</LOCN>
                                </LnkInProps>
                              </LnkIn>
                            </Ctg>
                            <Ctg>
                              <CtgProps>
                                <R>5</R>
                              </CtgProps>
                              <LnkIn>
                                <LnkInProps>
                                  <MN>30</MN>
                                  <CLI>1,1,49,False,34</CLI>
                                  <ELN>1</ELN>
                                  <LOOT>0</LOOT>
                                  <LOMN>3</LOMN>
                                  <LOMCN>1</LOMCN>
                                  <LOSN>1</LOSN>
                                  <LOEN>24</LOEN>
                                  <LOCN>34</LOCN>
                                </LnkInProps>
                              </LnkIn>
                            </Ctg>
                            <Ctg>
                              <CtgProps>
                                <R>5</R>
                              </CtgProps>
                              <LnkIn>
                                <LnkInProps>
                                  <MN>30</MN>
                                  <CLI>1,1,49,False,35</CLI>
                                  <ELN>1</ELN>
                                  <LOOT>0</LOOT>
                                  <LOMN>3</LOMN>
                                  <LOMCN>1</LOMCN>
                                  <LOSN>1</LOSN>
                                  <LOEN>24</LOEN>
                                  <LOCN>35</LOCN>
                                </LnkInProps>
                              </LnkIn>
                            </Ctg>
                          </Ctgs>
                        </SubTtl>
                      </SubTtls>
                      <TtlCtg/>
                      <ElmtLnksIn>
                        <ElmtLnk>
                          <ElmtLnkProps>
                            <ELI>1,1,49</ELI>
                            <ELN>1</ELN>
                            <ELGN>5</ELGN>
                            <MLG>1EE39398-735E-4BBF-B774-6358567F00C1</MLG>
                            <ICBI>1,2,3,4,5</ICBI>
                            <ILBN/>
                            <LIBN>0</LIBN>
                          </ElmtLnkProps>
                        </ElmtLnk>
                      </ElmtLnksIn>
                    </Elmt>
                    <Elmt>
                      <ElmtProps>
                        <CPT>2</CPT>
                      </ElmtProps>
                      <TtlCtg>
                        <TtlCtgProps>
                          <R>4</R>
                        </TtlCtgProps>
                      </TtlCtg>
                    </Elmt>
                    <Elmt>
                      <ElmtProps>
                        <CPT>2</CPT>
                      </ElmtProps>
                      <TtlCtg>
                        <TtlCtgProps>
                          <R>4</R>
                        </TtlCtgProps>
                      </TtlCtg>
                    </Elmt>
                    <Elmt>
                      <ElmtProps>
                        <CPT>2</CPT>
                      </ElmtProps>
                      <ClmnBlks>
                        <ClmnBlk>
                          <ClmnBlkProps>
                            <FCPT>0</FCPT>
                            <FCN>13</FCN>
                            <LCPT>0</LCPT>
                            <LCN>13</LCN>
                          </ClmnBlkProps>
                          <ClmnBlkPts>
                            <ClmnBlkPt>
                              <ClmnBlkPtProps>
                                <CBPT>5</CBPT>
                                <ST>18</ST>
                                <VOFFF><![CDATA[=§A¿0,1,0,1,34,1,1,1,0,0,TRUE,TRUE§Z¿]]></VOFFF>
                              </ClmnBlkPtProps>
                            </ClmnBlkPt>
                          </ClmnBlkPts>
                        </ClmnBlk>
                        <ClmnBlk>
                          <ClmnBlkProps>
                            <FCPT>0</FCPT>
                            <FCN>15</FCN>
                            <LCPT>0</LCPT>
                            <LCN>15</LCN>
                          </ClmnBlkProps>
                          <ClmnBlkPts>
                            <ClmnBlkPt>
                              <ClmnBlkPtProps>
                                <CBPT>5</CBPT>
                                <ST>18</ST>
                                <VOFFF><![CDATA[=§A¿0,1,0,1,34,1,1,1,0,0,TRUE,TRUE§Z¿]]></VOFFF>
                              </ClmnBlkPtProps>
                            </ClmnBlkPt>
                          </ClmnBlkPts>
                        </ClmnBlk>
                        <ClmnBlk>
                          <ClmnBlkProps>
                            <FCPT>0</FCPT>
                            <FCN>17</FCN>
                            <LCPT>0</LCPT>
                            <LCN>17</LCN>
                          </ClmnBlkProps>
                          <ClmnBlkPts>
                            <ClmnBlkPt>
                              <ClmnBlkPtProps>
                                <CBPT>5</CBPT>
                                <ST>18</ST>
                                <VOFFF><![CDATA[=§A¿0,1,0,1,34,1,1,2,0,0,TRUE,TRUE§Z¿]]></VOFFF>
                              </ClmnBlkPtProps>
                            </ClmnBlkPt>
                          </ClmnBlkPts>
                        </ClmnBlk>
                        <ClmnBlk>
                          <ClmnBlkProps>
                            <FCPT>0</FCPT>
                            <FCN>19</FCN>
                            <LCPT>0</LCPT>
                            <LCN>19</LCN>
                          </ClmnBlkProps>
                          <ClmnBlkPts>
                            <ClmnBlkPt>
                              <ClmnBlkPtProps>
                                <CBPT>5</CBPT>
                                <ST>18</ST>
                                <VOFFF><![CDATA[=§A¿0,1,0,1,34,1,1,2,0,0,TRUE,TRUE§Z¿]]></VOFFF>
                              </ClmnBlkPtProps>
                            </ClmnBlkPt>
                          </ClmnBlkPts>
                        </ClmnBlk>
                      </ClmnBlks>
                      <TtlCtg>
                        <TtlCtgProps>
                          <R>4</R>
                        </TtlCtgProps>
                      </TtlCtg>
                    </Elmt>
                    <Elmt>
                      <ElmtProps>
                        <CPT>1</CPT>
                        <TOT>False</TOT>
                        <EGN>10</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1,1,53,1,1</CBPLI>
                                    <ELN>1</ELN>
                                    <FFF><![CDATA[=§A¿10,FALSE,0,1,0,FALSE§Z¿]]></FFF>
                                  </LnkInFormProps>
                                </LnkInForm>
                              </LnkInForms>
                            </ClmnBlkPt>
                            <ClmnBlkPt>
                              <ClmnBlkPtProps>
                                <CBPT>1</CBPT>
                                <ST>6</ST>
                                <VOFFF><![CDATA[="Total "&§A¿0,1,0,1,53,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13</FCN>
                            <LCPT>0</LCPT>
                            <LCN>13</LCN>
                          </ClmnBlkProps>
                          <ClmnBlkPts>
                            <ClmnBlkPt>
                              <ClmnBlkPtProps>
                                <CBPT>0</CBPT>
                                <ST>18</ST>
                                <VOFFF><![CDATA[0]]></VOFFF>
                              </ClmnBlkPtProps>
                              <LnkInForms>
                                <LnkInForm>
                                  <LnkInFormProps>
                                    <CBPLI>1,1,53,2,1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15</FCN>
                            <LCPT>0</LCPT>
                            <LCN>15</LCN>
                          </ClmnBlkProps>
                          <ClmnBlkPts>
                            <ClmnBlkPt>
                              <ClmnBlkPtProps>
                                <CBPT>0</CBPT>
                                <ST>18</ST>
                                <VOFFF><![CDATA[0]]></VOFFF>
                              </ClmnBlkPtProps>
                              <LnkInForms>
                                <LnkInForm>
                                  <LnkInFormProps>
                                    <CBPLI>1,1,53,3,1</CBPLI>
                                    <ELN>1</ELN>
                                    <FFF><![CDATA[=§A¿10,FALSE,0,3,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17</FCN>
                            <LCPT>0</LCPT>
                            <LCN>17</LCN>
                          </ClmnBlkProps>
                          <ClmnBlkPts>
                            <ClmnBlkPt>
                              <ClmnBlkPtProps>
                                <CBPT>0</CBPT>
                                <ST>18</ST>
                                <VOFFF><![CDATA[0]]></VOFFF>
                              </ClmnBlkPtProps>
                              <LnkInForms>
                                <LnkInForm>
                                  <LnkInFormProps>
                                    <CBPLI>1,1,53,4,1</CBPLI>
                                    <ELN>1</ELN>
                                    <FFF><![CDATA[=§A¿10,FALSE,0,4,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19</FCN>
                            <LCPT>0</LCPT>
                            <LCN>19</LCN>
                          </ClmnBlkProps>
                          <ClmnBlkPts>
                            <ClmnBlkPt>
                              <ClmnBlkPtProps>
                                <CBPT>0</CBPT>
                                <ST>18</ST>
                                <VOFFF><![CDATA[0]]></VOFFF>
                              </ClmnBlkPtProps>
                              <LnkInForms>
                                <LnkInForm>
                                  <LnkInFormProps>
                                    <CBPLI>1,1,53,5,1</CBPLI>
                                    <ELN>1</ELN>
                                    <FFF><![CDATA[=§A¿10,FALSE,0,5,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4</R>
                              </CtgProps>
                              <LnkIn>
                                <LnkInProps>
                                  <MN>30</MN>
                                  <CLI>1,1,53,False,1</CLI>
                                  <ELN>1</ELN>
                                  <LOOT>0</LOOT>
                                  <LOMN>3</LOMN>
                                  <LOMCN>1</LOMCN>
                                  <LOSN>1</LOSN>
                                  <LOEN>29</LOEN>
                                  <LOCN>1</LOCN>
                                </LnkInProps>
                              </LnkIn>
                            </Ctg>
                            <Ctg>
                              <CtgProps>
                                <R>4</R>
                              </CtgProps>
                              <LnkIn>
                                <LnkInProps>
                                  <MN>30</MN>
                                  <CLI>1,1,53,False,2</CLI>
                                  <ELN>1</ELN>
                                  <LOOT>0</LOOT>
                                  <LOMN>3</LOMN>
                                  <LOMCN>1</LOMCN>
                                  <LOSN>1</LOSN>
                                  <LOEN>29</LOEN>
                                  <LOCN>2</LOCN>
                                </LnkInProps>
                              </LnkIn>
                            </Ctg>
                            <Ctg>
                              <CtgProps>
                                <R>5</R>
                              </CtgProps>
                              <LnkIn>
                                <LnkInProps>
                                  <MN>30</MN>
                                  <CLI>1,1,53,False,3</CLI>
                                  <ELN>1</ELN>
                                  <LOOT>0</LOOT>
                                  <LOMN>3</LOMN>
                                  <LOMCN>1</LOMCN>
                                  <LOSN>1</LOSN>
                                  <LOEN>29</LOEN>
                                  <LOCN>3</LOCN>
                                </LnkInProps>
                              </LnkIn>
                            </Ctg>
                            <Ctg>
                              <CtgProps>
                                <R>5</R>
                              </CtgProps>
                              <LnkIn>
                                <LnkInProps>
                                  <MN>30</MN>
                                  <CLI>1,1,53,False,4</CLI>
                                  <ELN>1</ELN>
                                  <LOOT>0</LOOT>
                                  <LOMN>3</LOMN>
                                  <LOMCN>1</LOMCN>
                                  <LOSN>1</LOSN>
                                  <LOEN>29</LOEN>
                                  <LOCN>4</LOCN>
                                </LnkInProps>
                              </LnkIn>
                            </Ctg>
                            <Ctg>
                              <CtgProps>
                                <R>5</R>
                              </CtgProps>
                              <LnkIn>
                                <LnkInProps>
                                  <MN>30</MN>
                                  <CLI>1,1,53,False,5</CLI>
                                  <ELN>1</ELN>
                                  <LOOT>0</LOOT>
                                  <LOMN>3</LOMN>
                                  <LOMCN>1</LOMCN>
                                  <LOSN>1</LOSN>
                                  <LOEN>29</LOEN>
                                  <LOCN>5</LOCN>
                                </LnkInProps>
                              </LnkIn>
                            </Ctg>
                            <Ctg>
                              <CtgProps>
                                <R>5</R>
                              </CtgProps>
                              <LnkIn>
                                <LnkInProps>
                                  <MN>30</MN>
                                  <CLI>1,1,53,False,6</CLI>
                                  <ELN>1</ELN>
                                  <LOOT>0</LOOT>
                                  <LOMN>3</LOMN>
                                  <LOMCN>1</LOMCN>
                                  <LOSN>1</LOSN>
                                  <LOEN>29</LOEN>
                                  <LOCN>6</LOCN>
                                </LnkInProps>
                              </LnkIn>
                            </Ctg>
                            <Ctg>
                              <CtgProps>
                                <R>5</R>
                              </CtgProps>
                              <LnkIn>
                                <LnkInProps>
                                  <MN>30</MN>
                                  <CLI>1,1,53,False,7</CLI>
                                  <ELN>1</ELN>
                                  <LOOT>0</LOOT>
                                  <LOMN>3</LOMN>
                                  <LOMCN>1</LOMCN>
                                  <LOSN>1</LOSN>
                                  <LOEN>29</LOEN>
                                  <LOCN>7</LOCN>
                                </LnkInProps>
                              </LnkIn>
                            </Ctg>
                            <Ctg>
                              <CtgProps>
                                <R>5</R>
                              </CtgProps>
                              <LnkIn>
                                <LnkInProps>
                                  <MN>30</MN>
                                  <CLI>1,1,53,False,8</CLI>
                                  <ELN>1</ELN>
                                  <LOOT>0</LOOT>
                                  <LOMN>3</LOMN>
                                  <LOMCN>1</LOMCN>
                                  <LOSN>1</LOSN>
                                  <LOEN>29</LOEN>
                                  <LOCN>8</LOCN>
                                </LnkInProps>
                              </LnkIn>
                            </Ctg>
                            <Ctg>
                              <CtgProps>
                                <R>5</R>
                              </CtgProps>
                              <LnkIn>
                                <LnkInProps>
                                  <MN>30</MN>
                                  <CLI>1,1,53,False,9</CLI>
                                  <ELN>1</ELN>
                                  <LOOT>0</LOOT>
                                  <LOMN>3</LOMN>
                                  <LOMCN>1</LOMCN>
                                  <LOSN>1</LOSN>
                                  <LOEN>29</LOEN>
                                  <LOCN>9</LOCN>
                                </LnkInProps>
                              </LnkIn>
                            </Ctg>
                            <Ctg>
                              <CtgProps>
                                <R>5</R>
                              </CtgProps>
                              <LnkIn>
                                <LnkInProps>
                                  <MN>30</MN>
                                  <CLI>1,1,53,False,10</CLI>
                                  <ELN>1</ELN>
                                  <LOOT>0</LOOT>
                                  <LOMN>3</LOMN>
                                  <LOMCN>1</LOMCN>
                                  <LOSN>1</LOSN>
                                  <LOEN>29</LOEN>
                                  <LOCN>10</LOCN>
                                </LnkInProps>
                              </LnkIn>
                            </Ctg>
                            <Ctg>
                              <CtgProps>
                                <R>5</R>
                              </CtgProps>
                              <LnkIn>
                                <LnkInProps>
                                  <MN>30</MN>
                                  <CLI>1,1,53,False,11</CLI>
                                  <ELN>1</ELN>
                                  <LOOT>0</LOOT>
                                  <LOMN>3</LOMN>
                                  <LOMCN>1</LOMCN>
                                  <LOSN>1</LOSN>
                                  <LOEN>29</LOEN>
                                  <LOCN>11</LOCN>
                                </LnkInProps>
                              </LnkIn>
                            </Ctg>
                            <Ctg>
                              <CtgProps>
                                <R>5</R>
                              </CtgProps>
                              <LnkIn>
                                <LnkInProps>
                                  <MN>30</MN>
                                  <CLI>1,1,53,False,12</CLI>
                                  <ELN>1</ELN>
                                  <LOOT>0</LOOT>
                                  <LOMN>3</LOMN>
                                  <LOMCN>1</LOMCN>
                                  <LOSN>1</LOSN>
                                  <LOEN>29</LOEN>
                                  <LOCN>12</LOCN>
                                </LnkInProps>
                              </LnkIn>
                            </Ctg>
                            <Ctg>
                              <CtgProps>
                                <R>5</R>
                              </CtgProps>
                              <LnkIn>
                                <LnkInProps>
                                  <MN>30</MN>
                                  <CLI>1,1,53,False,13</CLI>
                                  <ELN>1</ELN>
                                  <LOOT>0</LOOT>
                                  <LOMN>3</LOMN>
                                  <LOMCN>1</LOMCN>
                                  <LOSN>1</LOSN>
                                  <LOEN>29</LOEN>
                                  <LOCN>13</LOCN>
                                </LnkInProps>
                              </LnkIn>
                            </Ctg>
                            <Ctg>
                              <CtgProps>
                                <R>5</R>
                              </CtgProps>
                              <LnkIn>
                                <LnkInProps>
                                  <MN>30</MN>
                                  <CLI>1,1,53,False,14</CLI>
                                  <ELN>1</ELN>
                                  <LOOT>0</LOOT>
                                  <LOMN>3</LOMN>
                                  <LOMCN>1</LOMCN>
                                  <LOSN>1</LOSN>
                                  <LOEN>29</LOEN>
                                  <LOCN>14</LOCN>
                                </LnkInProps>
                              </LnkIn>
                            </Ctg>
                            <Ctg>
                              <CtgProps>
                                <R>5</R>
                              </CtgProps>
                              <LnkIn>
                                <LnkInProps>
                                  <MN>30</MN>
                                  <CLI>1,1,53,False,15</CLI>
                                  <ELN>1</ELN>
                                  <LOOT>0</LOOT>
                                  <LOMN>3</LOMN>
                                  <LOMCN>1</LOMCN>
                                  <LOSN>1</LOSN>
                                  <LOEN>29</LOEN>
                                  <LOCN>15</LOCN>
                                </LnkInProps>
                              </LnkIn>
                            </Ctg>
                            <Ctg>
                              <CtgProps>
                                <R>5</R>
                              </CtgProps>
                              <LnkIn>
                                <LnkInProps>
                                  <MN>30</MN>
                                  <CLI>1,1,53,False,16</CLI>
                                  <ELN>1</ELN>
                                  <LOOT>0</LOOT>
                                  <LOMN>3</LOMN>
                                  <LOMCN>1</LOMCN>
                                  <LOSN>1</LOSN>
                                  <LOEN>29</LOEN>
                                  <LOCN>16</LOCN>
                                </LnkInProps>
                              </LnkIn>
                            </Ctg>
                            <Ctg>
                              <CtgProps>
                                <R>5</R>
                              </CtgProps>
                              <LnkIn>
                                <LnkInProps>
                                  <MN>30</MN>
                                  <CLI>1,1,53,False,17</CLI>
                                  <ELN>1</ELN>
                                  <LOOT>0</LOOT>
                                  <LOMN>3</LOMN>
                                  <LOMCN>1</LOMCN>
                                  <LOSN>1</LOSN>
                                  <LOEN>29</LOEN>
                                  <LOCN>17</LOCN>
                                </LnkInProps>
                              </LnkIn>
                            </Ctg>
                            <Ctg>
                              <CtgProps>
                                <R>5</R>
                              </CtgProps>
                              <LnkIn>
                                <LnkInProps>
                                  <MN>30</MN>
                                  <CLI>1,1,53,False,18</CLI>
                                  <ELN>1</ELN>
                                  <LOOT>0</LOOT>
                                  <LOMN>3</LOMN>
                                  <LOMCN>1</LOMCN>
                                  <LOSN>1</LOSN>
                                  <LOEN>29</LOEN>
                                  <LOCN>18</LOCN>
                                </LnkInProps>
                              </LnkIn>
                            </Ctg>
                            <Ctg>
                              <CtgProps>
                                <R>5</R>
                              </CtgProps>
                              <LnkIn>
                                <LnkInProps>
                                  <MN>30</MN>
                                  <CLI>1,1,53,False,19</CLI>
                                  <ELN>1</ELN>
                                  <LOOT>0</LOOT>
                                  <LOMN>3</LOMN>
                                  <LOMCN>1</LOMCN>
                                  <LOSN>1</LOSN>
                                  <LOEN>29</LOEN>
                                  <LOCN>19</LOCN>
                                </LnkInProps>
                              </LnkIn>
                            </Ctg>
                            <Ctg>
                              <CtgProps>
                                <R>5</R>
                              </CtgProps>
                              <LnkIn>
                                <LnkInProps>
                                  <MN>30</MN>
                                  <CLI>1,1,53,False,20</CLI>
                                  <ELN>1</ELN>
                                  <LOOT>0</LOOT>
                                  <LOMN>3</LOMN>
                                  <LOMCN>1</LOMCN>
                                  <LOSN>1</LOSN>
                                  <LOEN>29</LOEN>
                                  <LOCN>20</LOCN>
                                </LnkInProps>
                              </LnkIn>
                            </Ctg>
                            <Ctg>
                              <CtgProps>
                                <R>5</R>
                              </CtgProps>
                              <LnkIn>
                                <LnkInProps>
                                  <MN>30</MN>
                                  <CLI>1,1,53,False,21</CLI>
                                  <ELN>1</ELN>
                                  <LOOT>0</LOOT>
                                  <LOMN>3</LOMN>
                                  <LOMCN>1</LOMCN>
                                  <LOSN>1</LOSN>
                                  <LOEN>29</LOEN>
                                  <LOCN>21</LOCN>
                                </LnkInProps>
                              </LnkIn>
                            </Ctg>
                            <Ctg>
                              <CtgProps>
                                <R>5</R>
                              </CtgProps>
                              <LnkIn>
                                <LnkInProps>
                                  <MN>30</MN>
                                  <CLI>1,1,53,False,22</CLI>
                                  <ELN>1</ELN>
                                  <LOOT>0</LOOT>
                                  <LOMN>3</LOMN>
                                  <LOMCN>1</LOMCN>
                                  <LOSN>1</LOSN>
                                  <LOEN>29</LOEN>
                                  <LOCN>22</LOCN>
                                </LnkInProps>
                              </LnkIn>
                            </Ctg>
                            <Ctg>
                              <CtgProps>
                                <R>5</R>
                              </CtgProps>
                              <LnkIn>
                                <LnkInProps>
                                  <MN>30</MN>
                                  <CLI>1,1,53,False,23</CLI>
                                  <ELN>1</ELN>
                                  <LOOT>0</LOOT>
                                  <LOMN>3</LOMN>
                                  <LOMCN>1</LOMCN>
                                  <LOSN>1</LOSN>
                                  <LOEN>29</LOEN>
                                  <LOCN>23</LOCN>
                                </LnkInProps>
                              </LnkIn>
                            </Ctg>
                            <Ctg>
                              <CtgProps>
                                <R>5</R>
                              </CtgProps>
                              <LnkIn>
                                <LnkInProps>
                                  <MN>30</MN>
                                  <CLI>1,1,53,False,24</CLI>
                                  <ELN>1</ELN>
                                  <LOOT>0</LOOT>
                                  <LOMN>3</LOMN>
                                  <LOMCN>1</LOMCN>
                                  <LOSN>1</LOSN>
                                  <LOEN>29</LOEN>
                                  <LOCN>24</LOCN>
                                </LnkInProps>
                              </LnkIn>
                            </Ctg>
                            <Ctg>
                              <CtgProps>
                                <R>5</R>
                              </CtgProps>
                              <LnkIn>
                                <LnkInProps>
                                  <MN>30</MN>
                                  <CLI>1,1,53,False,25</CLI>
                                  <ELN>1</ELN>
                                  <LOOT>0</LOOT>
                                  <LOMN>3</LOMN>
                                  <LOMCN>1</LOMCN>
                                  <LOSN>1</LOSN>
                                  <LOEN>29</LOEN>
                                  <LOCN>25</LOCN>
                                </LnkInProps>
                              </LnkIn>
                            </Ctg>
                            <Ctg>
                              <CtgProps>
                                <R>5</R>
                              </CtgProps>
                              <LnkIn>
                                <LnkInProps>
                                  <MN>30</MN>
                                  <CLI>1,1,53,False,26</CLI>
                                  <ELN>1</ELN>
                                  <LOOT>0</LOOT>
                                  <LOMN>3</LOMN>
                                  <LOMCN>1</LOMCN>
                                  <LOSN>1</LOSN>
                                  <LOEN>29</LOEN>
                                  <LOCN>26</LOCN>
                                </LnkInProps>
                              </LnkIn>
                            </Ctg>
                            <Ctg>
                              <CtgProps>
                                <R>5</R>
                              </CtgProps>
                              <LnkIn>
                                <LnkInProps>
                                  <MN>30</MN>
                                  <CLI>1,1,53,False,27</CLI>
                                  <ELN>1</ELN>
                                  <LOOT>0</LOOT>
                                  <LOMN>3</LOMN>
                                  <LOMCN>1</LOMCN>
                                  <LOSN>1</LOSN>
                                  <LOEN>29</LOEN>
                                  <LOCN>27</LOCN>
                                </LnkInProps>
                              </LnkIn>
                            </Ctg>
                            <Ctg>
                              <CtgProps>
                                <R>5</R>
                              </CtgProps>
                              <LnkIn>
                                <LnkInProps>
                                  <MN>30</MN>
                                  <CLI>1,1,53,False,28</CLI>
                                  <ELN>1</ELN>
                                  <LOOT>0</LOOT>
                                  <LOMN>3</LOMN>
                                  <LOMCN>1</LOMCN>
                                  <LOSN>1</LOSN>
                                  <LOEN>29</LOEN>
                                  <LOCN>28</LOCN>
                                </LnkInProps>
                              </LnkIn>
                            </Ctg>
                            <Ctg>
                              <CtgProps>
                                <R>5</R>
                              </CtgProps>
                              <LnkIn>
                                <LnkInProps>
                                  <MN>30</MN>
                                  <CLI>1,1,53,False,29</CLI>
                                  <ELN>1</ELN>
                                  <LOOT>0</LOOT>
                                  <LOMN>3</LOMN>
                                  <LOMCN>1</LOMCN>
                                  <LOSN>1</LOSN>
                                  <LOEN>29</LOEN>
                                  <LOCN>29</LOCN>
                                </LnkInProps>
                              </LnkIn>
                            </Ctg>
                            <Ctg>
                              <CtgProps>
                                <R>5</R>
                              </CtgProps>
                              <LnkIn>
                                <LnkInProps>
                                  <MN>30</MN>
                                  <CLI>1,1,53,False,30</CLI>
                                  <ELN>1</ELN>
                                  <LOOT>0</LOOT>
                                  <LOMN>3</LOMN>
                                  <LOMCN>1</LOMCN>
                                  <LOSN>1</LOSN>
                                  <LOEN>29</LOEN>
                                  <LOCN>30</LOCN>
                                </LnkInProps>
                              </LnkIn>
                            </Ctg>
                            <Ctg>
                              <CtgProps>
                                <R>5</R>
                              </CtgProps>
                              <LnkIn>
                                <LnkInProps>
                                  <MN>30</MN>
                                  <CLI>1,1,53,False,31</CLI>
                                  <ELN>1</ELN>
                                  <LOOT>0</LOOT>
                                  <LOMN>3</LOMN>
                                  <LOMCN>1</LOMCN>
                                  <LOSN>1</LOSN>
                                  <LOEN>29</LOEN>
                                  <LOCN>31</LOCN>
                                </LnkInProps>
                              </LnkIn>
                            </Ctg>
                            <Ctg>
                              <CtgProps>
                                <R>5</R>
                              </CtgProps>
                              <LnkIn>
                                <LnkInProps>
                                  <MN>30</MN>
                                  <CLI>1,1,53,False,32</CLI>
                                  <ELN>1</ELN>
                                  <LOOT>0</LOOT>
                                  <LOMN>3</LOMN>
                                  <LOMCN>1</LOMCN>
                                  <LOSN>1</LOSN>
                                  <LOEN>29</LOEN>
                                  <LOCN>32</LOCN>
                                </LnkInProps>
                              </LnkIn>
                            </Ctg>
                            <Ctg>
                              <CtgProps>
                                <R>5</R>
                              </CtgProps>
                              <LnkIn>
                                <LnkInProps>
                                  <MN>30</MN>
                                  <CLI>1,1,53,False,33</CLI>
                                  <ELN>1</ELN>
                                  <LOOT>0</LOOT>
                                  <LOMN>3</LOMN>
                                  <LOMCN>1</LOMCN>
                                  <LOSN>1</LOSN>
                                  <LOEN>29</LOEN>
                                  <LOCN>33</LOCN>
                                </LnkInProps>
                              </LnkIn>
                            </Ctg>
                            <Ctg>
                              <CtgProps>
                                <R>5</R>
                              </CtgProps>
                              <LnkIn>
                                <LnkInProps>
                                  <MN>30</MN>
                                  <CLI>1,1,53,False,34</CLI>
                                  <ELN>1</ELN>
                                  <LOOT>0</LOOT>
                                  <LOMN>3</LOMN>
                                  <LOMCN>1</LOMCN>
                                  <LOSN>1</LOSN>
                                  <LOEN>29</LOEN>
                                  <LOCN>34</LOCN>
                                </LnkInProps>
                              </LnkIn>
                            </Ctg>
                            <Ctg>
                              <CtgProps>
                                <R>5</R>
                              </CtgProps>
                              <LnkIn>
                                <LnkInProps>
                                  <MN>30</MN>
                                  <CLI>1,1,53,False,35</CLI>
                                  <ELN>1</ELN>
                                  <LOOT>0</LOOT>
                                  <LOMN>3</LOMN>
                                  <LOMCN>1</LOMCN>
                                  <LOSN>1</LOSN>
                                  <LOEN>29</LOEN>
                                  <LOCN>35</LOCN>
                                </LnkInProps>
                              </LnkIn>
                            </Ctg>
                          </Ctgs>
                        </SubTtl>
                      </SubTtls>
                      <TtlCtg/>
                      <ElmtLnksIn>
                        <ElmtLnk>
                          <ElmtLnkProps>
                            <ELI>1,1,53</ELI>
                            <ELN>1</ELN>
                            <ELGN>6</ELGN>
                            <MLG>A4172745-D85C-404E-8029-461F8AE9358B</MLG>
                            <ICBI>1,2,3,4,5</ICBI>
                            <ILBN/>
                            <LIBN>0</LIBN>
                          </ElmtLnkProps>
                        </ElmtLnk>
                      </ElmtLnksIn>
                    </Elmt>
                  </Elmts>
                </Sect>
              </Sects>
              <Ctrls>
                <Ctrl>
                  <CtrlProps>
                    <MN>30</MN>
                    <MCN>1</MCN>
                    <SIT>0</SIT>
                    <TLCRSN>1</TLCRSN>
                    <TLCREN>5</TLCREN>
                    <TLCRSRT>5</TLCRSRT>
                    <TLCCPT>0</TLCCPT>
                    <TLCCN>9</TLCCN>
                    <TLCCOT>0</TLCCOT>
                    <TLCCOC>0</TLCCOC>
                    <TLCCPTBMCN>0</TLCCPTBMCN>
                    <TLCCPTBN>0</TLCCPTBN>
                    <BRCRSN>1</BRCRSN>
                    <BRCREN>5</BRCREN>
                    <BRCRSRT>5</BRCRSRT>
                    <BRCCPT>0</BRCCPT>
                    <BRCCN>9</BRCCN>
                    <BRCCOT>0</BRCCOT>
                    <BRCCOC>0</BRCCOC>
                    <BRCCPTBMCN>0</BRCCPTBMCN>
                    <BRCCPTBN>0</BRCCPTBN>
                    <P>2</P>
                    <HAL>-4131</HAL>
                    <WA>1</WA>
                    <VA>-4108</VA>
                    <HAD>1</HAD>
                    <TI>0</TI>
                    <CT>0</CT>
                    <N/>
                    <D3DS>False</D3DS>
                    <PO>True</PO>
                    <L>True</L>
                    <OA/>
                    <T/>
                    <THA>-4108</THA>
                    <TVA>-4108</TVA>
                    <LT>True</LT>
                    <LCFFA><![CDATA[§A¿1,1,1,1,5,0,2,1,1§Z¿]]></LCFFA>
                    <CV>1</CV>
                    <MIV>0</MIV>
                    <MAV>100</MAV>
                    <SC>1</SC>
                    <LC>10</LC>
                    <LFRFFA><![CDATA[§A¿1,1,4,1,9,0,1,1,1§Z¿]]></LFRFFA>
                    <DDL>0</DDL>
                  </CtrlProps>
                </Ctrl>
              </Ctrls>
            </ModComp>
            <ModComp>
              <ModCompProps>
                <MN>30</MN>
                <MCN>2</MCN>
                <MCTK>BaseCase</MCTK>
                <RT><![CDATA[<ModuleName> - Assumptions]]></RT>
                <ERN>BPMMC146</ERN>
                <MCST>1</MCST>
                <IPMC>False</IPMC>
                <SN>14</SN>
                <LODS>False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28</CTHN>
                                <ST>3</ST>
                                <VOFFF><![CDATA[<ModuleComponentTitle>]]></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
              <ModCompProps>
                <MN>30</MN>
                <MCN>3</MCN>
                <MCTK>OP</MCTK>
                <RT><![CDATA[<ModuleName> - Outputs]]></RT>
                <ERN>BPMMC147</ERN>
                <MCST>0</MCST>
                <IPMC>False</IPMC>
                <SN>31</SN>
                <LODS>False</LODS>
                <LST>False</LST>
                <HS>False</HS>
                <IBOA>0</IBOA>
                <IB>True</IB>
                <CI/>
                <PTI/>
                <PTP>False</PTP>
                <PTD/>
                <PTMCN>0</PTMCN>
                <CROL>0</CROL>
                <CCOL>0</CCOL>
                <AMFN>0</AMFN>
              </ModCompProps>
              <Sects>
                <Sect>
                  <SectProps>
                    <LI>3,1</LI>
                    <EGN>0</EGN>
                  </SectProps>
                  <Elmts>
                    <Elmt>
                      <ElmtProps>
                        <CPT>2</CPT>
                      </ElmtProps>
                      <ClmnBlks>
                        <ClmnBlk>
                          <ClmnBlkProps>
                            <FCPT>0</FCPT>
                            <FCN>3</FCN>
                            <LCPT>0</LCPT>
                            <LCN>3</LCN>
                          </ClmnBlkProps>
                          <ClmnBlkPts>
                            <ClmnBlkPt>
                              <ClmnBlkPtProps>
                                <CBPT>5</CBPT>
                                <ST>5</ST>
                                <VOFFF><![CDATA[=§A¿0,1,0,1,3,1,1,-1,0,0,FALSE,FALSE§Z¿]]></VOFFF>
                              </ClmnBlkPtProps>
                            </ClmnBlkPt>
                          </ClmnBlkPts>
                        </ClmnBlk>
                      </ClmnBlks>
                      <TtlCtg/>
                    </Elmt>
                    <Elmt>
                      <ElmtProps>
                        <CPT>2</CPT>
                      </ElmtProps>
                      <ClmnBlks>
                        <ClmnBlk>
                          <ClmnBlkProps>
                            <FCPT>0</FCPT>
                            <FCN>10</FCN>
                            <LCPT>0</LCPT>
                            <LCN>10</LCN>
                          </ClmnBlkProps>
                          <ClmnBlkPts>
                            <ClmnBlkPt>
                              <ClmnBlkPtProps>
                                <CBPT>5</CBPT>
                                <ST>6</ST>
                                <SON>2</SON>
                                <VOFFF><![CDATA[="FINANCIAL COST ("&INDEX(§A¿1,1,4,1,9,0,1,1,1§Z¿,§A¿1,1,1,1,5,0,2,1,1§Z¿)&")"]]></VOFFF>
                              </ClmnBlkPtProps>
                            </ClmnBlkPt>
                          </ClmnBlkPts>
                        </ClmnBlk>
                        <ClmnBlk>
                          <ClmnBlkProps>
                            <FCPT>0</FCPT>
                            <FCN>12</FCN>
                            <LCPT>0</LCPT>
                            <LCN>12</LCN>
                          </ClmnBlkProps>
                          <ClmnBlkPts>
                            <ClmnBlkPt>
                              <ClmnBlkPtProps>
                                <CBPT>5</CBPT>
                                <ST>6</ST>
                                <SON>2</SON>
                                <VOFFF><![CDATA[="ECONOMIC COST ("&INDEX(§A¿1,1,4,1,9,0,1,1,1§Z¿,§A¿1,1,1,1,5,0,2,1,1§Z¿)&")"]]></VOFFF>
                              </ClmnBlkPtProps>
                            </ClmnBlkPt>
                          </ClmnBlkPts>
                        </ClmnBlk>
                        <ClmnBlk>
                          <ClmnBlkProps>
                            <FCPT>0</FCPT>
                            <FCN>15</FCN>
                            <LCPT>0</LCPT>
                            <LCN>15</LCN>
                          </ClmnBlkProps>
                          <ClmnBlkPts>
                            <ClmnBlkPt>
                              <ClmnBlkPtProps>
                                <CBPT>5</CBPT>
                                <ST>6</ST>
                                <SON>2</SON>
                                <VOFFF><![CDATA[="FINANCIAL COST ("&IF(§A¿1,1,1,1,5,0,2,1,1§Z¿=2,§A¿0,1,0,1,34,1,1,1,0,0,TRUE,TRUE§Z¿,§A¿0,1,0,1,34,1,1,2,0,0,TRUE,TRUE§Z¿)&")"]]></VOFFF>
                              </ClmnBlkPtProps>
                            </ClmnBlkPt>
                          </ClmnBlkPts>
                        </ClmnBlk>
                        <ClmnBlk>
                          <ClmnBlkProps>
                            <FCPT>0</FCPT>
                            <FCN>17</FCN>
                            <LCPT>0</LCPT>
                            <LCN>17</LCN>
                          </ClmnBlkProps>
                          <ClmnBlkPts>
                            <ClmnBlkPt>
                              <ClmnBlkPtProps>
                                <CBPT>5</CBPT>
                                <ST>6</ST>
                                <SON>2</SON>
                                <VOFFF><![CDATA[="FINANCIAL COST ("&IF(§A¿1,1,1,1,5,0,2,1,1§Z¿=2,§A¿0,1,0,1,34,1,1,1,0,0,TRUE,TRUE§Z¿,§A¿0,1,0,1,34,1,1,2,0,0,TRUE,TRUE§Z¿)&")"]]></VOFFF>
                              </ClmnBlkPtProps>
                            </ClmnBlkPt>
                          </ClmnBlkPts>
                        </ClmnBlk>
                      </ClmnBlks>
                      <TtlCtg/>
                    </Elmt>
                    <Elmt>
                      <ElmtProps>
                        <CPT>2</CPT>
                      </ElmtProps>
                      <ClmnBlks>
                        <ClmnBlk>
                          <ClmnBlkProps>
                            <FCPT>0</FCPT>
                            <FCN>4</FCN>
                            <LCPT>0</LCPT>
                            <LCN>4</LCN>
                          </ClmnBlkProps>
                          <ClmnBlkPts>
                            <ClmnBlkPt>
                              <ClmnBlkPtProps>
                                <CBPT>5</CBPT>
                                <ST>6</ST>
                                <VOFFF><![CDATA[=§A¿0,1,0,1,6,1,1,-1,0,0,FALSE,FALSE§Z¿]]></VOFFF>
                              </ClmnBlkPtProps>
                            </ClmnBlkPt>
                          </ClmnBlkPts>
                        </ClmnBlk>
                        <ClmnBlk>
                          <ClmnBlkProps>
                            <FCPT>0</FCPT>
                            <FCN>10</FCN>
                            <LCPT>0</LCPT>
                            <LCN>10</LCN>
                          </ClmnBlkProps>
                          <ClmnBlkPts>
                            <ClmnBlkPt>
                              <ClmnBlkPtProps>
                                <CBPT>5</CBPT>
                                <ST>18</ST>
                                <SON>14</SON>
                                <VOFFF><![CDATA[=§A¿0,1,0,1,8,6,6,-1,0,0,FALSE,FALSE§Z¿]]></VOFFF>
                              </ClmnBlkPtProps>
                            </ClmnBlkPt>
                          </ClmnBlkPts>
                        </ClmnBlk>
                        <ClmnBlk>
                          <ClmnBlkProps>
                            <FCPT>0</FCPT>
                            <FCN>12</FCN>
                            <LCPT>0</LCPT>
                            <LCN>12</LCN>
                          </ClmnBlkProps>
                          <ClmnBlkPts>
                            <ClmnBlkPt>
                              <ClmnBlkPtProps>
                                <CBPT>5</CBPT>
                                <ST>18</ST>
                                <SON>14</SON>
                                <VOFFF><![CDATA[=§A¿0,1,0,1,8,7,6,-1,0,0,FALSE,FALSE§Z¿]]></VOFFF>
                              </ClmnBlkPtProps>
                            </ClmnBlkPt>
                          </ClmnBlkPts>
                        </ClmnBlk>
                        <ClmnBlk>
                          <ClmnBlkProps>
                            <FCPT>0</FCPT>
                            <FCN>15</FCN>
                            <LCPT>0</LCPT>
                            <LCN>15</LCN>
                          </ClmnBlkProps>
                          <ClmnBlkPts>
                            <ClmnBlkPt>
                              <ClmnBlkPtProps>
                                <CBPT>5</CBPT>
                                <ST>18</ST>
                                <SON>14</SON>
                                <VOFFF><![CDATA[=IFERROR(IF(§A¿1,1,1,1,5,0,2,1,1§Z¿=2,§A¿0,3,0,1,3,2,1,-1,0,0,FALSE,FALSE§Z¿/§A¿0,1,0,1,34,2,1,2,0,0,TRUE,TRUE§Z¿,§A¿0,3,0,1,3,2,1,-1,0,0,FALSE,FALSE§Z¿*§A¿0,1,0,1,34,2,1,2,0,0,TRUE,TRUE§Z¿), 0)]]></VOFFF>
                              </ClmnBlkPtProps>
                            </ClmnBlkPt>
                          </ClmnBlkPts>
                        </ClmnBlk>
                        <ClmnBlk>
                          <ClmnBlkProps>
                            <FCPT>0</FCPT>
                            <FCN>17</FCN>
                            <LCPT>0</LCPT>
                            <LCN>17</LCN>
                          </ClmnBlkProps>
                          <ClmnBlkPts>
                            <ClmnBlkPt>
                              <ClmnBlkPtProps>
                                <CBPT>5</CBPT>
                                <ST>18</ST>
                                <SON>14</SON>
                                <VOFFF><![CDATA[=IFERROR(IF(§A¿1,1,1,1,5,0,2,1,1§Z¿=2,§A¿0,3,0,1,3,3,1,-1,0,0,FALSE,FALSE§Z¿/§A¿0,1,0,1,34,2,1,2,0,0,TRUE,TRUE§Z¿,§A¿0,3,0,1,3,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0,1,1,-1,0,0,FALSE,FALSE§Z¿]]></VOFFF>
                              </ClmnBlkPtProps>
                            </ClmnBlkPt>
                          </ClmnBlkPts>
                        </ClmnBlk>
                        <ClmnBlk>
                          <ClmnBlkProps>
                            <FCPT>0</FCPT>
                            <FCN>10</FCN>
                            <LCPT>0</LCPT>
                            <LCN>10</LCN>
                          </ClmnBlkProps>
                          <ClmnBlkPts>
                            <ClmnBlkPt>
                              <ClmnBlkPtProps>
                                <CBPT>5</CBPT>
                                <ST>18</ST>
                                <SON>14</SON>
                                <VOFFF><![CDATA[=§A¿0,1,0,1,12,6,6,-1,0,0,FALSE,FALSE§Z¿]]></VOFFF>
                              </ClmnBlkPtProps>
                            </ClmnBlkPt>
                          </ClmnBlkPts>
                        </ClmnBlk>
                        <ClmnBlk>
                          <ClmnBlkProps>
                            <FCPT>0</FCPT>
                            <FCN>12</FCN>
                            <LCPT>0</LCPT>
                            <LCN>12</LCN>
                          </ClmnBlkProps>
                          <ClmnBlkPts>
                            <ClmnBlkPt>
                              <ClmnBlkPtProps>
                                <CBPT>5</CBPT>
                                <ST>18</ST>
                                <SON>14</SON>
                                <VOFFF><![CDATA[=§A¿0,1,0,1,12,7,6,-1,0,0,FALSE,FALSE§Z¿]]></VOFFF>
                              </ClmnBlkPtProps>
                            </ClmnBlkPt>
                          </ClmnBlkPts>
                        </ClmnBlk>
                        <ClmnBlk>
                          <ClmnBlkProps>
                            <FCPT>0</FCPT>
                            <FCN>15</FCN>
                            <LCPT>0</LCPT>
                            <LCN>15</LCN>
                          </ClmnBlkProps>
                          <ClmnBlkPts>
                            <ClmnBlkPt>
                              <ClmnBlkPtProps>
                                <CBPT>5</CBPT>
                                <ST>18</ST>
                                <SON>14</SON>
                                <VOFFF><![CDATA[=IFERROR(IF(§A¿1,1,1,1,5,0,2,1,1§Z¿=2,§A¿0,3,0,1,4,2,1,-1,0,0,FALSE,FALSE§Z¿/§A¿0,1,0,1,34,2,1,2,0,0,TRUE,TRUE§Z¿,§A¿0,3,0,1,4,2,1,-1,0,0,FALSE,FALSE§Z¿*§A¿0,1,0,1,34,2,1,2,0,0,TRUE,TRUE§Z¿), 0)]]></VOFFF>
                              </ClmnBlkPtProps>
                            </ClmnBlkPt>
                          </ClmnBlkPts>
                        </ClmnBlk>
                        <ClmnBlk>
                          <ClmnBlkProps>
                            <FCPT>0</FCPT>
                            <FCN>17</FCN>
                            <LCPT>0</LCPT>
                            <LCN>17</LCN>
                          </ClmnBlkProps>
                          <ClmnBlkPts>
                            <ClmnBlkPt>
                              <ClmnBlkPtProps>
                                <CBPT>5</CBPT>
                                <ST>18</ST>
                                <SON>14</SON>
                                <VOFFF><![CDATA[=IFERROR(IF(§A¿1,1,1,1,5,0,2,1,1§Z¿=2,§A¿0,3,0,1,4,3,1,-1,0,0,FALSE,FALSE§Z¿/§A¿0,1,0,1,34,2,1,2,0,0,TRUE,TRUE§Z¿,§A¿0,3,0,1,4,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16,1,1,-1,0,0,FALSE,FALSE§Z¿]]></VOFFF>
                              </ClmnBlkPtProps>
                            </ClmnBlkPt>
                          </ClmnBlkPts>
                        </ClmnBlk>
                        <ClmnBlk>
                          <ClmnBlkProps>
                            <FCPT>0</FCPT>
                            <FCN>10</FCN>
                            <LCPT>0</LCPT>
                            <LCN>10</LCN>
                          </ClmnBlkProps>
                          <ClmnBlkPts>
                            <ClmnBlkPt>
                              <ClmnBlkPtProps>
                                <CBPT>5</CBPT>
                                <ST>18</ST>
                                <SON>14</SON>
                                <VOFFF><![CDATA[=§A¿0,1,0,1,18,6,6,-1,0,0,FALSE,FALSE§Z¿]]></VOFFF>
                              </ClmnBlkPtProps>
                            </ClmnBlkPt>
                          </ClmnBlkPts>
                        </ClmnBlk>
                        <ClmnBlk>
                          <ClmnBlkProps>
                            <FCPT>0</FCPT>
                            <FCN>12</FCN>
                            <LCPT>0</LCPT>
                            <LCN>12</LCN>
                          </ClmnBlkProps>
                          <ClmnBlkPts>
                            <ClmnBlkPt>
                              <ClmnBlkPtProps>
                                <CBPT>5</CBPT>
                                <ST>18</ST>
                                <SON>14</SON>
                                <VOFFF><![CDATA[=§A¿0,1,0,1,18,7,6,-1,0,0,FALSE,FALSE§Z¿]]></VOFFF>
                              </ClmnBlkPtProps>
                            </ClmnBlkPt>
                          </ClmnBlkPts>
                        </ClmnBlk>
                        <ClmnBlk>
                          <ClmnBlkProps>
                            <FCPT>0</FCPT>
                            <FCN>15</FCN>
                            <LCPT>0</LCPT>
                            <LCN>15</LCN>
                          </ClmnBlkProps>
                          <ClmnBlkPts>
                            <ClmnBlkPt>
                              <ClmnBlkPtProps>
                                <CBPT>5</CBPT>
                                <ST>18</ST>
                                <SON>14</SON>
                                <VOFFF><![CDATA[=IFERROR(IF(§A¿1,1,1,1,5,0,2,1,1§Z¿=2,§A¿0,3,0,1,5,2,1,-1,0,0,FALSE,FALSE§Z¿/§A¿0,1,0,1,34,2,1,2,0,0,TRUE,TRUE§Z¿,§A¿0,3,0,1,5,2,1,-1,0,0,FALSE,FALSE§Z¿*§A¿0,1,0,1,34,2,1,2,0,0,TRUE,TRUE§Z¿), 0)]]></VOFFF>
                              </ClmnBlkPtProps>
                            </ClmnBlkPt>
                          </ClmnBlkPts>
                        </ClmnBlk>
                        <ClmnBlk>
                          <ClmnBlkProps>
                            <FCPT>0</FCPT>
                            <FCN>17</FCN>
                            <LCPT>0</LCPT>
                            <LCN>17</LCN>
                          </ClmnBlkProps>
                          <ClmnBlkPts>
                            <ClmnBlkPt>
                              <ClmnBlkPtProps>
                                <CBPT>5</CBPT>
                                <ST>18</ST>
                                <SON>14</SON>
                                <VOFFF><![CDATA[=IFERROR(IF(§A¿1,1,1,1,5,0,2,1,1§Z¿=2,§A¿0,3,0,1,5,3,1,-1,0,0,FALSE,FALSE§Z¿/§A¿0,1,0,1,34,2,1,2,0,0,TRUE,TRUE§Z¿,§A¿0,3,0,1,5,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0,1,1,-1,0,0,FALSE,FALSE§Z¿]]></VOFFF>
                              </ClmnBlkPtProps>
                            </ClmnBlkPt>
                          </ClmnBlkPts>
                        </ClmnBlk>
                        <ClmnBlk>
                          <ClmnBlkProps>
                            <FCPT>0</FCPT>
                            <FCN>10</FCN>
                            <LCPT>0</LCPT>
                            <LCN>10</LCN>
                          </ClmnBlkProps>
                          <ClmnBlkPts>
                            <ClmnBlkPt>
                              <ClmnBlkPtProps>
                                <CBPT>5</CBPT>
                                <ST>18</ST>
                                <SON>14</SON>
                                <VOFFF><![CDATA[=§A¿0,1,0,1,22,5,6,-1,0,0,FALSE,FALSE§Z¿]]></VOFFF>
                              </ClmnBlkPtProps>
                            </ClmnBlkPt>
                          </ClmnBlkPts>
                        </ClmnBlk>
                        <ClmnBlk>
                          <ClmnBlkProps>
                            <FCPT>0</FCPT>
                            <FCN>12</FCN>
                            <LCPT>0</LCPT>
                            <LCN>12</LCN>
                          </ClmnBlkProps>
                          <ClmnBlkPts>
                            <ClmnBlkPt>
                              <ClmnBlkPtProps>
                                <CBPT>5</CBPT>
                                <ST>18</ST>
                                <SON>14</SON>
                                <VOFFF><![CDATA[=§A¿0,1,0,1,22,6,6,-1,0,0,FALSE,FALSE§Z¿]]></VOFFF>
                              </ClmnBlkPtProps>
                            </ClmnBlkPt>
                          </ClmnBlkPts>
                        </ClmnBlk>
                        <ClmnBlk>
                          <ClmnBlkProps>
                            <FCPT>0</FCPT>
                            <FCN>15</FCN>
                            <LCPT>0</LCPT>
                            <LCN>15</LCN>
                          </ClmnBlkProps>
                          <ClmnBlkPts>
                            <ClmnBlkPt>
                              <ClmnBlkPtProps>
                                <CBPT>5</CBPT>
                                <ST>18</ST>
                                <SON>14</SON>
                                <VOFFF><![CDATA[=IFERROR(IF(§A¿1,1,1,1,5,0,2,1,1§Z¿=2,§A¿0,3,0,1,6,2,1,-1,0,0,FALSE,FALSE§Z¿/§A¿0,1,0,1,34,2,1,2,0,0,TRUE,TRUE§Z¿,§A¿0,3,0,1,6,2,1,-1,0,0,FALSE,FALSE§Z¿*§A¿0,1,0,1,34,2,1,2,0,0,TRUE,TRUE§Z¿), 0)]]></VOFFF>
                              </ClmnBlkPtProps>
                            </ClmnBlkPt>
                          </ClmnBlkPts>
                        </ClmnBlk>
                        <ClmnBlk>
                          <ClmnBlkProps>
                            <FCPT>0</FCPT>
                            <FCN>17</FCN>
                            <LCPT>0</LCPT>
                            <LCN>17</LCN>
                          </ClmnBlkProps>
                          <ClmnBlkPts>
                            <ClmnBlkPt>
                              <ClmnBlkPtProps>
                                <CBPT>5</CBPT>
                                <ST>18</ST>
                                <SON>14</SON>
                                <VOFFF><![CDATA[=IFERROR(IF(§A¿1,1,1,1,5,0,2,1,1§Z¿=2,§A¿0,3,0,1,6,3,1,-1,0,0,FALSE,FALSE§Z¿/§A¿0,1,0,1,34,2,1,2,0,0,TRUE,TRUE§Z¿,§A¿0,3,0,1,6,3,1,-1,0,0,FALSE,FALSE§Z¿*§A¿0,1,0,1,34,2,1,2,0,0,TRUE,TRUE§Z¿), 0)]]></VOFFF>
                              </ClmnBlkPtProps>
                            </ClmnBlkPt>
                          </ClmnBlkPts>
                        </ClmnBlk>
                      </ClmnBlks>
                      <TtlCtg/>
                    </Elmt>
                    <Elmt>
                      <ElmtProps>
                        <CPT>2</CPT>
                      </ElmtProps>
                      <ClmnBlks>
                        <ClmnBlk>
                          <ClmnBlkProps>
                            <FCPT>0</FCPT>
                            <FCN>4</FCN>
                            <LCPT>0</LCPT>
                            <LCN>4</LCN>
                          </ClmnBlkProps>
                          <ClmnBlkPts>
                            <ClmnBlkPt>
                              <ClmnBlkPtProps>
                                <CBPT>5</CBPT>
                                <ST>6</ST>
                                <VOFFF><![CDATA[=§A¿0,1,0,1,24,1,1,-1,0,0,FALSE,FALSE§Z¿]]></VOFFF>
                              </ClmnBlkPtProps>
                            </ClmnBlkPt>
                          </ClmnBlkPts>
                        </ClmnBlk>
                        <ClmnBlk>
                          <ClmnBlkProps>
                            <FCPT>0</FCPT>
                            <FCN>10</FCN>
                            <LCPT>0</LCPT>
                            <LCN>10</LCN>
                          </ClmnBlkProps>
                          <ClmnBlkPts>
                            <ClmnBlkPt>
                              <ClmnBlkPtProps>
                                <CBPT>5</CBPT>
                                <ST>18</ST>
                                <SON>14</SON>
                                <VOFFF><![CDATA[=§A¿0,1,0,1,27,6,6,-1,0,0,FALSE,FALSE§Z¿]]></VOFFF>
                              </ClmnBlkPtProps>
                            </ClmnBlkPt>
                          </ClmnBlkPts>
                        </ClmnBlk>
                        <ClmnBlk>
                          <ClmnBlkProps>
                            <FCPT>0</FCPT>
                            <FCN>12</FCN>
                            <LCPT>0</LCPT>
                            <LCN>12</LCN>
                          </ClmnBlkProps>
                          <ClmnBlkPts>
                            <ClmnBlkPt>
                              <ClmnBlkPtProps>
                                <CBPT>5</CBPT>
                                <ST>18</ST>
                                <SON>14</SON>
                                <VOFFF><![CDATA[=§A¿0,1,0,1,27,7,6,-1,0,0,FALSE,FALSE§Z¿]]></VOFFF>
                              </ClmnBlkPtProps>
                            </ClmnBlkPt>
                          </ClmnBlkPts>
                        </ClmnBlk>
                        <ClmnBlk>
                          <ClmnBlkProps>
                            <FCPT>0</FCPT>
                            <FCN>15</FCN>
                            <LCPT>0</LCPT>
                            <LCN>15</LCN>
                          </ClmnBlkProps>
                          <ClmnBlkPts>
                            <ClmnBlkPt>
                              <ClmnBlkPtProps>
                                <CBPT>5</CBPT>
                                <ST>18</ST>
                                <SON>14</SON>
                                <VOFFF><![CDATA[=IFERROR(IF(§A¿1,1,1,1,5,0,2,1,1§Z¿=2,§A¿0,3,0,1,7,2,1,-1,0,0,FALSE,FALSE§Z¿/§A¿0,1,0,1,34,2,1,2,0,0,TRUE,TRUE§Z¿,§A¿0,3,0,1,7,2,1,-1,0,0,FALSE,FALSE§Z¿*§A¿0,1,0,1,34,2,1,2,0,0,TRUE,TRUE§Z¿), 0)]]></VOFFF>
                              </ClmnBlkPtProps>
                            </ClmnBlkPt>
                          </ClmnBlkPts>
                        </ClmnBlk>
                        <ClmnBlk>
                          <ClmnBlkProps>
                            <FCPT>0</FCPT>
                            <FCN>17</FCN>
                            <LCPT>0</LCPT>
                            <LCN>17</LCN>
                          </ClmnBlkProps>
                          <ClmnBlkPts>
                            <ClmnBlkPt>
                              <ClmnBlkPtProps>
                                <CBPT>5</CBPT>
                                <ST>18</ST>
                                <SON>14</SON>
                                <VOFFF><![CDATA[=IFERROR(IF(§A¿1,1,1,1,5,0,2,1,1§Z¿=2,§A¿0,3,0,1,7,3,1,-1,0,0,FALSE,FALSE§Z¿/§A¿0,1,0,1,34,2,1,2,0,0,TRUE,TRUE§Z¿,§A¿0,3,0,1,7,3,1,-1,0,0,FALSE,FALSE§Z¿*§A¿0,1,0,1,34,2,1,2,0,0,TRUE,TRUE§Z¿), 0)]]></VOFFF>
                              </ClmnBlkPtProps>
                            </ClmnBlkPt>
                          </ClmnBlkPts>
                        </ClmnBlk>
                      </ClmnBlks>
                      <TtlCtg/>
                    </Elmt>
                    <Elmt>
                      <ElmtProps>
                        <CPT>2</CPT>
                      </ElmtProps>
                      <ClmnBlks>
                        <ClmnBlk>
                          <ClmnBlkProps>
                            <FCPT>0</FCPT>
                            <FCN>4</FCN>
                            <LCPT>0</LCPT>
                            <LCN>4</LCN>
                          </ClmnBlkProps>
                          <ClmnBlkPts>
                            <ClmnBlkPt>
                              <ClmnBlkPtProps>
                                <CBPT>5</CBPT>
                                <ST>6</ST>
                                <SON>1</SON>
                                <VOFFF><![CDATA[="Single "&§A¿0,3,0,1,1,1,1,-1,0,0,FALSE,FALSE§Z¿&" Activity"]]></VOFFF>
                              </ClmnBlkPtProps>
                            </ClmnBlkPt>
                          </ClmnBlkPts>
                        </ClmnBlk>
                        <ClmnBlk>
                          <ClmnBlkProps>
                            <FCPT>0</FCPT>
                            <FCN>10</FCN>
                            <LCPT>0</LCPT>
                            <LCN>10</LCN>
                          </ClmnBlkProps>
                          <ClmnBlkPts>
                            <ClmnBlkPt>
                              <ClmnBlkPtProps>
                                <CBPT>5</CBPT>
                                <ST>18</ST>
                                <SON>16</SON>
                                <VOFFF><![CDATA[=SUM(§A¿0,3,1,1,3,2,1,-1,0,0,FALSE,FALSE,1,7,2,1,-1,0,0,FALSE,FALSE§Z¿)]]></VOFFF>
                              </ClmnBlkPtProps>
                            </ClmnBlkPt>
                          </ClmnBlkPts>
                        </ClmnBlk>
                        <ClmnBlk>
                          <ClmnBlkProps>
                            <FCPT>0</FCPT>
                            <FCN>12</FCN>
                            <LCPT>0</LCPT>
                            <LCN>12</LCN>
                          </ClmnBlkProps>
                          <ClmnBlkPts>
                            <ClmnBlkPt>
                              <ClmnBlkPtProps>
                                <CBPT>5</CBPT>
                                <ST>18</ST>
                                <SON>16</SON>
                                <VOFFF><![CDATA[=SUM(§A¿0,3,1,1,3,3,1,-1,0,0,FALSE,FALSE,1,7,3,1,-1,0,0,FALSE,FALSE§Z¿)]]></VOFFF>
                              </ClmnBlkPtProps>
                            </ClmnBlkPt>
                          </ClmnBlkPts>
                        </ClmnBlk>
                        <ClmnBlk>
                          <ClmnBlkProps>
                            <FCPT>0</FCPT>
                            <FCN>15</FCN>
                            <LCPT>0</LCPT>
                            <LCN>15</LCN>
                          </ClmnBlkProps>
                          <ClmnBlkPts>
                            <ClmnBlkPt>
                              <ClmnBlkPtProps>
                                <CBPT>5</CBPT>
                                <ST>18</ST>
                                <SON>17</SON>
                                <VOFFF><![CDATA[=SUM(§A¿0,3,1,1,3,4,1,-1,0,0,FALSE,FALSE,1,7,4,1,-1,0,0,FALSE,FALSE§Z¿)]]></VOFFF>
                              </ClmnBlkPtProps>
                            </ClmnBlkPt>
                          </ClmnBlkPts>
                        </ClmnBlk>
                        <ClmnBlk>
                          <ClmnBlkProps>
                            <FCPT>0</FCPT>
                            <FCN>17</FCN>
                            <LCPT>0</LCPT>
                            <LCN>17</LCN>
                          </ClmnBlkProps>
                          <ClmnBlkPts>
                            <ClmnBlkPt>
                              <ClmnBlkPtProps>
                                <CBPT>5</CBPT>
                                <ST>18</ST>
                                <SON>17</SON>
                                <VOFFF><![CDATA[=SUM(§A¿0,3,1,1,3,5,1,-1,0,0,FALSE,FALSE,1,7,5,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5</ST>
                                <VOFFF><![CDATA[Number of this Activity Required]]></VOFFF>
                              </ClmnBlkPtProps>
                            </ClmnBlkPt>
                          </ClmnBlkPts>
                        </ClmnBlk>
                        <ClmnBlk>
                          <ClmnBlkProps>
                            <FCPT>0</FCPT>
                            <FCN>8</FCN>
                            <LCPT>0</LCPT>
                            <LCN>8</LCN>
                          </ClmnBlkProps>
                          <ClmnBlkPts>
                            <ClmnBlkPt>
                              <ClmnBlkPtProps>
                                <CBPT>5</CBPT>
                                <ST>11</ST>
                                <VOFFF/>
                                <UDAV><![CDATA[0]]></UDAV>
                              </ClmnBlkPtProps>
                              <RgeNmes>
                                <RgeNme>
                                  <RgeNmeProps>
                                    <CBPLI>3,1,10,2,1</CBPLI>
                                    <MCN>3</MCN>
                                    <SN>1</SN>
                                    <EN>10</EN>
                                    <CN>0</CN>
                                    <CBN>2</CBN>
                                    <CBPN>1</CBPN>
                                    <PT>1</PT>
                                    <CBPRNT>6</CBPRNT>
                                    <NT>12</NT>
                                    <SP1><![CDATA[RND2_HQB]]></SP1>
                                    <SP2/>
                                    <FFF/>
                                    <CMT/>
                                  </RgeNmeProps>
                                </RgeNme>
                              </RgeNmes>
                            </ClmnBlkPt>
                          </ClmnBlkPts>
                        </ClmnBlk>
                      </ClmnBlks>
                      <TtlCtg/>
                    </Elmt>
                    <Elmt>
                      <ElmtProps>
                        <CPT>2</CPT>
                      </ElmtProps>
                      <ClmnBlks>
                        <ClmnBlk>
                          <ClmnBlkProps>
                            <FCPT>0</FCPT>
                            <FCN>3</FCN>
                            <LCPT>0</LCPT>
                            <LCN>3</LCN>
                          </ClmnBlkProps>
                          <ClmnBlkPts>
                            <ClmnBlkPt>
                              <ClmnBlkPtProps>
                                <CBPT>5</CBPT>
                                <ST>5</ST>
                                <VOFFF><![CDATA[="Subtotal Cost: "&§A¿0,3,0,1,1,1,1,-1,0,0,FALSE,FALSE§Z¿&" Activities"]]></VOFFF>
                              </ClmnBlkPtProps>
                            </ClmnBlkPt>
                          </ClmnBlkPts>
                        </ClmnBlk>
                        <ClmnBlk>
                          <ClmnBlkProps>
                            <FCPT>0</FCPT>
                            <FCN>10</FCN>
                            <LCPT>0</LCPT>
                            <LCN>10</LCN>
                          </ClmnBlkProps>
                          <ClmnBlkPts>
                            <ClmnBlkPt>
                              <ClmnBlkPtProps>
                                <CBPT>5</CBPT>
                                <ST>18</ST>
                                <SON>6</SON>
                                <VOFFF><![CDATA[=§A¿0,3,0,1,10,2,1,-1,0,0,TRUE,TRUE§Z¿*§A¿0,3,0,1,8,2,1,-1,0,0,FALSE,FALSE§Z¿]]></VOFFF>
                              </ClmnBlkPtProps>
                            </ClmnBlkPt>
                          </ClmnBlkPts>
                        </ClmnBlk>
                        <ClmnBlk>
                          <ClmnBlkProps>
                            <FCPT>0</FCPT>
                            <FCN>12</FCN>
                            <LCPT>0</LCPT>
                            <LCN>12</LCN>
                          </ClmnBlkProps>
                          <ClmnBlkPts>
                            <ClmnBlkPt>
                              <ClmnBlkPtProps>
                                <CBPT>5</CBPT>
                                <ST>18</ST>
                                <SON>6</SON>
                                <VOFFF><![CDATA[=§A¿0,3,0,1,10,2,1,-1,0,0,TRUE,TRUE§Z¿*§A¿0,3,0,1,8,3,1,-1,0,0,FALSE,FALSE§Z¿]]></VOFFF>
                              </ClmnBlkPtProps>
                            </ClmnBlkPt>
                          </ClmnBlkPts>
                        </ClmnBlk>
                        <ClmnBlk>
                          <ClmnBlkProps>
                            <FCPT>0</FCPT>
                            <FCN>15</FCN>
                            <LCPT>0</LCPT>
                            <LCN>15</LCN>
                          </ClmnBlkProps>
                          <ClmnBlkPts>
                            <ClmnBlkPt>
                              <ClmnBlkPtProps>
                                <CBPT>5</CBPT>
                                <ST>18</ST>
                                <SON>6</SON>
                                <VOFFF><![CDATA[=§A¿0,3,0,1,10,2,1,-1,0,0,TRUE,TRUE§Z¿*§A¿0,3,0,1,8,4,1,-1,0,0,FALSE,FALSE§Z¿]]></VOFFF>
                              </ClmnBlkPtProps>
                            </ClmnBlkPt>
                          </ClmnBlkPts>
                        </ClmnBlk>
                        <ClmnBlk>
                          <ClmnBlkProps>
                            <FCPT>0</FCPT>
                            <FCN>17</FCN>
                            <LCPT>0</LCPT>
                            <LCN>17</LCN>
                          </ClmnBlkProps>
                          <ClmnBlkPts>
                            <ClmnBlkPt>
                              <ClmnBlkPtProps>
                                <CBPT>5</CBPT>
                                <ST>18</ST>
                                <SON>6</SON>
                                <VOFFF><![CDATA[=§A¿0,3,0,1,10,2,1,-1,0,0,TRUE,TRUE§Z¿*§A¿0,3,0,1,8,5,1,-1,0,0,FALSE,FALSE§Z¿]]></VOFFF>
                              </ClmnBlkPtProps>
                            </ClmnBlkPt>
                          </ClmnBlkPts>
                        </ClmnBlk>
                      </ClmnBlks>
                      <TtlCtg/>
                    </Elmt>
                    <Elmt>
                      <ElmtProps>
                        <CPT>2</CPT>
                      </ElmtProps>
                      <ClmnBlks>
                        <ClmnBlk>
                          <ClmnBlkProps>
                            <FCPT>0</FCPT>
                            <FCN>2</FCN>
                            <LCPT>0</LCPT>
                            <LCN>19</LCN>
                          </ClmnBlkProps>
                          <ClmnBlkPts>
                            <ClmnBlkPt>
                              <ClmnBlkPtProps>
                                <CBPT>5</CBPT>
                                <ST>-1</ST>
                                <SON>18</SON>
                                <VOFFF/>
                              </ClmnBlkPtProps>
                            </ClmnBlkPt>
                          </ClmnBlkPts>
                        </ClmnBlk>
                      </ClmnBlks>
                      <TtlCtg/>
                    </Elmt>
                  </Elmts>
                </Sect>
              </Sects>
            </ModComp>
            <ModComp>
              <ModCompProps>
                <MN>30</MN>
                <MCN>4</MCN>
                <MCTK>LU</MCTK>
                <RT><![CDATA[<ModuleName> - Lookups]]></RT>
                <ERN>BPMMC148</ERN>
                <MCST>3</MCST>
                <IPMC>False</IPMC>
                <SN>56</SN>
                <LODS>True</LODS>
                <LST>False</LST>
                <HS>False</HS>
                <IBOA>0</IBOA>
                <IB>True</IB>
                <CI/>
                <PTI/>
                <PTP>False</PTP>
                <PTD/>
                <PTMCN>0</PTMCN>
                <CROL>0</CROL>
                <CCOL>0</CCOL>
                <AMFN>0</AMFN>
              </ModCompProps>
              <Sects>
                <Sect>
                  <SectProps>
                    <LI>4,1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36</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Currenc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5</EGN>
                      </ElmtProps>
                      <ClmnBlks>
                        <ClmnBlk>
                          <ClmnBlkProps>
                            <FCPT>0</FCPT>
                            <FCN>4</FCN>
                            <LCPT>0</LCPT>
                            <LCN>4</LCN>
                          </ClmnBlkProps>
                          <ClmnBlkPts>
                            <ClmnBlkPt>
                              <ClmnBlkPtProps>
                                <CBPT>0</CBPT>
                                <ST>25</ST>
                                <VOFFF><![CDATA[=§A¿0,1,0,1,34,1,1,0,0,0,FALSE,FALSE§Z¿]]></VOFFF>
                              </ClmnBlkPtProps>
                              <RgeNmes>
                                <RgeNme>
                                  <RgeNmeProps>
                                    <CBPLI>4,1,9,1,1</CBPLI>
                                    <MCN>4</MCN>
                                    <SN>1</SN>
                                    <EN>9</EN>
                                    <CN>0</CN>
                                    <CBN>1</CBN>
                                    <CBPN>1</CBPN>
                                    <PT>1</PT>
                                    <CBPRNT>2</CBPRNT>
                                    <NT>11</NT>
                                    <SP1><![CDATA[Meet_Cur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4_Meet_Curr]]></VOFFF>
                              </ClmnBlkPtProps>
                            </ClmnBlkPt>
                          </ClmnBlkPts>
                        </ClmnBlk>
                      </ClmnBlks>
                      <SubTtls>
                        <SubTtl>
                          <Ctgs>
                            <Ctg>
                              <LuTblLbl>
                                <LuTblLblProps>
                                  <CLI>4,1,9,False,1</CLI>
                                  <L><![CDATA[Lookup Label <CategoryNumber>.]]></L>
                                </LuTblLblProps>
                              </LuTblLbl>
                            </Ctg>
                            <Ctg>
                              <LuTblLbl>
                                <LuTblLblProps>
                                  <CLI>4,1,9,False,2</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Personnel]]></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6</EGN>
                      </ElmtProps>
                      <ClmnBlks>
                        <ClmnBlk>
                          <ClmnBlkProps>
                            <FCPT>0</FCPT>
                            <FCN>4</FCN>
                            <LCPT>0</LCPT>
                            <LCN>4</LCN>
                          </ClmnBlkProps>
                          <ClmnBlkPts>
                            <ClmnBlkPt>
                              <ClmnBlkPtProps>
                                <CBPT>0</CBPT>
                                <ST>25</ST>
                                <VOFFF><![CDATA[=§A¿0,1,0,1,39,1,1,0,0,0,FALSE,FALSE§Z¿]]></VOFFF>
                              </ClmnBlkPtProps>
                              <RgeNmes>
                                <RgeNme>
                                  <RgeNmeProps>
                                    <CBPLI>4,1,13,1,1</CBPLI>
                                    <MCN>4</MCN>
                                    <SN>1</SN>
                                    <EN>13</EN>
                                    <CN>0</CN>
                                    <CBN>1</CBN>
                                    <CBPN>1</CBPN>
                                    <PT>1</PT>
                                    <CBPRNT>2</CBPRNT>
                                    <NT>11</NT>
                                    <SP1><![CDATA[Pers_R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4_Pers_Res]]></VOFFF>
                              </ClmnBlkPtProps>
                            </ClmnBlkPt>
                          </ClmnBlkPts>
                        </ClmnBlk>
                      </ClmnBlks>
                      <SubTtls>
                        <SubTtl>
                          <Ctgs>
                            <Ctg>
                              <LuTblLbl>
                                <LuTblLblProps>
                                  <CLI>4,1,13,False,1</CLI>
                                  <L><![CDATA[Lookup Label <CategoryNumber>.]]></L>
                                </LuTblLblProps>
                              </LuTblLbl>
                            </Ctg>
                            <Ctg>
                              <LuTblLbl>
                                <LuTblLblProps>
                                  <CLI>4,1,13,False,2</CLI>
                                  <L><![CDATA[Lookup Label <CategoryNumber>.]]></L>
                                </LuTblLblProps>
                              </LuTblLbl>
                            </Ctg>
                            <Ctg>
                              <LuTblLbl>
                                <LuTblLblProps>
                                  <CLI>4,1,13,False,3</CLI>
                                  <L><![CDATA[Lookup Label <CategoryNumber>.]]></L>
                                </LuTblLblProps>
                              </LuTblLbl>
                            </Ctg>
                            <Ctg>
                              <LuTblLbl>
                                <LuTblLblProps>
                                  <CLI>4,1,13,False,4</CLI>
                                  <L><![CDATA[Lookup Label <CategoryNumber>.]]></L>
                                </LuTblLblProps>
                              </LuTblLbl>
                            </Ctg>
                            <Ctg>
                              <LuTblLbl>
                                <LuTblLblProps>
                                  <CLI>4,1,13,False,5</CLI>
                                  <L><![CDATA[Lookup Label <CategoryNumber>.]]></L>
                                </LuTblLblProps>
                              </LuTblLbl>
                            </Ctg>
                            <Ctg>
                              <LuTblLbl>
                                <LuTblLblProps>
                                  <CLI>4,1,13,False,6</CLI>
                                  <L><![CDATA[Lookup Label <CategoryNumber>.]]></L>
                                </LuTblLblProps>
                              </LuTblLbl>
                            </Ctg>
                            <Ctg>
                              <LuTblLbl>
                                <LuTblLblProps>
                                  <CLI>4,1,13,False,7</CLI>
                                  <L><![CDATA[Lookup Label <CategoryNumber>.]]></L>
                                </LuTblLblProps>
                              </LuTblLbl>
                            </Ctg>
                            <Ctg>
                              <LuTblLbl>
                                <LuTblLblProps>
                                  <CLI>4,1,13,False,8</CLI>
                                  <L><![CDATA[Lookup Label <CategoryNumber>.]]></L>
                                </LuTblLblProps>
                              </LuTblLbl>
                            </Ctg>
                            <Ctg>
                              <LuTblLbl>
                                <LuTblLblProps>
                                  <CLI>4,1,13,False,9</CLI>
                                  <L><![CDATA[Lookup Label <CategoryNumber>.]]></L>
                                </LuTblLblProps>
                              </LuTblLbl>
                            </Ctg>
                            <Ctg>
                              <LuTblLbl>
                                <LuTblLblProps>
                                  <CLI>4,1,13,False,10</CLI>
                                  <L><![CDATA[Lookup Label <CategoryNumber>.]]></L>
                                </LuTblLblProps>
                              </LuTblLbl>
                            </Ctg>
                            <Ctg>
                              <LuTblLbl>
                                <LuTblLblProps>
                                  <CLI>4,1,13,False,11</CLI>
                                  <L><![CDATA[Lookup Label <CategoryNumber>.]]></L>
                                </LuTblLblProps>
                              </LuTblLbl>
                            </Ctg>
                            <Ctg>
                              <LuTblLbl>
                                <LuTblLblProps>
                                  <CLI>4,1,13,False,12</CLI>
                                  <L><![CDATA[Lookup Label <CategoryNumber>.]]></L>
                                </LuTblLblProps>
                              </LuTblLbl>
                            </Ctg>
                            <Ctg>
                              <LuTblLbl>
                                <LuTblLblProps>
                                  <CLI>4,1,13,False,13</CLI>
                                  <L><![CDATA[Lookup Label <CategoryNumber>.]]></L>
                                </LuTblLblProps>
                              </LuTblLbl>
                            </Ctg>
                            <Ctg>
                              <LuTblLbl>
                                <LuTblLblProps>
                                  <CLI>4,1,13,False,14</CLI>
                                  <L><![CDATA[Lookup Label <CategoryNumber>.]]></L>
                                </LuTblLblProps>
                              </LuTblLbl>
                            </Ctg>
                            <Ctg>
                              <LuTblLbl>
                                <LuTblLblProps>
                                  <CLI>4,1,13,False,15</CLI>
                                  <L><![CDATA[Lookup Label <CategoryNumber>.]]></L>
                                </LuTblLblProps>
                              </LuTblLbl>
                            </Ctg>
                            <Ctg>
                              <LuTblLbl>
                                <LuTblLblProps>
                                  <CLI>4,1,13,False,16</CLI>
                                  <L><![CDATA[Lookup Label <CategoryNumber>.]]></L>
                                </LuTblLblProps>
                              </LuTblLbl>
                            </Ctg>
                            <Ctg>
                              <LuTblLbl>
                                <LuTblLblProps>
                                  <CLI>4,1,13,False,17</CLI>
                                  <L><![CDATA[Lookup Label <CategoryNumber>.]]></L>
                                </LuTblLblProps>
                              </LuTblLbl>
                            </Ctg>
                            <Ctg>
                              <LuTblLbl>
                                <LuTblLblProps>
                                  <CLI>4,1,13,False,18</CLI>
                                  <L><![CDATA[Lookup Label <CategoryNumber>.]]></L>
                                </LuTblLblProps>
                              </LuTblLbl>
                            </Ctg>
                            <Ctg>
                              <LuTblLbl>
                                <LuTblLblProps>
                                  <CLI>4,1,13,False,19</CLI>
                                  <L><![CDATA[Lookup Label <CategoryNumber>.]]></L>
                                </LuTblLblProps>
                              </LuTblLbl>
                            </Ctg>
                            <Ctg>
                              <LuTblLbl>
                                <LuTblLblProps>
                                  <CLI>4,1,13,False,20</CLI>
                                  <L><![CDATA[Lookup Label <CategoryNumber>.]]></L>
                                </LuTblLblProps>
                              </LuTblLbl>
                            </Ctg>
                            <Ctg>
                              <LuTblLbl>
                                <LuTblLblProps>
                                  <CLI>4,1,13,False,21</CLI>
                                  <L><![CDATA[Lookup Label <CategoryNumber>.]]></L>
                                </LuTblLblProps>
                              </LuTblLbl>
                            </Ctg>
                            <Ctg>
                              <LuTblLbl>
                                <LuTblLblProps>
                                  <CLI>4,1,13,False,22</CLI>
                                  <L><![CDATA[Lookup Label <CategoryNumber>.]]></L>
                                </LuTblLblProps>
                              </LuTblLbl>
                            </Ctg>
                            <Ctg>
                              <LuTblLbl>
                                <LuTblLblProps>
                                  <CLI>4,1,13,False,23</CLI>
                                  <L><![CDATA[Lookup Label <CategoryNumber>.]]></L>
                                </LuTblLblProps>
                              </LuTblLbl>
                            </Ctg>
                            <Ctg>
                              <LuTblLbl>
                                <LuTblLblProps>
                                  <CLI>4,1,13,False,24</CLI>
                                  <L><![CDATA[Lookup Label <CategoryNumber>.]]></L>
                                </LuTblLblProps>
                              </LuTblLbl>
                            </Ctg>
                            <Ctg>
                              <LuTblLbl>
                                <LuTblLblProps>
                                  <CLI>4,1,13,False,25</CLI>
                                  <L><![CDATA[Lookup Label <CategoryNumber>.]]></L>
                                </LuTblLblProps>
                              </LuTblLbl>
                            </Ctg>
                            <Ctg>
                              <LuTblLbl>
                                <LuTblLblProps>
                                  <CLI>4,1,13,False,26</CLI>
                                  <L><![CDATA[Lookup Label <CategoryNumber>.]]></L>
                                </LuTblLblProps>
                              </LuTblLbl>
                            </Ctg>
                            <Ctg>
                              <LuTblLbl>
                                <LuTblLblProps>
                                  <CLI>4,1,13,False,27</CLI>
                                  <L><![CDATA[Lookup Label <CategoryNumber>.]]></L>
                                </LuTblLblProps>
                              </LuTblLbl>
                            </Ctg>
                            <Ctg>
                              <LuTblLbl>
                                <LuTblLblProps>
                                  <CLI>4,1,13,False,28</CLI>
                                  <L><![CDATA[Lookup Label <CategoryNumber>.]]></L>
                                </LuTblLblProps>
                              </LuTblLbl>
                            </Ctg>
                            <Ctg>
                              <LuTblLbl>
                                <LuTblLblProps>
                                  <CLI>4,1,13,False,29</CLI>
                                  <L><![CDATA[Lookup Label <CategoryNumber>.]]></L>
                                </LuTblLblProps>
                              </LuTblLbl>
                            </Ctg>
                            <Ctg>
                              <LuTblLbl>
                                <LuTblLblProps>
                                  <CLI>4,1,13,False,30</CLI>
                                  <L><![CDATA[Lookup Label <CategoryNumber>.]]></L>
                                </LuTblLblProps>
                              </LuTblLbl>
                            </Ctg>
                            <Ctg>
                              <LuTblLbl>
                                <LuTblLblProps>
                                  <CLI>4,1,13,False,31</CLI>
                                  <L><![CDATA[Lookup Label <CategoryNumber>.]]></L>
                                </LuTblLblProps>
                              </LuTblLbl>
                            </Ctg>
                            <Ctg>
                              <LuTblLbl>
                                <LuTblLblProps>
                                  <CLI>4,1,13,False,32</CLI>
                                  <L><![CDATA[Lookup Label <CategoryNumber>.]]></L>
                                </LuTblLblProps>
                              </LuTblLbl>
                            </Ctg>
                            <Ctg>
                              <LuTblLbl>
                                <LuTblLblProps>
                                  <CLI>4,1,13,False,33</CLI>
                                  <L><![CDATA[Lookup Label <CategoryNumber>.]]></L>
                                </LuTblLblProps>
                              </LuTblLbl>
                            </Ctg>
                            <Ctg>
                              <LuTblLbl>
                                <LuTblLblProps>
                                  <CLI>4,1,13,False,34</CLI>
                                  <L><![CDATA[Lookup Label <CategoryNumber>.]]></L>
                                </LuTblLblProps>
                              </LuTblLbl>
                            </Ctg>
                            <Ctg>
                              <LuTblLbl>
                                <LuTblLblProps>
                                  <CLI>4,1,13,False,35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7</EGN>
                      </ElmtProps>
                      <ClmnBlks>
                        <ClmnBlk>
                          <ClmnBlkProps>
                            <FCPT>0</FCPT>
                            <FCN>4</FCN>
                            <LCPT>0</LCPT>
                            <LCN>4</LCN>
                          </ClmnBlkProps>
                          <ClmnBlkPts>
                            <ClmnBlkPt>
                              <ClmnBlkPtProps>
                                <CBPT>0</CBPT>
                                <ST>25</ST>
                                <VOFFF><![CDATA[=§A¿0,1,0,1,42,1,1,0,0,0,FALSE,FALSE§Z¿]]></VOFFF>
                              </ClmnBlkPtProps>
                              <RgeNmes>
                                <RgeNme>
                                  <RgeNmeProps>
                                    <CBPLI>4,1,17,1,1</CBPLI>
                                    <MCN>4</MCN>
                                    <SN>1</SN>
                                    <EN>17</EN>
                                    <CN>0</CN>
                                    <CBN>1</CBN>
                                    <CBPN>1</CBPN>
                                    <PT>1</PT>
                                    <CBPRNT>2</CBPRNT>
                                    <NT>11</NT>
                                    <SP1><![CDATA[Allowanc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4_Allowances]]></VOFFF>
                              </ClmnBlkPtProps>
                            </ClmnBlkPt>
                          </ClmnBlkPts>
                        </ClmnBlk>
                      </ClmnBlks>
                      <SubTtls>
                        <SubTtl>
                          <Ctgs>
                            <Ctg>
                              <LuTblLbl>
                                <LuTblLblProps>
                                  <CLI>4,1,17,False,1</CLI>
                                  <L><![CDATA[Lookup Label <CategoryNumber>.]]></L>
                                </LuTblLblProps>
                              </LuTblLbl>
                            </Ctg>
                            <Ctg>
                              <LuTblLbl>
                                <LuTblLblProps>
                                  <CLI>4,1,17,False,2</CLI>
                                  <L><![CDATA[Lookup Label <CategoryNumber>.]]></L>
                                </LuTblLblProps>
                              </LuTblLbl>
                            </Ctg>
                            <Ctg>
                              <LuTblLbl>
                                <LuTblLblProps>
                                  <CLI>4,1,17,False,3</CLI>
                                  <L><![CDATA[Lookup Label <CategoryNumber>.]]></L>
                                </LuTblLblProps>
                              </LuTblLbl>
                            </Ctg>
                            <Ctg>
                              <LuTblLbl>
                                <LuTblLblProps>
                                  <CLI>4,1,17,False,4</CLI>
                                  <L><![CDATA[Lookup Label <CategoryNumber>.]]></L>
                                </LuTblLblProps>
                              </LuTblLbl>
                            </Ctg>
                            <Ctg>
                              <LuTblLbl>
                                <LuTblLblProps>
                                  <CLI>4,1,17,False,5</CLI>
                                  <L><![CDATA[Lookup Label <CategoryNumber>.]]></L>
                                </LuTblLblProps>
                              </LuTblLbl>
                            </Ctg>
                            <Ctg>
                              <LuTblLbl>
                                <LuTblLblProps>
                                  <CLI>4,1,17,False,6</CLI>
                                  <L><![CDATA[Lookup Label <CategoryNumber>.]]></L>
                                </LuTblLblProps>
                              </LuTblLbl>
                            </Ctg>
                            <Ctg>
                              <LuTblLbl>
                                <LuTblLblProps>
                                  <CLI>4,1,17,False,7</CLI>
                                  <L><![CDATA[Lookup Label <CategoryNumber>.]]></L>
                                </LuTblLblProps>
                              </LuTblLbl>
                            </Ctg>
                            <Ctg>
                              <LuTblLbl>
                                <LuTblLblProps>
                                  <CLI>4,1,17,False,8</CLI>
                                  <L><![CDATA[Lookup Label <CategoryNumber>.]]></L>
                                </LuTblLblProps>
                              </LuTblLbl>
                            </Ctg>
                            <Ctg>
                              <LuTblLbl>
                                <LuTblLblProps>
                                  <CLI>4,1,17,False,9</CLI>
                                  <L><![CDATA[Lookup Label <CategoryNumber>.]]></L>
                                </LuTblLblProps>
                              </LuTblLbl>
                            </Ctg>
                            <Ctg>
                              <LuTblLbl>
                                <LuTblLblProps>
                                  <CLI>4,1,17,False,10</CLI>
                                  <L><![CDATA[Lookup Label <CategoryNumber>.]]></L>
                                </LuTblLblProps>
                              </LuTblLbl>
                            </Ctg>
                            <Ctg>
                              <LuTblLbl>
                                <LuTblLblProps>
                                  <CLI>4,1,17,False,11</CLI>
                                  <L><![CDATA[Lookup Label <CategoryNumber>.]]></L>
                                </LuTblLblProps>
                              </LuTblLbl>
                            </Ctg>
                            <Ctg>
                              <LuTblLbl>
                                <LuTblLblProps>
                                  <CLI>4,1,17,False,12</CLI>
                                  <L><![CDATA[Lookup Label <CategoryNumber>.]]></L>
                                </LuTblLblProps>
                              </LuTblLbl>
                            </Ctg>
                            <Ctg>
                              <LuTblLbl>
                                <LuTblLblProps>
                                  <CLI>4,1,17,False,13</CLI>
                                  <L><![CDATA[Lookup Label <CategoryNumber>.]]></L>
                                </LuTblLblProps>
                              </LuTblLbl>
                            </Ctg>
                            <Ctg>
                              <LuTblLbl>
                                <LuTblLblProps>
                                  <CLI>4,1,17,False,14</CLI>
                                  <L><![CDATA[Lookup Label <CategoryNumber>.]]></L>
                                </LuTblLblProps>
                              </LuTblLbl>
                            </Ctg>
                            <Ctg>
                              <LuTblLbl>
                                <LuTblLblProps>
                                  <CLI>4,1,17,False,15</CLI>
                                  <L><![CDATA[Lookup Label <CategoryNumber>.]]></L>
                                </LuTblLblProps>
                              </LuTblLbl>
                            </Ctg>
                            <Ctg>
                              <LuTblLbl>
                                <LuTblLblProps>
                                  <CLI>4,1,17,False,16</CLI>
                                  <L><![CDATA[Lookup Label <CategoryNumber>.]]></L>
                                </LuTblLblProps>
                              </LuTblLbl>
                            </Ctg>
                            <Ctg>
                              <LuTblLbl>
                                <LuTblLblProps>
                                  <CLI>4,1,17,False,17</CLI>
                                  <L><![CDATA[Lookup Label <CategoryNumber>.]]></L>
                                </LuTblLblProps>
                              </LuTblLbl>
                            </Ctg>
                            <Ctg>
                              <LuTblLbl>
                                <LuTblLblProps>
                                  <CLI>4,1,17,False,18</CLI>
                                  <L><![CDATA[Lookup Label <CategoryNumber>.]]></L>
                                </LuTblLblProps>
                              </LuTblLbl>
                            </Ctg>
                            <Ctg>
                              <LuTblLbl>
                                <LuTblLblProps>
                                  <CLI>4,1,17,False,19</CLI>
                                  <L><![CDATA[Lookup Label <CategoryNumber>.]]></L>
                                </LuTblLblProps>
                              </LuTblLbl>
                            </Ctg>
                            <Ctg>
                              <LuTblLbl>
                                <LuTblLblProps>
                                  <CLI>4,1,17,False,20</CLI>
                                  <L><![CDATA[Lookup Label <CategoryNumber>.]]></L>
                                </LuTblLblProps>
                              </LuTblLbl>
                            </Ctg>
                            <Ctg>
                              <LuTblLbl>
                                <LuTblLblProps>
                                  <CLI>4,1,17,False,21</CLI>
                                  <L><![CDATA[Lookup Label <CategoryNumber>.]]></L>
                                </LuTblLblProps>
                              </LuTblLbl>
                            </Ctg>
                            <Ctg>
                              <LuTblLbl>
                                <LuTblLblProps>
                                  <CLI>4,1,17,False,22</CLI>
                                  <L><![CDATA[Lookup Label <CategoryNumber>.]]></L>
                                </LuTblLblProps>
                              </LuTblLbl>
                            </Ctg>
                            <Ctg>
                              <LuTblLbl>
                                <LuTblLblProps>
                                  <CLI>4,1,17,False,23</CLI>
                                  <L><![CDATA[Lookup Label <CategoryNumber>.]]></L>
                                </LuTblLblProps>
                              </LuTblLbl>
                            </Ctg>
                            <Ctg>
                              <LuTblLbl>
                                <LuTblLblProps>
                                  <CLI>4,1,17,False,24</CLI>
                                  <L><![CDATA[Lookup Label <CategoryNumber>.]]></L>
                                </LuTblLblProps>
                              </LuTblLbl>
                            </Ctg>
                            <Ctg>
                              <LuTblLbl>
                                <LuTblLblProps>
                                  <CLI>4,1,17,False,25</CLI>
                                  <L><![CDATA[Lookup Label <CategoryNumber>.]]></L>
                                </LuTblLblProps>
                              </LuTblLbl>
                            </Ctg>
                            <Ctg>
                              <LuTblLbl>
                                <LuTblLblProps>
                                  <CLI>4,1,17,False,26</CLI>
                                  <L><![CDATA[Lookup Label <CategoryNumber>.]]></L>
                                </LuTblLblProps>
                              </LuTblLbl>
                            </Ctg>
                            <Ctg>
                              <LuTblLbl>
                                <LuTblLblProps>
                                  <CLI>4,1,17,False,27</CLI>
                                  <L><![CDATA[Lookup Label <CategoryNumber>.]]></L>
                                </LuTblLblProps>
                              </LuTblLbl>
                            </Ctg>
                            <Ctg>
                              <LuTblLbl>
                                <LuTblLblProps>
                                  <CLI>4,1,17,False,28</CLI>
                                  <L><![CDATA[Lookup Label <CategoryNumber>.]]></L>
                                </LuTblLblProps>
                              </LuTblLbl>
                            </Ctg>
                            <Ctg>
                              <LuTblLbl>
                                <LuTblLblProps>
                                  <CLI>4,1,17,False,29</CLI>
                                  <L><![CDATA[Lookup Label <CategoryNumber>.]]></L>
                                </LuTblLblProps>
                              </LuTblLbl>
                            </Ctg>
                            <Ctg>
                              <LuTblLbl>
                                <LuTblLblProps>
                                  <CLI>4,1,17,False,30</CLI>
                                  <L><![CDATA[Lookup Label <CategoryNumber>.]]></L>
                                </LuTblLblProps>
                              </LuTblLbl>
                            </Ctg>
                            <Ctg>
                              <LuTblLbl>
                                <LuTblLblProps>
                                  <CLI>4,1,17,False,31</CLI>
                                  <L><![CDATA[Lookup Label <CategoryNumber>.]]></L>
                                </LuTblLblProps>
                              </LuTblLbl>
                            </Ctg>
                            <Ctg>
                              <LuTblLbl>
                                <LuTblLblProps>
                                  <CLI>4,1,17,False,32</CLI>
                                  <L><![CDATA[Lookup Label <CategoryNumber>.]]></L>
                                </LuTblLblProps>
                              </LuTblLbl>
                            </Ctg>
                            <Ctg>
                              <LuTblLbl>
                                <LuTblLblProps>
                                  <CLI>4,1,17,False,33</CLI>
                                  <L><![CDATA[Lookup Label <CategoryNumber>.]]></L>
                                </LuTblLblProps>
                              </LuTblLbl>
                            </Ctg>
                            <Ctg>
                              <LuTblLbl>
                                <LuTblLblProps>
                                  <CLI>4,1,17,False,34</CLI>
                                  <L><![CDATA[Lookup Label <CategoryNumber>.]]></L>
                                </LuTblLblProps>
                              </LuTblLbl>
                            </Ctg>
                            <Ctg>
                              <LuTblLbl>
                                <LuTblLblProps>
                                  <CLI>4,1,17,False,35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Supplie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8</EGN>
                      </ElmtProps>
                      <ClmnBlks>
                        <ClmnBlk>
                          <ClmnBlkProps>
                            <FCPT>0</FCPT>
                            <FCN>4</FCN>
                            <LCPT>0</LCPT>
                            <LCN>4</LCN>
                          </ClmnBlkProps>
                          <ClmnBlkPts>
                            <ClmnBlkPt>
                              <ClmnBlkPtProps>
                                <CBPT>0</CBPT>
                                <ST>25</ST>
                                <VOFFF><![CDATA[=§A¿0,1,0,1,46,1,1,0,0,0,FALSE,FALSE§Z¿]]></VOFFF>
                              </ClmnBlkPtProps>
                              <RgeNmes>
                                <RgeNme>
                                  <RgeNmeProps>
                                    <CBPLI>4,1,22,1,1</CBPLI>
                                    <MCN>4</MCN>
                                    <SN>1</SN>
                                    <EN>22</EN>
                                    <CN>0</CN>
                                    <CBN>1</CBN>
                                    <CBPN>1</CBPN>
                                    <PT>1</PT>
                                    <CBPRNT>2</CBPRNT>
                                    <NT>11</NT>
                                    <SP1><![CDATA[Suppli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4_Supplies]]></VOFFF>
                              </ClmnBlkPtProps>
                            </ClmnBlkPt>
                          </ClmnBlkPts>
                        </ClmnBlk>
                      </ClmnBlks>
                      <SubTtls>
                        <SubTtl>
                          <Ctgs>
                            <Ctg>
                              <LuTblLbl>
                                <LuTblLblProps>
                                  <CLI>4,1,22,False,1</CLI>
                                  <L><![CDATA[Lookup Label <CategoryNumber>.]]></L>
                                </LuTblLblProps>
                              </LuTblLbl>
                            </Ctg>
                            <Ctg>
                              <LuTblLbl>
                                <LuTblLblProps>
                                  <CLI>4,1,22,False,2</CLI>
                                  <L><![CDATA[Lookup Label <CategoryNumber>.]]></L>
                                </LuTblLblProps>
                              </LuTblLbl>
                            </Ctg>
                            <Ctg>
                              <LuTblLbl>
                                <LuTblLblProps>
                                  <CLI>4,1,22,False,3</CLI>
                                  <L><![CDATA[Lookup Label <CategoryNumber>.]]></L>
                                </LuTblLblProps>
                              </LuTblLbl>
                            </Ctg>
                            <Ctg>
                              <LuTblLbl>
                                <LuTblLblProps>
                                  <CLI>4,1,22,False,4</CLI>
                                  <L><![CDATA[Lookup Label <CategoryNumber>.]]></L>
                                </LuTblLblProps>
                              </LuTblLbl>
                            </Ctg>
                            <Ctg>
                              <LuTblLbl>
                                <LuTblLblProps>
                                  <CLI>4,1,22,False,5</CLI>
                                  <L><![CDATA[Lookup Label <CategoryNumber>.]]></L>
                                </LuTblLblProps>
                              </LuTblLbl>
                            </Ctg>
                            <Ctg>
                              <LuTblLbl>
                                <LuTblLblProps>
                                  <CLI>4,1,22,False,6</CLI>
                                  <L><![CDATA[Lookup Label <CategoryNumber>.]]></L>
                                </LuTblLblProps>
                              </LuTblLbl>
                            </Ctg>
                            <Ctg>
                              <LuTblLbl>
                                <LuTblLblProps>
                                  <CLI>4,1,22,False,7</CLI>
                                  <L><![CDATA[Lookup Label <CategoryNumber>.]]></L>
                                </LuTblLblProps>
                              </LuTblLbl>
                            </Ctg>
                            <Ctg>
                              <LuTblLbl>
                                <LuTblLblProps>
                                  <CLI>4,1,22,False,8</CLI>
                                  <L><![CDATA[Lookup Label <CategoryNumber>.]]></L>
                                </LuTblLblProps>
                              </LuTblLbl>
                            </Ctg>
                            <Ctg>
                              <LuTblLbl>
                                <LuTblLblProps>
                                  <CLI>4,1,22,False,9</CLI>
                                  <L><![CDATA[Lookup Label <CategoryNumber>.]]></L>
                                </LuTblLblProps>
                              </LuTblLbl>
                            </Ctg>
                            <Ctg>
                              <LuTblLbl>
                                <LuTblLblProps>
                                  <CLI>4,1,22,False,10</CLI>
                                  <L><![CDATA[Lookup Label <CategoryNumber>.]]></L>
                                </LuTblLblProps>
                              </LuTblLbl>
                            </Ctg>
                            <Ctg>
                              <LuTblLbl>
                                <LuTblLblProps>
                                  <CLI>4,1,22,False,11</CLI>
                                  <L><![CDATA[Lookup Label <CategoryNumber>.]]></L>
                                </LuTblLblProps>
                              </LuTblLbl>
                            </Ctg>
                            <Ctg>
                              <LuTblLbl>
                                <LuTblLblProps>
                                  <CLI>4,1,22,False,12</CLI>
                                  <L><![CDATA[Lookup Label <CategoryNumber>.]]></L>
                                </LuTblLblProps>
                              </LuTblLbl>
                            </Ctg>
                            <Ctg>
                              <LuTblLbl>
                                <LuTblLblProps>
                                  <CLI>4,1,22,False,13</CLI>
                                  <L><![CDATA[Lookup Label <CategoryNumber>.]]></L>
                                </LuTblLblProps>
                              </LuTblLbl>
                            </Ctg>
                            <Ctg>
                              <LuTblLbl>
                                <LuTblLblProps>
                                  <CLI>4,1,22,False,14</CLI>
                                  <L><![CDATA[Lookup Label <CategoryNumber>.]]></L>
                                </LuTblLblProps>
                              </LuTblLbl>
                            </Ctg>
                            <Ctg>
                              <LuTblLbl>
                                <LuTblLblProps>
                                  <CLI>4,1,22,False,15</CLI>
                                  <L><![CDATA[Lookup Label <CategoryNumber>.]]></L>
                                </LuTblLblProps>
                              </LuTblLbl>
                            </Ctg>
                            <Ctg>
                              <LuTblLbl>
                                <LuTblLblProps>
                                  <CLI>4,1,22,False,16</CLI>
                                  <L><![CDATA[Lookup Label <CategoryNumber>.]]></L>
                                </LuTblLblProps>
                              </LuTblLbl>
                            </Ctg>
                            <Ctg>
                              <LuTblLbl>
                                <LuTblLblProps>
                                  <CLI>4,1,22,False,17</CLI>
                                  <L><![CDATA[Lookup Label <CategoryNumber>.]]></L>
                                </LuTblLblProps>
                              </LuTblLbl>
                            </Ctg>
                            <Ctg>
                              <LuTblLbl>
                                <LuTblLblProps>
                                  <CLI>4,1,22,False,18</CLI>
                                  <L><![CDATA[Lookup Label <CategoryNumber>.]]></L>
                                </LuTblLblProps>
                              </LuTblLbl>
                            </Ctg>
                            <Ctg>
                              <LuTblLbl>
                                <LuTblLblProps>
                                  <CLI>4,1,22,False,19</CLI>
                                  <L><![CDATA[Lookup Label <CategoryNumber>.]]></L>
                                </LuTblLblProps>
                              </LuTblLbl>
                            </Ctg>
                            <Ctg>
                              <LuTblLbl>
                                <LuTblLblProps>
                                  <CLI>4,1,22,False,20</CLI>
                                  <L><![CDATA[Lookup Label <CategoryNumber>.]]></L>
                                </LuTblLblProps>
                              </LuTblLbl>
                            </Ctg>
                            <Ctg>
                              <LuTblLbl>
                                <LuTblLblProps>
                                  <CLI>4,1,22,False,21</CLI>
                                  <L><![CDATA[Lookup Label <CategoryNumber>.]]></L>
                                </LuTblLblProps>
                              </LuTblLbl>
                            </Ctg>
                            <Ctg>
                              <LuTblLbl>
                                <LuTblLblProps>
                                  <CLI>4,1,22,False,22</CLI>
                                  <L><![CDATA[Lookup Label <CategoryNumber>.]]></L>
                                </LuTblLblProps>
                              </LuTblLbl>
                            </Ctg>
                            <Ctg>
                              <LuTblLbl>
                                <LuTblLblProps>
                                  <CLI>4,1,22,False,23</CLI>
                                  <L><![CDATA[Lookup Label <CategoryNumber>.]]></L>
                                </LuTblLblProps>
                              </LuTblLbl>
                            </Ctg>
                            <Ctg>
                              <LuTblLbl>
                                <LuTblLblProps>
                                  <CLI>4,1,22,False,24</CLI>
                                  <L><![CDATA[Lookup Label <CategoryNumber>.]]></L>
                                </LuTblLblProps>
                              </LuTblLbl>
                            </Ctg>
                            <Ctg>
                              <LuTblLbl>
                                <LuTblLblProps>
                                  <CLI>4,1,22,False,25</CLI>
                                  <L><![CDATA[Lookup Label <CategoryNumber>.]]></L>
                                </LuTblLblProps>
                              </LuTblLbl>
                            </Ctg>
                            <Ctg>
                              <LuTblLbl>
                                <LuTblLblProps>
                                  <CLI>4,1,22,False,26</CLI>
                                  <L><![CDATA[Lookup Label <CategoryNumber>.]]></L>
                                </LuTblLblProps>
                              </LuTblLbl>
                            </Ctg>
                            <Ctg>
                              <LuTblLbl>
                                <LuTblLblProps>
                                  <CLI>4,1,22,False,27</CLI>
                                  <L><![CDATA[Lookup Label <CategoryNumber>.]]></L>
                                </LuTblLblProps>
                              </LuTblLbl>
                            </Ctg>
                            <Ctg>
                              <LuTblLbl>
                                <LuTblLblProps>
                                  <CLI>4,1,22,False,28</CLI>
                                  <L><![CDATA[Lookup Label <CategoryNumber>.]]></L>
                                </LuTblLblProps>
                              </LuTblLbl>
                            </Ctg>
                            <Ctg>
                              <LuTblLbl>
                                <LuTblLblProps>
                                  <CLI>4,1,22,False,29</CLI>
                                  <L><![CDATA[Lookup Label <CategoryNumber>.]]></L>
                                </LuTblLblProps>
                              </LuTblLbl>
                            </Ctg>
                            <Ctg>
                              <LuTblLbl>
                                <LuTblLblProps>
                                  <CLI>4,1,22,False,30</CLI>
                                  <L><![CDATA[Lookup Label <CategoryNumber>.]]></L>
                                </LuTblLblProps>
                              </LuTblLbl>
                            </Ctg>
                            <Ctg>
                              <LuTblLbl>
                                <LuTblLblProps>
                                  <CLI>4,1,22,False,31</CLI>
                                  <L><![CDATA[Lookup Label <CategoryNumber>.]]></L>
                                </LuTblLblProps>
                              </LuTblLbl>
                            </Ctg>
                            <Ctg>
                              <LuTblLbl>
                                <LuTblLblProps>
                                  <CLI>4,1,22,False,32</CLI>
                                  <L><![CDATA[Lookup Label <CategoryNumber>.]]></L>
                                </LuTblLblProps>
                              </LuTblLbl>
                            </Ctg>
                            <Ctg>
                              <LuTblLbl>
                                <LuTblLblProps>
                                  <CLI>4,1,22,False,33</CLI>
                                  <L><![CDATA[Lookup Label <CategoryNumber>.]]></L>
                                </LuTblLblProps>
                              </LuTblLbl>
                            </Ctg>
                            <Ctg>
                              <LuTblLbl>
                                <LuTblLblProps>
                                  <CLI>4,1,22,False,34</CLI>
                                  <L><![CDATA[Lookup Label <CategoryNumber>.]]></L>
                                </LuTblLblProps>
                              </LuTblLbl>
                            </Ctg>
                            <Ctg>
                              <LuTblLbl>
                                <LuTblLblProps>
                                  <CLI>4,1,22,False,35</CLI>
                                  <L><![CDATA[Lookup Label <CategoryNumber>.]]></L>
                                </LuTblLblProps>
                              </LuTblLbl>
                            </Ctg>
                          </Ctgs>
                        </SubTtl>
                      </SubTtls>
                      <TtlCtg/>
                    </Elmt>
                    <Elmt>
                      <ElmtProps>
                        <CPT>2</CPT>
                      </ElmtProps>
                      <TtlCtg/>
                    </Elmt>
                    <Elmt>
                      <ElmtProps>
                        <CPT>2</CPT>
                      </ElmtProps>
                      <TtlCtg/>
                    </Elmt>
                    <Elmt>
                      <ElmtProps>
                        <CPT>2</CPT>
                      </ElmtProps>
                      <ClmnBlks>
                        <ClmnBlk>
                          <ClmnBlkProps>
                            <FCPT>0</FCPT>
                            <FCN>3</FCN>
                            <LCPT>0</LCPT>
                            <LCN>3</LCN>
                          </ClmnBlkProps>
                          <ClmnBlkPts>
                            <ClmnBlkPt>
                              <ClmnBlkPtProps>
                                <CBPT>5</CBPT>
                                <ST>4</ST>
                                <VOFFF><![CDATA[Equipment]]></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9</EGN>
                      </ElmtProps>
                      <ClmnBlks>
                        <ClmnBlk>
                          <ClmnBlkProps>
                            <FCPT>0</FCPT>
                            <FCN>4</FCN>
                            <LCPT>0</LCPT>
                            <LCN>4</LCN>
                          </ClmnBlkProps>
                          <ClmnBlkPts>
                            <ClmnBlkPt>
                              <ClmnBlkPtProps>
                                <CBPT>0</CBPT>
                                <ST>25</ST>
                                <VOFFF><![CDATA[=§A¿0,1,0,1,49,1,1,0,0,0,FALSE,FALSE§Z¿]]></VOFFF>
                              </ClmnBlkPtProps>
                              <RgeNmes>
                                <RgeNme>
                                  <RgeNmeProps>
                                    <CBPLI>4,1,27,1,1</CBPLI>
                                    <MCN>4</MCN>
                                    <SN>1</SN>
                                    <EN>27</EN>
                                    <CN>0</CN>
                                    <CBN>1</CBN>
                                    <CBPN>1</CBPN>
                                    <PT>1</PT>
                                    <CBPRNT>2</CBPRNT>
                                    <NT>11</NT>
                                    <SP1><![CDATA[Equipment]]></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4_Equipment]]></VOFFF>
                              </ClmnBlkPtProps>
                            </ClmnBlkPt>
                          </ClmnBlkPts>
                        </ClmnBlk>
                      </ClmnBlks>
                      <SubTtls>
                        <SubTtl>
                          <Ctgs>
                            <Ctg>
                              <LuTblLbl>
                                <LuTblLblProps>
                                  <CLI>4,1,27,False,1</CLI>
                                  <L><![CDATA[Lookup Label <CategoryNumber>.]]></L>
                                </LuTblLblProps>
                              </LuTblLbl>
                            </Ctg>
                            <Ctg>
                              <LuTblLbl>
                                <LuTblLblProps>
                                  <CLI>4,1,27,False,2</CLI>
                                  <L><![CDATA[Lookup Label <CategoryNumber>.]]></L>
                                </LuTblLblProps>
                              </LuTblLbl>
                            </Ctg>
                            <Ctg>
                              <LuTblLbl>
                                <LuTblLblProps>
                                  <CLI>4,1,27,False,3</CLI>
                                  <L><![CDATA[Lookup Label <CategoryNumber>.]]></L>
                                </LuTblLblProps>
                              </LuTblLbl>
                            </Ctg>
                            <Ctg>
                              <LuTblLbl>
                                <LuTblLblProps>
                                  <CLI>4,1,27,False,4</CLI>
                                  <L><![CDATA[Lookup Label <CategoryNumber>.]]></L>
                                </LuTblLblProps>
                              </LuTblLbl>
                            </Ctg>
                            <Ctg>
                              <LuTblLbl>
                                <LuTblLblProps>
                                  <CLI>4,1,27,False,5</CLI>
                                  <L><![CDATA[Lookup Label <CategoryNumber>.]]></L>
                                </LuTblLblProps>
                              </LuTblLbl>
                            </Ctg>
                            <Ctg>
                              <LuTblLbl>
                                <LuTblLblProps>
                                  <CLI>4,1,27,False,6</CLI>
                                  <L><![CDATA[Lookup Label <CategoryNumber>.]]></L>
                                </LuTblLblProps>
                              </LuTblLbl>
                            </Ctg>
                            <Ctg>
                              <LuTblLbl>
                                <LuTblLblProps>
                                  <CLI>4,1,27,False,7</CLI>
                                  <L><![CDATA[Lookup Label <CategoryNumber>.]]></L>
                                </LuTblLblProps>
                              </LuTblLbl>
                            </Ctg>
                            <Ctg>
                              <LuTblLbl>
                                <LuTblLblProps>
                                  <CLI>4,1,27,False,8</CLI>
                                  <L><![CDATA[Lookup Label <CategoryNumber>.]]></L>
                                </LuTblLblProps>
                              </LuTblLbl>
                            </Ctg>
                            <Ctg>
                              <LuTblLbl>
                                <LuTblLblProps>
                                  <CLI>4,1,27,False,9</CLI>
                                  <L><![CDATA[Lookup Label <CategoryNumber>.]]></L>
                                </LuTblLblProps>
                              </LuTblLbl>
                            </Ctg>
                            <Ctg>
                              <LuTblLbl>
                                <LuTblLblProps>
                                  <CLI>4,1,27,False,10</CLI>
                                  <L><![CDATA[Lookup Label <CategoryNumber>.]]></L>
                                </LuTblLblProps>
                              </LuTblLbl>
                            </Ctg>
                            <Ctg>
                              <LuTblLbl>
                                <LuTblLblProps>
                                  <CLI>4,1,27,False,11</CLI>
                                  <L><![CDATA[Lookup Label <CategoryNumber>.]]></L>
                                </LuTblLblProps>
                              </LuTblLbl>
                            </Ctg>
                            <Ctg>
                              <LuTblLbl>
                                <LuTblLblProps>
                                  <CLI>4,1,27,False,12</CLI>
                                  <L><![CDATA[Lookup Label <CategoryNumber>.]]></L>
                                </LuTblLblProps>
                              </LuTblLbl>
                            </Ctg>
                            <Ctg>
                              <LuTblLbl>
                                <LuTblLblProps>
                                  <CLI>4,1,27,False,13</CLI>
                                  <L><![CDATA[Lookup Label <CategoryNumber>.]]></L>
                                </LuTblLblProps>
                              </LuTblLbl>
                            </Ctg>
                            <Ctg>
                              <LuTblLbl>
                                <LuTblLblProps>
                                  <CLI>4,1,27,False,14</CLI>
                                  <L><![CDATA[Lookup Label <CategoryNumber>.]]></L>
                                </LuTblLblProps>
                              </LuTblLbl>
                            </Ctg>
                            <Ctg>
                              <LuTblLbl>
                                <LuTblLblProps>
                                  <CLI>4,1,27,False,15</CLI>
                                  <L><![CDATA[Lookup Label <CategoryNumber>.]]></L>
                                </LuTblLblProps>
                              </LuTblLbl>
                            </Ctg>
                            <Ctg>
                              <LuTblLbl>
                                <LuTblLblProps>
                                  <CLI>4,1,27,False,16</CLI>
                                  <L><![CDATA[Lookup Label <CategoryNumber>.]]></L>
                                </LuTblLblProps>
                              </LuTblLbl>
                            </Ctg>
                            <Ctg>
                              <LuTblLbl>
                                <LuTblLblProps>
                                  <CLI>4,1,27,False,17</CLI>
                                  <L><![CDATA[Lookup Label <CategoryNumber>.]]></L>
                                </LuTblLblProps>
                              </LuTblLbl>
                            </Ctg>
                            <Ctg>
                              <LuTblLbl>
                                <LuTblLblProps>
                                  <CLI>4,1,27,False,18</CLI>
                                  <L><![CDATA[Lookup Label <CategoryNumber>.]]></L>
                                </LuTblLblProps>
                              </LuTblLbl>
                            </Ctg>
                            <Ctg>
                              <LuTblLbl>
                                <LuTblLblProps>
                                  <CLI>4,1,27,False,19</CLI>
                                  <L><![CDATA[Lookup Label <CategoryNumber>.]]></L>
                                </LuTblLblProps>
                              </LuTblLbl>
                            </Ctg>
                            <Ctg>
                              <LuTblLbl>
                                <LuTblLblProps>
                                  <CLI>4,1,27,False,20</CLI>
                                  <L><![CDATA[Lookup Label <CategoryNumber>.]]></L>
                                </LuTblLblProps>
                              </LuTblLbl>
                            </Ctg>
                            <Ctg>
                              <LuTblLbl>
                                <LuTblLblProps>
                                  <CLI>4,1,27,False,21</CLI>
                                  <L><![CDATA[Lookup Label <CategoryNumber>.]]></L>
                                </LuTblLblProps>
                              </LuTblLbl>
                            </Ctg>
                            <Ctg>
                              <LuTblLbl>
                                <LuTblLblProps>
                                  <CLI>4,1,27,False,22</CLI>
                                  <L><![CDATA[Lookup Label <CategoryNumber>.]]></L>
                                </LuTblLblProps>
                              </LuTblLbl>
                            </Ctg>
                            <Ctg>
                              <LuTblLbl>
                                <LuTblLblProps>
                                  <CLI>4,1,27,False,23</CLI>
                                  <L><![CDATA[Lookup Label <CategoryNumber>.]]></L>
                                </LuTblLblProps>
                              </LuTblLbl>
                            </Ctg>
                            <Ctg>
                              <LuTblLbl>
                                <LuTblLblProps>
                                  <CLI>4,1,27,False,24</CLI>
                                  <L><![CDATA[Lookup Label <CategoryNumber>.]]></L>
                                </LuTblLblProps>
                              </LuTblLbl>
                            </Ctg>
                            <Ctg>
                              <LuTblLbl>
                                <LuTblLblProps>
                                  <CLI>4,1,27,False,25</CLI>
                                  <L><![CDATA[Lookup Label <CategoryNumber>.]]></L>
                                </LuTblLblProps>
                              </LuTblLbl>
                            </Ctg>
                            <Ctg>
                              <LuTblLbl>
                                <LuTblLblProps>
                                  <CLI>4,1,27,False,26</CLI>
                                  <L><![CDATA[Lookup Label <CategoryNumber>.]]></L>
                                </LuTblLblProps>
                              </LuTblLbl>
                            </Ctg>
                            <Ctg>
                              <LuTblLbl>
                                <LuTblLblProps>
                                  <CLI>4,1,27,False,27</CLI>
                                  <L><![CDATA[Lookup Label <CategoryNumber>.]]></L>
                                </LuTblLblProps>
                              </LuTblLbl>
                            </Ctg>
                            <Ctg>
                              <LuTblLbl>
                                <LuTblLblProps>
                                  <CLI>4,1,27,False,28</CLI>
                                  <L><![CDATA[Lookup Label <CategoryNumber>.]]></L>
                                </LuTblLblProps>
                              </LuTblLbl>
                            </Ctg>
                            <Ctg>
                              <LuTblLbl>
                                <LuTblLblProps>
                                  <CLI>4,1,27,False,29</CLI>
                                  <L><![CDATA[Lookup Label <CategoryNumber>.]]></L>
                                </LuTblLblProps>
                              </LuTblLbl>
                            </Ctg>
                            <Ctg>
                              <LuTblLbl>
                                <LuTblLblProps>
                                  <CLI>4,1,27,False,30</CLI>
                                  <L><![CDATA[Lookup Label <CategoryNumber>.]]></L>
                                </LuTblLblProps>
                              </LuTblLbl>
                            </Ctg>
                            <Ctg>
                              <LuTblLbl>
                                <LuTblLblProps>
                                  <CLI>4,1,27,False,31</CLI>
                                  <L><![CDATA[Lookup Label <CategoryNumber>.]]></L>
                                </LuTblLblProps>
                              </LuTblLbl>
                            </Ctg>
                            <Ctg>
                              <LuTblLbl>
                                <LuTblLblProps>
                                  <CLI>4,1,27,False,32</CLI>
                                  <L><![CDATA[Lookup Label <CategoryNumber>.]]></L>
                                </LuTblLblProps>
                              </LuTblLbl>
                            </Ctg>
                            <Ctg>
                              <LuTblLbl>
                                <LuTblLblProps>
                                  <CLI>4,1,27,False,33</CLI>
                                  <L><![CDATA[Lookup Label <CategoryNumber>.]]></L>
                                </LuTblLblProps>
                              </LuTblLbl>
                            </Ctg>
                            <Ctg>
                              <LuTblLbl>
                                <LuTblLblProps>
                                  <CLI>4,1,27,False,34</CLI>
                                  <L><![CDATA[Lookup Label <CategoryNumber>.]]></L>
                                </LuTblLblProps>
                              </LuTblLbl>
                            </Ctg>
                            <Ctg>
                              <LuTblLbl>
                                <LuTblLblProps>
                                  <CLI>4,1,27,False,35</CLI>
                                  <L><![CDATA[Lookup Label <CategoryNumber>.]]></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Other Direct Costs]]></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10</EGN>
                      </ElmtProps>
                      <ClmnBlks>
                        <ClmnBlk>
                          <ClmnBlkProps>
                            <FCPT>0</FCPT>
                            <FCN>4</FCN>
                            <LCPT>0</LCPT>
                            <LCN>4</LCN>
                          </ClmnBlkProps>
                          <ClmnBlkPts>
                            <ClmnBlkPt>
                              <ClmnBlkPtProps>
                                <CBPT>0</CBPT>
                                <ST>25</ST>
                                <VOFFF><![CDATA[=§A¿0,1,0,1,53,1,1,0,0,0,FALSE,FALSE§Z¿]]></VOFFF>
                              </ClmnBlkPtProps>
                              <RgeNmes>
                                <RgeNme>
                                  <RgeNmeProps>
                                    <CBPLI>4,1,31,1,1</CBPLI>
                                    <MCN>4</MCN>
                                    <SN>1</SN>
                                    <EN>31</EN>
                                    <CN>0</CN>
                                    <CBN>1</CBN>
                                    <CBPN>1</CBPN>
                                    <PT>1</PT>
                                    <CBPRNT>2</CBPRNT>
                                    <NT>11</NT>
                                    <SP1><![CDATA[ODC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CT_24_ODCS]]></VOFFF>
                              </ClmnBlkPtProps>
                            </ClmnBlkPt>
                          </ClmnBlkPts>
                        </ClmnBlk>
                      </ClmnBlks>
                      <SubTtls>
                        <SubTtl>
                          <Ctgs>
                            <Ctg>
                              <LuTblLbl>
                                <LuTblLblProps>
                                  <CLI>4,1,31,False,1</CLI>
                                  <L><![CDATA[Lookup Label <CategoryNumber>.]]></L>
                                </LuTblLblProps>
                              </LuTblLbl>
                            </Ctg>
                            <Ctg>
                              <LuTblLbl>
                                <LuTblLblProps>
                                  <CLI>4,1,31,False,2</CLI>
                                  <L><![CDATA[Lookup Label <CategoryNumber>.]]></L>
                                </LuTblLblProps>
                              </LuTblLbl>
                            </Ctg>
                            <Ctg>
                              <LuTblLbl>
                                <LuTblLblProps>
                                  <CLI>4,1,31,False,3</CLI>
                                  <L><![CDATA[Lookup Label <CategoryNumber>.]]></L>
                                </LuTblLblProps>
                              </LuTblLbl>
                            </Ctg>
                            <Ctg>
                              <LuTblLbl>
                                <LuTblLblProps>
                                  <CLI>4,1,31,False,4</CLI>
                                  <L><![CDATA[Lookup Label <CategoryNumber>.]]></L>
                                </LuTblLblProps>
                              </LuTblLbl>
                            </Ctg>
                            <Ctg>
                              <LuTblLbl>
                                <LuTblLblProps>
                                  <CLI>4,1,31,False,5</CLI>
                                  <L><![CDATA[Lookup Label <CategoryNumber>.]]></L>
                                </LuTblLblProps>
                              </LuTblLbl>
                            </Ctg>
                            <Ctg>
                              <LuTblLbl>
                                <LuTblLblProps>
                                  <CLI>4,1,31,False,6</CLI>
                                  <L><![CDATA[Lookup Label <CategoryNumber>.]]></L>
                                </LuTblLblProps>
                              </LuTblLbl>
                            </Ctg>
                            <Ctg>
                              <LuTblLbl>
                                <LuTblLblProps>
                                  <CLI>4,1,31,False,7</CLI>
                                  <L><![CDATA[Lookup Label <CategoryNumber>.]]></L>
                                </LuTblLblProps>
                              </LuTblLbl>
                            </Ctg>
                            <Ctg>
                              <LuTblLbl>
                                <LuTblLblProps>
                                  <CLI>4,1,31,False,8</CLI>
                                  <L><![CDATA[Lookup Label <CategoryNumber>.]]></L>
                                </LuTblLblProps>
                              </LuTblLbl>
                            </Ctg>
                            <Ctg>
                              <LuTblLbl>
                                <LuTblLblProps>
                                  <CLI>4,1,31,False,9</CLI>
                                  <L><![CDATA[Lookup Label <CategoryNumber>.]]></L>
                                </LuTblLblProps>
                              </LuTblLbl>
                            </Ctg>
                            <Ctg>
                              <LuTblLbl>
                                <LuTblLblProps>
                                  <CLI>4,1,31,False,10</CLI>
                                  <L><![CDATA[Lookup Label <CategoryNumber>.]]></L>
                                </LuTblLblProps>
                              </LuTblLbl>
                            </Ctg>
                            <Ctg>
                              <LuTblLbl>
                                <LuTblLblProps>
                                  <CLI>4,1,31,False,11</CLI>
                                  <L><![CDATA[Lookup Label <CategoryNumber>.]]></L>
                                </LuTblLblProps>
                              </LuTblLbl>
                            </Ctg>
                            <Ctg>
                              <LuTblLbl>
                                <LuTblLblProps>
                                  <CLI>4,1,31,False,12</CLI>
                                  <L><![CDATA[Lookup Label <CategoryNumber>.]]></L>
                                </LuTblLblProps>
                              </LuTblLbl>
                            </Ctg>
                            <Ctg>
                              <LuTblLbl>
                                <LuTblLblProps>
                                  <CLI>4,1,31,False,13</CLI>
                                  <L><![CDATA[Lookup Label <CategoryNumber>.]]></L>
                                </LuTblLblProps>
                              </LuTblLbl>
                            </Ctg>
                            <Ctg>
                              <LuTblLbl>
                                <LuTblLblProps>
                                  <CLI>4,1,31,False,14</CLI>
                                  <L><![CDATA[Lookup Label <CategoryNumber>.]]></L>
                                </LuTblLblProps>
                              </LuTblLbl>
                            </Ctg>
                            <Ctg>
                              <LuTblLbl>
                                <LuTblLblProps>
                                  <CLI>4,1,31,False,15</CLI>
                                  <L><![CDATA[Lookup Label <CategoryNumber>.]]></L>
                                </LuTblLblProps>
                              </LuTblLbl>
                            </Ctg>
                            <Ctg>
                              <LuTblLbl>
                                <LuTblLblProps>
                                  <CLI>4,1,31,False,16</CLI>
                                  <L><![CDATA[Lookup Label <CategoryNumber>.]]></L>
                                </LuTblLblProps>
                              </LuTblLbl>
                            </Ctg>
                            <Ctg>
                              <LuTblLbl>
                                <LuTblLblProps>
                                  <CLI>4,1,31,False,17</CLI>
                                  <L><![CDATA[Lookup Label <CategoryNumber>.]]></L>
                                </LuTblLblProps>
                              </LuTblLbl>
                            </Ctg>
                            <Ctg>
                              <LuTblLbl>
                                <LuTblLblProps>
                                  <CLI>4,1,31,False,18</CLI>
                                  <L><![CDATA[Lookup Label <CategoryNumber>.]]></L>
                                </LuTblLblProps>
                              </LuTblLbl>
                            </Ctg>
                            <Ctg>
                              <LuTblLbl>
                                <LuTblLblProps>
                                  <CLI>4,1,31,False,19</CLI>
                                  <L><![CDATA[Lookup Label <CategoryNumber>.]]></L>
                                </LuTblLblProps>
                              </LuTblLbl>
                            </Ctg>
                            <Ctg>
                              <LuTblLbl>
                                <LuTblLblProps>
                                  <CLI>4,1,31,False,20</CLI>
                                  <L><![CDATA[Lookup Label <CategoryNumber>.]]></L>
                                </LuTblLblProps>
                              </LuTblLbl>
                            </Ctg>
                            <Ctg>
                              <LuTblLbl>
                                <LuTblLblProps>
                                  <CLI>4,1,31,False,21</CLI>
                                  <L><![CDATA[Lookup Label <CategoryNumber>.]]></L>
                                </LuTblLblProps>
                              </LuTblLbl>
                            </Ctg>
                            <Ctg>
                              <LuTblLbl>
                                <LuTblLblProps>
                                  <CLI>4,1,31,False,22</CLI>
                                  <L><![CDATA[Lookup Label <CategoryNumber>.]]></L>
                                </LuTblLblProps>
                              </LuTblLbl>
                            </Ctg>
                            <Ctg>
                              <LuTblLbl>
                                <LuTblLblProps>
                                  <CLI>4,1,31,False,23</CLI>
                                  <L><![CDATA[Lookup Label <CategoryNumber>.]]></L>
                                </LuTblLblProps>
                              </LuTblLbl>
                            </Ctg>
                            <Ctg>
                              <LuTblLbl>
                                <LuTblLblProps>
                                  <CLI>4,1,31,False,24</CLI>
                                  <L><![CDATA[Lookup Label <CategoryNumber>.]]></L>
                                </LuTblLblProps>
                              </LuTblLbl>
                            </Ctg>
                            <Ctg>
                              <LuTblLbl>
                                <LuTblLblProps>
                                  <CLI>4,1,31,False,25</CLI>
                                  <L><![CDATA[Lookup Label <CategoryNumber>.]]></L>
                                </LuTblLblProps>
                              </LuTblLbl>
                            </Ctg>
                            <Ctg>
                              <LuTblLbl>
                                <LuTblLblProps>
                                  <CLI>4,1,31,False,26</CLI>
                                  <L><![CDATA[Lookup Label <CategoryNumber>.]]></L>
                                </LuTblLblProps>
                              </LuTblLbl>
                            </Ctg>
                            <Ctg>
                              <LuTblLbl>
                                <LuTblLblProps>
                                  <CLI>4,1,31,False,27</CLI>
                                  <L><![CDATA[Lookup Label <CategoryNumber>.]]></L>
                                </LuTblLblProps>
                              </LuTblLbl>
                            </Ctg>
                            <Ctg>
                              <LuTblLbl>
                                <LuTblLblProps>
                                  <CLI>4,1,31,False,28</CLI>
                                  <L><![CDATA[Lookup Label <CategoryNumber>.]]></L>
                                </LuTblLblProps>
                              </LuTblLbl>
                            </Ctg>
                            <Ctg>
                              <LuTblLbl>
                                <LuTblLblProps>
                                  <CLI>4,1,31,False,29</CLI>
                                  <L><![CDATA[Lookup Label <CategoryNumber>.]]></L>
                                </LuTblLblProps>
                              </LuTblLbl>
                            </Ctg>
                            <Ctg>
                              <LuTblLbl>
                                <LuTblLblProps>
                                  <CLI>4,1,31,False,30</CLI>
                                  <L><![CDATA[Lookup Label <CategoryNumber>.]]></L>
                                </LuTblLblProps>
                              </LuTblLbl>
                            </Ctg>
                            <Ctg>
                              <LuTblLbl>
                                <LuTblLblProps>
                                  <CLI>4,1,31,False,31</CLI>
                                  <L><![CDATA[Lookup Label <CategoryNumber>.]]></L>
                                </LuTblLblProps>
                              </LuTblLbl>
                            </Ctg>
                            <Ctg>
                              <LuTblLbl>
                                <LuTblLblProps>
                                  <CLI>4,1,31,False,32</CLI>
                                  <L><![CDATA[Lookup Label <CategoryNumber>.]]></L>
                                </LuTblLblProps>
                              </LuTblLbl>
                            </Ctg>
                            <Ctg>
                              <LuTblLbl>
                                <LuTblLblProps>
                                  <CLI>4,1,31,False,33</CLI>
                                  <L><![CDATA[Lookup Label <CategoryNumber>.]]></L>
                                </LuTblLblProps>
                              </LuTblLbl>
                            </Ctg>
                            <Ctg>
                              <LuTblLbl>
                                <LuTblLblProps>
                                  <CLI>4,1,31,False,34</CLI>
                                  <L><![CDATA[Lookup Label <CategoryNumber>.]]></L>
                                </LuTblLblProps>
                              </LuTblLbl>
                            </Ctg>
                            <Ctg>
                              <LuTblLbl>
                                <LuTblLblProps>
                                  <CLI>4,1,31,False,35</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s>
                </Sect>
              </Sects>
            </ModComp>
          </ModComps>
        </Mod>
        <Mod>
          <ModProps>
            <MVS>10.16.9.0</MVS>
            <RAV/>
            <RXV>0</RXV>
            <FV>3</FV>
            <MT>9</MT>
            <SCT>5</SCT>
            <P><![CDATA[Err_Chks]]></P>
            <OI>1000</OI>
            <MN>1</MN>
            <MAG>D1B8EBA3-A6FE-40B3-A8BF-CDDA9687725C</MAG>
            <BN><![CDATA[Error Checks]]></BN>
            <N><![CDATA[Error Checks]]></N>
            <TS><![CDATA[None]]></TS>
            <D><![CDATA[Provides a summary of the error checks included within the surrounding workbook.]]></D>
            <FS><![CDATA[Automatically updated.]]></FS>
            <R><![CDATA[Any]]></R>
            <GE/>
            <CA/>
            <VA/>
            <GST/>
            <DE><![CDATA[Best Practice Modelling]]></DE>
            <E><![CDATA[info@bpmglobal.com]]></E>
            <C><![CDATA[Best Practice Modelling]]></C>
            <W><![CDATA[www.bestpracticemodelling.com]]></W>
            <K><![CDATA[BPM, Best Practice Modelling, Standards, bpmToolbox, bpmModules, Checks]]></K>
            <CO><![CDATA[For more information on the use of checks within best practice models see the Best Practice Spreadsheet Modeling Standards.]]></CO>
            <V>0.0.0.0.</V>
            <AX/>
            <PMLO>False</PMLO>
            <IPMLO>False</IPMLO>
            <MACA>1</MACA>
            <RTSM>False</RTSM>
            <CC>False</CC>
            <X>False</X>
            <G>3620C8C1-6E82-4EA2-BC13-85944AB67950</G>
          </ModProps>
          <ModComps>
            <ModComp>
              <ModCompProps>
                <MN>31</MN>
                <MCN>1</MCN>
                <MCTK>OP</MCTK>
                <RT/>
                <ERN>BA_Err_Chks</ERN>
                <MCST>0</MCST>
                <IPMC>False</IPMC>
                <SN>69</SN>
                <LODS>False</LODS>
                <LST>False</LST>
                <HS>False</HS>
                <IBOA>0</IBOA>
                <IB>False</IB>
                <CI/>
                <PTI/>
                <PTP>False</PTP>
                <PTD/>
                <PTMCN>0</PTMCN>
                <CROL>0</CROL>
                <CCOL>0</CCOL>
                <AMFN>0</AMFN>
              </ModCompProps>
            </ModComp>
          </ModComps>
        </Mod>
        <Mod>
          <ModProps>
            <MVS>10.16.9.0</MVS>
            <RAV/>
            <RXV>0</RXV>
            <FV>3</FV>
            <MT>11</MT>
            <SCT>7</SCT>
            <P><![CDATA[Alt_Chks]]></P>
            <OI>3000</OI>
            <MN>1</MN>
            <MAG>D1B8EBA3-A6FE-40B3-A8BF-CDDA9687725C</MAG>
            <BN><![CDATA[Alert Checks]]></BN>
            <N><![CDATA[Alert Checks]]></N>
            <TS><![CDATA[None]]></TS>
            <D><![CDATA[Provides a summary of the alert checks included within the surrounding workbook.]]></D>
            <FS><![CDATA[Automatically updated.]]></FS>
            <R><![CDATA[Any]]></R>
            <GE/>
            <CA/>
            <VA/>
            <GST/>
            <DE><![CDATA[Best Practice Modelling]]></DE>
            <E><![CDATA[info@bpmglobal.com]]></E>
            <C><![CDATA[Best Practice Modelling]]></C>
            <W><![CDATA[www.bestpracticemodelling.com]]></W>
            <K><![CDATA[BPM, Best Practice Modelling, Standards, bpmToolbox, bpmModules, Checks]]></K>
            <CO><![CDATA[For more information on the use of checks within best practice models see the Best Practice Spreadsheet Modeling Standards.]]></CO>
            <V>0.0.0.0.</V>
            <AX/>
            <PMLO>False</PMLO>
            <IPMLO>False</IPMLO>
            <MACA>1</MACA>
            <RTSM>False</RTSM>
            <CC>False</CC>
            <X>False</X>
            <G>64C48E7A-EA64-4CA3-BCA1-9BCE94BE2548</G>
          </ModProps>
          <ModComps>
            <ModComp>
              <ModCompProps>
                <MN>32</MN>
                <MCN>1</MCN>
                <MCTK>OP</MCTK>
                <RT/>
                <ERN>BA_Alt_Chks</ERN>
                <MCST>0</MCST>
                <IPMC>False</IPMC>
                <SN>69</SN>
                <LODS>False</LODS>
                <LST>False</LST>
                <HS>False</HS>
                <IBOA>0</IBOA>
                <IB>False</IB>
                <CI/>
                <PTI/>
                <PTP>False</PTP>
                <PTD/>
                <PTMCN>0</PTMCN>
                <CROL>0</CROL>
                <CCOL>0</CCOL>
                <AMFN>0</AMFN>
              </ModCompProps>
            </ModComp>
          </ModComps>
        </Mod>
        <Mod>
          <ModProps>
            <MVS>10.16.9.0</MVS>
            <RAV/>
            <RXV>0</RXV>
            <FV>3</FV>
            <MT>0</MT>
            <SCT>-1</SCT>
            <P><![CDATA[Vacc]]></P>
            <OI>0</OI>
            <MN>1</MN>
            <MAG>9F2282D5-F13A-4102-B4AC-DCE106E82250</MAG>
            <BN><![CDATA[Vaccine]]></BN>
            <N><![CDATA[Vaccine]]></N>
            <TS><![CDATA[Annual]]></TS>
            <D/>
            <FS/>
            <R/>
            <GE/>
            <CA/>
            <VA/>
            <GST/>
            <DE/>
            <E/>
            <C/>
            <W/>
            <K/>
            <CO/>
            <V>1.0.0.0.</V>
            <AX/>
            <PMLO>False</PMLO>
            <IPMLO>False</IPMLO>
            <MACA>1</MACA>
            <RTSM>True</RTSM>
            <CC>True</CC>
            <X>False</X>
            <G>4B282C99-5E2C-4FB4-834D-9C31A3849F68</G>
          </ModProps>
          <RowStgs>
            <RowStg>
              <RowStgProps>
                <RSN>1</RSN>
                <RHST>0</RHST>
                <HS>0</HS>
                <OL>1</OL>
                <RH>True</RH>
              </RowStgProps>
            </RowStg>
            <RowStg>
              <RowStgProps>
                <RSN>2</RSN>
                <RHST>0</RHST>
                <HS>0</HS>
                <OL>2</OL>
                <RH>False</RH>
              </RowStgProps>
            </RowStg>
            <RowStg>
              <RowStgProps>
                <RSN>3</RSN>
                <RHST>0</RHST>
                <HS>0</HS>
                <OL>2</OL>
                <RH>True</RH>
              </RowStgProps>
            </RowStg>
          </RowStgs>
          <StlOvlys>
            <StlOvly>
              <StlOvlyProps>
                <SON>1</SON>
              </StlOvlyProps>
              <FntOvly>
                <FntOvlyProps>
                  <PT>1</PT>
                  <SON>1</SON>
                  <CBPLI>0,0,0,0,0</CBPLI>
                  <FCN>0</FCN>
                  <CN>0</CN>
                  <IB>True</IB>
                  <B>True</B>
                </FntOvlyProps>
              </FntOvly>
            </StlOvly>
            <StlOvly>
              <StlOvlyProps>
                <SON>2</SON>
                <IHA>True</IHA>
                <HA>-4108</HA>
              </StlOvlyProps>
            </StlOvly>
            <StlOvly>
              <StlOvlyProps>
                <SON>3</SON>
                <IHA>True</IHA>
                <HA>-4108</HA>
              </StlOvlyProps>
              <FntOvly>
                <FntOvlyProps>
                  <PT>1</PT>
                  <SON>3</SON>
                  <CBPLI>0,0,0,0,0</CBPLI>
                  <FCN>0</FCN>
                  <CN>0</CN>
                  <IB>True</IB>
                  <B>True</B>
                </FntOvlyProps>
              </FntOvly>
            </StlOvly>
            <StlOvly>
              <StlOvlyProps>
                <SON>4</SON>
                <INF>True</INF>
                <NT>0</NT>
                <DP>0</DP>
                <CNF/>
              </StlOvlyProps>
            </StlOvly>
            <StlOvly>
              <StlOvlyProps>
                <SON>5</SON>
                <INF>True</INF>
                <NT>0</NT>
                <DP>0</DP>
                <CNF/>
              </StlOvlyProps>
              <FntOvly>
                <FntOvlyProps>
                  <PT>1</PT>
                  <SON>5</SON>
                  <CBPLI>0,0,0,0,0</CBPLI>
                  <FCN>0</FCN>
                  <CN>0</CN>
                  <IB>True</IB>
                  <B>True</B>
                </FntOvlyProps>
              </FntOvly>
            </StlOvly>
            <StlOvly>
              <StlOvlyProps>
                <SON>6</SON>
                <INF>True</INF>
                <NT>1</NT>
                <DP>0</DP>
                <CNF/>
              </StlOvlyProps>
            </StlOvly>
            <StlOvly>
              <StlOvlyProps>
                <SON>7</SON>
                <IHA>True</IHA>
                <HA>-4152</HA>
              </StlOvlyProps>
            </StlOvly>
            <StlOvly>
              <StlOvlyProps>
                <SON>8</SON>
                <INF>True</INF>
                <NT>0</NT>
                <DP>2</DP>
                <CNF/>
              </StlOvlyProps>
            </StlOvly>
            <StlOvly>
              <StlOvlyProps>
                <SON>9</SON>
                <INF>True</INF>
                <NT>0</NT>
                <DP>2</DP>
                <CNF/>
              </StlOvlyProps>
              <BdrOvlys>
                <BdrOvly>
                  <BdrOvlyProps>
                    <PT>1</PT>
                    <SON>9</SON>
                    <CBPLI/>
                    <FCN>0</FCN>
                    <I>True</I>
                    <BI>7</BI>
                    <LS>1</LS>
                    <W>2</W>
                  </BdrOvlyProps>
                </BdrOvly>
                <BdrOvly>
                  <BdrOvlyProps>
                    <PT>1</PT>
                    <SON>9</SON>
                    <CBPLI/>
                    <FCN>0</FCN>
                    <I>True</I>
                    <BI>10</BI>
                    <LS>1</LS>
                    <W>2</W>
                  </BdrOvlyProps>
                </BdrOvly>
                <BdrOvly>
                  <BdrOvlyProps>
                    <PT>1</PT>
                    <SON>9</SON>
                    <CBPLI/>
                    <FCN>0</FCN>
                    <I>True</I>
                    <BI>8</BI>
                    <LS>1</LS>
                    <W>2</W>
                  </BdrOvlyProps>
                </BdrOvly>
                <BdrOvly>
                  <BdrOvlyProps>
                    <PT>1</PT>
                    <SON>9</SON>
                    <CBPLI/>
                    <FCN>0</FCN>
                    <I>True</I>
                    <BI>9</BI>
                    <LS>1</LS>
                    <W>2</W>
                  </BdrOvlyProps>
                </BdrOvly>
              </BdrOvlys>
            </StlOvly>
            <StlOvly>
              <StlOvlyProps>
                <SON>10</SON>
                <INF>True</INF>
                <NT>0</NT>
                <DP>0</DP>
                <CNF/>
              </StlOvlyProps>
              <BdrOvlys>
                <BdrOvly>
                  <BdrOvlyProps>
                    <PT>1</PT>
                    <SON>10</SON>
                    <CBPLI/>
                    <FCN>0</FCN>
                    <I>True</I>
                    <BI>8</BI>
                    <LS>1</LS>
                    <W>2</W>
                  </BdrOvlyProps>
                </BdrOvly>
                <BdrOvly>
                  <BdrOvlyProps>
                    <PT>1</PT>
                    <SON>10</SON>
                    <CBPLI/>
                    <FCN>0</FCN>
                    <I>True</I>
                    <BI>9</BI>
                    <LS>1</LS>
                    <W>2</W>
                  </BdrOvlyProps>
                </BdrOvly>
              </BdrOvlys>
            </StlOvly>
            <StlOvly>
              <StlOvlyProps>
                <SON>11</SON>
                <INF>True</INF>
                <NT>0</NT>
                <DP>0</DP>
                <CNF/>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INF>True</INF>
                <NT>0</NT>
                <DP>2</DP>
                <CNF/>
              </StlOvlyProps>
              <BdrOvlys>
                <BdrOvly>
                  <BdrOvlyProps>
                    <PT>1</PT>
                    <SON>12</SON>
                    <CBPLI/>
                    <FCN>0</FCN>
                    <I>True</I>
                    <BI>7</BI>
                    <LS>1</LS>
                    <W>2</W>
                  </BdrOvlyProps>
                </BdrOvly>
                <BdrOvly>
                  <BdrOvlyProps>
                    <PT>1</PT>
                    <SON>12</SON>
                    <CBPLI/>
                    <FCN>0</FCN>
                    <I>True</I>
                    <BI>8</BI>
                    <LS>1</LS>
                    <W>2</W>
                  </BdrOvlyProps>
                </BdrOvly>
                <BdrOvly>
                  <BdrOvlyProps>
                    <PT>1</PT>
                    <SON>12</SON>
                    <CBPLI/>
                    <FCN>0</FCN>
                    <I>True</I>
                    <BI>9</BI>
                    <LS>1</LS>
                    <W>2</W>
                  </BdrOvlyProps>
                </BdrOvly>
              </BdrOvlys>
            </StlOvly>
            <StlOvly>
              <StlOvlyProps>
                <SON>13</SON>
              </StlOvlyProps>
              <BdrOvlys>
                <BdrOvly>
                  <BdrOvlyProps>
                    <PT>1</PT>
                    <SON>13</SON>
                    <CBPLI/>
                    <FCN>0</FCN>
                    <I>True</I>
                    <BI>7</BI>
                    <LS>1</LS>
                    <W>2</W>
                  </BdrOvlyProps>
                </BdrOvly>
                <BdrOvly>
                  <BdrOvlyProps>
                    <PT>1</PT>
                    <SON>13</SON>
                    <CBPLI/>
                    <FCN>0</FCN>
                    <I>True</I>
                    <BI>10</BI>
                    <LS>1</LS>
                    <W>2</W>
                  </BdrOvlyProps>
                </BdrOvly>
                <BdrOvly>
                  <BdrOvlyProps>
                    <PT>1</PT>
                    <SON>13</SON>
                    <CBPLI/>
                    <FCN>0</FCN>
                    <I>True</I>
                    <BI>11</BI>
                    <LS>1</LS>
                    <W>2</W>
                  </BdrOvlyProps>
                </BdrOvly>
              </BdrOvlys>
            </StlOvly>
            <StlOvly>
              <StlOvlyProps>
                <SON>14</SON>
                <IHA>True</IHA>
                <IRT>True</IRT>
                <HA>-4108</HA>
                <WT>True</WT>
              </StlOvlyProps>
            </StlOvly>
            <StlOvly>
              <StlOvlyProps>
                <SON>15</SON>
                <INF>True</INF>
                <NT>-2</NT>
                <DP>0</DP>
                <CNF><![CDATA[_(#,##0.00_);(#,##0.00);_("-"_);_)@_)]]></CNF>
              </StlOvlyProps>
            </StlOvly>
            <StlOvly>
              <StlOvlyProps>
                <SON>16</SON>
                <INF>True</INF>
                <NT>0</NT>
                <DP>0</DP>
                <CNF/>
              </StlOvlyProps>
              <FntOvly>
                <FntOvlyProps>
                  <PT>1</PT>
                  <SON>16</SON>
                  <CBPLI>0,0,0,0,0</CBPLI>
                  <FCN>0</FCN>
                  <CN>0</CN>
                  <IB>True</IB>
                  <B>False</B>
                </FntOvlyProps>
              </FntOvly>
            </StlOvly>
            <StlOvly>
              <StlOvlyProps>
                <SON>17</SON>
              </StlOvlyProps>
              <BdrOvlys>
                <BdrOvly>
                  <BdrOvlyProps>
                    <PT>1</PT>
                    <SON>17</SON>
                    <CBPLI/>
                    <FCN>0</FCN>
                    <I>True</I>
                    <BI>8</BI>
                    <LS>1</LS>
                    <W>2</W>
                  </BdrOvlyProps>
                </BdrOvly>
                <BdrOvly>
                  <BdrOvlyProps>
                    <PT>1</PT>
                    <SON>17</SON>
                    <CBPLI/>
                    <FCN>0</FCN>
                    <I>True</I>
                    <BI>9</BI>
                    <LS>1</LS>
                    <W>2</W>
                  </BdrOvlyProps>
                </BdrOvly>
              </BdrOvlys>
            </StlOvly>
            <StlOvly>
              <StlOvlyProps>
                <SON>18</SON>
                <INF>True</INF>
                <NT>0</NT>
                <DP>0</DP>
                <CNF/>
              </StlOvlyProps>
              <FntOvly>
                <FntOvlyProps>
                  <PT>1</PT>
                  <SON>18</SON>
                  <CBPLI>0,0,0,0,0</CBPLI>
                  <FCN>0</FCN>
                  <CN>0</CN>
                  <IB>True</IB>
                  <B>True</B>
                </FntOvlyProps>
              </FntOvly>
              <BdrOvlys>
                <BdrOvly>
                  <BdrOvlyProps>
                    <PT>1</PT>
                    <SON>18</SON>
                    <CBPLI/>
                    <FCN>0</FCN>
                    <I>True</I>
                    <BI>8</BI>
                    <LS>1</LS>
                    <W>2</W>
                  </BdrOvlyProps>
                </BdrOvly>
                <BdrOvly>
                  <BdrOvlyProps>
                    <PT>1</PT>
                    <SON>18</SON>
                    <CBPLI/>
                    <FCN>0</FCN>
                    <I>True</I>
                    <BI>9</BI>
                    <LS>1</LS>
                    <W>2</W>
                  </BdrOvlyProps>
                </BdrOvly>
              </BdrOvlys>
            </StlOvly>
            <StlOvly>
              <StlOvlyProps>
                <SON>19</SON>
              </StlOvlyProps>
              <BdrOvlys>
                <BdrOvly>
                  <BdrOvlyProps>
                    <PT>1</PT>
                    <SON>19</SON>
                    <CBPLI/>
                    <FCN>0</FCN>
                    <I>True</I>
                    <BI>8</BI>
                    <LS>1</LS>
                    <W>2</W>
                  </BdrOvlyProps>
                </BdrOvly>
                <BdrOvly>
                  <BdrOvlyProps>
                    <PT>1</PT>
                    <SON>19</SON>
                    <CBPLI/>
                    <FCN>0</FCN>
                    <I>True</I>
                    <BI>9</BI>
                    <LS>-4119</LS>
                    <W>4</W>
                  </BdrOvlyProps>
                </BdrOvly>
              </BdrOvlys>
            </StlOvly>
            <StlOvly>
              <StlOvlyProps>
                <SON>20</SON>
                <INF>True</INF>
                <NT>0</NT>
                <DP>2</DP>
                <CNF/>
              </StlOvlyProps>
              <FntOvly>
                <FntOvlyProps>
                  <PT>1</PT>
                  <SON>20</SON>
                  <CBPLI>0,0,0,0,0</CBPLI>
                  <FCN>0</FCN>
                  <CN>0</CN>
                  <IB>True</IB>
                  <B>False</B>
                </FntOvlyProps>
              </FntOvly>
              <BdrOvlys>
                <BdrOvly>
                  <BdrOvlyProps>
                    <PT>1</PT>
                    <SON>20</SON>
                    <CBPLI/>
                    <FCN>0</FCN>
                    <I>True</I>
                    <BI>8</BI>
                    <LS>1</LS>
                    <W>2</W>
                  </BdrOvlyProps>
                </BdrOvly>
                <BdrOvly>
                  <BdrOvlyProps>
                    <PT>1</PT>
                    <SON>20</SON>
                    <CBPLI/>
                    <FCN>0</FCN>
                    <I>True</I>
                    <BI>9</BI>
                    <LS>1</LS>
                    <W>2</W>
                  </BdrOvlyProps>
                </BdrOvly>
              </BdrOvlys>
            </StlOvly>
            <StlOvly>
              <StlOvlyProps>
                <SON>21</SON>
              </StlOvlyProps>
              <BdrOvlys>
                <BdrOvly>
                  <BdrOvlyProps>
                    <PT>1</PT>
                    <SON>21</SON>
                    <CBPLI/>
                    <FCN>0</FCN>
                    <I>True</I>
                    <BI>9</BI>
                    <LS>1</LS>
                    <W>2</W>
                  </BdrOvlyProps>
                </BdrOvly>
              </BdrOvlys>
            </StlOvly>
            <StlOvly>
              <StlOvlyProps>
                <SON>22</SON>
                <INF>True</INF>
                <NT>0</NT>
                <DP>4</DP>
                <CNF/>
              </StlOvlyProps>
            </StlOvly>
            <StlOvly>
              <StlOvlyProps>
                <SON>23</SON>
                <INF>True</INF>
                <NT>0</NT>
                <DP>4</DP>
                <CNF/>
              </StlOvlyProps>
              <FntOvly>
                <FntOvlyProps>
                  <PT>1</PT>
                  <SON>23</SON>
                  <CBPLI>0,0,0,0,0</CBPLI>
                  <FCN>0</FCN>
                  <CN>0</CN>
                  <IB>True</IB>
                  <B>True</B>
                </FntOvlyProps>
              </FntOvly>
            </StlOvly>
            <StlOvly>
              <StlOvlyProps>
                <SON>24</SON>
                <INF>True</INF>
                <NT>0</NT>
                <DP>3</DP>
                <CNF/>
              </StlOvlyProps>
            </StlOvly>
            <StlOvly>
              <StlOvlyProps>
                <SON>25</SON>
              </StlOvlyProps>
              <FntOvly>
                <FntOvlyProps>
                  <PT>1</PT>
                  <SON>25</SON>
                  <CBPLI>0,0,0,0,0</CBPLI>
                  <FCN>0</FCN>
                  <CN>0</CN>
                  <IB>True</IB>
                  <B>True</B>
                </FntOvlyProps>
              </FntOvly>
              <IntOvly>
                <IntOvlyProps>
                  <PT>1</PT>
                  <SON>25</SON>
                  <CBPLI/>
                  <FCN>0</FCN>
                  <IC>True</IC>
                </IntOvlyProps>
              </IntOvly>
            </StlOvly>
            <StlOvly>
              <StlOvlyProps>
                <SON>26</SON>
                <IHA>True</IHA>
                <HA>-4108</HA>
              </StlOvlyProps>
              <FntOvly>
                <FntOvlyProps>
                  <PT>1</PT>
                  <SON>26</SON>
                  <CBPLI>0,0,0,0,0</CBPLI>
                  <FCN>0</FCN>
                  <CN>0</CN>
                  <IC>True</IC>
                  <CT>2</CT>
                  <CNU>3</CNU>
                  <CPR>0</CPR>
                  <TAS>0</TAS>
                </FntOvlyProps>
              </FntOvly>
            </StlOvly>
            <StlOvly>
              <StlOvlyProps>
                <SON>27</SON>
              </StlOvlyProps>
              <IntOvly>
                <IntOvlyProps>
                  <PT>1</PT>
                  <SON>27</SON>
                  <CBPLI/>
                  <FCN>0</FCN>
                  <IC>True</IC>
                  <CT>3</CT>
                  <CN>6</CN>
                  <TAS>0.7999817</TAS>
                </IntOvlyProps>
              </IntOvly>
            </StlOvly>
            <StlOvly>
              <StlOvlyProps>
                <SON>28</SON>
                <INF>True</INF>
                <NT>0</NT>
                <DP>0</DP>
                <CNF/>
              </StlOvlyProps>
              <IntOvly>
                <IntOvlyProps>
                  <PT>1</PT>
                  <SON>28</SON>
                  <CBPLI/>
                  <FCN>0</FCN>
                  <IC>True</IC>
                  <CT>3</CT>
                  <CN>6</CN>
                  <TAS>0.7999817</TAS>
                </IntOvlyProps>
              </IntOvly>
            </StlOvly>
            <StlOvly>
              <StlOvlyProps>
                <SON>29</SON>
                <IHA>True</IHA>
                <IRT>True</IRT>
                <HA>-4108</HA>
                <WT>True</WT>
              </StlOvlyProps>
              <BdrOvlys>
                <BdrOvly>
                  <BdrOvlyProps>
                    <PT>1</PT>
                    <SON>29</SON>
                    <CBPLI/>
                    <FCN>0</FCN>
                    <I>True</I>
                    <BI>8</BI>
                    <LS>1</LS>
                    <W>2</W>
                  </BdrOvlyProps>
                </BdrOvly>
              </BdrOvlys>
            </StlOvly>
            <StlOvly>
              <StlOvlyProps>
                <SON>30</SON>
                <INF>True</INF>
                <NT>0</NT>
                <DP>4</DP>
                <CNF/>
              </StlOvlyProps>
              <IntOvly>
                <IntOvlyProps>
                  <PT>1</PT>
                  <SON>30</SON>
                  <CBPLI/>
                  <FCN>0</FCN>
                  <IC>True</IC>
                  <CT>3</CT>
                  <CN>6</CN>
                  <TAS>0.7999817</TAS>
                </IntOvlyProps>
              </IntOvly>
            </StlOvly>
            <StlOvly>
              <StlOvlyProps>
                <SON>31</SON>
              </StlOvlyProps>
              <FntOvly>
                <FntOvlyProps>
                  <PT>1</PT>
                  <SON>31</SON>
                  <CBPLI>0,0,0,0,0</CBPLI>
                  <FCN>0</FCN>
                  <CN>0</CN>
                  <IB>True</IB>
                  <B>True</B>
                </FntOvlyProps>
              </FntOvly>
              <IntOvly>
                <IntOvlyProps>
                  <PT>1</PT>
                  <SON>31</SON>
                  <CBPLI/>
                  <FCN>0</FCN>
                  <IC>True</IC>
                  <CT>3</CT>
                  <CN>1</CN>
                  <TAS>0</TAS>
                </IntOvlyProps>
              </IntOvly>
            </StlOvly>
            <StlOvly>
              <StlOvlyProps>
                <SON>32</SON>
              </StlOvlyProps>
              <FntOvly>
                <FntOvlyProps>
                  <PT>1</PT>
                  <SON>32</SON>
                  <CBPLI>0,0,0,0,0</CBPLI>
                  <FCN>0</FCN>
                  <CN>0</CN>
                  <IB>True</IB>
                  <IC>True</IC>
                  <B>True</B>
                  <CT>-3</CT>
                  <CNU>1</CNU>
                  <CPR>16777215</CPR>
                  <TAS>0</TAS>
                </FntOvlyProps>
              </FntOvly>
              <IntOvly>
                <IntOvlyProps>
                  <PT>1</PT>
                  <SON>32</SON>
                  <CBPLI/>
                  <FCN>0</FCN>
                  <IC>True</IC>
                  <CT>4</CT>
                  <CN>255</CN>
                  <TAS>0</TAS>
                </IntOvlyProps>
              </IntOvly>
            </StlOvly>
            <StlOvly>
              <StlOvlyProps>
                <SON>33</SON>
                <INF>True</INF>
                <NT>1</NT>
                <DP>3</DP>
                <CNF/>
              </StlOvlyProps>
              <IntOvly>
                <IntOvlyProps>
                  <PT>1</PT>
                  <SON>33</SON>
                  <CBPLI/>
                  <FCN>0</FCN>
                  <IC>True</IC>
                </IntOvlyProps>
              </IntOvly>
            </StlOvly>
          </StlOvlys>
          <ElmtsGrps>
            <ElmtsGrp>
              <ElmtsGrpProps>
                <NU>1</NU>
                <NA><![CDATA[PROS_RETRO]]></NA>
                <EGT>0</EGT>
                <DCC>2</DCC>
                <AST>False</AST>
                <ISTH>True</ISTH>
                <PTMCN>0</PTMCN>
                <PTBN>0</PTBN>
                <PTBI>0</PTBI>
                <GLN/>
                <CLOT>0</CLOT>
                <CLIT>0</CLIT>
                <PMLO>0</PMLO>
                <IPMLO>0</IPMLO>
              </ElmtsGrpProps>
            </ElmtsGrp>
            <ElmtsGrp>
              <ElmtsGrpProps>
                <NU>2</NU>
                <NA><![CDATA[Service Area]]></NA>
                <EGT>0</EGT>
                <DCC>10</DCC>
                <AST>False</AST>
                <ISTH>True</ISTH>
                <PTMCN>0</PTMCN>
                <PTBN>0</PTBN>
                <PTBI>0</PTBI>
                <GLN/>
                <CLOT>0</CLOT>
                <CLIT>0</CLIT>
                <PMLO>0</PMLO>
                <IPMLO>0</IPMLO>
              </ElmtsGrpProps>
            </ElmtsGrp>
            <ElmtsGrp>
              <ElmtsGrpProps>
                <NU>3</NU>
                <NA><![CDATA[Procurement charges]]></NA>
                <EGT>0</EGT>
                <DCC>10</DCC>
                <AST>False</AST>
                <ISTH>True</ISTH>
                <PTMCN>0</PTMCN>
                <PTBN>0</PTBN>
                <PTBI>0</PTBI>
                <GLN/>
                <CLOT>0</CLOT>
                <CLIT>0</CLIT>
                <PMLO>0</PMLO>
                <IPMLO>0</IPMLO>
              </ElmtsGrpProps>
            </ElmtsGrp>
            <ElmtsGrp>
              <ElmtsGrpProps>
                <NU>4</NU>
                <NA><![CDATA[Currencies]]></NA>
                <EGT>0</EGT>
                <DCC>2</DCC>
                <AST>False</AST>
                <ISTH>True</ISTH>
                <PTMCN>0</PTMCN>
                <PTBN>0</PTBN>
                <PTBI>0</PTBI>
                <GLN/>
                <CLOT>0</CLOT>
                <CLIT>0</CLIT>
                <PMLO>0</PMLO>
                <IPMLO>0</IPMLO>
              </ElmtsGrpProps>
            </ElmtsGrp>
          </ElmtsGrps>
          <ModComps>
            <ModComp>
              <ModCompProps>
                <MN>33</MN>
                <MCN>1</MCN>
                <MCTK>BaseCase</MCTK>
                <RT><![CDATA[<ModuleName> - Assumptions]]></RT>
                <ERN>BPMMC126</ERN>
                <MCST>0</MCST>
                <IPMC>False</IPMC>
                <SN>11</SN>
                <LODS>True</LODS>
                <LST>False</LST>
                <HS>False</HS>
                <IBOA>0</IBOA>
                <IB>True</IB>
                <CI/>
                <PTI/>
                <PTP>False</PTP>
                <PTD/>
                <PTMCN>0</PTMCN>
                <CROL>0</CROL>
                <CCOL>0</CCOL>
                <AMFN>0</AMFN>
              </ModCompProps>
              <Sects>
                <Sect>
                  <SectProps>
                    <LI>1,1</LI>
                    <EGN>0</EGN>
                  </SectProps>
                  <Elmts>
                    <Elmt>
                      <ElmtProps>
                        <CPT>2</CPT>
                      </ElmtProps>
                      <ClmnBlks>
                        <ClmnBlk>
                          <ClmnBlkProps>
                            <FCPT>0</FCPT>
                            <FCN>11</FCN>
                            <LCPT>0</LCPT>
                            <LCN>11</LCN>
                          </ClmnBlkProps>
                          <ClmnBlkPts>
                            <ClmnBlkPt>
                              <ClmnBlkPtProps>
                                <CBPT>5</CBPT>
                                <ST>6</ST>
                                <SON>7</SON>
                                <VOFFF><![CDATA[Type of Estimate:]]></VOFFF>
                              </ClmnBlkPtProps>
                            </ClmnBlkPt>
                          </ClmnBlkPts>
                        </ClmnBlk>
                        <ClmnBlk>
                          <ClmnBlkProps>
                            <FCPT>0</FCPT>
                            <FCN>12</FCN>
                            <LCPT>0</LCPT>
                            <LCN>12</LCN>
                          </ClmnBlkProps>
                          <ClmnBlkPts>
                            <ClmnBlkPt>
                              <ClmnBlkPtProps>
                                <CBPT>5</CBPT>
                                <ST>8</ST>
                                <SON>25</SON>
                                <VOFFF/>
                              </ClmnBlkPtProps>
                              <Vdtn>
                                <VdtnProps>
                                  <CBPLI>1,1,1,2,1</CBPLI>
                                  <ADVT>-1</ADVT>
                                  <VT>3</VT>
                                  <AS>1</AS>
                                  <O>1</O>
                                  <F1FFF><![CDATA[=§A¿1,1,5,1,7,0,1,1,1§Z¿]]></F1FFF>
                                  <F2FFF/>
                                  <IB>True</IB>
                                  <ICDD>True</ICDD>
                                  <SI>True</SI>
                                  <IT/>
                                  <IM/>
                                  <SE>True</SE>
                                  <ET/>
                                  <EM/>
                                  <IMO>0</IMO>
                                </VdtnProps>
                              </Vdtn>
                              <RgeNmes>
                                <RgeNme>
                                  <RgeNmeProps>
                                    <CBPLI>1,1,1,2,1</CBPLI>
                                    <MCN>1</MCN>
                                    <SN>1</SN>
                                    <EN>1</EN>
                                    <CN>0</CN>
                                    <CBN>2</CBN>
                                    <CBPN>1</CBPN>
                                    <PT>1</PT>
                                    <CBPRNT>6</CBPRNT>
                                    <NT>12</NT>
                                    <SP1><![CDATA[Sel_Pros_Retro]]></SP1>
                                    <SP2/>
                                    <FFF/>
                                    <CMT/>
                                  </RgeNmeProps>
                                </RgeNme>
                              </RgeNmes>
                            </ClmnBlkPt>
                          </ClmnBlkPts>
                        </ClmnBlk>
                        <ClmnBlk>
                          <ClmnBlkProps>
                            <FCPT>0</FCPT>
                            <FCN>13</FCN>
                            <LCPT>0</LCPT>
                            <LCN>13</LCN>
                          </ClmnBlkProps>
                          <ClmnBlkPts>
                            <ClmnBlkPt>
                              <ClmnBlkPtProps>
                                <CBPT>5</CBPT>
                                <ST>4</ST>
                                <VOFFF><![CDATA[< SELECT]]></VOFFF>
                              </ClmnBlkPtProps>
                            </ClmnBlkPt>
                          </ClmnBlkPts>
                        </ClmnBlk>
                      </ClmnBlks>
                      <TtlCtg/>
                    </Elmt>
                    <Elmt>
                      <ElmtProps>
                        <CPT>2</CPT>
                      </ElmtProps>
                      <ClmnBlks>
                        <ClmnBlk>
                          <ClmnBlkProps>
                            <FCPT>0</FCPT>
                            <FCN>10</FCN>
                            <LCPT>0</LCPT>
                            <LCN>10</LCN>
                          </ClmnBlkProps>
                          <ClmnBlkPts>
                            <ClmnBlkPt>
                              <ClmnBlkPtProps>
                                <CBPT>5</CBPT>
                                <ST>6</ST>
                                <VOFFF><![CDATA[  ]]></VOFFF>
                              </ClmnBlkPtProps>
                            </ClmnBlkPt>
                          </ClmnBlkPts>
                        </ClmnBlk>
                      </ClmnBlks>
                      <TtlCtg/>
                    </Elmt>
                    <Elmt>
                      <ElmtProps>
                        <CPT>2</CPT>
                      </ElmtProps>
                      <ClmnBlks>
                        <ClmnBlk>
                          <ClmnBlkProps>
                            <FCPT>0</FCPT>
                            <FCN>2</FCN>
                            <LCPT>0</LCPT>
                            <LCN>2</LCN>
                          </ClmnBlkProps>
                          <ClmnBlkPts>
                            <ClmnBlkPt>
                              <ClmnBlkPtProps>
                                <CBPT>5</CBPT>
                                <HCTHR>True</HCTHR>
                                <CTHN>96</CTHN>
                                <ST>3</ST>
                                <VOFFF><![CDATA[Vaccine - Assumptions]]></VOFFF>
                              </ClmnBlkPtProps>
                              <RgeNmes>
                                <RgeNme>
                                  <RgeNmeProps>
                                    <CBPLI>1,1,3,1,1</CBPLI>
                                    <MCN>1</MCN>
                                    <SN>1</SN>
                                    <EN>3</EN>
                                    <CN>0</CN>
                                    <CBN>1</CBN>
                                    <CBPN>1</CBPN>
                                    <PT>1</PT>
                                    <CBPRNT>6</CBPRNT>
                                    <NT>12</NT>
                                    <SP1><![CDATA[Ass]]></SP1>
                                    <SP2/>
                                    <FFF/>
                                    <CMT/>
                                  </RgeNmeProps>
                                </RgeNme>
                              </RgeNmes>
                            </ClmnBlkPt>
                          </ClmnBlkPts>
                        </ClmnBlk>
                      </ClmnBlks>
                      <TtlCtg/>
                    </Elmt>
                    <Elmt>
                      <ElmtProps>
                        <CPT>2</CPT>
                      </ElmtProps>
                      <ClmnBlks>
                        <ClmnBlk>
                          <ClmnBlkProps>
                            <FCPT>0</FCPT>
                            <FCN>8</FCN>
                            <LCPT>0</LCPT>
                            <LCN>11</LCN>
                          </ClmnBlkProps>
                          <ClmnBlkPts>
                            <ClmnBlkPt>
                              <ClmnBlkPtProps>
                                <CBPT>5</CBPT>
                                <ST>5</ST>
                                <SON>26</SON>
                                <MC>True</MC>
                                <VOFFF><![CDATA[USE THIS TABLE FOR PROSPECTIVE ESTIMATES ONLY!]]></VOFFF>
                              </ClmnBlkPtProps>
                            </ClmnBlkPt>
                          </ClmnBlkPts>
                        </ClmnBlk>
                        <ClmnBlk>
                          <ClmnBlkProps>
                            <FCPT>0</FCPT>
                            <FCN>12</FCN>
                            <LCPT>0</LCPT>
                            <LCN>12</LCN>
                          </ClmnBlkProps>
                          <ClmnBlkPts>
                            <ClmnBlkPt>
                              <ClmnBlkPtProps>
                                <CBPT>5</CBPT>
                                <ST>-1</ST>
                                <SON>13</SON>
                                <VOFFF/>
                              </ClmnBlkPtProps>
                            </ClmnBlkPt>
                          </ClmnBlkPts>
                        </ClmnBlk>
                        <ClmnBlk>
                          <ClmnBlkProps>
                            <FCPT>0</FCPT>
                            <FCN>13</FCN>
                            <LCPT>0</LCPT>
                            <LCN>16</LCN>
                          </ClmnBlkProps>
                          <ClmnBlkPts>
                            <ClmnBlkPt>
                              <ClmnBlkPtProps>
                                <CBPT>5</CBPT>
                                <ST>5</ST>
                                <SON>26</SON>
                                <MC>True</MC>
                                <VOFFF><![CDATA[USE THIS TABLE FOR RETROSPECTIVE ESTIMATES ONLY!]]></VOFFF>
                              </ClmnBlkPtProps>
                            </ClmnBlkPt>
                          </ClmnBlkPts>
                        </ClmnBlk>
                      </ClmnBlks>
                      <TtlCtg/>
                    </Elmt>
                    <Elmt>
                      <ElmtProps>
                        <CPT>2</CPT>
                      </ElmtProps>
                      <ClmnBlks>
                        <ClmnBlk>
                          <ClmnBlkProps>
                            <FCPT>0</FCPT>
                            <FCN>3</FCN>
                            <LCPT>0</LCPT>
                            <LCN>3</LCN>
                          </ClmnBlkProps>
                          <ClmnBlkPts>
                            <ClmnBlkPt>
                              <ClmnBlkPtProps>
                                <CBPT>5</CBPT>
                                <ST>4</ST>
                                <VOFFF><![CDATA[Vaccines Administered]]></VOFFF>
                              </ClmnBlkPtProps>
                            </ClmnBlkPt>
                          </ClmnBlkPts>
                        </ClmnBlk>
                        <ClmnBlk>
                          <ClmnBlkProps>
                            <FCPT>0</FCPT>
                            <FCN>9</FCN>
                            <LCPT>0</LCPT>
                            <LCN>11</LCN>
                          </ClmnBlkProps>
                          <ClmnBlkPts>
                            <ClmnBlkPt>
                              <ClmnBlkPtProps>
                                <CBPT>5</CBPT>
                                <ST>-1</ST>
                                <SON>3</SON>
                                <MC>True</MC>
                                <VOFFF><![CDATA[PROSPECTIVE DOSES ADMINISTERED]]></VOFFF>
                              </ClmnBlkPtProps>
                            </ClmnBlkPt>
                          </ClmnBlkPts>
                        </ClmnBlk>
                        <ClmnBlk>
                          <ClmnBlkProps>
                            <FCPT>0</FCPT>
                            <FCN>12</FCN>
                            <LCPT>0</LCPT>
                            <LCN>12</LCN>
                          </ClmnBlkProps>
                          <ClmnBlkPts>
                            <ClmnBlkPt>
                              <ClmnBlkPtProps>
                                <CBPT>5</CBPT>
                                <ST>-1</ST>
                                <SON>13</SON>
                                <VOFFF/>
                              </ClmnBlkPtProps>
                            </ClmnBlkPt>
                          </ClmnBlkPts>
                        </ClmnBlk>
                        <ClmnBlk>
                          <ClmnBlkProps>
                            <FCPT>0</FCPT>
                            <FCN>14</FCN>
                            <LCPT>0</LCPT>
                            <LCN>16</LCN>
                          </ClmnBlkProps>
                          <ClmnBlkPts>
                            <ClmnBlkPt>
                              <ClmnBlkPtProps>
                                <CBPT>5</CBPT>
                                <ST>-1</ST>
                                <SON>3</SON>
                                <MC>True</MC>
                                <VOFFF><![CDATA[RETROSPECTIVE DOSES ADMINISTERED]]></VOFFF>
                              </ClmnBlkPtProps>
                            </ClmnBlkPt>
                          </ClmnBlkPts>
                        </ClmnBlk>
                      </ClmnBlks>
                      <TtlCtg/>
                    </Elmt>
                    <Elmt>
                      <ElmtProps>
                        <CPT>2</CPT>
                      </ElmtProps>
                      <ClmnBlks>
                        <ClmnBlk>
                          <ClmnBlkProps>
                            <FCPT>0</FCPT>
                            <FCN>3</FCN>
                            <LCPT>0</LCPT>
                            <LCN>7</LCN>
                          </ClmnBlkProps>
                          <ClmnBlkPts>
                            <ClmnBlkPt>
                              <ClmnBlkPtProps>
                                <CBPT>5</CBPT>
                                <ST>-1</ST>
                                <SON>1</SON>
                                <MC>True</MC>
                                <VOFFF><![CDATA[SERVICE AREA]]></VOFFF>
                              </ClmnBlkPtProps>
                            </ClmnBlkPt>
                          </ClmnBlkPts>
                        </ClmnBlk>
                        <ClmnBlk>
                          <ClmnBlkProps>
                            <FCPT>0</FCPT>
                            <FCN>8</FCN>
                            <LCPT>0</LCPT>
                            <LCN>8</LCN>
                          </ClmnBlkProps>
                          <ClmnBlkPts>
                            <ClmnBlkPt>
                              <ClmnBlkPtProps>
                                <CBPT>5</CBPT>
                                <ST>6</ST>
                                <VOFFF><![CDATA[TGT-POP]]></VOFFF>
                              </ClmnBlkPtProps>
                            </ClmnBlkPt>
                          </ClmnBlkPts>
                        </ClmnBlk>
                        <ClmnBlk>
                          <ClmnBlkProps>
                            <FCPT>0</FCPT>
                            <FCN>9</FCN>
                            <LCPT>0</LCPT>
                            <LCN>9</LCN>
                          </ClmnBlkProps>
                          <ClmnBlkPts>
                            <ClmnBlkPt>
                              <ClmnBlkPtProps>
                                <CBPT>5</CBPT>
                                <ST>6</ST>
                                <SON>2</SON>
                                <VOFFF><![CDATA[OCV-1 %]]></VOFFF>
                              </ClmnBlkPtProps>
                            </ClmnBlkPt>
                          </ClmnBlkPts>
                        </ClmnBlk>
                        <ClmnBlk>
                          <ClmnBlkProps>
                            <FCPT>0</FCPT>
                            <FCN>10</FCN>
                            <LCPT>0</LCPT>
                            <LCN>10</LCN>
                          </ClmnBlkProps>
                          <ClmnBlkPts>
                            <ClmnBlkPt>
                              <ClmnBlkPtProps>
                                <CBPT>5</CBPT>
                                <ST>6</ST>
                                <SON>2</SON>
                                <VOFFF><![CDATA[OCV-2 %]]></VOFFF>
                              </ClmnBlkPtProps>
                            </ClmnBlkPt>
                          </ClmnBlkPts>
                        </ClmnBlk>
                        <ClmnBlk>
                          <ClmnBlkProps>
                            <FCPT>0</FCPT>
                            <FCN>11</FCN>
                            <LCPT>0</LCPT>
                            <LCN>11</LCN>
                          </ClmnBlkProps>
                          <ClmnBlkPts>
                            <ClmnBlkPt>
                              <ClmnBlkPtProps>
                                <CBPT>5</CBPT>
                                <ST>6</ST>
                                <SON>2</SON>
                                <VOFFF><![CDATA[TOTAL]]></VOFFF>
                              </ClmnBlkPtProps>
                            </ClmnBlkPt>
                          </ClmnBlkPts>
                        </ClmnBlk>
                        <ClmnBlk>
                          <ClmnBlkProps>
                            <FCPT>0</FCPT>
                            <FCN>12</FCN>
                            <LCPT>0</LCPT>
                            <LCN>12</LCN>
                          </ClmnBlkProps>
                          <ClmnBlkPts>
                            <ClmnBlkPt>
                              <ClmnBlkPtProps>
                                <CBPT>5</CBPT>
                                <ST>-1</ST>
                                <SON>13</SON>
                                <VOFFF/>
                              </ClmnBlkPtProps>
                            </ClmnBlkPt>
                          </ClmnBlkPts>
                        </ClmnBlk>
                        <ClmnBlk>
                          <ClmnBlkProps>
                            <FCPT>0</FCPT>
                            <FCN>13</FCN>
                            <LCPT>0</LCPT>
                            <LCN>13</LCN>
                          </ClmnBlkProps>
                          <ClmnBlkPts>
                            <ClmnBlkPt>
                              <ClmnBlkPtProps>
                                <CBPT>5</CBPT>
                                <ST>6</ST>
                                <VOFFF><![CDATA[TGT-POP]]></VOFFF>
                              </ClmnBlkPtProps>
                            </ClmnBlkPt>
                          </ClmnBlkPts>
                        </ClmnBlk>
                        <ClmnBlk>
                          <ClmnBlkProps>
                            <FCPT>0</FCPT>
                            <FCN>14</FCN>
                            <LCPT>0</LCPT>
                            <LCN>14</LCN>
                          </ClmnBlkProps>
                          <ClmnBlkPts>
                            <ClmnBlkPt>
                              <ClmnBlkPtProps>
                                <CBPT>5</CBPT>
                                <ST>6</ST>
                                <SON>2</SON>
                                <VOFFF><![CDATA[OCV-1 #]]></VOFFF>
                              </ClmnBlkPtProps>
                            </ClmnBlkPt>
                          </ClmnBlkPts>
                        </ClmnBlk>
                        <ClmnBlk>
                          <ClmnBlkProps>
                            <FCPT>0</FCPT>
                            <FCN>15</FCN>
                            <LCPT>0</LCPT>
                            <LCN>15</LCN>
                          </ClmnBlkProps>
                          <ClmnBlkPts>
                            <ClmnBlkPt>
                              <ClmnBlkPtProps>
                                <CBPT>5</CBPT>
                                <ST>6</ST>
                                <SON>2</SON>
                                <VOFFF><![CDATA[OCV-2 #]]></VOFFF>
                              </ClmnBlkPtProps>
                            </ClmnBlkPt>
                          </ClmnBlkPts>
                        </ClmnBlk>
                        <ClmnBlk>
                          <ClmnBlkProps>
                            <FCPT>0</FCPT>
                            <FCN>16</FCN>
                            <LCPT>0</LCPT>
                            <LCN>16</LCN>
                          </ClmnBlkProps>
                          <ClmnBlkPts>
                            <ClmnBlkPt>
                              <ClmnBlkPtProps>
                                <CBPT>5</CBPT>
                                <ST>6</ST>
                                <SON>2</SON>
                                <VOFFF><![CDATA[TOTAL]]></VOFFF>
                              </ClmnBlkPtProps>
                            </ClmnBlkPt>
                          </ClmnBlkPts>
                        </ClmnBlk>
                      </ClmnBlks>
                      <TtlCtg/>
                    </Elmt>
                    <Elmt>
                      <ElmtProps>
                        <CPT>0</CPT>
                        <TOT>False</TOT>
                        <EGN>2</EGN>
                      </ElmtProps>
                      <ClmnBlks>
                        <ClmnBlk>
                          <ClmnBlkProps>
                            <FCPT>0</FCPT>
                            <FCN>3</FCN>
                            <LCPT>0</LCPT>
                            <LCN>3</LCN>
                          </ClmnBlkProps>
                          <ClmnBlkPts>
                            <ClmnBlkPt>
                              <ClmnBlkPtProps>
                                <CBPT>0</CBPT>
                                <ST>6</ST>
                                <VOFFF><![CDATA[<CategoriesGroupName> Category <CategoryNumber>]]></VOFFF>
                                <UDAV><![CDATA[<CategoriesGroupName> Category <CategoryNumber>]]></UDAV>
                              </ClmnBlkPtProps>
                              <LnkInForms>
                                <LnkInForm>
                                  <LnkInFormProps>
                                    <CBPLI>1,1,7,1,1</CBPLI>
                                    <ELN>1</ELN>
                                    <FFF><![CDATA[=§A¿10,FALSE,0,1,0,FALSE§Z¿]]></FFF>
                                  </LnkInFormProps>
                                </LnkInForm>
                              </LnkInForms>
                            </ClmnBlkPt>
                            <ClmnBlkPt>
                              <ClmnBlkPtProps>
                                <CBPT>1</CBPT>
                                <ST>6</ST>
                                <VOFFF><![CDATA[="Total "&§A¿0,1,0,1,7,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Service Areas]]></VOFFF>
                                <UDAV><![CDATA[Total <CategoriesGroupName>]]></UDAV>
                              </ClmnBlkPtProps>
                            </ClmnBlkPt>
                          </ClmnBlkPts>
                        </ClmnBlk>
                        <ClmnBlk>
                          <ClmnBlkProps>
                            <FCPT>0</FCPT>
                            <FCN>8</FCN>
                            <LCPT>0</LCPT>
                            <LCN>8</LCN>
                          </ClmnBlkProps>
                          <ClmnBlkPts>
                            <ClmnBlkPt>
                              <ClmnBlkPtProps>
                                <CBPT>0</CBPT>
                                <ST>18</ST>
                                <SON>4</SON>
                                <VOFFF><![CDATA[0]]></VOFFF>
                              </ClmnBlkPtProps>
                              <LnkInForms>
                                <LnkInForm>
                                  <LnkInFormProps>
                                    <CBPLI>1,1,7,2,1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9</FCN>
                            <LCPT>0</LCPT>
                            <LCN>9</LCN>
                          </ClmnBlkProps>
                          <ClmnBlkPts>
                            <ClmnBlkPt>
                              <ClmnBlkPtProps>
                                <CBPT>0</CBPT>
                                <ST>12</ST>
                                <SON>27</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5</SON>
                                <VOFFF><![CDATA[=SUMPRODUCT(§A¿0,1,1,1,7,2,1,1,0,0,FALSE,FALSE,1,7,2,1,2,0,0,FALSE,FALSE§Z¿,§A¿0,1,1,1,7,3,1,1,0,0,FALSE,FALSE,1,7,3,1,2,0,0,FALSE,FALSE§Z¿)]]></VOFFF>
                              </ClmnBlkPtProps>
                            </ClmnBlkPt>
                          </ClmnBlkPts>
                        </ClmnBlk>
                        <ClmnBlk>
                          <ClmnBlkProps>
                            <FCPT>0</FCPT>
                            <FCN>10</FCN>
                            <LCPT>0</LCPT>
                            <LCN>10</LCN>
                          </ClmnBlkProps>
                          <ClmnBlkPts>
                            <ClmnBlkPt>
                              <ClmnBlkPtProps>
                                <CBPT>0</CBPT>
                                <ST>12</ST>
                                <SON>27</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5</SON>
                                <VOFFF><![CDATA[=SUMPRODUCT(§A¿0,1,1,1,7,2,1,1,0,0,FALSE,FALSE,1,7,2,1,2,0,0,FALSE,FALSE§Z¿,§A¿0,1,1,1,7,4,1,1,0,0,FALSE,FALSE,1,7,4,1,2,0,0,FALSE,FALSE§Z¿)]]></VOFFF>
                              </ClmnBlkPtProps>
                            </ClmnBlkPt>
                          </ClmnBlkPts>
                        </ClmnBlk>
                        <ClmnBlk>
                          <ClmnBlkProps>
                            <FCPT>0</FCPT>
                            <FCN>11</FCN>
                            <LCPT>0</LCPT>
                            <LCN>11</LCN>
                          </ClmnBlkProps>
                          <ClmnBlkPts>
                            <ClmnBlkPt>
                              <ClmnBlkPtProps>
                                <CBPT>0</CBPT>
                                <ST>18</ST>
                                <SON>4</SON>
                                <VOFFF><![CDATA[=(§A¿0,1,0,1,7,2,1,0,0,0,FALSE,TRUE§Z¿*§A¿0,1,0,1,7,3,1,0,0,0,FALSE,FALSE§Z¿)+(§A¿0,1,0,1,7,2,1,0,0,0,FALSE,TRUE§Z¿*§A¿0,1,0,1,7,4,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3§Z¿]]></VOFFF>
                              </ClmnBlkPtProps>
                              <RgeNmes>
                                <RgeNme>
                                  <RgeNmeProps>
                                    <CBPLI>1,1,7,5,6</CBPLI>
                                    <MCN>1</MCN>
                                    <SN>1</SN>
                                    <EN>7</EN>
                                    <CN>0</CN>
                                    <CBN>5</CBN>
                                    <CBPN>6</CBPN>
                                    <PT>1</PT>
                                    <CBPRNT>6</CBPRNT>
                                    <NT>12</NT>
                                    <SP1><![CDATA[TOT_ADMIN_PROSP]]></SP1>
                                    <SP2/>
                                    <FFF/>
                                    <CMT/>
                                  </RgeNmeProps>
                                </RgeNme>
                              </RgeNmes>
                            </ClmnBlkPt>
                          </ClmnBlkPts>
                        </ClmnBlk>
                        <ClmnBlk>
                          <ClmnBlkProps>
                            <FCPT>0</FCPT>
                            <FCN>12</FCN>
                            <LCPT>0</LCPT>
                            <LCN>12</LCN>
                          </ClmnBlkProps>
                          <ClmnBlkPts>
                            <ClmnBlkPt>
                              <ClmnBlkPtProps>
                                <CBPT>0</CBPT>
                                <ST>-1</ST>
                                <SON>13</SON>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SON>13</SON>
                                <VOFFF/>
                              </ClmnBlkPtProps>
                            </ClmnBlkPt>
                          </ClmnBlkPts>
                        </ClmnBlk>
                        <ClmnBlk>
                          <ClmnBlkProps>
                            <FCPT>0</FCPT>
                            <FCN>13</FCN>
                            <LCPT>0</LCPT>
                            <LCN>13</LCN>
                          </ClmnBlkProps>
                          <ClmnBlkPts>
                            <ClmnBlkPt>
                              <ClmnBlkPtProps>
                                <CBPT>0</CBPT>
                                <ST>18</ST>
                                <SON>4</SON>
                                <VOFFF><![CDATA[=§A¿0,1,0,1,7,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14</FCN>
                            <LCPT>0</LCPT>
                            <LCN>14</LCN>
                          </ClmnBlkProps>
                          <ClmnBlkPts>
                            <ClmnBlkPt>
                              <ClmnBlkPtProps>
                                <CBPT>0</CBPT>
                                <ST>11</ST>
                                <SON>4</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15</FCN>
                            <LCPT>0</LCPT>
                            <LCN>15</LCN>
                          </ClmnBlkProps>
                          <ClmnBlkPts>
                            <ClmnBlkPt>
                              <ClmnBlkPtProps>
                                <CBPT>0</CBPT>
                                <ST>11</ST>
                                <SON>4</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16</FCN>
                            <LCPT>0</LCPT>
                            <LCN>16</LCN>
                          </ClmnBlkProps>
                          <ClmnBlkPts>
                            <ClmnBlkPt>
                              <ClmnBlkPtProps>
                                <CBPT>0</CBPT>
                                <ST>18</ST>
                                <SON>4</SON>
                                <VOFFF><![CDATA[=§A¿0,1,0,1,7,8,1,0,0,0,FALSE,FALSE§Z¿+§A¿0,1,0,1,7,9,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3§Z¿]]></VOFFF>
                              </ClmnBlkPtProps>
                              <RgeNmes>
                                <RgeNme>
                                  <RgeNmeProps>
                                    <CBPLI>1,1,7,10,6</CBPLI>
                                    <MCN>1</MCN>
                                    <SN>1</SN>
                                    <EN>7</EN>
                                    <CN>0</CN>
                                    <CBN>10</CBN>
                                    <CBPN>6</CBPN>
                                    <PT>1</PT>
                                    <CBPRNT>6</CBPRNT>
                                    <NT>12</NT>
                                    <SP1><![CDATA[TOT_ADM_RETRO]]></SP1>
                                    <SP2/>
                                    <FFF/>
                                    <CMT/>
                                  </RgeNmeProps>
                                </RgeNme>
                              </RgeNmes>
                            </ClmnBlkPt>
                          </ClmnBlkPts>
                        </ClmnBlk>
                      </ClmnBlks>
                      <SubTtls>
                        <SubTtl>
                          <CatSpan>
                            <CatSpanProps>
                              <CC>25</CC>
                              <R>0</R>
                            </CatSpanProps>
                            <LnkIn>
                              <LnkInProps>
                                <MN>33</MN>
                                <CLI>1,1,7,False,1</CLI>
                                <ELN>1</ELN>
                                <LOOT>0</LOOT>
                                <LOMN>4</LOMN>
                                <LOMCN>1</LOMCN>
                                <LOSN>1</LOSN>
                                <LOEN>5</LOEN>
                                <LOCN>1</LOCN>
                              </LnkInProps>
                            </LnkIn>
                          </CatSpan>
                        </SubTtl>
                      </SubTtls>
                      <TtlCtg/>
                      <ElmtLnksOut>
                        <ElmtLnk>
                          <ElmtLnkProps>
                            <ELI>1,1,7</ELI>
                            <ELN>1</ELN>
                            <ELGN>1</ELGN>
                            <MLG>29555695-F349-48CA-85F4-AD182B7D91D2</MLG>
                            <ICBI>1,2,3,4,8,9</ICBI>
                            <ILBN>1,2,3,4,5,6</ILBN>
                            <LIBN>0</LIBN>
                          </ElmtLnkProps>
                        </ElmtLnk>
                      </ElmtLnksOut>
                      <ElmtLnksIn>
                        <ElmtLnk>
                          <ElmtLnkProps>
                            <ELI>1,1,7</ELI>
                            <ELN>1</ELN>
                            <ELGN>1</ELGN>
                            <MLG>D04A3F50-482A-4C9F-B3E7-C912DCAAD294</MLG>
                            <ICBI>1,2</ICBI>
                            <ILBN/>
                            <LIBN>0</LIBN>
                          </ElmtLnkProps>
                        </ElmtLnk>
                      </ElmtLnksIn>
                    </Elmt>
                    <Elmt>
                      <ElmtProps>
                        <CPT>2</CPT>
                      </ElmtProps>
                      <ClmnBlks>
                        <ClmnBlk>
                          <ClmnBlkProps>
                            <FCPT>0</FCPT>
                            <FCN>9</FCN>
                            <LCPT>0</LCPT>
                            <LCN>9</LCN>
                          </ClmnBlkProps>
                          <ClmnBlkPts>
                            <ClmnBlkPt>
                              <ClmnBlkPtProps>
                                <CBPT>5</CBPT>
                                <ST>18</ST>
                                <SON>6</SON>
                                <VOFFF><![CDATA[=IFERROR(§A¿0,1,0,1,7,3,6,-1,0,0,FALSE,FALSE§Z¿/§A¿0,1,0,1,7,2,6,-1,0,0,FALSE,FALSE§Z¿, 0)]]></VOFFF>
                              </ClmnBlkPtProps>
                            </ClmnBlkPt>
                          </ClmnBlkPts>
                        </ClmnBlk>
                        <ClmnBlk>
                          <ClmnBlkProps>
                            <FCPT>0</FCPT>
                            <FCN>10</FCN>
                            <LCPT>0</LCPT>
                            <LCN>10</LCN>
                          </ClmnBlkProps>
                          <ClmnBlkPts>
                            <ClmnBlkPt>
                              <ClmnBlkPtProps>
                                <CBPT>5</CBPT>
                                <ST>18</ST>
                                <SON>6</SON>
                                <VOFFF><![CDATA[=IFERROR(§A¿0,1,0,1,7,4,6,-1,0,0,FALSE,FALSE§Z¿/§A¿0,1,0,1,7,2,6,-1,0,0,FALSE,FALSE§Z¿, 0)]]></VOFFF>
                              </ClmnBlkPtProps>
                            </ClmnBlkPt>
                          </ClmnBlkPts>
                        </ClmnBlk>
                        <ClmnBlk>
                          <ClmnBlkProps>
                            <FCPT>0</FCPT>
                            <FCN>12</FCN>
                            <LCPT>0</LCPT>
                            <LCN>12</LCN>
                          </ClmnBlkProps>
                          <ClmnBlkPts>
                            <ClmnBlkPt>
                              <ClmnBlkPtProps>
                                <CBPT>5</CBPT>
                                <ST>-1</ST>
                                <SON>13</SON>
                                <VOFFF/>
                              </ClmnBlkPtProps>
                            </ClmnBlkPt>
                          </ClmnBlkPts>
                        </ClmnBlk>
                        <ClmnBlk>
                          <ClmnBlkProps>
                            <FCPT>0</FCPT>
                            <FCN>14</FCN>
                            <LCPT>0</LCPT>
                            <LCN>14</LCN>
                          </ClmnBlkProps>
                          <ClmnBlkPts>
                            <ClmnBlkPt>
                              <ClmnBlkPtProps>
                                <CBPT>5</CBPT>
                                <ST>18</ST>
                                <SON>6</SON>
                                <VOFFF><![CDATA[=IFERROR(§A¿0,1,0,1,7,8,6,-1,0,0,FALSE,FALSE§Z¿/§A¿0,1,0,1,7,7,6,-1,0,0,FALSE,FALSE§Z¿, 0)]]></VOFFF>
                              </ClmnBlkPtProps>
                            </ClmnBlkPt>
                          </ClmnBlkPts>
                        </ClmnBlk>
                        <ClmnBlk>
                          <ClmnBlkProps>
                            <FCPT>0</FCPT>
                            <FCN>15</FCN>
                            <LCPT>0</LCPT>
                            <LCN>15</LCN>
                          </ClmnBlkProps>
                          <ClmnBlkPts>
                            <ClmnBlkPt>
                              <ClmnBlkPtProps>
                                <CBPT>5</CBPT>
                                <ST>18</ST>
                                <SON>6</SON>
                                <VOFFF><![CDATA[=IFERROR(§A¿0,1,0,1,7,9,6,-1,0,0,FALSE,FALSE§Z¿/§A¿0,1,0,1,7,7,6,-1,0,0,FALSE,FALSE§Z¿, 0)]]></VOFFF>
                              </ClmnBlkPtProps>
                            </ClmnBlkPt>
                          </ClmnBlkPts>
                        </ClmnBlk>
                      </ClmnBlks>
                      <TtlCtg/>
                    </Elmt>
                    <Elmt>
                      <ElmtProps>
                        <CPT>2</CPT>
                      </ElmtProps>
                      <ClmnBlks>
                        <ClmnBlk>
                          <ClmnBlkProps>
                            <FCPT>0</FCPT>
                            <FCN>3</FCN>
                            <LCPT>0</LCPT>
                            <LCN>3</LCN>
                          </ClmnBlkProps>
                          <ClmnBlkPts>
                            <ClmnBlkPt>
                              <ClmnBlkPtProps>
                                <CBPT>5</CBPT>
                                <ST>4</ST>
                                <VOFFF><![CDATA[Vaccines Non-Administered - Assumptions]]></VOFFF>
                              </ClmnBlkPtProps>
                            </ClmnBlkPt>
                          </ClmnBlkPts>
                        </ClmnBlk>
                      </ClmnBlks>
                      <TtlCtg/>
                    </Elmt>
                    <Elmt>
                      <ElmtProps>
                        <CPT>2</CPT>
                      </ElmtProps>
                      <ClmnBlks>
                        <ClmnBlk>
                          <ClmnBlkProps>
                            <FCPT>0</FCPT>
                            <FCN>3</FCN>
                            <LCPT>0</LCPT>
                            <LCN>3</LCN>
                          </ClmnBlkProps>
                          <ClmnBlkPts>
                            <ClmnBlkPt>
                              <ClmnBlkPtProps>
                                <CBPT>5</CBPT>
                                <ST>5</ST>
                                <VOFFF><![CDATA[Wastage and Buffer Stock Rates]]></VOFFF>
                              </ClmnBlkPtProps>
                            </ClmnBlkPt>
                          </ClmnBlkPts>
                        </ClmnBlk>
                      </ClmnBlks>
                      <TtlCtg/>
                    </Elmt>
                    <Elmt>
                      <ElmtProps>
                        <CPT>2</CPT>
                      </ElmtProps>
                      <ClmnBlks>
                        <ClmnBlk>
                          <ClmnBlkProps>
                            <FCPT>0</FCPT>
                            <FCN>9</FCN>
                            <LCPT>0</LCPT>
                            <LCN>9</LCN>
                          </ClmnBlkProps>
                          <ClmnBlkPts>
                            <ClmnBlkPt>
                              <ClmnBlkPtProps>
                                <CBPT>5</CBPT>
                                <ST>6</ST>
                                <VOFFF><![CDATA[PROSPECTIVE ONLY!]]></VOFFF>
                              </ClmnBlkPtProps>
                            </ClmnBlkPt>
                          </ClmnBlkPts>
                        </ClmnBlk>
                        <ClmnBlk>
                          <ClmnBlkProps>
                            <FCPT>0</FCPT>
                            <FCN>11</FCN>
                            <LCPT>0</LCPT>
                            <LCN>11</LCN>
                          </ClmnBlkProps>
                          <ClmnBlkPts>
                            <ClmnBlkPt>
                              <ClmnBlkPtProps>
                                <CBPT>5</CBPT>
                                <ST>6</ST>
                                <VOFFF><![CDATA[# (Per Rate)]]></VOFFF>
                              </ClmnBlkPtProps>
                            </ClmnBlkPt>
                          </ClmnBlkPts>
                        </ClmnBlk>
                        <ClmnBlk>
                          <ClmnBlkProps>
                            <FCPT>0</FCPT>
                            <FCN>14</FCN>
                            <LCPT>0</LCPT>
                            <LCN>14</LCN>
                          </ClmnBlkProps>
                          <ClmnBlkPts>
                            <ClmnBlkPt>
                              <ClmnBlkPtProps>
                                <CBPT>5</CBPT>
                                <ST>6</ST>
                                <VOFFF><![CDATA[RETROSPECTIVE ONLY!]]></VOFFF>
                              </ClmnBlkPtProps>
                            </ClmnBlkPt>
                          </ClmnBlkPts>
                        </ClmnBlk>
                        <ClmnBlk>
                          <ClmnBlkProps>
                            <FCPT>0</FCPT>
                            <FCN>16</FCN>
                            <LCPT>0</LCPT>
                            <LCN>16</LCN>
                          </ClmnBlkProps>
                          <ClmnBlkPts>
                            <ClmnBlkPt>
                              <ClmnBlkPtProps>
                                <CBPT>5</CBPT>
                                <ST>6</ST>
                                <VOFFF><![CDATA[# (Actual)]]></VOFFF>
                              </ClmnBlkPtProps>
                            </ClmnBlkPt>
                          </ClmnBlkPts>
                        </ClmnBlk>
                      </ClmnBlks>
                      <TtlCtg/>
                    </Elmt>
                    <Elmt>
                      <ElmtProps>
                        <CPT>2</CPT>
                      </ElmtProps>
                      <ClmnBlks>
                        <ClmnBlk>
                          <ClmnBlkProps>
                            <FCPT>0</FCPT>
                            <FCN>4</FCN>
                            <LCPT>0</LCPT>
                            <LCN>4</LCN>
                          </ClmnBlkProps>
                          <ClmnBlkPts>
                            <ClmnBlkPt>
                              <ClmnBlkPtProps>
                                <CBPT>5</CBPT>
                                <ST>6</ST>
                                <VOFFF><![CDATA[Wastage Rate (%) of vaccine]]></VOFFF>
                              </ClmnBlkPtProps>
                            </ClmnBlkPt>
                          </ClmnBlkPts>
                        </ClmnBlk>
                        <ClmnBlk>
                          <ClmnBlkProps>
                            <FCPT>0</FCPT>
                            <FCN>9</FCN>
                            <LCPT>0</LCPT>
                            <LCN>9</LCN>
                          </ClmnBlkProps>
                          <ClmnBlkPts>
                            <ClmnBlkPt>
                              <ClmnBlkPtProps>
                                <CBPT>5</CBPT>
                                <ST>12</ST>
                                <SON>27</SON>
                                <VOFFF><![CDATA[0]]></VOFFF>
                                <UDAV><![CDATA[0]]></UDAV>
                              </ClmnBlkPtProps>
                            </ClmnBlkPt>
                          </ClmnBlkPts>
                        </ClmnBlk>
                        <ClmnBlk>
                          <ClmnBlkProps>
                            <FCPT>0</FCPT>
                            <FCN>11</FCN>
                            <LCPT>0</LCPT>
                            <LCN>11</LCN>
                          </ClmnBlkProps>
                          <ClmnBlkPts>
                            <ClmnBlkPt>
                              <ClmnBlkPtProps>
                                <CBPT>5</CBPT>
                                <ST>18</ST>
                                <SON>4</SON>
                                <VOFFF><![CDATA[=§A¿1,1,1,1,7,0,5,6,1§Z¿*§A¿0,1,0,1,12,2,1,-1,0,0,FALSE,FALSE§Z¿]]></VOFFF>
                              </ClmnBlkPtProps>
                            </ClmnBlkPt>
                          </ClmnBlkPts>
                        </ClmnBlk>
                        <ClmnBlk>
                          <ClmnBlkProps>
                            <FCPT>0</FCPT>
                            <FCN>14</FCN>
                            <LCPT>0</LCPT>
                            <LCN>14</LCN>
                          </ClmnBlkProps>
                          <ClmnBlkPts>
                            <ClmnBlkPt>
                              <ClmnBlkPtProps>
                                <CBPT>5</CBPT>
                                <ST>18</ST>
                                <SON>33</SON>
                                <VOFFF><![CDATA[=IFERROR(§A¿0,1,0,1,12,5,1,-1,0,0,FALSE,FALSE§Z¿/§A¿1,1,1,1,7,0,10,6,1§Z¿,0)]]></VOFFF>
                              </ClmnBlkPtProps>
                            </ClmnBlkPt>
                          </ClmnBlkPts>
                        </ClmnBlk>
                        <ClmnBlk>
                          <ClmnBlkProps>
                            <FCPT>0</FCPT>
                            <FCN>16</FCN>
                            <LCPT>0</LCPT>
                            <LCN>16</LCN>
                          </ClmnBlkProps>
                          <ClmnBlkPts>
                            <ClmnBlkPt>
                              <ClmnBlkPtProps>
                                <CBPT>5</CBPT>
                                <ST>11</ST>
                                <SON>4</SON>
                                <VOFFF><![CDATA[14000]]></VOFFF>
                                <UDAV><![CDATA[0]]></UDAV>
                              </ClmnBlkPtProps>
                            </ClmnBlkPt>
                          </ClmnBlkPts>
                        </ClmnBlk>
                      </ClmnBlks>
                      <TtlCtg/>
                    </Elmt>
                    <Elmt>
                      <ElmtProps>
                        <CPT>2</CPT>
                      </ElmtProps>
                      <ClmnBlks>
                        <ClmnBlk>
                          <ClmnBlkProps>
                            <FCPT>0</FCPT>
                            <FCN>4</FCN>
                            <LCPT>0</LCPT>
                            <LCN>4</LCN>
                          </ClmnBlkProps>
                          <ClmnBlkPts>
                            <ClmnBlkPt>
                              <ClmnBlkPtProps>
                                <CBPT>5</CBPT>
                                <ST>6</ST>
                                <VOFFF><![CDATA[Buffer/Reserve Stock (%)]]></VOFFF>
                              </ClmnBlkPtProps>
                            </ClmnBlkPt>
                          </ClmnBlkPts>
                        </ClmnBlk>
                        <ClmnBlk>
                          <ClmnBlkProps>
                            <FCPT>0</FCPT>
                            <FCN>9</FCN>
                            <LCPT>0</LCPT>
                            <LCN>9</LCN>
                          </ClmnBlkProps>
                          <ClmnBlkPts>
                            <ClmnBlkPt>
                              <ClmnBlkPtProps>
                                <CBPT>5</CBPT>
                                <ST>12</ST>
                                <SON>27</SON>
                                <VOFFF><![CDATA[0]]></VOFFF>
                                <UDAV><![CDATA[0]]></UDAV>
                              </ClmnBlkPtProps>
                            </ClmnBlkPt>
                          </ClmnBlkPts>
                        </ClmnBlk>
                        <ClmnBlk>
                          <ClmnBlkProps>
                            <FCPT>0</FCPT>
                            <FCN>11</FCN>
                            <LCPT>0</LCPT>
                            <LCN>11</LCN>
                          </ClmnBlkProps>
                          <ClmnBlkPts>
                            <ClmnBlkPt>
                              <ClmnBlkPtProps>
                                <CBPT>5</CBPT>
                                <ST>18</ST>
                                <SON>4</SON>
                                <VOFFF><![CDATA[=§A¿1,1,1,1,7,0,5,6,1§Z¿*§A¿0,1,0,1,13,2,1,-1,0,0,FALSE,FALSE§Z¿]]></VOFFF>
                              </ClmnBlkPtProps>
                            </ClmnBlkPt>
                          </ClmnBlkPts>
                        </ClmnBlk>
                        <ClmnBlk>
                          <ClmnBlkProps>
                            <FCPT>0</FCPT>
                            <FCN>16</FCN>
                            <LCPT>0</LCPT>
                            <LCN>16</LCN>
                          </ClmnBlkProps>
                          <ClmnBlkPts>
                            <ClmnBlkPt>
                              <ClmnBlkPtProps>
                                <CBPT>5</CBPT>
                                <ST>11</ST>
                                <SON>4</SON>
                                <VOFFF><![CDATA[74000]]></VOFFF>
                                <UDAV><![CDATA[0]]></UDAV>
                              </ClmnBlkPtProps>
                            </ClmnBlkPt>
                          </ClmnBlkPts>
                        </ClmnBlk>
                      </ClmnBlks>
                      <TtlCtg/>
                    </Elmt>
                    <Elmt>
                      <ElmtProps>
                        <CPT>2</CPT>
                      </ElmtProps>
                      <ClmnBlks>
                        <ClmnBlk>
                          <ClmnBlkProps>
                            <FCPT>0</FCPT>
                            <FCN>3</FCN>
                            <LCPT>0</LCPT>
                            <LCN>3</LCN>
                          </ClmnBlkProps>
                          <ClmnBlkPts>
                            <ClmnBlkPt>
                              <ClmnBlkPtProps>
                                <CBPT>5</CBPT>
                                <ST>6</ST>
                                <VOFFF><![CDATA[Additiional Vaccine Required]]></VOFFF>
                              </ClmnBlkPtProps>
                            </ClmnBlkPt>
                          </ClmnBlkPts>
                        </ClmnBlk>
                        <ClmnBlk>
                          <ClmnBlkProps>
                            <FCPT>0</FCPT>
                            <FCN>11</FCN>
                            <LCPT>0</LCPT>
                            <LCN>11</LCN>
                          </ClmnBlkProps>
                          <ClmnBlkPts>
                            <ClmnBlkPt>
                              <ClmnBlkPtProps>
                                <CBPT>5</CBPT>
                                <ST>18</ST>
                                <SON>5</SON>
                                <VOFFF><![CDATA[=SUM(§A¿0,1,1,1,12,3,1,-1,0,0,FALSE,FALSE,1,13,3,1,-1,0,0,FALSE,FALSE§Z¿)]]></VOFFF>
                              </ClmnBlkPtProps>
                            </ClmnBlkPt>
                          </ClmnBlkPts>
                        </ClmnBlk>
                        <ClmnBlk>
                          <ClmnBlkProps>
                            <FCPT>0</FCPT>
                            <FCN>16</FCN>
                            <LCPT>0</LCPT>
                            <LCN>16</LCN>
                          </ClmnBlkProps>
                          <ClmnBlkPts>
                            <ClmnBlkPt>
                              <ClmnBlkPtProps>
                                <CBPT>5</CBPT>
                                <ST>18</ST>
                                <SON>5</SON>
                                <VOFFF><![CDATA[=SUM(§A¿0,1,1,1,12,5,1,-1,0,0,FALSE,FALSE,1,13,4,1,-1,0,0,FALSE,FALSE§Z¿)]]></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SON>17</SON>
                                <VOFFF><![CDATA[Subtotal Vaccines Required]]></VOFFF>
                              </ClmnBlkPtProps>
                            </ClmnBlkPt>
                          </ClmnBlkPts>
                        </ClmnBlk>
                        <ClmnBlk>
                          <ClmnBlkProps>
                            <FCPT>0</FCPT>
                            <FCN>11</FCN>
                            <LCPT>0</LCPT>
                            <LCN>11</LCN>
                          </ClmnBlkProps>
                          <ClmnBlkPts>
                            <ClmnBlkPt>
                              <ClmnBlkPtProps>
                                <CBPT>5</CBPT>
                                <ST>18</ST>
                                <SON>18</SON>
                                <VOFFF><![CDATA[=§A¿1,1,1,1,7,0,5,6,1§Z¿+§A¿0,1,0,1,14,2,1,-1,0,0,FALSE,FALSE§Z¿]]></VOFFF>
                              </ClmnBlkPtProps>
                              <RgeNmes>
                                <RgeNme>
                                  <RgeNmeProps>
                                    <CBPLI>1,1,16,2,1</CBPLI>
                                    <MCN>1</MCN>
                                    <SN>1</SN>
                                    <EN>16</EN>
                                    <CN>0</CN>
                                    <CBN>2</CBN>
                                    <CBPN>1</CBPN>
                                    <PT>1</PT>
                                    <CBPRNT>6</CBPRNT>
                                    <NT>12</NT>
                                    <SP1><![CDATA[TOT_REQU_PROSP]]></SP1>
                                    <SP2/>
                                    <FFF/>
                                    <CMT/>
                                  </RgeNmeProps>
                                </RgeNme>
                              </RgeNmes>
                            </ClmnBlkPt>
                          </ClmnBlkPts>
                        </ClmnBlk>
                        <ClmnBlk>
                          <ClmnBlkProps>
                            <FCPT>0</FCPT>
                            <FCN>16</FCN>
                            <LCPT>0</LCPT>
                            <LCN>16</LCN>
                          </ClmnBlkProps>
                          <ClmnBlkPts>
                            <ClmnBlkPt>
                              <ClmnBlkPtProps>
                                <CBPT>5</CBPT>
                                <ST>18</ST>
                                <SON>18</SON>
                                <VOFFF><![CDATA[=§A¿1,1,1,1,7,0,10,6,1§Z¿+§A¿0,1,0,1,14,3,1,-1,0,0,FALSE,FALSE§Z¿]]></VOFFF>
                              </ClmnBlkPtProps>
                              <RgeNmes>
                                <RgeNme>
                                  <RgeNmeProps>
                                    <CBPLI>1,1,16,3,1</CBPLI>
                                    <MCN>1</MCN>
                                    <SN>1</SN>
                                    <EN>16</EN>
                                    <CN>0</CN>
                                    <CBN>3</CBN>
                                    <CBPN>1</CBPN>
                                    <PT>1</PT>
                                    <CBPRNT>6</CBPRNT>
                                    <NT>12</NT>
                                    <SP1><![CDATA[TOT_REQ_RETRO]]></SP1>
                                    <SP2/>
                                    <FFF/>
                                    <CMT/>
                                  </RgeNmeProps>
                                </RgeNme>
                              </RgeNmes>
                            </ClmnBlkPt>
                          </ClmnBlkPts>
                        </ClmnBlk>
                      </ClmnBlks>
                      <TtlCtg/>
                    </Elmt>
                    <Elmt>
                      <ElmtProps>
                        <CPT>2</CPT>
                      </ElmtProps>
                      <TtlCtg/>
                    </Elmt>
                    <Elmt>
                      <ElmtProps>
                        <CPT>2</CPT>
                      </ElmtProps>
                      <TtlCtg/>
                    </Elmt>
                    <Elmt>
                      <ElmtProps>
                        <CPT>2</CPT>
                      </ElmtProps>
                      <ClmnBlks>
                        <ClmnBlk>
                          <ClmnBlkProps>
                            <FCPT>0</FCPT>
                            <FCN>2</FCN>
                            <LCPT>0</LCPT>
                            <LCN>2</LCN>
                          </ClmnBlkProps>
                          <ClmnBlkPts>
                            <ClmnBlkPt>
                              <ClmnBlkPtProps>
                                <CBPT>5</CBPT>
                                <ST>3</ST>
                                <VOFFF><![CDATA[Vaccine Procurement Charges - Assumptions]]></VOFFF>
                              </ClmnBlkPtProps>
                            </ClmnBlkPt>
                          </ClmnBlkPts>
                        </ClmnBlk>
                        <ClmnBlk>
                          <ClmnBlkProps>
                            <FCPT>0</FCPT>
                            <FCN>10</FCN>
                            <LCPT>0</LCPT>
                            <LCN>10</LCN>
                          </ClmnBlkProps>
                          <ClmnBlkPts>
                            <ClmnBlkPt>
                              <ClmnBlkPtProps>
                                <CBPT>5</CBPT>
                                <ST>6</ST>
                                <VOFFF><![CDATA[PROSPECTIVE AND RETROSPECTIVE]]></VOFFF>
                              </ClmnBlkPtProps>
                            </ClmnBlkPt>
                          </ClmnBlkPts>
                        </ClmnBlk>
                      </ClmnBlks>
                      <TtlCtg/>
                    </Elmt>
                    <Elmt>
                      <ElmtProps>
                        <CPT>2</CPT>
                      </ElmtProps>
                      <ClmnBlks>
                        <ClmnBlk>
                          <ClmnBlkProps>
                            <FCPT>0</FCPT>
                            <FCN>10</FCN>
                            <LCPT>0</LCPT>
                            <LCN>10</LCN>
                          </ClmnBlkProps>
                          <ClmnBlkPts>
                            <ClmnBlkPt>
                              <ClmnBlkPtProps>
                                <CBPT>5</CBPT>
                                <ST>6</ST>
                                <SON>7</SON>
                                <VOFFF><![CDATA[Applied Currency (Select):]]></VOFFF>
                              </ClmnBlkPtProps>
                            </ClmnBlkPt>
                          </ClmnBlkPts>
                        </ClmnBlk>
                        <ClmnBlk>
                          <ClmnBlkProps>
                            <FCPT>0</FCPT>
                            <FCN>11</FCN>
                            <LCPT>0</LCPT>
                            <LCN>11</LCN>
                          </ClmnBlkProps>
                          <ClmnBlkPts>
                            <ClmnBlkPt>
                              <ClmnBlkPtProps>
                                <CBPT>5</CBPT>
                                <ST>8</ST>
                                <SON>31</SON>
                                <VOFFF/>
                              </ClmnBlkPtProps>
                              <Vdtn>
                                <VdtnProps>
                                  <CBPLI>1,1,20,2,1</CBPLI>
                                  <ADVT>-1</ADVT>
                                  <VT>3</VT>
                                  <AS>1</AS>
                                  <O>1</O>
                                  <F1FFF><![CDATA[=§A¿1,1,5,1,11,0,1,1,1§Z¿]]></F1FFF>
                                  <F2FFF/>
                                  <IB>True</IB>
                                  <ICDD>True</ICDD>
                                  <SI>True</SI>
                                  <IT/>
                                  <IM/>
                                  <SE>True</SE>
                                  <ET/>
                                  <EM/>
                                  <IMO>0</IMO>
                                </VdtnProps>
                              </Vdtn>
                              <RgeNmes>
                                <RgeNme>
                                  <RgeNmeProps>
                                    <CBPLI>1,1,20,2,1</CBPLI>
                                    <MCN>1</MCN>
                                    <SN>1</SN>
                                    <EN>20</EN>
                                    <CN>0</CN>
                                    <CBN>2</CBN>
                                    <CBPN>1</CBPN>
                                    <PT>1</PT>
                                    <CBPRNT>6</CBPRNT>
                                    <NT>12</NT>
                                    <SP1><![CDATA[Applied_Currency]]></SP1>
                                    <SP2/>
                                    <FFF/>
                                    <CMT/>
                                  </RgeNmeProps>
                                </RgeNme>
                              </RgeNmes>
                            </ClmnBlkPt>
                          </ClmnBlkPts>
                        </ClmnBlk>
                        <ClmnBlk>
                          <ClmnBlkProps>
                            <FCPT>0</FCPT>
                            <FCN>12</FCN>
                            <LCPT>0</LCPT>
                            <LCN>12</LCN>
                          </ClmnBlkProps>
                          <ClmnBlkPts>
                            <ClmnBlkPt>
                              <ClmnBlkPtProps>
                                <CBPT>5</CBPT>
                                <ST>-1</ST>
                                <SON>32</SON>
                                <VOFFF><![CDATA[IMPORTANT!]]></VOFFF>
                              </ClmnBlkPtProps>
                            </ClmnBlkPt>
                          </ClmnBlkPts>
                        </ClmnBlk>
                      </ClmnBlks>
                      <TtlCtg/>
                    </Elmt>
                    <Elmt>
                      <ElmtProps>
                        <CPT>2</CPT>
                      </ElmtProps>
                      <TtlCtg/>
                    </Elmt>
                    <Elmt>
                      <ElmtProps>
                        <CPT>2</CPT>
                      </ElmtProps>
                      <TtlCtg/>
                    </Elmt>
                    <Elmt>
                      <ElmtProps>
                        <CPT>2</CPT>
                      </ElmtProps>
                      <ClmnBlks>
                        <ClmnBlk>
                          <ClmnBlkProps>
                            <FCPT>0</FCPT>
                            <FCN>3</FCN>
                            <LCPT>0</LCPT>
                            <LCN>3</LCN>
                          </ClmnBlkProps>
                          <ClmnBlkPts>
                            <ClmnBlkPt>
                              <ClmnBlkPtProps>
                                <CBPT>5</CBPT>
                                <ST>4</ST>
                                <VOFFF><![CDATA[="Cost of Vaccine ("&§A¿1,1,1,1,20,0,2,1,1§Z¿&")"]]></VOFFF>
                              </ClmnBlkPtProps>
                            </ClmnBlkPt>
                          </ClmnBlkPts>
                        </ClmnBlk>
                        <ClmnBlk>
                          <ClmnBlkProps>
                            <FCPT>0</FCPT>
                            <FCN>9</FCN>
                            <LCPT>0</LCPT>
                            <LCN>9</LCN>
                          </ClmnBlkProps>
                          <ClmnBlkPts>
                            <ClmnBlkPt>
                              <ClmnBlkPtProps>
                                <CBPT>5</CBPT>
                                <ST>6</ST>
                                <SON>2</SON>
                                <VOFFF><![CDATA[Cost]]></VOFFF>
                              </ClmnBlkPtProps>
                            </ClmnBlkPt>
                          </ClmnBlkPts>
                        </ClmnBlk>
                        <ClmnBlk>
                          <ClmnBlkProps>
                            <FCPT>0</FCPT>
                            <FCN>10</FCN>
                            <LCPT>0</LCPT>
                            <LCN>10</LCN>
                          </ClmnBlkProps>
                          <ClmnBlkPts>
                            <ClmnBlkPt>
                              <ClmnBlkPtProps>
                                <CBPT>5</CBPT>
                                <ST>6</ST>
                                <SON>2</SON>
                                <VOFFF><![CDATA[Subsidy]]></VOFFF>
                              </ClmnBlkPtProps>
                            </ClmnBlkPt>
                          </ClmnBlkPts>
                        </ClmnBlk>
                        <ClmnBlk>
                          <ClmnBlkProps>
                            <FCPT>0</FCPT>
                            <FCN>11</FCN>
                            <LCPT>0</LCPT>
                            <LCN>11</LCN>
                          </ClmnBlkProps>
                          <ClmnBlkPts>
                            <ClmnBlkPt>
                              <ClmnBlkPtProps>
                                <CBPT>5</CBPT>
                                <ST>6</ST>
                                <VOFFF><![CDATA[Financial]]></VOFFF>
                              </ClmnBlkPtProps>
                            </ClmnBlkPt>
                          </ClmnBlkPts>
                        </ClmnBlk>
                        <ClmnBlk>
                          <ClmnBlkProps>
                            <FCPT>0</FCPT>
                            <FCN>12</FCN>
                            <LCPT>0</LCPT>
                            <LCN>12</LCN>
                          </ClmnBlkProps>
                          <ClmnBlkPts>
                            <ClmnBlkPt>
                              <ClmnBlkPtProps>
                                <CBPT>5</CBPT>
                                <ST>6</ST>
                                <SON>2</SON>
                                <VOFFF><![CDATA[Economic]]></VOFFF>
                              </ClmnBlkPtProps>
                            </ClmnBlkPt>
                          </ClmnBlkPts>
                        </ClmnBlk>
                      </ClmnBlks>
                      <TtlCtg/>
                    </Elmt>
                    <Elmt>
                      <ElmtProps>
                        <CPT>2</CPT>
                      </ElmtProps>
                      <ClmnBlks>
                        <ClmnBlk>
                          <ClmnBlkProps>
                            <FCPT>0</FCPT>
                            <FCN>9</FCN>
                            <LCPT>0</LCPT>
                            <LCN>9</LCN>
                          </ClmnBlkProps>
                          <ClmnBlkPts>
                            <ClmnBlkPt>
                              <ClmnBlkPtProps>
                                <CBPT>5</CBPT>
                                <ST>6</ST>
                                <SON>2</SON>
                                <VOFFF><![CDATA[=§A¿1,1,1,1,20,0,2,1,1§Z¿]]></VOFFF>
                              </ClmnBlkPtProps>
                            </ClmnBlkPt>
                          </ClmnBlkPts>
                        </ClmnBlk>
                        <ClmnBlk>
                          <ClmnBlkProps>
                            <FCPT>0</FCPT>
                            <FCN>10</FCN>
                            <LCPT>0</LCPT>
                            <LCN>10</LCN>
                          </ClmnBlkProps>
                          <ClmnBlkPts>
                            <ClmnBlkPt>
                              <ClmnBlkPtProps>
                                <CBPT>5</CBPT>
                                <ST>6</ST>
                                <SON>2</SON>
                                <VOFFF><![CDATA[=§A¿1,1,1,1,20,0,2,1,1§Z¿]]></VOFFF>
                              </ClmnBlkPtProps>
                            </ClmnBlkPt>
                          </ClmnBlkPts>
                        </ClmnBlk>
                        <ClmnBlk>
                          <ClmnBlkProps>
                            <FCPT>0</FCPT>
                            <FCN>11</FCN>
                            <LCPT>0</LCPT>
                            <LCN>11</LCN>
                          </ClmnBlkProps>
                          <ClmnBlkPts>
                            <ClmnBlkPt>
                              <ClmnBlkPtProps>
                                <CBPT>5</CBPT>
                                <ST>6</ST>
                                <SON>2</SON>
                                <VOFFF><![CDATA[=§A¿1,1,1,1,20,0,2,1,1§Z¿]]></VOFFF>
                              </ClmnBlkPtProps>
                            </ClmnBlkPt>
                          </ClmnBlkPts>
                        </ClmnBlk>
                        <ClmnBlk>
                          <ClmnBlkProps>
                            <FCPT>0</FCPT>
                            <FCN>12</FCN>
                            <LCPT>0</LCPT>
                            <LCN>12</LCN>
                          </ClmnBlkProps>
                          <ClmnBlkPts>
                            <ClmnBlkPt>
                              <ClmnBlkPtProps>
                                <CBPT>5</CBPT>
                                <ST>6</ST>
                                <SON>2</SON>
                                <VOFFF><![CDATA[=§A¿1,1,1,1,20,0,2,1,1§Z¿]]></VOFFF>
                              </ClmnBlkPtProps>
                            </ClmnBlkPt>
                          </ClmnBlkPts>
                        </ClmnBlk>
                      </ClmnBlks>
                      <TtlCtg/>
                    </Elmt>
                    <Elmt>
                      <ElmtProps>
                        <CPT>2</CPT>
                      </ElmtProps>
                      <ClmnBlks>
                        <ClmnBlk>
                          <ClmnBlkProps>
                            <FCPT>0</FCPT>
                            <FCN>3</FCN>
                            <LCPT>0</LCPT>
                            <LCN>3</LCN>
                          </ClmnBlkProps>
                          <ClmnBlkPts>
                            <ClmnBlkPt>
                              <ClmnBlkPtProps>
                                <CBPT>5</CBPT>
                                <ST>6</ST>
                                <VOFFF><![CDATA[Cost per Dose]]></VOFFF>
                              </ClmnBlkPtProps>
                            </ClmnBlkPt>
                          </ClmnBlkPts>
                        </ClmnBlk>
                        <ClmnBlk>
                          <ClmnBlkProps>
                            <FCPT>0</FCPT>
                            <FCN>9</FCN>
                            <LCPT>0</LCPT>
                            <LCN>10</LCN>
                          </ClmnBlkProps>
                          <ClmnBlkPts>
                            <ClmnBlkPt>
                              <ClmnBlkPtProps>
                                <CBPT>5</CBPT>
                                <ST>11</ST>
                                <SON>8</SON>
                                <VOFFF><![CDATA[0]]></VOFFF>
                                <UDAV><![CDATA[0]]></UDAV>
                              </ClmnBlkPtProps>
                            </ClmnBlkPt>
                          </ClmnBlkPts>
                        </ClmnBlk>
                        <ClmnBlk>
                          <ClmnBlkProps>
                            <FCPT>0</FCPT>
                            <FCN>11</FCN>
                            <LCPT>0</LCPT>
                            <LCN>11</LCN>
                          </ClmnBlkProps>
                          <ClmnBlkPts>
                            <ClmnBlkPt>
                              <ClmnBlkPtProps>
                                <CBPT>5</CBPT>
                                <ST>18</ST>
                                <SON>12</SON>
                                <VOFFF><![CDATA[=§A¿0,1,0,1,25,2,1,-1,0,0,FALSE,FALSE§Z¿-§A¿0,1,0,1,25,2,1,-1,1,0,FALSE,FALSE§Z¿]]></VOFFF>
                              </ClmnBlkPtProps>
                              <RgeNmes>
                                <RgeNme>
                                  <RgeNmeProps>
                                    <CBPLI>1,1,25,3,1</CBPLI>
                                    <MCN>1</MCN>
                                    <SN>1</SN>
                                    <EN>25</EN>
                                    <CN>0</CN>
                                    <CBN>3</CBN>
                                    <CBPN>1</CBPN>
                                    <PT>1</PT>
                                    <CBPRNT>6</CBPRNT>
                                    <NT>12</NT>
                                    <SP1><![CDATA[PRICE_PER_DOSE_FIN]]></SP1>
                                    <SP2/>
                                    <FFF/>
                                    <CMT/>
                                  </RgeNmeProps>
                                </RgeNme>
                              </RgeNmes>
                            </ClmnBlkPt>
                          </ClmnBlkPts>
                        </ClmnBlk>
                        <ClmnBlk>
                          <ClmnBlkProps>
                            <FCPT>0</FCPT>
                            <FCN>12</FCN>
                            <LCPT>0</LCPT>
                            <LCN>12</LCN>
                          </ClmnBlkProps>
                          <ClmnBlkPts>
                            <ClmnBlkPt>
                              <ClmnBlkPtProps>
                                <CBPT>5</CBPT>
                                <ST>18</ST>
                                <SON>9</SON>
                                <VOFFF><![CDATA[=§A¿0,1,0,1,25,2,1,-1,0,0,FALSE,FALSE§Z¿]]></VOFFF>
                              </ClmnBlkPtProps>
                              <RgeNmes>
                                <RgeNme>
                                  <RgeNmeProps>
                                    <CBPLI>1,1,25,4,1</CBPLI>
                                    <MCN>1</MCN>
                                    <SN>1</SN>
                                    <EN>25</EN>
                                    <CN>0</CN>
                                    <CBN>4</CBN>
                                    <CBPN>1</CBPN>
                                    <PT>1</PT>
                                    <CBPRNT>6</CBPRNT>
                                    <NT>12</NT>
                                    <SP1><![CDATA[PRICE_PER_DOSE_ECON]]></SP1>
                                    <SP2/>
                                    <FFF/>
                                    <CMT/>
                                  </RgeNmeProps>
                                </RgeNme>
                              </RgeNmes>
                            </ClmnBlkPt>
                          </ClmnBlkPts>
                        </ClmnBlk>
                      </ClmnBlks>
                      <TtlCtg/>
                    </Elmt>
                    <Elmt>
                      <ElmtProps>
                        <CPT>2</CPT>
                      </ElmtProps>
                      <ClmnBlks>
                        <ClmnBlk>
                          <ClmnBlkProps>
                            <FCPT>0</FCPT>
                            <FCN>9</FCN>
                            <LCPT>0</LCPT>
                            <LCN>9</LCN>
                          </ClmnBlkProps>
                          <ClmnBlkPts>
                            <ClmnBlkPt>
                              <ClmnBlkPtProps>
                                <CBPT>5</CBPT>
                                <ST>6</ST>
                                <VOFFF><![CDATA[PROSPECTIVE]]></VOFFF>
                              </ClmnBlkPtProps>
                            </ClmnBlkPt>
                          </ClmnBlkPts>
                        </ClmnBlk>
                        <ClmnBlk>
                          <ClmnBlkProps>
                            <FCPT>0</FCPT>
                            <FCN>12</FCN>
                            <LCPT>0</LCPT>
                            <LCN>12</LCN>
                          </ClmnBlkProps>
                          <ClmnBlkPts>
                            <ClmnBlkPt>
                              <ClmnBlkPtProps>
                                <CBPT>5</CBPT>
                                <ST>-1</ST>
                                <VOFFF/>
                              </ClmnBlkPtProps>
                            </ClmnBlkPt>
                          </ClmnBlkPts>
                        </ClmnBlk>
                        <ClmnBlk>
                          <ClmnBlkProps>
                            <FCPT>0</FCPT>
                            <FCN>14</FCN>
                            <LCPT>0</LCPT>
                            <LCN>14</LCN>
                          </ClmnBlkProps>
                          <ClmnBlkPts>
                            <ClmnBlkPt>
                              <ClmnBlkPtProps>
                                <CBPT>5</CBPT>
                                <ST>6</ST>
                                <VOFFF><![CDATA[RETROSPECTIVE]]></VOFFF>
                              </ClmnBlkPtProps>
                            </ClmnBlkPt>
                          </ClmnBlkPts>
                        </ClmnBlk>
                      </ClmnBlks>
                      <TtlCtg/>
                    </Elmt>
                    <Elmt>
                      <ElmtProps>
                        <CPT>2</CPT>
                      </ElmtProps>
                      <ClmnBlks>
                        <ClmnBlk>
                          <ClmnBlkProps>
                            <FCPT>0</FCPT>
                            <FCN>3</FCN>
                            <LCPT>0</LCPT>
                            <LCN>3</LCN>
                          </ClmnBlkProps>
                          <ClmnBlkPts>
                            <ClmnBlkPt>
                              <ClmnBlkPtProps>
                                <CBPT>5</CBPT>
                                <ST>6</ST>
                                <VOFFF><![CDATA[=§A¿0,1,0,1,16,1,1,-1,0,0,FALSE,FALSE§Z¿&" ("&§A¿1,1,1,1,1,0,2,1,1§Z¿&")"]]></VOFFF>
                              </ClmnBlkPtProps>
                            </ClmnBlkPt>
                          </ClmnBlkPts>
                        </ClmnBlk>
                        <ClmnBlk>
                          <ClmnBlkProps>
                            <FCPT>0</FCPT>
                            <FCN>9</FCN>
                            <LCPT>0</LCPT>
                            <LCN>9</LCN>
                          </ClmnBlkProps>
                          <ClmnBlkPts>
                            <ClmnBlkPt>
                              <ClmnBlkPtProps>
                                <CBPT>5</CBPT>
                                <ST>18</ST>
                                <SON>10</SON>
                                <VOFFF><![CDATA[=§A¿1,1,1,1,16,0,2,1,1§Z¿]]></VOFFF>
                              </ClmnBlkPtProps>
                            </ClmnBlkPt>
                          </ClmnBlkPts>
                        </ClmnBlk>
                        <ClmnBlk>
                          <ClmnBlkProps>
                            <FCPT>0</FCPT>
                            <FCN>14</FCN>
                            <LCPT>0</LCPT>
                            <LCN>14</LCN>
                          </ClmnBlkProps>
                          <ClmnBlkPts>
                            <ClmnBlkPt>
                              <ClmnBlkPtProps>
                                <CBPT>5</CBPT>
                                <ST>18</ST>
                                <SON>10</SON>
                                <VOFFF><![CDATA[=§A¿1,1,1,1,16,0,3,1,1§Z¿]]></VOFFF>
                              </ClmnBlkPtProps>
                            </ClmnBlkPt>
                          </ClmnBlkPts>
                        </ClmnBlk>
                      </ClmnBlks>
                      <TtlCtg/>
                    </Elmt>
                    <Elmt>
                      <ElmtProps>
                        <CPT>2</CPT>
                      </ElmtProps>
                      <ClmnBlks>
                        <ClmnBlk>
                          <ClmnBlkProps>
                            <FCPT>0</FCPT>
                            <FCN>3</FCN>
                            <LCPT>0</LCPT>
                            <LCN>3</LCN>
                          </ClmnBlkProps>
                          <ClmnBlkPts>
                            <ClmnBlkPt>
                              <ClmnBlkPtProps>
                                <CBPT>5</CBPT>
                                <ST>6</ST>
                                <VOFFF><![CDATA[Deduct Stock on Hand]]></VOFFF>
                              </ClmnBlkPtProps>
                            </ClmnBlkPt>
                          </ClmnBlkPts>
                        </ClmnBlk>
                        <ClmnBlk>
                          <ClmnBlkProps>
                            <FCPT>0</FCPT>
                            <FCN>9</FCN>
                            <LCPT>0</LCPT>
                            <LCN>9</LCN>
                          </ClmnBlkProps>
                          <ClmnBlkPts>
                            <ClmnBlkPt>
                              <ClmnBlkPtProps>
                                <CBPT>5</CBPT>
                                <ST>11</ST>
                                <SON>28</SON>
                                <VOFFF><![CDATA[0]]></VOFFF>
                                <UDAV><![CDATA[0]]></UDAV>
                              </ClmnBlkPtProps>
                            </ClmnBlkPt>
                          </ClmnBlkPts>
                        </ClmnBlk>
                        <ClmnBlk>
                          <ClmnBlkProps>
                            <FCPT>0</FCPT>
                            <FCN>14</FCN>
                            <LCPT>0</LCPT>
                            <LCN>14</LCN>
                          </ClmnBlkProps>
                          <ClmnBlkPts>
                            <ClmnBlkPt>
                              <ClmnBlkPtProps>
                                <CBPT>5</CBPT>
                                <ST>11</ST>
                                <SON>4</SON>
                                <VOFFF/>
                                <UDAV><![CDATA[0]]></UDAV>
                              </ClmnBlkPtProps>
                            </ClmnBlkPt>
                          </ClmnBlkPts>
                        </ClmnBlk>
                      </ClmnBlks>
                      <TtlCtg/>
                    </Elmt>
                    <Elmt>
                      <ElmtProps>
                        <CPT>2</CPT>
                      </ElmtProps>
                      <ClmnBlks>
                        <ClmnBlk>
                          <ClmnBlkProps>
                            <FCPT>0</FCPT>
                            <FCN>3</FCN>
                            <LCPT>0</LCPT>
                            <LCN>3</LCN>
                          </ClmnBlkProps>
                          <ClmnBlkPts>
                            <ClmnBlkPt>
                              <ClmnBlkPtProps>
                                <CBPT>5</CBPT>
                                <ST>6</ST>
                                <VOFFF><![CDATA[TOTAL PROCUREMENT REQUIRED]]></VOFFF>
                              </ClmnBlkPtProps>
                            </ClmnBlkPt>
                          </ClmnBlkPts>
                        </ClmnBlk>
                        <ClmnBlk>
                          <ClmnBlkProps>
                            <FCPT>0</FCPT>
                            <FCN>9</FCN>
                            <LCPT>0</LCPT>
                            <LCN>9</LCN>
                          </ClmnBlkProps>
                          <ClmnBlkPts>
                            <ClmnBlkPt>
                              <ClmnBlkPtProps>
                                <CBPT>5</CBPT>
                                <ST>18</ST>
                                <SON>11</SON>
                                <VOFFF><![CDATA[=§A¿0,1,0,1,27,2,1,-1,0,0,FALSE,FALSE§Z¿-§A¿0,1,0,1,28,2,1,-1,0,0,FALSE,FALSE§Z¿]]></VOFFF>
                              </ClmnBlkPtProps>
                              <RgeNmes>
                                <RgeNme>
                                  <RgeNmeProps>
                                    <CBPLI>1,1,29,2,1</CBPLI>
                                    <MCN>1</MCN>
                                    <SN>1</SN>
                                    <EN>29</EN>
                                    <CN>0</CN>
                                    <CBN>2</CBN>
                                    <CBPN>1</CBPN>
                                    <PT>1</PT>
                                    <CBPRNT>6</CBPRNT>
                                    <NT>12</NT>
                                    <SP1><![CDATA[NET_PROC_PROSP]]></SP1>
                                    <SP2/>
                                    <FFF/>
                                    <CMT/>
                                  </RgeNmeProps>
                                </RgeNme>
                              </RgeNmes>
                            </ClmnBlkPt>
                          </ClmnBlkPts>
                        </ClmnBlk>
                        <ClmnBlk>
                          <ClmnBlkProps>
                            <FCPT>0</FCPT>
                            <FCN>14</FCN>
                            <LCPT>0</LCPT>
                            <LCN>14</LCN>
                          </ClmnBlkProps>
                          <ClmnBlkPts>
                            <ClmnBlkPt>
                              <ClmnBlkPtProps>
                                <CBPT>5</CBPT>
                                <ST>18</ST>
                                <SON>11</SON>
                                <VOFFF><![CDATA[=§A¿0,1,0,1,27,3,1,-1,0,0,FALSE,FALSE§Z¿-§A¿0,1,0,1,28,3,1,-1,0,0,FALSE,FALSE§Z¿]]></VOFFF>
                              </ClmnBlkPtProps>
                              <RgeNmes>
                                <RgeNme>
                                  <RgeNmeProps>
                                    <CBPLI>1,1,29,3,1</CBPLI>
                                    <MCN>1</MCN>
                                    <SN>1</SN>
                                    <EN>29</EN>
                                    <CN>0</CN>
                                    <CBN>3</CBN>
                                    <CBPN>1</CBPN>
                                    <PT>1</PT>
                                    <CBPRNT>6</CBPRNT>
                                    <NT>12</NT>
                                    <SP1><![CDATA[NET_PROC_REQ_RETRO]]></SP1>
                                    <SP2/>
                                    <FFF/>
                                    <CMT/>
                                  </RgeNmeProps>
                                </RgeNme>
                              </RgeNmes>
                            </ClmnBlkPt>
                          </ClmnBlkPts>
                        </ClmnBlk>
                      </ClmnBlks>
                      <TtlCtg/>
                    </Elmt>
                    <Elmt>
                      <ElmtProps>
                        <CPT>2</CPT>
                      </ElmtProps>
                      <TtlCtg/>
                    </Elmt>
                    <Elmt>
                      <ElmtProps>
                        <CPT>2</CPT>
                      </ElmtProps>
                      <TtlCtg/>
                    </Elmt>
                    <Elmt>
                      <ElmtProps>
                        <CPT>2</CPT>
                      </ElmtProps>
                      <ClmnBlks>
                        <ClmnBlk>
                          <ClmnBlkProps>
                            <FCPT>0</FCPT>
                            <FCN>3</FCN>
                            <LCPT>0</LCPT>
                            <LCN>3</LCN>
                          </ClmnBlkProps>
                          <ClmnBlkPts>
                            <ClmnBlkPt>
                              <ClmnBlkPtProps>
                                <CBPT>5</CBPT>
                                <ST>5</ST>
                                <VOFFF><![CDATA[TOTAL COST TO ARRIVAL PORT IN COUNTRY:]]></VOFFF>
                              </ClmnBlkPtProps>
                            </ClmnBlkPt>
                          </ClmnBlkPts>
                        </ClmnBlk>
                        <ClmnBlk>
                          <ClmnBlkProps>
                            <FCPT>0</FCPT>
                            <FCN>9</FCN>
                            <LCPT>0</LCPT>
                            <LCN>9</LCN>
                          </ClmnBlkProps>
                          <ClmnBlkPts>
                            <ClmnBlkPt>
                              <ClmnBlkPtProps>
                                <CBPT>5</CBPT>
                                <ST>6</ST>
                                <VOFFF><![CDATA[PROSPECTIVE COSTS]]></VOFFF>
                              </ClmnBlkPtProps>
                            </ClmnBlkPt>
                          </ClmnBlkPts>
                        </ClmnBlk>
                        <ClmnBlk>
                          <ClmnBlkProps>
                            <FCPT>0</FCPT>
                            <FCN>14</FCN>
                            <LCPT>0</LCPT>
                            <LCN>14</LCN>
                          </ClmnBlkProps>
                          <ClmnBlkPts>
                            <ClmnBlkPt>
                              <ClmnBlkPtProps>
                                <CBPT>5</CBPT>
                                <ST>6</ST>
                                <VOFFF><![CDATA[RETROSPECTIVE COSTS]]></VOFFF>
                              </ClmnBlkPtProps>
                            </ClmnBlkPt>
                          </ClmnBlkPts>
                        </ClmnBlk>
                      </ClmnBlks>
                      <TtlCtg/>
                    </Elmt>
                    <Elmt>
                      <ElmtProps>
                        <CPT>2</CPT>
                      </ElmtProps>
                      <ClmnBlks>
                        <ClmnBlk>
                          <ClmnBlkProps>
                            <FCPT>0</FCPT>
                            <FCN>9</FCN>
                            <LCPT>0</LCPT>
                            <LCN>9</LCN>
                          </ClmnBlkProps>
                          <ClmnBlkPts>
                            <ClmnBlkPt>
                              <ClmnBlkPtProps>
                                <CBPT>5</CBPT>
                                <ST>6</ST>
                                <VOFFF><![CDATA[Financial]]></VOFFF>
                              </ClmnBlkPtProps>
                            </ClmnBlkPt>
                          </ClmnBlkPts>
                        </ClmnBlk>
                        <ClmnBlk>
                          <ClmnBlkProps>
                            <FCPT>0</FCPT>
                            <FCN>10</FCN>
                            <LCPT>0</LCPT>
                            <LCN>10</LCN>
                          </ClmnBlkProps>
                          <ClmnBlkPts>
                            <ClmnBlkPt>
                              <ClmnBlkPtProps>
                                <CBPT>5</CBPT>
                                <ST>6</ST>
                                <VOFFF><![CDATA[Economic]]></VOFFF>
                              </ClmnBlkPtProps>
                            </ClmnBlkPt>
                          </ClmnBlkPts>
                        </ClmnBlk>
                        <ClmnBlk>
                          <ClmnBlkProps>
                            <FCPT>0</FCPT>
                            <FCN>14</FCN>
                            <LCPT>0</LCPT>
                            <LCN>14</LCN>
                          </ClmnBlkProps>
                          <ClmnBlkPts>
                            <ClmnBlkPt>
                              <ClmnBlkPtProps>
                                <CBPT>5</CBPT>
                                <ST>6</ST>
                                <VOFFF><![CDATA[Financial]]></VOFFF>
                              </ClmnBlkPtProps>
                            </ClmnBlkPt>
                          </ClmnBlkPts>
                        </ClmnBlk>
                        <ClmnBlk>
                          <ClmnBlkProps>
                            <FCPT>0</FCPT>
                            <FCN>15</FCN>
                            <LCPT>0</LCPT>
                            <LCN>15</LCN>
                          </ClmnBlkProps>
                          <ClmnBlkPts>
                            <ClmnBlkPt>
                              <ClmnBlkPtProps>
                                <CBPT>5</CBPT>
                                <ST>6</ST>
                                <VOFFF><![CDATA[Economic]]></VOFFF>
                              </ClmnBlkPtProps>
                            </ClmnBlkPt>
                          </ClmnBlkPts>
                        </ClmnBlk>
                      </ClmnBlks>
                      <TtlCtg/>
                    </Elmt>
                    <Elmt>
                      <ElmtProps>
                        <CPT>2</CPT>
                      </ElmtProps>
                      <ClmnBlks>
                        <ClmnBlk>
                          <ClmnBlkProps>
                            <FCPT>0</FCPT>
                            <FCN>9</FCN>
                            <LCPT>0</LCPT>
                            <LCN>9</LCN>
                          </ClmnBlkProps>
                          <ClmnBlkPts>
                            <ClmnBlkPt>
                              <ClmnBlkPtProps>
                                <CBPT>5</CBPT>
                                <ST>6</ST>
                                <SON>2</SON>
                                <VOFFF><![CDATA[=§A¿1,1,1,1,20,0,2,1,1§Z¿]]></VOFFF>
                              </ClmnBlkPtProps>
                            </ClmnBlkPt>
                          </ClmnBlkPts>
                        </ClmnBlk>
                        <ClmnBlk>
                          <ClmnBlkProps>
                            <FCPT>0</FCPT>
                            <FCN>10</FCN>
                            <LCPT>0</LCPT>
                            <LCN>10</LCN>
                          </ClmnBlkProps>
                          <ClmnBlkPts>
                            <ClmnBlkPt>
                              <ClmnBlkPtProps>
                                <CBPT>5</CBPT>
                                <ST>6</ST>
                                <SON>2</SON>
                                <VOFFF><![CDATA[=§A¿1,1,1,1,20,0,2,1,1§Z¿]]></VOFFF>
                              </ClmnBlkPtProps>
                            </ClmnBlkPt>
                          </ClmnBlkPts>
                        </ClmnBlk>
                        <ClmnBlk>
                          <ClmnBlkProps>
                            <FCPT>0</FCPT>
                            <FCN>14</FCN>
                            <LCPT>0</LCPT>
                            <LCN>14</LCN>
                          </ClmnBlkProps>
                          <ClmnBlkPts>
                            <ClmnBlkPt>
                              <ClmnBlkPtProps>
                                <CBPT>5</CBPT>
                                <ST>6</ST>
                                <SON>2</SON>
                                <VOFFF><![CDATA[=§A¿1,1,1,1,20,0,2,1,1§Z¿]]></VOFFF>
                              </ClmnBlkPtProps>
                            </ClmnBlkPt>
                          </ClmnBlkPts>
                        </ClmnBlk>
                        <ClmnBlk>
                          <ClmnBlkProps>
                            <FCPT>0</FCPT>
                            <FCN>15</FCN>
                            <LCPT>0</LCPT>
                            <LCN>15</LCN>
                          </ClmnBlkProps>
                          <ClmnBlkPts>
                            <ClmnBlkPt>
                              <ClmnBlkPtProps>
                                <CBPT>5</CBPT>
                                <ST>6</ST>
                                <SON>2</SON>
                                <VOFFF><![CDATA[=§A¿1,1,1,1,20,0,2,1,1§Z¿]]></VOFFF>
                              </ClmnBlkPtProps>
                            </ClmnBlkPt>
                          </ClmnBlkPts>
                        </ClmnBlk>
                      </ClmnBlks>
                      <TtlCtg/>
                    </Elmt>
                    <Elmt>
                      <ElmtProps>
                        <CPT>2</CPT>
                      </ElmtProps>
                      <ClmnBlks>
                        <ClmnBlk>
                          <ClmnBlkProps>
                            <FCPT>0</FCPT>
                            <FCN>3</FCN>
                            <LCPT>0</LCPT>
                            <LCN>3</LCN>
                          </ClmnBlkProps>
                          <ClmnBlkPts>
                            <ClmnBlkPt>
                              <ClmnBlkPtProps>
                                <CBPT>5</CBPT>
                                <ST>5</ST>
                                <VOFFF><![CDATA[Vaccine Cost (pre-clearance)]]></VOFFF>
                              </ClmnBlkPtProps>
                            </ClmnBlkPt>
                          </ClmnBlkPts>
                        </ClmnBlk>
                        <ClmnBlk>
                          <ClmnBlkProps>
                            <FCPT>0</FCPT>
                            <FCN>9</FCN>
                            <LCPT>0</LCPT>
                            <LCN>9</LCN>
                          </ClmnBlkProps>
                          <ClmnBlkPts>
                            <ClmnBlkPt>
                              <ClmnBlkPtProps>
                                <CBPT>5</CBPT>
                                <ST>18</ST>
                                <SON>10</SON>
                                <VOFFF><![CDATA[=§A¿1,1,1,1,29,0,2,1,1§Z¿*§A¿1,1,1,1,25,0,3,1,1§Z¿]]></VOFFF>
                              </ClmnBlkPtProps>
                            </ClmnBlkPt>
                          </ClmnBlkPts>
                        </ClmnBlk>
                        <ClmnBlk>
                          <ClmnBlkProps>
                            <FCPT>0</FCPT>
                            <FCN>10</FCN>
                            <LCPT>0</LCPT>
                            <LCN>10</LCN>
                          </ClmnBlkProps>
                          <ClmnBlkPts>
                            <ClmnBlkPt>
                              <ClmnBlkPtProps>
                                <CBPT>5</CBPT>
                                <ST>18</ST>
                                <SON>10</SON>
                                <VOFFF><![CDATA[=§A¿1,1,1,1,29,0,2,1,1§Z¿*§A¿1,1,1,1,25,0,4,1,1§Z¿]]></VOFFF>
                              </ClmnBlkPtProps>
                            </ClmnBlkPt>
                          </ClmnBlkPts>
                        </ClmnBlk>
                        <ClmnBlk>
                          <ClmnBlkProps>
                            <FCPT>0</FCPT>
                            <FCN>14</FCN>
                            <LCPT>0</LCPT>
                            <LCN>14</LCN>
                          </ClmnBlkProps>
                          <ClmnBlkPts>
                            <ClmnBlkPt>
                              <ClmnBlkPtProps>
                                <CBPT>5</CBPT>
                                <ST>18</ST>
                                <SON>10</SON>
                                <VOFFF><![CDATA[=§A¿1,1,1,1,29,0,3,1,1§Z¿*§A¿1,1,1,1,25,0,3,1,1§Z¿]]></VOFFF>
                              </ClmnBlkPtProps>
                            </ClmnBlkPt>
                          </ClmnBlkPts>
                        </ClmnBlk>
                        <ClmnBlk>
                          <ClmnBlkProps>
                            <FCPT>0</FCPT>
                            <FCN>15</FCN>
                            <LCPT>0</LCPT>
                            <LCN>15</LCN>
                          </ClmnBlkProps>
                          <ClmnBlkPts>
                            <ClmnBlkPt>
                              <ClmnBlkPtProps>
                                <CBPT>5</CBPT>
                                <ST>18</ST>
                                <SON>10</SON>
                                <VOFFF><![CDATA[=§A¿1,1,1,1,29,0,3,1,1§Z¿*§A¿1,1,1,1,25,0,4,1,1§Z¿]]></VOFFF>
                              </ClmnBlkPtProps>
                            </ClmnBlkPt>
                          </ClmnBlkPts>
                        </ClmnBlk>
                      </ClmnBlks>
                      <TtlCtg/>
                    </Elmt>
                    <Elmt>
                      <ElmtProps>
                        <CPT>2</CPT>
                      </ElmtProps>
                      <TtlCtg/>
                    </Elmt>
                    <Elmt>
                      <ElmtProps>
                        <CPT>2</CPT>
                      </ElmtProps>
                      <ClmnBlks>
                        <ClmnBlk>
                          <ClmnBlkProps>
                            <FCPT>0</FCPT>
                            <FCN>2</FCN>
                            <LCPT>0</LCPT>
                            <LCN>2</LCN>
                          </ClmnBlkProps>
                          <ClmnBlkPts>
                            <ClmnBlkPt>
                              <ClmnBlkPtProps>
                                <CBPT>5</CBPT>
                                <ST>3</ST>
                                <VOFFF><![CDATA[Vaccine Add-on Charges - Assumptions]]></VOFFF>
                              </ClmnBlkPtProps>
                            </ClmnBlkPt>
                          </ClmnBlkPts>
                        </ClmnBlk>
                      </ClmnBlks>
                      <TtlCtg/>
                    </Elmt>
                    <Elmt>
                      <ElmtProps>
                        <CPT>2</CPT>
                      </ElmtProps>
                      <ClmnBlks>
                        <ClmnBlk>
                          <ClmnBlkProps>
                            <FCPT>0</FCPT>
                            <FCN>9</FCN>
                            <LCPT>0</LCPT>
                            <LCN>9</LCN>
                          </ClmnBlkProps>
                          <ClmnBlkPts>
                            <ClmnBlkPt>
                              <ClmnBlkPtProps>
                                <CBPT>5</CBPT>
                                <ST>6</ST>
                                <VOFFF><![CDATA[PROSPECTIVE RATES (%)]]></VOFFF>
                              </ClmnBlkPtProps>
                            </ClmnBlkPt>
                          </ClmnBlkPts>
                        </ClmnBlk>
                        <ClmnBlk>
                          <ClmnBlkProps>
                            <FCPT>0</FCPT>
                            <FCN>11</FCN>
                            <LCPT>0</LCPT>
                            <LCN>12</LCN>
                          </ClmnBlkProps>
                          <ClmnBlkPts>
                            <ClmnBlkPt>
                              <ClmnBlkPtProps>
                                <CBPT>5</CBPT>
                                <ST>6</ST>
                                <SON>2</SON>
                                <MC>True</MC>
                                <VOFFF><![CDATA[="PROSPECTIVE COST ("&§A¿1,1,1,1,20,0,2,1,1§Z¿&")"]]></VOFFF>
                              </ClmnBlkPtProps>
                            </ClmnBlkPt>
                          </ClmnBlkPts>
                        </ClmnBlk>
                        <ClmnBlk>
                          <ClmnBlkProps>
                            <FCPT>0</FCPT>
                            <FCN>14</FCN>
                            <LCPT>0</LCPT>
                            <LCN>14</LCN>
                          </ClmnBlkProps>
                          <ClmnBlkPts>
                            <ClmnBlkPt>
                              <ClmnBlkPtProps>
                                <CBPT>5</CBPT>
                                <ST>6</ST>
                                <VOFFF><![CDATA[="RETROSPECTIVE COSTS (ACTUAL IN "&§A¿1,1,1,1,20,0,2,1,1§Z¿&")"]]></VOFFF>
                              </ClmnBlkPtProps>
                            </ClmnBlkPt>
                          </ClmnBlkPts>
                        </ClmnBlk>
                      </ClmnBlks>
                      <TtlCtg/>
                    </Elmt>
                    <Elmt>
                      <ElmtProps>
                        <CPT>2</CPT>
                      </ElmtProps>
                      <ClmnBlks>
                        <ClmnBlk>
                          <ClmnBlkProps>
                            <FCPT>0</FCPT>
                            <FCN>3</FCN>
                            <LCPT>0</LCPT>
                            <LCN>3</LCN>
                          </ClmnBlkProps>
                          <ClmnBlkPts>
                            <ClmnBlkPt>
                              <ClmnBlkPtProps>
                                <CBPT>5</CBPT>
                                <ST>4</ST>
                                <VOFFF><![CDATA[CHARGE NAME]]></VOFFF>
                              </ClmnBlkPtProps>
                            </ClmnBlkPt>
                          </ClmnBlkPts>
                        </ClmnBlk>
                        <ClmnBlk>
                          <ClmnBlkProps>
                            <FCPT>0</FCPT>
                            <FCN>9</FCN>
                            <LCPT>0</LCPT>
                            <LCN>9</LCN>
                          </ClmnBlkProps>
                          <ClmnBlkPts>
                            <ClmnBlkPt>
                              <ClmnBlkPtProps>
                                <CBPT>5</CBPT>
                                <ST>6</ST>
                                <SON>2</SON>
                                <VOFFF><![CDATA[Financial]]></VOFFF>
                              </ClmnBlkPtProps>
                            </ClmnBlkPt>
                          </ClmnBlkPts>
                        </ClmnBlk>
                        <ClmnBlk>
                          <ClmnBlkProps>
                            <FCPT>0</FCPT>
                            <FCN>10</FCN>
                            <LCPT>0</LCPT>
                            <LCN>10</LCN>
                          </ClmnBlkProps>
                          <ClmnBlkPts>
                            <ClmnBlkPt>
                              <ClmnBlkPtProps>
                                <CBPT>5</CBPT>
                                <ST>6</ST>
                                <SON>2</SON>
                                <VOFFF><![CDATA[Economic]]></VOFFF>
                              </ClmnBlkPtProps>
                            </ClmnBlkPt>
                          </ClmnBlkPts>
                        </ClmnBlk>
                        <ClmnBlk>
                          <ClmnBlkProps>
                            <FCPT>0</FCPT>
                            <FCN>11</FCN>
                            <LCPT>0</LCPT>
                            <LCN>11</LCN>
                          </ClmnBlkProps>
                          <ClmnBlkPts>
                            <ClmnBlkPt>
                              <ClmnBlkPtProps>
                                <CBPT>5</CBPT>
                                <ST>6</ST>
                                <SON>2</SON>
                                <VOFFF><![CDATA[Financial]]></VOFFF>
                              </ClmnBlkPtProps>
                            </ClmnBlkPt>
                          </ClmnBlkPts>
                        </ClmnBlk>
                        <ClmnBlk>
                          <ClmnBlkProps>
                            <FCPT>0</FCPT>
                            <FCN>12</FCN>
                            <LCPT>0</LCPT>
                            <LCN>12</LCN>
                          </ClmnBlkProps>
                          <ClmnBlkPts>
                            <ClmnBlkPt>
                              <ClmnBlkPtProps>
                                <CBPT>5</CBPT>
                                <ST>6</ST>
                                <SON>2</SON>
                                <VOFFF><![CDATA[Economic]]></VOFFF>
                              </ClmnBlkPtProps>
                            </ClmnBlkPt>
                          </ClmnBlkPts>
                        </ClmnBlk>
                        <ClmnBlk>
                          <ClmnBlkProps>
                            <FCPT>0</FCPT>
                            <FCN>14</FCN>
                            <LCPT>0</LCPT>
                            <LCN>14</LCN>
                          </ClmnBlkProps>
                          <ClmnBlkPts>
                            <ClmnBlkPt>
                              <ClmnBlkPtProps>
                                <CBPT>5</CBPT>
                                <ST>6</ST>
                                <SON>2</SON>
                                <VOFFF><![CDATA[Financial]]></VOFFF>
                              </ClmnBlkPtProps>
                            </ClmnBlkPt>
                          </ClmnBlkPts>
                        </ClmnBlk>
                        <ClmnBlk>
                          <ClmnBlkProps>
                            <FCPT>0</FCPT>
                            <FCN>15</FCN>
                            <LCPT>0</LCPT>
                            <LCN>15</LCN>
                          </ClmnBlkProps>
                          <ClmnBlkPts>
                            <ClmnBlkPt>
                              <ClmnBlkPtProps>
                                <CBPT>5</CBPT>
                                <ST>6</ST>
                                <SON>2</SON>
                                <VOFFF><![CDATA[Economic]]></VOFFF>
                              </ClmnBlkPtProps>
                            </ClmnBlkPt>
                          </ClmnBlkPts>
                        </ClmnBlk>
                        <ClmnBlk>
                          <ClmnBlkProps>
                            <FCPT>0</FCPT>
                            <FCN>17</FCN>
                            <LCPT>0</LCPT>
                            <LCN>17</LCN>
                          </ClmnBlkProps>
                          <ClmnBlkPts>
                            <ClmnBlkPt>
                              <ClmnBlkPtProps>
                                <CBPT>5</CBPT>
                                <ST>6</ST>
                                <VOFFF><![CDATA[Notes and Source of information]]></VOFFF>
                              </ClmnBlkPtProps>
                            </ClmnBlkPt>
                          </ClmnBlkPts>
                        </ClmnBlk>
                      </ClmnBlks>
                      <TtlCtg/>
                    </Elmt>
                    <Elmt>
                      <ElmtProps>
                        <CPT>0</CPT>
                        <TOT>False</TOT>
                        <EGN>3</EGN>
                      </ElmtProps>
                      <ClmnBlks>
                        <ClmnBlk>
                          <ClmnBlkProps>
                            <FCPT>0</FCPT>
                            <FCN>3</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40,1,3,0,0,0,FALSE,FALSE§Z¿]]></VOFFF>
                                <UDAV><![CDATA[<CategoriesGroupName> Sub-Total <SubTotalNumber>]]></UDAV>
                              </ClmnBlkPtProps>
                            </ClmnBlkPt>
                            <ClmnBlkPt>
                              <ClmnBlkPtProps>
                                <CBPT>2</CBPT>
                                <ST>7</ST>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Suggested Add-on charge estimate (calculated)]]></VOFFF>
                                <UDAV><![CDATA[Total <CategoriesGroupName>]]></UDAV>
                              </ClmnBlkPtProps>
                            </ClmnBlkPt>
                          </ClmnBlkPts>
                        </ClmnBlk>
                        <ClmnBlk>
                          <ClmnBlkProps>
                            <FCPT>0</FCPT>
                            <FCN>9</FCN>
                            <LCPT>0</LCPT>
                            <LCN>9</LCN>
                          </ClmnBlkProps>
                          <ClmnBlkPts>
                            <ClmnBlkPt>
                              <ClmnBlkPtProps>
                                <CBPT>0</CBPT>
                                <ST>12</ST>
                                <SON>27</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1</SON>
                                <VOFFF><![CDATA[=§A¿3§Z¿]]></VOFFF>
                              </ClmnBlkPtProps>
                            </ClmnBlkPt>
                          </ClmnBlkPts>
                        </ClmnBlk>
                        <ClmnBlk>
                          <ClmnBlkProps>
                            <FCPT>0</FCPT>
                            <FCN>10</FCN>
                            <LCPT>0</LCPT>
                            <LCN>10</LCN>
                          </ClmnBlkProps>
                          <ClmnBlkPts>
                            <ClmnBlkPt>
                              <ClmnBlkPtProps>
                                <CBPT>0</CBPT>
                                <ST>12</ST>
                                <SON>27</SON>
                                <VOFFF><![CDATA[0]]></VOFFF>
                                <UDAV><![CDATA[0]]></UDAV>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SON>1</SON>
                                <VOFFF><![CDATA[=§A¿3§Z¿]]></VOFFF>
                              </ClmnBlkPtProps>
                            </ClmnBlkPt>
                          </ClmnBlkPts>
                        </ClmnBlk>
                        <ClmnBlk>
                          <ClmnBlkProps>
                            <FCPT>0</FCPT>
                            <FCN>11</FCN>
                            <LCPT>0</LCPT>
                            <LCN>11</LCN>
                          </ClmnBlkProps>
                          <ClmnBlkPts>
                            <ClmnBlkPt>
                              <ClmnBlkPtProps>
                                <CBPT>0</CBPT>
                                <ST>18</ST>
                                <SON>4</SON>
                                <VOFFF><![CDATA[=§A¿1,1,1,1,29,0,2,1,1§Z¿*§A¿1,1,1,1,25,0,4,1,1§Z¿*§A¿0,1,0,1,40,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12</FCN>
                            <LCPT>0</LCPT>
                            <LCN>12</LCN>
                          </ClmnBlkProps>
                          <ClmnBlkPts>
                            <ClmnBlkPt>
                              <ClmnBlkPtProps>
                                <CBPT>0</CBPT>
                                <ST>18</ST>
                                <SON>4</SON>
                                <VOFFF><![CDATA[=§A¿1,1,1,1,29,0,2,1,1§Z¿*§A¿1,1,1,1,25,0,4,1,1§Z¿*§A¿0,1,0,1,40,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14</FCN>
                            <LCPT>0</LCPT>
                            <LCN>15</LCN>
                          </ClmnBlkProps>
                          <ClmnBlkPts>
                            <ClmnBlkPt>
                              <ClmnBlkPtProps>
                                <CBPT>0</CBPT>
                                <ST>11</ST>
                                <SON>4</SON>
                                <VOFFF><![CDATA[0]]></VOFFF>
                                <UDAV><![CDATA[0]]></UDAV>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
                          <ClmnBlkProps>
                            <FCPT>0</FCPT>
                            <FCN>17</FCN>
                            <LCPT>0</LCPT>
                            <LCN>19</LCN>
                          </ClmnBlkProps>
                          <ClmnBlkPts>
                            <ClmnBlkPt>
                              <ClmnBlkPtProps>
                                <CBPT>0</CBPT>
                                <ST>8</ST>
                                <MC>True</MC>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25</CC>
                              <R>0</R>
                            </CatSpanProps>
                          </CatSpan>
                        </SubTtl>
                      </SubTtls>
                      <TtlCtg/>
                    </Elmt>
                    <Elmt>
                      <ElmtProps>
                        <CPT>2</CPT>
                      </ElmtProps>
                      <ClmnBlks>
                        <ClmnBlk>
                          <ClmnBlkProps>
                            <FCPT>0</FCPT>
                            <FCN>11</FCN>
                            <LCPT>0</LCPT>
                            <LCN>11</LCN>
                          </ClmnBlkProps>
                          <ClmnBlkPts>
                            <ClmnBlkPt>
                              <ClmnBlkPtProps>
                                <CBPT>5</CBPT>
                                <ST>6</ST>
                                <SON>2</SON>
                                <VOFFF><![CDATA[=§A¿1,1,1,1,20,0,2,1,1§Z¿]]></VOFFF>
                              </ClmnBlkPtProps>
                            </ClmnBlkPt>
                          </ClmnBlkPts>
                        </ClmnBlk>
                        <ClmnBlk>
                          <ClmnBlkProps>
                            <FCPT>0</FCPT>
                            <FCN>12</FCN>
                            <LCPT>0</LCPT>
                            <LCN>12</LCN>
                          </ClmnBlkProps>
                          <ClmnBlkPts>
                            <ClmnBlkPt>
                              <ClmnBlkPtProps>
                                <CBPT>5</CBPT>
                                <ST>6</ST>
                                <SON>2</SON>
                                <VOFFF><![CDATA[=§A¿1,1,1,1,20,0,2,1,1§Z¿]]></VOFFF>
                              </ClmnBlkPtProps>
                            </ClmnBlkPt>
                          </ClmnBlkPts>
                        </ClmnBlk>
                        <ClmnBlk>
                          <ClmnBlkProps>
                            <FCPT>0</FCPT>
                            <FCN>14</FCN>
                            <LCPT>0</LCPT>
                            <LCN>14</LCN>
                          </ClmnBlkProps>
                          <ClmnBlkPts>
                            <ClmnBlkPt>
                              <ClmnBlkPtProps>
                                <CBPT>5</CBPT>
                                <ST>6</ST>
                                <SON>2</SON>
                                <VOFFF><![CDATA[=§A¿1,1,1,1,20,0,2,1,1§Z¿]]></VOFFF>
                              </ClmnBlkPtProps>
                            </ClmnBlkPt>
                          </ClmnBlkPts>
                        </ClmnBlk>
                        <ClmnBlk>
                          <ClmnBlkProps>
                            <FCPT>0</FCPT>
                            <FCN>15</FCN>
                            <LCPT>0</LCPT>
                            <LCN>15</LCN>
                          </ClmnBlkProps>
                          <ClmnBlkPts>
                            <ClmnBlkPt>
                              <ClmnBlkPtProps>
                                <CBPT>5</CBPT>
                                <ST>6</ST>
                                <SON>2</SON>
                                <VOFFF><![CDATA[=§A¿1,1,1,1,20,0,2,1,1§Z¿]]></VOFFF>
                              </ClmnBlkPtProps>
                            </ClmnBlkPt>
                          </ClmnBlkPts>
                        </ClmnBlk>
                      </ClmnBlks>
                      <TtlCtg/>
                    </Elmt>
                    <Elmt>
                      <ElmtProps>
                        <CPT>2</CPT>
                      </ElmtProps>
                      <ClmnBlks>
                        <ClmnBlk>
                          <ClmnBlkProps>
                            <FCPT>0</FCPT>
                            <FCN>3</FCN>
                            <LCPT>0</LCPT>
                            <LCN>3</LCN>
                          </ClmnBlkProps>
                          <ClmnBlkPts>
                            <ClmnBlkPt>
                              <ClmnBlkPtProps>
                                <CBPT>5</CBPT>
                                <ST>6</ST>
                                <VOFFF><![CDATA[Suggested Per Dose Add-on Charge]]></VOFFF>
                              </ClmnBlkPtProps>
                            </ClmnBlkPt>
                          </ClmnBlkPts>
                        </ClmnBlk>
                        <ClmnBlk>
                          <ClmnBlkProps>
                            <FCPT>0</FCPT>
                            <FCN>11</FCN>
                            <LCPT>0</LCPT>
                            <LCN>11</LCN>
                          </ClmnBlkProps>
                          <ClmnBlkPts>
                            <ClmnBlkPt>
                              <ClmnBlkPtProps>
                                <CBPT>5</CBPT>
                                <ST>18</ST>
                                <SON>22</SON>
                                <VOFFF><![CDATA[=§A¿0,1,0,1,25,2,1,-1,0,0,FALSE,FALSE§Z¿*§A¿0,1,0,1,40,2,6,-1,0,0,FALSE,FALSE§Z¿]]></VOFFF>
                              </ClmnBlkPtProps>
                            </ClmnBlkPt>
                          </ClmnBlkPts>
                        </ClmnBlk>
                        <ClmnBlk>
                          <ClmnBlkProps>
                            <FCPT>0</FCPT>
                            <FCN>12</FCN>
                            <LCPT>0</LCPT>
                            <LCN>12</LCN>
                          </ClmnBlkProps>
                          <ClmnBlkPts>
                            <ClmnBlkPt>
                              <ClmnBlkPtProps>
                                <CBPT>5</CBPT>
                                <ST>18</ST>
                                <SON>22</SON>
                                <VOFFF><![CDATA[=§A¿0,1,0,1,25,2,1,-1,0,0,FALSE,FALSE§Z¿*§A¿0,1,0,1,40,3,6,-1,0,0,FALSE,FALSE§Z¿]]></VOFFF>
                              </ClmnBlkPtProps>
                            </ClmnBlkPt>
                          </ClmnBlkPts>
                        </ClmnBlk>
                        <ClmnBlk>
                          <ClmnBlkProps>
                            <FCPT>0</FCPT>
                            <FCN>14</FCN>
                            <LCPT>0</LCPT>
                            <LCN>14</LCN>
                          </ClmnBlkProps>
                          <ClmnBlkPts>
                            <ClmnBlkPt>
                              <ClmnBlkPtProps>
                                <CBPT>5</CBPT>
                                <ST>18</ST>
                                <SON>22</SON>
                                <VOFFF><![CDATA[=IFERROR(§A¿0,1,0,1,40,6,6,-1,0,0,FALSE,FALSE§Z¿/§A¿1,1,1,1,16,0,3,1,1§Z¿, 0)]]></VOFFF>
                              </ClmnBlkPtProps>
                            </ClmnBlkPt>
                          </ClmnBlkPts>
                        </ClmnBlk>
                        <ClmnBlk>
                          <ClmnBlkProps>
                            <FCPT>0</FCPT>
                            <FCN>15</FCN>
                            <LCPT>0</LCPT>
                            <LCN>15</LCN>
                          </ClmnBlkProps>
                          <ClmnBlkPts>
                            <ClmnBlkPt>
                              <ClmnBlkPtProps>
                                <CBPT>5</CBPT>
                                <ST>18</ST>
                                <SON>22</SON>
                                <VOFFF><![CDATA[=IFERROR(§A¿0,1,0,1,40,6,6,-1,1,0,FALSE,FALSE§Z¿/§A¿1,1,1,1,16,0,3,1,1§Z¿, 0)]]></VOFFF>
                              </ClmnBlkPtProps>
                            </ClmnBlkPt>
                          </ClmnBlkPts>
                        </ClmnBlk>
                      </ClmnBlks>
                      <TtlCtg/>
                    </Elmt>
                    <Elmt>
                      <ElmtProps>
                        <CPT>2</CPT>
                      </ElmtProps>
                      <ClmnBlks>
                        <ClmnBlk>
                          <ClmnBlkProps>
                            <FCPT>0</FCPT>
                            <FCN>3</FCN>
                            <LCPT>0</LCPT>
                            <LCN>3</LCN>
                          </ClmnBlkProps>
                          <ClmnBlkPts>
                            <ClmnBlkPt>
                              <ClmnBlkPtProps>
                                <CBPT>5</CBPT>
                                <ST>6</ST>
                                <VOFFF><![CDATA[Applied Add-on Charges (User-entered)]]></VOFFF>
                              </ClmnBlkPtProps>
                            </ClmnBlkPt>
                          </ClmnBlkPts>
                        </ClmnBlk>
                        <ClmnBlk>
                          <ClmnBlkProps>
                            <FCPT>0</FCPT>
                            <FCN>11</FCN>
                            <LCPT>0</LCPT>
                            <LCN>11</LCN>
                          </ClmnBlkProps>
                          <ClmnBlkPts>
                            <ClmnBlkPt>
                              <ClmnBlkPtProps>
                                <CBPT>5</CBPT>
                                <ST>11</ST>
                                <SON>30</SON>
                                <VOFFF><![CDATA[0]]></VOFFF>
                                <UDAV><![CDATA[0]]></UDAV>
                              </ClmnBlkPtProps>
                            </ClmnBlkPt>
                          </ClmnBlkPts>
                        </ClmnBlk>
                        <ClmnBlk>
                          <ClmnBlkProps>
                            <FCPT>0</FCPT>
                            <FCN>12</FCN>
                            <LCPT>0</LCPT>
                            <LCN>12</LCN>
                          </ClmnBlkProps>
                          <ClmnBlkPts>
                            <ClmnBlkPt>
                              <ClmnBlkPtProps>
                                <CBPT>5</CBPT>
                                <ST>11</ST>
                                <SON>30</SON>
                                <VOFFF/>
                                <UDAV><![CDATA[0]]></UDAV>
                              </ClmnBlkPtProps>
                            </ClmnBlkPt>
                          </ClmnBlkPts>
                        </ClmnBlk>
                        <ClmnBlk>
                          <ClmnBlkProps>
                            <FCPT>0</FCPT>
                            <FCN>14</FCN>
                            <LCPT>0</LCPT>
                            <LCN>14</LCN>
                          </ClmnBlkProps>
                          <ClmnBlkPts>
                            <ClmnBlkPt>
                              <ClmnBlkPtProps>
                                <CBPT>5</CBPT>
                                <ST>11</ST>
                                <SON>23</SON>
                                <VOFFF/>
                                <UDAV><![CDATA[0]]></UDAV>
                              </ClmnBlkPtProps>
                            </ClmnBlkPt>
                          </ClmnBlkPts>
                        </ClmnBlk>
                        <ClmnBlk>
                          <ClmnBlkProps>
                            <FCPT>0</FCPT>
                            <FCN>15</FCN>
                            <LCPT>0</LCPT>
                            <LCN>15</LCN>
                          </ClmnBlkProps>
                          <ClmnBlkPts>
                            <ClmnBlkPt>
                              <ClmnBlkPtProps>
                                <CBPT>5</CBPT>
                                <ST>11</ST>
                                <SON>24</SON>
                                <VOFFF/>
                                <UDAV><![CDATA[0]]></UDAV>
                              </ClmnBlkPtProps>
                            </ClmnBlkPt>
                          </ClmnBlkPts>
                        </ClmnBlk>
                      </ClmnBlks>
                      <TtlCtg/>
                    </Elmt>
                    <Elmt>
                      <ElmtProps>
                        <CPT>2</CPT>
                      </ElmtProps>
                      <ClmnBlks>
                        <ClmnBlk>
                          <ClmnBlkProps>
                            <FCPT>0</FCPT>
                            <FCN>3</FCN>
                            <LCPT>0</LCPT>
                            <LCN>3</LCN>
                          </ClmnBlkProps>
                          <ClmnBlkPts>
                            <ClmnBlkPt>
                              <ClmnBlkPtProps>
                                <CBPT>5</CBPT>
                                <ST>6</ST>
                                <VOFFF><![CDATA[Applied Add-on Charge]]></VOFFF>
                              </ClmnBlkPtProps>
                            </ClmnBlkPt>
                          </ClmnBlkPts>
                        </ClmnBlk>
                        <ClmnBlk>
                          <ClmnBlkProps>
                            <FCPT>0</FCPT>
                            <FCN>11</FCN>
                            <LCPT>0</LCPT>
                            <LCN>11</LCN>
                          </ClmnBlkProps>
                          <ClmnBlkPts>
                            <ClmnBlkPt>
                              <ClmnBlkPtProps>
                                <CBPT>5</CBPT>
                                <ST>18</ST>
                                <SON>8</SON>
                                <VOFFF><![CDATA[=§A¿0,1,0,1,43,2,1,-1,0,0,FALSE,FALSE§Z¿*§A¿1,1,1,1,29,0,3,1,1§Z¿]]></VOFFF>
                              </ClmnBlkPtProps>
                            </ClmnBlkPt>
                          </ClmnBlkPts>
                        </ClmnBlk>
                        <ClmnBlk>
                          <ClmnBlkProps>
                            <FCPT>0</FCPT>
                            <FCN>12</FCN>
                            <LCPT>0</LCPT>
                            <LCN>12</LCN>
                          </ClmnBlkProps>
                          <ClmnBlkPts>
                            <ClmnBlkPt>
                              <ClmnBlkPtProps>
                                <CBPT>5</CBPT>
                                <ST>18</ST>
                                <SON>8</SON>
                                <VOFFF><![CDATA[=§A¿0,1,0,1,43,3,1,-1,0,0,FALSE,FALSE§Z¿*§A¿1,1,1,1,29,0,3,1,1§Z¿]]></VOFFF>
                              </ClmnBlkPtProps>
                            </ClmnBlkPt>
                          </ClmnBlkPts>
                        </ClmnBlk>
                        <ClmnBlk>
                          <ClmnBlkProps>
                            <FCPT>0</FCPT>
                            <FCN>14</FCN>
                            <LCPT>0</LCPT>
                            <LCN>14</LCN>
                          </ClmnBlkProps>
                          <ClmnBlkPts>
                            <ClmnBlkPt>
                              <ClmnBlkPtProps>
                                <CBPT>5</CBPT>
                                <ST>18</ST>
                                <SON>8</SON>
                                <VOFFF><![CDATA[=§A¿0,1,0,1,43,4,1,-1,0,0,FALSE,FALSE§Z¿*§A¿1,1,1,1,29,0,3,1,1§Z¿]]></VOFFF>
                              </ClmnBlkPtProps>
                            </ClmnBlkPt>
                          </ClmnBlkPts>
                        </ClmnBlk>
                        <ClmnBlk>
                          <ClmnBlkProps>
                            <FCPT>0</FCPT>
                            <FCN>15</FCN>
                            <LCPT>0</LCPT>
                            <LCN>15</LCN>
                          </ClmnBlkProps>
                          <ClmnBlkPts>
                            <ClmnBlkPt>
                              <ClmnBlkPtProps>
                                <CBPT>5</CBPT>
                                <ST>18</ST>
                                <SON>8</SON>
                                <VOFFF><![CDATA[=§A¿0,1,0,1,43,5,1,-1,0,0,FALSE,FALSE§Z¿*§A¿1,1,1,1,29,0,3,1,1§Z¿]]></VOFFF>
                              </ClmnBlkPtProps>
                            </ClmnBlkPt>
                          </ClmnBlkPts>
                        </ClmnBlk>
                      </ClmnBlks>
                      <TtlCtg/>
                    </Elmt>
                    <Elmt>
                      <ElmtProps>
                        <CPT>2</CPT>
                      </ElmtProps>
                      <ClmnBlks>
                        <ClmnBlk>
                          <ClmnBlkProps>
                            <FCPT>0</FCPT>
                            <FCN>2</FCN>
                            <LCPT>0</LCPT>
                            <LCN>2</LCN>
                          </ClmnBlkProps>
                          <ClmnBlkPts>
                            <ClmnBlkPt>
                              <ClmnBlkPtProps>
                                <CBPT>5</CBPT>
                                <ST>3</ST>
                                <VOFFF><![CDATA[="Vaccine Procurement and Shipment to Field HQ (Using "&§A¿1,1,1,1,1,0,2,1,1§Z¿&" Costing) "]]></VOFFF>
                              </ClmnBlkPtProps>
                            </ClmnBlkPt>
                          </ClmnBlkPts>
                        </ClmnBlk>
                      </ClmnBlks>
                      <TtlCtg/>
                    </Elmt>
                    <Elmt>
                      <ElmtProps>
                        <CPT>2</CPT>
                      </ElmtProps>
                      <ClmnBlks>
                        <ClmnBlk>
                          <ClmnBlkProps>
                            <FCPT>0</FCPT>
                            <FCN>9</FCN>
                            <LCPT>0</LCPT>
                            <LCN>9</LCN>
                          </ClmnBlkProps>
                          <ClmnBlkPts>
                            <ClmnBlkPt>
                              <ClmnBlkPtProps>
                                <CBPT>5</CBPT>
                                <ST>6</ST>
                                <SON>29</SON>
                                <VOFFF><![CDATA[="FINANCIAL COST ("&§A¿1,1,1,1,20,0,2,1,1§Z¿&")"]]></VOFFF>
                              </ClmnBlkPtProps>
                            </ClmnBlkPt>
                          </ClmnBlkPts>
                        </ClmnBlk>
                        <ClmnBlk>
                          <ClmnBlkProps>
                            <FCPT>0</FCPT>
                            <FCN>10</FCN>
                            <LCPT>0</LCPT>
                            <LCN>10</LCN>
                          </ClmnBlkProps>
                          <ClmnBlkPts>
                            <ClmnBlkPt>
                              <ClmnBlkPtProps>
                                <CBPT>5</CBPT>
                                <ST>6</ST>
                                <SON>29</SON>
                                <VOFFF><![CDATA[="ECONOMIC COST ("&§A¿1,1,1,1,20,0,2,1,1§Z¿&")"]]></VOFFF>
                              </ClmnBlkPtProps>
                            </ClmnBlkPt>
                          </ClmnBlkPts>
                        </ClmnBlk>
                        <ClmnBlk>
                          <ClmnBlkProps>
                            <FCPT>0</FCPT>
                            <FCN>14</FCN>
                            <LCPT>0</LCPT>
                            <LCN>14</LCN>
                          </ClmnBlkProps>
                          <ClmnBlkPts>
                            <ClmnBlkPt>
                              <ClmnBlkPtProps>
                                <CBPT>5</CBPT>
                                <ST>6</ST>
                                <SON>29</SON>
                                <VOFFF><![CDATA[="FINANCIAL COST ("&§A¿5,5,1,11,1,TRUE,TRUE§Z¿&")"]]></VOFFF>
                              </ClmnBlkPtProps>
                            </ClmnBlkPt>
                          </ClmnBlkPts>
                        </ClmnBlk>
                        <ClmnBlk>
                          <ClmnBlkProps>
                            <FCPT>0</FCPT>
                            <FCN>15</FCN>
                            <LCPT>0</LCPT>
                            <LCN>15</LCN>
                          </ClmnBlkProps>
                          <ClmnBlkPts>
                            <ClmnBlkPt>
                              <ClmnBlkPtProps>
                                <CBPT>5</CBPT>
                                <ST>6</ST>
                                <SON>29</SON>
                                <VOFFF><![CDATA[="ECONOMIC COST ("&§A¿5,5,1,11,1,TRUE,TRUE§Z¿&")"]]></VOFFF>
                              </ClmnBlkPtProps>
                            </ClmnBlkPt>
                          </ClmnBlkPts>
                        </ClmnBlk>
                        <ClmnBlk>
                          <ClmnBlkProps>
                            <FCPT>0</FCPT>
                            <FCN>17</FCN>
                            <LCPT>0</LCPT>
                            <LCN>17</LCN>
                          </ClmnBlkProps>
                          <ClmnBlkPts>
                            <ClmnBlkPt>
                              <ClmnBlkPtProps>
                                <CBPT>5</CBPT>
                                <ST>6</ST>
                                <SON>29</SON>
                                <VOFFF><![CDATA[="FINANCIAL COST ("&§A¿5,5,1,11,2,TRUE,TRUE§Z¿&")"]]></VOFFF>
                              </ClmnBlkPtProps>
                            </ClmnBlkPt>
                          </ClmnBlkPts>
                        </ClmnBlk>
                        <ClmnBlk>
                          <ClmnBlkProps>
                            <FCPT>0</FCPT>
                            <FCN>18</FCN>
                            <LCPT>0</LCPT>
                            <LCN>18</LCN>
                          </ClmnBlkProps>
                          <ClmnBlkPts>
                            <ClmnBlkPt>
                              <ClmnBlkPtProps>
                                <CBPT>5</CBPT>
                                <ST>6</ST>
                                <SON>29</SON>
                                <VOFFF><![CDATA[="ECONOMIC COST ("&§A¿5,5,1,11,2,TRUE,TRUE§Z¿&")"]]></VOFFF>
                              </ClmnBlkPtProps>
                            </ClmnBlkPt>
                          </ClmnBlkPts>
                        </ClmnBlk>
                      </ClmnBlks>
                      <TtlCtg/>
                    </Elmt>
                    <Elmt>
                      <ElmtProps>
                        <CPT>2</CPT>
                      </ElmtProps>
                      <ClmnBlks>
                        <ClmnBlk>
                          <ClmnBlkProps>
                            <FCPT>0</FCPT>
                            <FCN>3</FCN>
                            <LCPT>0</LCPT>
                            <LCN>3</LCN>
                          </ClmnBlkProps>
                          <ClmnBlkPts>
                            <ClmnBlkPt>
                              <ClmnBlkPtProps>
                                <CBPT>5</CBPT>
                                <ST>4</ST>
                                <VOFFF><![CDATA[="USING "&§A¿1,1,1,1,1,0,2,1,1§Z¿& " COSTING"]]></VOFFF>
                              </ClmnBlkPtProps>
                            </ClmnBlkPt>
                          </ClmnBlkPts>
                        </ClmnBlk>
                        <ClmnBlk>
                          <ClmnBlkProps>
                            <FCPT>0</FCPT>
                            <FCN>9</FCN>
                            <LCPT>0</LCPT>
                            <LCN>9</LCN>
                          </ClmnBlkProps>
                          <ClmnBlkPts>
                            <ClmnBlkPt>
                              <ClmnBlkPtProps>
                                <CBPT>5</CBPT>
                                <ST>6</ST>
                                <SON>2</SON>
                                <VOFFF><![CDATA[=§A¿1,1,1,1,20,0,2,1,1§Z¿]]></VOFFF>
                              </ClmnBlkPtProps>
                            </ClmnBlkPt>
                          </ClmnBlkPts>
                        </ClmnBlk>
                        <ClmnBlk>
                          <ClmnBlkProps>
                            <FCPT>0</FCPT>
                            <FCN>10</FCN>
                            <LCPT>0</LCPT>
                            <LCN>10</LCN>
                          </ClmnBlkProps>
                          <ClmnBlkPts>
                            <ClmnBlkPt>
                              <ClmnBlkPtProps>
                                <CBPT>5</CBPT>
                                <ST>6</ST>
                                <SON>2</SON>
                                <VOFFF><![CDATA[=§A¿1,1,1,1,20,0,2,1,1§Z¿]]></VOFFF>
                              </ClmnBlkPtProps>
                            </ClmnBlkPt>
                          </ClmnBlkPts>
                        </ClmnBlk>
                        <ClmnBlk>
                          <ClmnBlkProps>
                            <FCPT>0</FCPT>
                            <FCN>11</FCN>
                            <LCPT>0</LCPT>
                            <LCN>11</LCN>
                          </ClmnBlkProps>
                          <ClmnBlkPts>
                            <ClmnBlkPt>
                              <ClmnBlkPtProps>
                                <CBPT>5</CBPT>
                                <ST>6</ST>
                                <VOFFF><![CDATA[<-FROM APPLIED CURRENCY SELECTION ABOVE]]></VOFFF>
                              </ClmnBlkPtProps>
                            </ClmnBlkPt>
                          </ClmnBlkPts>
                        </ClmnBlk>
                        <ClmnBlk>
                          <ClmnBlkProps>
                            <FCPT>0</FCPT>
                            <FCN>14</FCN>
                            <LCPT>0</LCPT>
                            <LCN>18</LCN>
                          </ClmnBlkProps>
                          <ClmnBlkPts>
                            <ClmnBlkPt>
                              <ClmnBlkPtProps>
                                <CBPT>5</CBPT>
                                <ST>-1</ST>
                                <VOFFF/>
                              </ClmnBlkPtProps>
                            </ClmnBlkPt>
                          </ClmnBlkPts>
                        </ClmnBlk>
                      </ClmnBlks>
                      <TtlCtg/>
                    </Elmt>
                    <Elmt>
                      <ElmtProps>
                        <CPT>2</CPT>
                      </ElmtProps>
                      <ClmnBlks>
                        <ClmnBlk>
                          <ClmnBlkProps>
                            <FCPT>0</FCPT>
                            <FCN>14</FCN>
                            <LCPT>0</LCPT>
                            <LCN>18</LCN>
                          </ClmnBlkProps>
                          <ClmnBlkPts>
                            <ClmnBlkPt>
                              <ClmnBlkPtProps>
                                <CBPT>5</CBPT>
                                <ST>-1</ST>
                                <VOFFF/>
                              </ClmnBlkPtProps>
                            </ClmnBlkPt>
                          </ClmnBlkPts>
                        </ClmnBlk>
                      </ClmnBlks>
                      <TtlCtg/>
                    </Elmt>
                    <Elmt>
                      <ElmtProps>
                        <CPT>2</CPT>
                      </ElmtProps>
                      <ClmnBlks>
                        <ClmnBlk>
                          <ClmnBlkProps>
                            <FCPT>0</FCPT>
                            <FCN>3</FCN>
                            <LCPT>0</LCPT>
                            <LCN>3</LCN>
                          </ClmnBlkProps>
                          <ClmnBlkPts>
                            <ClmnBlkPt>
                              <ClmnBlkPtProps>
                                <CBPT>5</CBPT>
                                <ST>6</ST>
                                <VOFFF><![CDATA[=§A¿0,1,0,1,35,1,1,-1,0,0,FALSE,FALSE§Z¿]]></VOFFF>
                              </ClmnBlkPtProps>
                            </ClmnBlkPt>
                          </ClmnBlkPts>
                        </ClmnBlk>
                        <ClmnBlk>
                          <ClmnBlkProps>
                            <FCPT>0</FCPT>
                            <FCN>9</FCN>
                            <LCPT>0</LCPT>
                            <LCN>9</LCN>
                          </ClmnBlkProps>
                          <ClmnBlkPts>
                            <ClmnBlkPt>
                              <ClmnBlkPtProps>
                                <CBPT>5</CBPT>
                                <ST>18</ST>
                                <SON>4</SON>
                                <VOFFF><![CDATA[=IF(§A¿1,1,1,1,1,0,2,1,1§Z¿=§A¿5,5,1,7,1,TRUE,TRUE§Z¿,§A¿0,1,0,1,35,2,1,-1,0,0,FALSE,FALSE§Z¿,§A¿0,1,0,1,35,4,1,-1,0,0,FALSE,FALSE§Z¿)]]></VOFFF>
                              </ClmnBlkPtProps>
                            </ClmnBlkPt>
                          </ClmnBlkPts>
                        </ClmnBlk>
                        <ClmnBlk>
                          <ClmnBlkProps>
                            <FCPT>0</FCPT>
                            <FCN>10</FCN>
                            <LCPT>0</LCPT>
                            <LCN>10</LCN>
                          </ClmnBlkProps>
                          <ClmnBlkPts>
                            <ClmnBlkPt>
                              <ClmnBlkPtProps>
                                <CBPT>5</CBPT>
                                <ST>18</ST>
                                <SON>4</SON>
                                <VOFFF><![CDATA[=IF(§A¿1,1,1,1,1,0,2,1,1§Z¿=§A¿5,5,1,7,1,TRUE,TRUE§Z¿,§A¿0,1,0,1,35,3,1,-1,0,0,FALSE,FALSE§Z¿,§A¿0,1,0,1,35,5,1,-1,0,0,FALSE,FALSE§Z¿)]]></VOFFF>
                              </ClmnBlkPtProps>
                            </ClmnBlkPt>
                          </ClmnBlkPts>
                        </ClmnBlk>
                        <ClmnBlk>
                          <ClmnBlkProps>
                            <FCPT>0</FCPT>
                            <FCN>14</FCN>
                            <LCPT>0</LCPT>
                            <LCN>14</LCN>
                          </ClmnBlkProps>
                          <ClmnBlkPts>
                            <ClmnBlkPt>
                              <ClmnBlkPtProps>
                                <CBPT>5</CBPT>
                                <ST>18</ST>
                                <SON>16</SON>
                                <VOFFF><![CDATA[=IFERROR(IF(§A¿1,1,1,1,20,0,2,1,1§Z¿=§A¿5,5,1,11,1,TRUE,TRUE§Z¿,§A¿0,1,0,1,49,2,1,-1,0,0,FALSE,FALSE§Z¿,§A¿0,1,0,1,49,2,1,-1,0,0,FALSE,FALSE§Z¿/§A¿0,1,0,1,57,2,1,2,0,0,TRUE,TRUE§Z¿), 0)]]></VOFFF>
                              </ClmnBlkPtProps>
                            </ClmnBlkPt>
                          </ClmnBlkPts>
                        </ClmnBlk>
                        <ClmnBlk>
                          <ClmnBlkProps>
                            <FCPT>0</FCPT>
                            <FCN>15</FCN>
                            <LCPT>0</LCPT>
                            <LCN>15</LCN>
                          </ClmnBlkProps>
                          <ClmnBlkPts>
                            <ClmnBlkPt>
                              <ClmnBlkPtProps>
                                <CBPT>5</CBPT>
                                <ST>18</ST>
                                <SON>16</SON>
                                <VOFFF><![CDATA[=IFERROR(IF(§A¿1,1,1,1,20,0,2,1,1§Z¿=§A¿5,5,1,11,1,TRUE,TRUE§Z¿,§A¿0,1,0,1,49,3,1,-1,0,0,FALSE,FALSE§Z¿,§A¿0,1,0,1,49,3,1,-1,0,0,FALSE,FALSE§Z¿/§A¿0,1,0,1,57,2,1,2,0,0,TRUE,TRUE§Z¿), 0)]]></VOFFF>
                              </ClmnBlkPtProps>
                            </ClmnBlkPt>
                          </ClmnBlkPts>
                        </ClmnBlk>
                        <ClmnBlk>
                          <ClmnBlkProps>
                            <FCPT>0</FCPT>
                            <FCN>17</FCN>
                            <LCPT>0</LCPT>
                            <LCN>17</LCN>
                          </ClmnBlkProps>
                          <ClmnBlkPts>
                            <ClmnBlkPt>
                              <ClmnBlkPtProps>
                                <CBPT>5</CBPT>
                                <ST>18</ST>
                                <SON>16</SON>
                                <VOFFF><![CDATA[=IF(§A¿1,1,1,1,20,0,2,1,1§Z¿=§A¿5,5,1,11,1,TRUE,TRUE§Z¿,§A¿0,1,0,1,49,2,1,-1,0,0,FALSE,FALSE§Z¿*§A¿0,1,0,1,57,2,1,2,0,0,TRUE,TRUE§Z¿,§A¿0,1,0,1,49,2,1,-1,0,0,FALSE,FALSE§Z¿)]]></VOFFF>
                              </ClmnBlkPtProps>
                            </ClmnBlkPt>
                          </ClmnBlkPts>
                        </ClmnBlk>
                        <ClmnBlk>
                          <ClmnBlkProps>
                            <FCPT>0</FCPT>
                            <FCN>18</FCN>
                            <LCPT>0</LCPT>
                            <LCN>18</LCN>
                          </ClmnBlkProps>
                          <ClmnBlkPts>
                            <ClmnBlkPt>
                              <ClmnBlkPtProps>
                                <CBPT>5</CBPT>
                                <ST>18</ST>
                                <SON>16</SON>
                                <VOFFF><![CDATA[=IF(§A¿1,1,1,1,20,0,2,1,1§Z¿=§A¿5,5,1,11,1,TRUE,TRUE§Z¿,§A¿0,1,0,1,49,3,1,-1,0,0,FALSE,FALSE§Z¿*§A¿0,1,0,1,57,2,1,2,0,0,TRUE,TRUE§Z¿,§A¿0,1,0,1,49,3,1,-1,0,0,FALSE,FALSE§Z¿)]]></VOFFF>
                              </ClmnBlkPtProps>
                            </ClmnBlkPt>
                          </ClmnBlkPts>
                        </ClmnBlk>
                      </ClmnBlks>
                      <TtlCtg/>
                    </Elmt>
                    <Elmt>
                      <ElmtProps>
                        <CPT>2</CPT>
                      </ElmtProps>
                      <ClmnBlks>
                        <ClmnBlk>
                          <ClmnBlkProps>
                            <FCPT>0</FCPT>
                            <FCN>3</FCN>
                            <LCPT>0</LCPT>
                            <LCN>3</LCN>
                          </ClmnBlkProps>
                          <ClmnBlkPts>
                            <ClmnBlkPt>
                              <ClmnBlkPtProps>
                                <CBPT>5</CBPT>
                                <ST>6</ST>
                                <VOFFF><![CDATA[=§A¿0,1,0,1,43,1,1,-1,0,0,FALSE,FALSE§Z¿]]></VOFFF>
                              </ClmnBlkPtProps>
                            </ClmnBlkPt>
                          </ClmnBlkPts>
                        </ClmnBlk>
                        <ClmnBlk>
                          <ClmnBlkProps>
                            <FCPT>0</FCPT>
                            <FCN>9</FCN>
                            <LCPT>0</LCPT>
                            <LCN>9</LCN>
                          </ClmnBlkProps>
                          <ClmnBlkPts>
                            <ClmnBlkPt>
                              <ClmnBlkPtProps>
                                <CBPT>5</CBPT>
                                <ST>18</ST>
                                <SON>4</SON>
                                <VOFFF><![CDATA[=§A¿0,1,0,1,44,4,1,-1,0,0,FALSE,FALSE§Z¿]]></VOFFF>
                              </ClmnBlkPtProps>
                            </ClmnBlkPt>
                          </ClmnBlkPts>
                        </ClmnBlk>
                        <ClmnBlk>
                          <ClmnBlkProps>
                            <FCPT>0</FCPT>
                            <FCN>10</FCN>
                            <LCPT>0</LCPT>
                            <LCN>10</LCN>
                          </ClmnBlkProps>
                          <ClmnBlkPts>
                            <ClmnBlkPt>
                              <ClmnBlkPtProps>
                                <CBPT>5</CBPT>
                                <ST>18</ST>
                                <SON>4</SON>
                                <VOFFF><![CDATA[=§A¿0,1,0,1,44,5,1,-1,0,0,FALSE,FALSE§Z¿]]></VOFFF>
                              </ClmnBlkPtProps>
                            </ClmnBlkPt>
                          </ClmnBlkPts>
                        </ClmnBlk>
                        <ClmnBlk>
                          <ClmnBlkProps>
                            <FCPT>0</FCPT>
                            <FCN>14</FCN>
                            <LCPT>0</LCPT>
                            <LCN>14</LCN>
                          </ClmnBlkProps>
                          <ClmnBlkPts>
                            <ClmnBlkPt>
                              <ClmnBlkPtProps>
                                <CBPT>5</CBPT>
                                <ST>18</ST>
                                <SON>16</SON>
                                <VOFFF><![CDATA[=IFERROR(IF(§A¿1,1,1,1,20,0,2,1,1§Z¿=§A¿5,5,1,11,1,TRUE,TRUE§Z¿,§A¿0,1,0,1,50,2,1,-1,0,0,FALSE,FALSE§Z¿,§A¿0,1,0,1,50,2,1,-1,0,0,FALSE,FALSE§Z¿/§A¿0,1,0,1,57,2,1,2,0,0,TRUE,TRUE§Z¿), 0)]]></VOFFF>
                              </ClmnBlkPtProps>
                            </ClmnBlkPt>
                          </ClmnBlkPts>
                        </ClmnBlk>
                        <ClmnBlk>
                          <ClmnBlkProps>
                            <FCPT>0</FCPT>
                            <FCN>15</FCN>
                            <LCPT>0</LCPT>
                            <LCN>15</LCN>
                          </ClmnBlkProps>
                          <ClmnBlkPts>
                            <ClmnBlkPt>
                              <ClmnBlkPtProps>
                                <CBPT>5</CBPT>
                                <ST>18</ST>
                                <SON>16</SON>
                                <VOFFF><![CDATA[=IFERROR(IF(§A¿1,1,1,1,20,0,2,1,1§Z¿=§A¿5,5,1,11,1,TRUE,TRUE§Z¿,§A¿0,1,0,1,50,3,1,-1,0,0,FALSE,FALSE§Z¿,§A¿0,1,0,1,50,3,1,-1,0,0,FALSE,FALSE§Z¿/§A¿0,1,0,1,57,2,1,2,0,0,TRUE,TRUE§Z¿), 0)]]></VOFFF>
                              </ClmnBlkPtProps>
                            </ClmnBlkPt>
                          </ClmnBlkPts>
                        </ClmnBlk>
                        <ClmnBlk>
                          <ClmnBlkProps>
                            <FCPT>0</FCPT>
                            <FCN>17</FCN>
                            <LCPT>0</LCPT>
                            <LCN>17</LCN>
                          </ClmnBlkProps>
                          <ClmnBlkPts>
                            <ClmnBlkPt>
                              <ClmnBlkPtProps>
                                <CBPT>5</CBPT>
                                <ST>18</ST>
                                <SON>16</SON>
                                <VOFFF><![CDATA[=IF(§A¿1,1,1,1,20,0,2,1,1§Z¿=§A¿5,5,1,11,1,TRUE,TRUE§Z¿,§A¿0,1,0,1,50,2,1,-1,0,0,FALSE,FALSE§Z¿*§A¿0,1,0,1,57,2,1,2,0,0,TRUE,TRUE§Z¿,§A¿0,1,0,1,50,2,1,-1,0,0,FALSE,FALSE§Z¿)]]></VOFFF>
                              </ClmnBlkPtProps>
                            </ClmnBlkPt>
                          </ClmnBlkPts>
                        </ClmnBlk>
                        <ClmnBlk>
                          <ClmnBlkProps>
                            <FCPT>0</FCPT>
                            <FCN>18</FCN>
                            <LCPT>0</LCPT>
                            <LCN>18</LCN>
                          </ClmnBlkProps>
                          <ClmnBlkPts>
                            <ClmnBlkPt>
                              <ClmnBlkPtProps>
                                <CBPT>5</CBPT>
                                <ST>18</ST>
                                <SON>16</SON>
                                <VOFFF><![CDATA[=IF(§A¿1,1,1,1,20,0,2,1,1§Z¿=§A¿5,5,1,11,1,TRUE,TRUE§Z¿,§A¿0,1,0,1,50,3,1,-1,0,0,FALSE,FALSE§Z¿*§A¿0,1,0,1,57,2,1,2,0,0,TRUE,TRUE§Z¿,§A¿0,1,0,1,50,3,1,-1,0,0,FALSE,FALSE§Z¿)]]></VOFFF>
                              </ClmnBlkPtProps>
                            </ClmnBlkPt>
                          </ClmnBlkPts>
                        </ClmnBlk>
                      </ClmnBlks>
                      <TtlCtg/>
                    </Elmt>
                    <Elmt>
                      <ElmtProps>
                        <CPT>2</CPT>
                      </ElmtProps>
                      <ClmnBlks>
                        <ClmnBlk>
                          <ClmnBlkProps>
                            <FCPT>0</FCPT>
                            <FCN>3</FCN>
                            <LCPT>0</LCPT>
                            <LCN>3</LCN>
                          </ClmnBlkProps>
                          <ClmnBlkPts>
                            <ClmnBlkPt>
                              <ClmnBlkPtProps>
                                <CBPT>5</CBPT>
                                <ST>6</ST>
                                <SON>19</SON>
                                <VOFFF><![CDATA[="Total Vaccine Cost ("&§A¿1,1,1,1,1,0,2,1,1§Z¿&")"]]></VOFFF>
                              </ClmnBlkPtProps>
                            </ClmnBlkPt>
                          </ClmnBlkPts>
                        </ClmnBlk>
                        <ClmnBlk>
                          <ClmnBlkProps>
                            <FCPT>0</FCPT>
                            <FCN>9</FCN>
                            <LCPT>0</LCPT>
                            <LCN>9</LCN>
                          </ClmnBlkProps>
                          <ClmnBlkPts>
                            <ClmnBlkPt>
                              <ClmnBlkPtProps>
                                <CBPT>5</CBPT>
                                <ST>18</ST>
                                <SON>11</SON>
                                <VOFFF><![CDATA[=§A¿0,1,0,1,49,2,1,-1,0,0,FALSE,FALSE§Z¿+§A¿0,1,0,1,50,2,1,-1,0,0,FALSE,FALSE§Z¿]]></VOFFF>
                              </ClmnBlkPtProps>
                            </ClmnBlkPt>
                          </ClmnBlkPts>
                        </ClmnBlk>
                        <ClmnBlk>
                          <ClmnBlkProps>
                            <FCPT>0</FCPT>
                            <FCN>10</FCN>
                            <LCPT>0</LCPT>
                            <LCN>10</LCN>
                          </ClmnBlkProps>
                          <ClmnBlkPts>
                            <ClmnBlkPt>
                              <ClmnBlkPtProps>
                                <CBPT>5</CBPT>
                                <ST>18</ST>
                                <SON>11</SON>
                                <VOFFF><![CDATA[=§A¿0,1,0,1,49,3,1,-1,0,0,FALSE,FALSE§Z¿+§A¿0,1,0,1,50,3,1,-1,0,0,FALSE,FALSE§Z¿]]></VOFFF>
                              </ClmnBlkPtProps>
                            </ClmnBlkPt>
                          </ClmnBlkPts>
                        </ClmnBlk>
                        <ClmnBlk>
                          <ClmnBlkProps>
                            <FCPT>0</FCPT>
                            <FCN>13</FCN>
                            <LCPT>0</LCPT>
                            <LCN>13</LCN>
                          </ClmnBlkProps>
                          <ClmnBlkPts>
                            <ClmnBlkPt>
                              <ClmnBlkPtProps>
                                <CBPT>5</CBPT>
                                <ST>-1</ST>
                                <SON>19</SON>
                                <VOFFF/>
                              </ClmnBlkPtProps>
                            </ClmnBlkPt>
                          </ClmnBlkPts>
                        </ClmnBlk>
                        <ClmnBlk>
                          <ClmnBlkProps>
                            <FCPT>0</FCPT>
                            <FCN>14</FCN>
                            <LCPT>0</LCPT>
                            <LCN>14</LCN>
                          </ClmnBlkProps>
                          <ClmnBlkPts>
                            <ClmnBlkPt>
                              <ClmnBlkPtProps>
                                <CBPT>5</CBPT>
                                <ST>18</ST>
                                <SON>11</SON>
                                <VOFFF><![CDATA[=IFERROR(IF(§A¿1,1,1,1,20,0,2,1,1§Z¿=§A¿5,5,1,11,1,TRUE,TRUE§Z¿,§A¿0,1,0,1,51,2,1,-1,0,0,FALSE,FALSE§Z¿,§A¿0,1,0,1,51,2,1,-1,0,0,FALSE,FALSE§Z¿/§A¿0,1,0,1,57,2,1,2,0,0,TRUE,TRUE§Z¿), 0)]]></VOFFF>
                              </ClmnBlkPtProps>
                            </ClmnBlkPt>
                          </ClmnBlkPts>
                        </ClmnBlk>
                        <ClmnBlk>
                          <ClmnBlkProps>
                            <FCPT>0</FCPT>
                            <FCN>15</FCN>
                            <LCPT>0</LCPT>
                            <LCN>15</LCN>
                          </ClmnBlkProps>
                          <ClmnBlkPts>
                            <ClmnBlkPt>
                              <ClmnBlkPtProps>
                                <CBPT>5</CBPT>
                                <ST>18</ST>
                                <SON>11</SON>
                                <VOFFF><![CDATA[=IFERROR(IF(§A¿1,1,1,1,20,0,2,1,1§Z¿=§A¿5,5,1,11,1,TRUE,TRUE§Z¿,§A¿0,1,0,1,51,3,1,-1,0,0,FALSE,FALSE§Z¿,§A¿0,1,0,1,51,3,1,-1,0,0,FALSE,FALSE§Z¿/§A¿0,1,0,1,57,2,1,2,0,0,TRUE,TRUE§Z¿), 0)]]></VOFFF>
                              </ClmnBlkPtProps>
                            </ClmnBlkPt>
                          </ClmnBlkPts>
                        </ClmnBlk>
                        <ClmnBlk>
                          <ClmnBlkProps>
                            <FCPT>0</FCPT>
                            <FCN>17</FCN>
                            <LCPT>0</LCPT>
                            <LCN>17</LCN>
                          </ClmnBlkProps>
                          <ClmnBlkPts>
                            <ClmnBlkPt>
                              <ClmnBlkPtProps>
                                <CBPT>5</CBPT>
                                <ST>18</ST>
                                <SON>11</SON>
                                <VOFFF><![CDATA[=IF(§A¿1,1,1,1,20,0,2,1,1§Z¿=§A¿5,5,1,11,1,TRUE,TRUE§Z¿,§A¿0,1,0,1,51,2,1,-1,0,0,FALSE,FALSE§Z¿*§A¿0,1,0,1,57,2,1,2,0,0,TRUE,TRUE§Z¿,§A¿0,1,0,1,51,2,1,-1,0,0,FALSE,FALSE§Z¿)]]></VOFFF>
                              </ClmnBlkPtProps>
                            </ClmnBlkPt>
                          </ClmnBlkPts>
                        </ClmnBlk>
                        <ClmnBlk>
                          <ClmnBlkProps>
                            <FCPT>0</FCPT>
                            <FCN>18</FCN>
                            <LCPT>0</LCPT>
                            <LCN>18</LCN>
                          </ClmnBlkProps>
                          <ClmnBlkPts>
                            <ClmnBlkPt>
                              <ClmnBlkPtProps>
                                <CBPT>5</CBPT>
                                <ST>18</ST>
                                <SON>11</SON>
                                <VOFFF><![CDATA[=IF(§A¿1,1,1,1,20,0,2,1,1§Z¿=§A¿5,5,1,11,1,TRUE,TRUE§Z¿,§A¿0,1,0,1,51,3,1,-1,0,0,FALSE,FALSE§Z¿*§A¿0,1,0,1,57,2,1,2,0,0,TRUE,TRUE§Z¿,§A¿0,1,0,1,51,3,1,-1,0,0,FALSE,FALSE§Z¿)]]></VOFFF>
                              </ClmnBlkPtProps>
                            </ClmnBlkPt>
                          </ClmnBlkPts>
                        </ClmnBlk>
                      </ClmnBlks>
                      <TtlCtg/>
                    </Elmt>
                    <Elmt>
                      <ElmtProps>
                        <CPT>2</CPT>
                      </ElmtProps>
                      <ClmnBlks>
                        <ClmnBlk>
                          <ClmnBlkProps>
                            <FCPT>0</FCPT>
                            <FCN>3</FCN>
                            <LCPT>0</LCPT>
                            <LCN>3</LCN>
                          </ClmnBlkProps>
                          <ClmnBlkPts>
                            <ClmnBlkPt>
                              <ClmnBlkPtProps>
                                <CBPT>5</CBPT>
                                <ST>4</ST>
                                <VOFFF><![CDATA[(ERROR CHECK)]]></VOFFF>
                              </ClmnBlkPtProps>
                            </ClmnBlkPt>
                          </ClmnBlkPts>
                        </ClmnBlk>
                        <ClmnBlk>
                          <ClmnBlkProps>
                            <FCPT>0</FCPT>
                            <FCN>9</FCN>
                            <LCPT>0</LCPT>
                            <LCN>9</LCN>
                          </ClmnBlkProps>
                          <ClmnBlkPts>
                            <ClmnBlkPt>
                              <ClmnBlkPtProps>
                                <CBPT>5</CBPT>
                                <ST>6</ST>
                                <SON>7</SON>
                                <VOFFF><![CDATA[=IF(§A¿0,1,0,1,49,2,1,-1,0,0,FALSE,FALSE§Z¿+§A¿0,1,0,1,50,2,1,-1,0,0,FALSE,FALSE§Z¿=§A¿0,1,0,1,51,2,1,-1,0,0,FALSE,FALSE§Z¿,"OK","ERROR!")]]></VOFFF>
                              </ClmnBlkPtProps>
                            </ClmnBlkPt>
                          </ClmnBlkPts>
                        </ClmnBlk>
                        <ClmnBlk>
                          <ClmnBlkProps>
                            <FCPT>0</FCPT>
                            <FCN>10</FCN>
                            <LCPT>0</LCPT>
                            <LCN>10</LCN>
                          </ClmnBlkProps>
                          <ClmnBlkPts>
                            <ClmnBlkPt>
                              <ClmnBlkPtProps>
                                <CBPT>5</CBPT>
                                <ST>6</ST>
                                <SON>7</SON>
                                <VOFFF><![CDATA[=IF(§A¿0,1,0,1,49,3,1,-1,0,0,FALSE,FALSE§Z¿+§A¿0,1,0,1,50,3,1,-1,0,0,FALSE,FALSE§Z¿=§A¿0,1,0,1,51,3,1,-1,0,0,FALSE,FALSE§Z¿,"OK","ERROR!")]]></VOFFF>
                              </ClmnBlkPtProps>
                            </ClmnBlkPt>
                          </ClmnBlkPts>
                        </ClmnBlk>
                        <ClmnBlk>
                          <ClmnBlkProps>
                            <FCPT>0</FCPT>
                            <FCN>14</FCN>
                            <LCPT>0</LCPT>
                            <LCN>14</LCN>
                          </ClmnBlkProps>
                          <ClmnBlkPts>
                            <ClmnBlkPt>
                              <ClmnBlkPtProps>
                                <CBPT>5</CBPT>
                                <ST>6</ST>
                                <SON>7</SON>
                                <VOFFF><![CDATA[=IF(§A¿0,1,0,1,49,4,1,-1,0,0,FALSE,FALSE§Z¿+§A¿0,1,0,1,50,4,1,-1,0,0,FALSE,FALSE§Z¿=§A¿0,1,0,1,51,5,1,-1,0,0,FALSE,FALSE§Z¿,"OK","ERROR!")]]></VOFFF>
                              </ClmnBlkPtProps>
                            </ClmnBlkPt>
                          </ClmnBlkPts>
                        </ClmnBlk>
                        <ClmnBlk>
                          <ClmnBlkProps>
                            <FCPT>0</FCPT>
                            <FCN>15</FCN>
                            <LCPT>0</LCPT>
                            <LCN>15</LCN>
                          </ClmnBlkProps>
                          <ClmnBlkPts>
                            <ClmnBlkPt>
                              <ClmnBlkPtProps>
                                <CBPT>5</CBPT>
                                <ST>6</ST>
                                <SON>7</SON>
                                <VOFFF><![CDATA[=IF(§A¿0,1,0,1,49,5,1,-1,0,0,FALSE,FALSE§Z¿+§A¿0,1,0,1,50,5,1,-1,0,0,FALSE,FALSE§Z¿=§A¿0,1,0,1,51,6,1,-1,0,0,FALSE,FALSE§Z¿,"OK","ERROR!")]]></VOFFF>
                              </ClmnBlkPtProps>
                            </ClmnBlkPt>
                          </ClmnBlkPts>
                        </ClmnBlk>
                        <ClmnBlk>
                          <ClmnBlkProps>
                            <FCPT>0</FCPT>
                            <FCN>17</FCN>
                            <LCPT>0</LCPT>
                            <LCN>17</LCN>
                          </ClmnBlkProps>
                          <ClmnBlkPts>
                            <ClmnBlkPt>
                              <ClmnBlkPtProps>
                                <CBPT>5</CBPT>
                                <ST>6</ST>
                                <SON>7</SON>
                                <VOFFF><![CDATA[=IF(§A¿0,1,0,1,49,6,1,-1,0,0,FALSE,FALSE§Z¿+§A¿0,1,0,1,50,6,1,-1,0,0,FALSE,FALSE§Z¿=§A¿0,1,0,1,51,7,1,-1,0,0,FALSE,FALSE§Z¿,"OK","ERROR!")]]></VOFFF>
                              </ClmnBlkPtProps>
                            </ClmnBlkPt>
                          </ClmnBlkPts>
                        </ClmnBlk>
                        <ClmnBlk>
                          <ClmnBlkProps>
                            <FCPT>0</FCPT>
                            <FCN>18</FCN>
                            <LCPT>0</LCPT>
                            <LCN>18</LCN>
                          </ClmnBlkProps>
                          <ClmnBlkPts>
                            <ClmnBlkPt>
                              <ClmnBlkPtProps>
                                <CBPT>5</CBPT>
                                <ST>6</ST>
                                <SON>7</SON>
                                <VOFFF><![CDATA[=IF(§A¿0,1,0,1,49,7,1,-1,0,0,FALSE,FALSE§Z¿+§A¿0,1,0,1,50,7,1,-1,0,0,FALSE,FALSE§Z¿=§A¿0,1,0,1,51,8,1,-1,0,0,FALSE,FALSE§Z¿,"OK","ERROR!")]]></VOFFF>
                              </ClmnBlkPtProps>
                            </ClmnBlkPt>
                          </ClmnBlkPts>
                        </ClmnBlk>
                      </ClmnBlks>
                      <TtlCtg/>
                    </Elmt>
                    <Elmt>
                      <ElmtProps>
                        <CPT>2</CPT>
                      </ElmtProps>
                      <TtlCtg/>
                    </Elmt>
                    <Elmt>
                      <ElmtProps>
                        <CPT>2</CPT>
                      </ElmtProps>
                      <TtlCtg/>
                    </Elmt>
                    <Elmt>
                      <ElmtProps>
                        <CPT>2</CPT>
                      </ElmtProps>
                      <ClmnBlks>
                        <ClmnBlk>
                          <ClmnBlkProps>
                            <FCPT>0</FCPT>
                            <FCN>3</FCN>
                            <LCPT>0</LCPT>
                            <LCN>3</LCN>
                          </ClmnBlkProps>
                          <ClmnBlkPts>
                            <ClmnBlkPt>
                              <ClmnBlkPtProps>
                                <CBPT>5</CBPT>
                                <ST>6</ST>
                                <VOFFF><![CDATA[Currencies and Exchange Rate References (Developer Only - User may change in Step 1.d)]]></VOFFF>
                              </ClmnBlkPtProps>
                            </ClmnBlkPt>
                          </ClmnBlkPts>
                        </ClmnBlk>
                      </ClmnBlks>
                      <TtlCtg/>
                    </Elmt>
                    <Elmt>
                      <ElmtProps>
                        <CPT>2</CPT>
                      </ElmtProps>
                      <ClmnBlks>
                        <ClmnBlk>
                          <ClmnBlkProps>
                            <FCPT>0</FCPT>
                            <FCN>10</FCN>
                            <LCPT>0</LCPT>
                            <LCN>10</LCN>
                          </ClmnBlkProps>
                          <ClmnBlkPts>
                            <ClmnBlkPt>
                              <ClmnBlkPtProps>
                                <CBPT>5</CBPT>
                                <ST>-1</ST>
                                <VOFFF/>
                              </ClmnBlkPtProps>
                            </ClmnBlkPt>
                          </ClmnBlkPts>
                        </ClmnBlk>
                      </ClmnBlks>
                      <TtlCtg>
                        <TtlCtgProps>
                          <R>2</R>
                        </TtlCtgProps>
                      </TtlCtg>
                    </Elmt>
                    <Elmt>
                      <ElmtProps>
                        <CPT>1</CPT>
                        <TOT>False</TOT>
                        <EGN>4</EGN>
                      </ElmtProps>
                      <ClmnBlks>
                        <ClmnBlk>
                          <ClmnBlkProps>
                            <FCPT>0</FCPT>
                            <FCN>4</FCN>
                            <LCPT>0</LCPT>
                            <LCN>7</LCN>
                          </ClmnBlkProps>
                          <ClmnBlkPts>
                            <ClmnBlkPt>
                              <ClmnBlkPtProps>
                                <CBPT>0</CBPT>
                                <ST>6</ST>
                                <MC>True</MC>
                                <VOFFF><![CDATA[=§A¿-2§Z¿]]></VOFFF>
                                <UDAV><![CDATA[<CategoriesGroupName> Category <CategoryNumber>]]></UDAV>
                              </ClmnBlkPtProps>
                              <LnkInForms>
                                <LnkInForm>
                                  <LnkInFormProps>
                                    <CBPLI>1,1,57,1,1</CBPLI>
                                    <ELN>1</ELN>
                                    <FFF><![CDATA[=§A¿10,FALSE,0,1,0,FALSE§Z¿]]></FFF>
                                  </LnkInFormProps>
                                </LnkInForm>
                              </LnkInForms>
                            </ClmnBlkPt>
                            <ClmnBlkPt>
                              <ClmnBlkPtProps>
                                <CBPT>1</CBPT>
                                <ST>6</ST>
                                <MC>True</MC>
                                <VOFFF><![CDATA[="Total "&§A¿0,1,0,1,57,1,3,0,0,0,FALSE,FALSE§Z¿]]></VOFFF>
                              </ClmnBlkPtProps>
                            </ClmnBlkPt>
                            <ClmnBlkPt>
                              <ClmnBlkPtProps>
                                <CBPT>2</CBPT>
                                <ST>7</ST>
                                <MC>True</MC>
                                <VOFFF/>
                                <UDAV><![CDATA[<CategoriesGroupName> Sub-Total <SubTotalNumber>]]></UDAV>
                              </ClmnBlkPtProps>
                            </ClmnBlkPt>
                            <ClmnBlkPt>
                              <ClmnBlkPtProps>
                                <CBPT>3</CBPT>
                                <ST>-1</ST>
                                <VOFFF/>
                              </ClmnBlkPtProps>
                            </ClmnBlkPt>
                            <ClmnBlkPt>
                              <ClmnBlkPtProps>
                                <CBPT>4</CBPT>
                                <ST>-1</ST>
                                <VOFFF/>
                              </ClmnBlkPtProps>
                            </ClmnBlkPt>
                            <ClmnBlkPt>
                              <ClmnBlkPtProps>
                                <CBPT>5</CBPT>
                                <ST>5</ST>
                                <MC>True</MC>
                                <VOFFF><![CDATA[Total <CategoriesGroupName>]]></VOFFF>
                              </ClmnBlkPtProps>
                            </ClmnBlkPt>
                          </ClmnBlkPts>
                        </ClmnBlk>
                        <ClmnBlk>
                          <ClmnBlkProps>
                            <FCPT>0</FCPT>
                            <FCN>9</FCN>
                            <LCPT>0</LCPT>
                            <LCN>12</LCN>
                          </ClmnBlkProps>
                          <ClmnBlkPts>
                            <ClmnBlkPt>
                              <ClmnBlkPtProps>
                                <CBPT>0</CBPT>
                                <ST>18</ST>
                                <VOFFF><![CDATA[=§A¿-2§Z¿]]></VOFFF>
                                <UDAV><![CDATA[0]]></UDAV>
                              </ClmnBlkPtProps>
                              <LnkInForms>
                                <LnkInForm>
                                  <LnkInFormProps>
                                    <CBPLI>1,1,57,2,1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
                          <ClmnBlkProps>
                            <FCPT>0</FCPT>
                            <FCN>13</FCN>
                            <LCPT>0</LCPT>
                            <LCN>13</LC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tgs>
                            <Ctg>
                              <CtgProps>
                                <R>2</R>
                              </CtgProps>
                              <LnkIn>
                                <LnkInProps>
                                  <MN>33</MN>
                                  <CLI>1,1,57,False,1</CLI>
                                  <ELN>1</ELN>
                                  <LOOT>0</LOOT>
                                  <LOMN>3</LOMN>
                                  <LOMCN>2</LOMCN>
                                  <LOSN>1</LOSN>
                                  <LOEN>4</LOEN>
                                  <LOCN>1</LOCN>
                                </LnkInProps>
                              </LnkIn>
                            </Ctg>
                            <Ctg>
                              <CtgProps>
                                <R>3</R>
                              </CtgProps>
                              <LnkIn>
                                <LnkInProps>
                                  <MN>33</MN>
                                  <CLI>1,1,57,False,2</CLI>
                                  <ELN>1</ELN>
                                  <LOOT>0</LOOT>
                                  <LOMN>3</LOMN>
                                  <LOMCN>2</LOMCN>
                                  <LOSN>1</LOSN>
                                  <LOEN>4</LOEN>
                                  <LOCN>2</LOCN>
                                </LnkInProps>
                              </LnkIn>
                            </Ctg>
                          </Ctgs>
                        </SubTtl>
                      </SubTtls>
                      <TtlCtg/>
                      <ElmtLnksIn>
                        <ElmtLnk>
                          <ElmtLnkProps>
                            <ELI>1,1,57</ELI>
                            <ELN>1</ELN>
                            <ELGN>2</ELGN>
                            <MLG>1638744F-648F-4D87-8C2C-69B71D7C5AA6</MLG>
                            <ICBI>1,2</ICBI>
                            <ILBN/>
                            <LIBN>0</LIBN>
                          </ElmtLnkProps>
                        </ElmtLnk>
                      </ElmtLnksIn>
                    </Elmt>
                    <Elmt>
                      <ElmtProps>
                        <CPT>2</CPT>
                      </ElmtProps>
                      <TtlCtg/>
                    </Elmt>
                    <Elmt>
                      <ElmtProps>
                        <CPT>2</CPT>
                      </ElmtProps>
                      <TtlCtg/>
                    </Elmt>
                  </Elmts>
                </Sect>
              </Sects>
            </ModComp>
            <ModComp>
              <ModCompProps>
                <MN>33</MN>
                <MCN>2</MCN>
                <MCTK>BaseCase</MCTK>
                <RT><![CDATA[<ModuleName> - Assumptions]]></RT>
                <ERN>BPMMC127</ERN>
                <MCST>1</MCST>
                <IPMC>False</IPMC>
                <SN>12</SN>
                <LODS>True</LODS>
                <LST>False</LST>
                <HS>False</HS>
                <IBOA>0</IBOA>
                <IB>True</IB>
                <CI/>
                <PTI/>
                <PTP>False</PTP>
                <PTD><![CDATA[Annual time series periods.]]></PTD>
                <PTMCN>3</PTMCN>
                <CROL>0</CROL>
                <CCOL>0</CCOL>
                <AMFN>0</AMFN>
              </ModCompProps>
              <Sects>
                <Sect>
                  <SectProps>
                    <LI>2,1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97</CTHN>
                                <ST>3</ST>
                                <VOFFF><![CDATA[<ModuleComponentTitle>]]></VOFFF>
                              </ClmnBlkPtProps>
                              <RgeNmes>
                                <RgeNme>
                                  <RgeNmeProps>
                                    <CBPLI>2,1,3,1,1</CBPLI>
                                    <MCN>2</MCN>
                                    <SN>1</SN>
                                    <EN>3</EN>
                                    <CN>0</CN>
                                    <CBN>1</CBN>
                                    <CBPN>1</CBPN>
                                    <PT>1</PT>
                                    <CBPRNT>6</CBPRNT>
                                    <NT>12</NT>
                                    <SP1><![CDATA[Ass_A]]></SP1>
                                    <SP2/>
                                    <FFF/>
                                    <CMT/>
                                  </RgeNmeProps>
                                </RgeNme>
                              </RgeNmes>
                            </ClmnBlkPt>
                          </ClmnBlkPts>
                        </ClmnBlk>
                      </ClmnBlks>
                      <TtlCtg/>
                    </Elmt>
                    <Elmt>
                      <ElmtProps>
                        <CPT>2</CPT>
                      </ElmtProps>
                      <TtlCtg/>
                    </Elmt>
                    <Elmt>
                      <ElmtProps>
                        <CPT>2</CPT>
                      </ElmtProps>
                      <TtlCtg/>
                    </Elmt>
                    <Elmt>
                      <ElmtProps>
                        <CPT>2</CPT>
                      </ElmtProps>
                      <TtlCtg/>
                    </Elmt>
                    <Elmt>
                      <ElmtProps>
                        <CPT>2</CPT>
                      </ElmtProps>
                      <ClmnBlks>
                        <ClmnBlk>
                          <ClmnBlkProps>
                            <FCPT>3</FCPT>
                            <FCN>6</FCN>
                            <FCOT>0</FCOT>
                            <FCOC>3</FCOC>
                            <FCPTBMCN>3</FCPTBMCN>
                            <FCPTBN>2</FCPTBN>
                            <LCPT>3</LCPT>
                            <LCN>6</LCN>
                            <LCOT>0</LCOT>
                            <LCOC>3</LCOC>
                            <LCPTBMCN>3</LCPTBMCN>
                            <LCPTBN>2</LCPTBN>
                          </ClmnBlkProps>
                          <ClmnBlkPts>
                            <ClmnBlkPt>
                              <ClmnBlkPtProps>
                                <CBPT>5</CBPT>
                                <ST>6</ST>
                                <VOFFF><![CDATA[ ]]></VOFFF>
                              </ClmnBlkPtProp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1,1,3,0,1,1,1§Z¿]]></VOFFF>
                              </ClmnBlkPtProps>
                              <Hlk>
                                <HlkProps>
                                  <CBPLI>2,1,16,1,1</CBPLI>
                                  <RT>0</RT>
                                  <RRRT>1</RRRT>
                                  <RCBPLI>1,1,3,1,1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3,1,3,0,1,1,1§Z¿]]></VOFFF>
                              </ClmnBlkPtProps>
                              <Hlk>
                                <HlkProps>
                                  <CBPLI>2,1,17,1,1</CBPLI>
                                  <RT>0</RT>
                                  <RRRT>1</RRRT>
                                  <RCBPLI>3,1,3,1,1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4,1,3,0,1,1,1§Z¿]]></VOFFF>
                              </ClmnBlkPtProps>
                              <Hlk>
                                <HlkProps>
                                  <CBPLI>2,1,18,1,1</CBPLI>
                                  <RT>0</RT>
                                  <RRRT>1</RRRT>
                                  <RCBPLI>4,1,3,1,1</RCBPLI>
                                  <RCN>0</RCN>
                                  <RRNPT>1</RRNPT>
                                  <RRNN>1</RRNN>
                                  <TTDT>0</TTDT>
                                  <AGT>False</AGT>
                                  <CT/>
                                </HlkProps>
                              </Hlk>
                            </ClmnBlkPt>
                          </ClmnBlkPts>
                        </ClmnBlk>
                      </ClmnBlks>
                      <TtlCtg/>
                    </Elmt>
                  </Elmts>
                </Sect>
              </Sects>
            </ModComp>
            <ModComp>
              <ModCompProps>
                <MN>33</MN>
                <MCN>3</MCN>
                <MCTK>OP</MCTK>
                <RT><![CDATA[<ModuleName> - Outputs]]></RT>
                <ERN>BPMMC128</ERN>
                <MCST>0</MCST>
                <IPMC>False</IPMC>
                <SN>24</SN>
                <LODS>True</LODS>
                <LST>False</LST>
                <HS>False</HS>
                <IBOA>0</IBOA>
                <IB>True</IB>
                <CI/>
                <PTI/>
                <PTP>False</PTP>
                <PTD/>
                <PTMCN>0</PTMCN>
                <CROL>0</CROL>
                <CCOL>0</CCOL>
                <AMFN>0</AMFN>
              </ModCompProps>
              <Sects>
                <Sect>
                  <SectProps>
                    <LI>3,1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98</CTHN>
                                <ST>3</ST>
                                <VOFFF><![CDATA[Vaccine Procurement and Shipment]]></VOFFF>
                              </ClmnBlkPtProps>
                              <RgeNmes>
                                <RgeNme>
                                  <RgeNmeProps>
                                    <CBPLI>3,1,3,1,1</CBPLI>
                                    <MCN>3</MCN>
                                    <SN>1</SN>
                                    <EN>3</EN>
                                    <CN>0</CN>
                                    <CBN>1</CBN>
                                    <CBPN>1</CBPN>
                                    <PT>1</PT>
                                    <CBPRNT>6</CBPRNT>
                                    <NT>12</NT>
                                    <SP1><![CDATA[Out]]></SP1>
                                    <SP2/>
                                    <FFF/>
                                    <CMT/>
                                  </RgeNmeProps>
                                </RgeNme>
                              </RgeNmes>
                            </ClmnBlkPt>
                          </ClmnBlkPts>
                        </ClmnBlk>
                      </ClmnBlks>
                      <TtlCtg/>
                    </Elmt>
                    <Elmt>
                      <ElmtProps>
                        <CPT>2</CPT>
                      </ElmtProps>
                      <ClmnBlks>
                        <ClmnBlk>
                          <ClmnBlkProps>
                            <FCPT>0</FCPT>
                            <FCN>3</FCN>
                            <LCPT>0</LCPT>
                            <LCN>3</LCN>
                          </ClmnBlkProps>
                          <ClmnBlkPts>
                            <ClmnBlkPt>
                              <ClmnBlkPtProps>
                                <CBPT>5</CBPT>
                                <ST>5</ST>
                                <VOFFF><![CDATA[=§A¿0,1,0,1,45,1,1,-1,0,0,FALSE,FALSE§Z¿]]></VOFFF>
                              </ClmnBlkPtProps>
                            </ClmnBlkPt>
                          </ClmnBlkPts>
                        </ClmnBlk>
                      </ClmnBlks>
                      <TtlCtg/>
                    </Elmt>
                    <Elmt>
                      <ElmtProps>
                        <CPT>2</CPT>
                      </ElmtProps>
                      <ClmnBlks>
                        <ClmnBlk>
                          <ClmnBlkProps>
                            <FCPT>0</FCPT>
                            <FCN>10</FCN>
                            <LCPT>0</LCPT>
                            <LCN>10</LCN>
                          </ClmnBlkProps>
                          <ClmnBlkPts>
                            <ClmnBlkPt>
                              <ClmnBlkPtProps>
                                <CBPT>5</CBPT>
                                <ST>6</ST>
                                <SON>14</SON>
                                <VOFFF><![CDATA[="FINANCIAL COST ("&§A¿1,1,1,1,20,0,2,1,1§Z¿&")"]]></VOFFF>
                              </ClmnBlkPtProps>
                            </ClmnBlkPt>
                          </ClmnBlkPts>
                        </ClmnBlk>
                        <ClmnBlk>
                          <ClmnBlkProps>
                            <FCPT>0</FCPT>
                            <FCN>12</FCN>
                            <LCPT>0</LCPT>
                            <LCN>12</LCN>
                          </ClmnBlkProps>
                          <ClmnBlkPts>
                            <ClmnBlkPt>
                              <ClmnBlkPtProps>
                                <CBPT>5</CBPT>
                                <ST>6</ST>
                                <SON>14</SON>
                                <VOFFF><![CDATA[="ECONOMIC COST ("&§A¿1,1,1,1,20,0,2,1,1§Z¿&")"]]></VOFFF>
                              </ClmnBlkPtProps>
                            </ClmnBlkPt>
                          </ClmnBlkPts>
                        </ClmnBlk>
                        <ClmnBlk>
                          <ClmnBlkProps>
                            <FCPT>0</FCPT>
                            <FCN>15</FCN>
                            <LCPT>0</LCPT>
                            <LCN>15</LCN>
                          </ClmnBlkProps>
                          <ClmnBlkPts>
                            <ClmnBlkPt>
                              <ClmnBlkPtProps>
                                <CBPT>5</CBPT>
                                <ST>6</ST>
                                <SON>14</SON>
                                <VOFFF><![CDATA[="FINANCIAL COST ("&IF(§A¿1,1,1,1,20,0,2,1,1§Z¿=§A¿5,5,1,11,1,TRUE,TRUE§Z¿,§A¿5,5,1,11,2,TRUE,TRUE§Z¿,§A¿5,5,1,11,1,TRUE,TRUE§Z¿)&")"]]></VOFFF>
                              </ClmnBlkPtProps>
                            </ClmnBlkPt>
                          </ClmnBlkPts>
                        </ClmnBlk>
                        <ClmnBlk>
                          <ClmnBlkProps>
                            <FCPT>0</FCPT>
                            <FCN>17</FCN>
                            <LCPT>0</LCPT>
                            <LCN>17</LCN>
                          </ClmnBlkProps>
                          <ClmnBlkPts>
                            <ClmnBlkPt>
                              <ClmnBlkPtProps>
                                <CBPT>5</CBPT>
                                <ST>6</ST>
                                <SON>14</SON>
                                <VOFFF><![CDATA[="ECONOMIC COST ("&IF(§A¿1,1,1,1,20,0,2,1,1§Z¿=§A¿5,5,1,11,1,TRUE,TRUE§Z¿,§A¿5,5,1,11,2,TRUE,TRUE§Z¿,§A¿5,5,1,11,1,TRUE,TRUE§Z¿)&")"]]></VOFFF>
                              </ClmnBlkPtProps>
                            </ClmnBlkPt>
                          </ClmnBlkPts>
                        </ClmnBlk>
                      </ClmnBlks>
                      <TtlCtg/>
                    </Elmt>
                    <Elmt>
                      <ElmtProps>
                        <CPT>2</CPT>
                      </ElmtProps>
                      <TtlCtg/>
                    </Elmt>
                    <Elmt>
                      <ElmtProps>
                        <CPT>2</CPT>
                      </ElmtProps>
                      <ClmnBlks>
                        <ClmnBlk>
                          <ClmnBlkProps>
                            <FCPT>0</FCPT>
                            <FCN>3</FCN>
                            <LCPT>0</LCPT>
                            <LCN>3</LCN>
                          </ClmnBlkProps>
                          <ClmnBlkPts>
                            <ClmnBlkPt>
                              <ClmnBlkPtProps>
                                <CBPT>5</CBPT>
                                <ST>6</ST>
                                <VOFFF><![CDATA[Purchase Price per Dose]]></VOFFF>
                              </ClmnBlkPtProps>
                            </ClmnBlkPt>
                          </ClmnBlkPts>
                        </ClmnBlk>
                        <ClmnBlk>
                          <ClmnBlkProps>
                            <FCPT>0</FCPT>
                            <FCN>10</FCN>
                            <LCPT>0</LCPT>
                            <LCN>10</LCN>
                          </ClmnBlkProps>
                          <ClmnBlkPts>
                            <ClmnBlkPt>
                              <ClmnBlkPtProps>
                                <CBPT>5</CBPT>
                                <ST>18</ST>
                                <SON>15</SON>
                                <VOFFF><![CDATA[=§A¿0,1,0,1,25,3,1,-1,0,0,FALSE,FALSE§Z¿]]></VOFFF>
                              </ClmnBlkPtProps>
                            </ClmnBlkPt>
                          </ClmnBlkPts>
                        </ClmnBlk>
                        <ClmnBlk>
                          <ClmnBlkProps>
                            <FCPT>0</FCPT>
                            <FCN>12</FCN>
                            <LCPT>0</LCPT>
                            <LCN>12</LCN>
                          </ClmnBlkProps>
                          <ClmnBlkPts>
                            <ClmnBlkPt>
                              <ClmnBlkPtProps>
                                <CBPT>5</CBPT>
                                <ST>18</ST>
                                <SON>15</SON>
                                <VOFFF><![CDATA[=§A¿0,1,0,1,25,4,1,-1,0,0,FALSE,FALSE§Z¿]]></VOFFF>
                              </ClmnBlkPtProps>
                            </ClmnBlkPt>
                          </ClmnBlkPts>
                        </ClmnBlk>
                        <ClmnBlk>
                          <ClmnBlkProps>
                            <FCPT>0</FCPT>
                            <FCN>15</FCN>
                            <LCPT>0</LCPT>
                            <LCN>15</LCN>
                          </ClmnBlkProps>
                          <ClmnBlkPts>
                            <ClmnBlkPt>
                              <ClmnBlkPtProps>
                                <CBPT>5</CBPT>
                                <ST>18</ST>
                                <VOFFF><![CDATA[=IFERROR(IF(§A¿1,1,1,1,20,0,2,1,1§Z¿=§A¿5,5,1,11,1,TRUE,TRUE§Z¿,§A¿0,3,0,1,7,2,1,-1,0,0,FALSE,FALSE§Z¿*§A¿0,3,0,1,18,2,1,2,0,0,TRUE,TRUE§Z¿,§A¿0,3,0,1,7,2,1,-1,0,0,FALSE,FALSE§Z¿/§A¿0,3,0,1,18,2,1,2,0,0,TRUE,TRUE§Z¿), 0)]]></VOFFF>
                              </ClmnBlkPtProps>
                            </ClmnBlkPt>
                          </ClmnBlkPts>
                        </ClmnBlk>
                        <ClmnBlk>
                          <ClmnBlkProps>
                            <FCPT>0</FCPT>
                            <FCN>17</FCN>
                            <LCPT>0</LCPT>
                            <LCN>17</LCN>
                          </ClmnBlkProps>
                          <ClmnBlkPts>
                            <ClmnBlkPt>
                              <ClmnBlkPtProps>
                                <CBPT>5</CBPT>
                                <ST>18</ST>
                                <VOFFF><![CDATA[=IFERROR(IF(§A¿1,1,1,1,20,0,2,1,1§Z¿=§A¿5,5,1,11,1,TRUE,TRUE§Z¿,§A¿0,3,0,1,7,3,1,-1,0,0,FALSE,FALSE§Z¿*§A¿0,3,0,1,18,2,1,2,0,0,TRUE,TRUE§Z¿,§A¿0,3,0,1,7,3,1,-1,0,0,FALSE,FALSE§Z¿/§A¿0,3,0,1,18,2,1,2,0,0,TRUE,TRUE§Z¿), 0)]]></VOFFF>
                              </ClmnBlkPtProps>
                            </ClmnBlkPt>
                          </ClmnBlkPts>
                        </ClmnBlk>
                      </ClmnBlks>
                      <TtlCtg/>
                    </Elmt>
                    <Elmt>
                      <ElmtProps>
                        <CPT>2</CPT>
                      </ElmtProps>
                      <ClmnBlks>
                        <ClmnBlk>
                          <ClmnBlkProps>
                            <FCPT>0</FCPT>
                            <FCN>3</FCN>
                            <LCPT>0</LCPT>
                            <LCN>3</LCN>
                          </ClmnBlkProps>
                          <ClmnBlkPts>
                            <ClmnBlkPt>
                              <ClmnBlkPtProps>
                                <CBPT>5</CBPT>
                                <ST>6</ST>
                                <VOFFF><![CDATA[Add-on Cost per Dose]]></VOFFF>
                              </ClmnBlkPtProps>
                            </ClmnBlkPt>
                          </ClmnBlkPts>
                        </ClmnBlk>
                        <ClmnBlk>
                          <ClmnBlkProps>
                            <FCPT>0</FCPT>
                            <FCN>10</FCN>
                            <LCPT>0</LCPT>
                            <LCN>10</LCN>
                          </ClmnBlkProps>
                          <ClmnBlkPts>
                            <ClmnBlkPt>
                              <ClmnBlkPtProps>
                                <CBPT>5</CBPT>
                                <ST>18</ST>
                                <SON>8</SON>
                                <VOFFF><![CDATA[=IF(§A¿1,1,1,1,1,0,2,1,1§Z¿=§A¿5,5,1,7,1,TRUE,TRUE§Z¿,§A¿0,1,0,1,43,2,1,-1,0,0,FALSE,FALSE§Z¿,§A¿0,1,0,1,43,4,1,-1,0,0,FALSE,FALSE§Z¿)]]></VOFFF>
                              </ClmnBlkPtProps>
                            </ClmnBlkPt>
                          </ClmnBlkPts>
                        </ClmnBlk>
                        <ClmnBlk>
                          <ClmnBlkProps>
                            <FCPT>0</FCPT>
                            <FCN>12</FCN>
                            <LCPT>0</LCPT>
                            <LCN>12</LCN>
                          </ClmnBlkProps>
                          <ClmnBlkPts>
                            <ClmnBlkPt>
                              <ClmnBlkPtProps>
                                <CBPT>5</CBPT>
                                <ST>18</ST>
                                <SON>8</SON>
                                <VOFFF><![CDATA[=IF(§A¿1,1,1,1,1,0,2,1,1§Z¿=§A¿5,5,1,7,1,TRUE,TRUE§Z¿,§A¿0,1,0,1,43,3,1,-1,0,0,FALSE,FALSE§Z¿,§A¿0,1,0,1,43,5,1,-1,0,0,FALSE,FALSE§Z¿)]]></VOFFF>
                              </ClmnBlkPtProps>
                            </ClmnBlkPt>
                          </ClmnBlkPts>
                        </ClmnBlk>
                        <ClmnBlk>
                          <ClmnBlkProps>
                            <FCPT>0</FCPT>
                            <FCN>15</FCN>
                            <LCPT>0</LCPT>
                            <LCN>15</LCN>
                          </ClmnBlkProps>
                          <ClmnBlkPts>
                            <ClmnBlkPt>
                              <ClmnBlkPtProps>
                                <CBPT>5</CBPT>
                                <ST>18</ST>
                                <VOFFF><![CDATA[=IFERROR(IF(§A¿1,1,1,1,20,0,2,1,1§Z¿=§A¿5,5,1,11,1,TRUE,TRUE§Z¿,§A¿0,3,0,1,8,2,1,-1,0,0,FALSE,FALSE§Z¿*§A¿0,3,0,1,18,2,1,2,0,0,TRUE,TRUE§Z¿,§A¿0,3,0,1,8,2,1,-1,0,0,FALSE,FALSE§Z¿/§A¿0,3,0,1,18,2,1,2,0,0,TRUE,TRUE§Z¿), 0)]]></VOFFF>
                              </ClmnBlkPtProps>
                            </ClmnBlkPt>
                          </ClmnBlkPts>
                        </ClmnBlk>
                        <ClmnBlk>
                          <ClmnBlkProps>
                            <FCPT>0</FCPT>
                            <FCN>17</FCN>
                            <LCPT>0</LCPT>
                            <LCN>17</LCN>
                          </ClmnBlkProps>
                          <ClmnBlkPts>
                            <ClmnBlkPt>
                              <ClmnBlkPtProps>
                                <CBPT>5</CBPT>
                                <ST>18</ST>
                                <VOFFF><![CDATA[=IFERROR(IF(§A¿1,1,1,1,20,0,2,1,1§Z¿=§A¿5,5,1,11,1,TRUE,TRUE§Z¿,§A¿0,3,0,1,8,3,1,-1,0,0,FALSE,FALSE§Z¿*§A¿0,3,0,1,18,2,1,2,0,0,TRUE,TRUE§Z¿,§A¿0,3,0,1,8,3,1,-1,0,0,FALSE,FALSE§Z¿/§A¿0,3,0,1,18,2,1,2,0,0,TRUE,TRUE§Z¿), 0)]]></VOFFF>
                              </ClmnBlkPtProps>
                            </ClmnBlkPt>
                          </ClmnBlkPts>
                        </ClmnBlk>
                      </ClmnBlks>
                      <TtlCtg/>
                    </Elmt>
                    <Elmt>
                      <ElmtProps>
                        <CPT>2</CPT>
                      </ElmtProps>
                      <ClmnBlks>
                        <ClmnBlk>
                          <ClmnBlkProps>
                            <FCPT>0</FCPT>
                            <FCN>3</FCN>
                            <LCPT>0</LCPT>
                            <LCN>3</LCN>
                          </ClmnBlkProps>
                          <ClmnBlkPts>
                            <ClmnBlkPt>
                              <ClmnBlkPtProps>
                                <CBPT>5</CBPT>
                                <ST>6</ST>
                                <VOFFF><![CDATA[Total Cost per Dose]]></VOFFF>
                              </ClmnBlkPtProps>
                            </ClmnBlkPt>
                          </ClmnBlkPts>
                        </ClmnBlk>
                        <ClmnBlk>
                          <ClmnBlkProps>
                            <FCPT>0</FCPT>
                            <FCN>10</FCN>
                            <LCPT>0</LCPT>
                            <LCN>10</LCN>
                          </ClmnBlkProps>
                          <ClmnBlkPts>
                            <ClmnBlkPt>
                              <ClmnBlkPtProps>
                                <CBPT>5</CBPT>
                                <ST>18</ST>
                                <SON>20</SON>
                                <VOFFF><![CDATA[=§A¿0,3,0,1,7,2,1,-1,0,0,FALSE,FALSE§Z¿+§A¿0,3,0,1,8,2,1,-1,0,0,FALSE,FALSE§Z¿]]></VOFFF>
                              </ClmnBlkPtProps>
                            </ClmnBlkPt>
                          </ClmnBlkPts>
                        </ClmnBlk>
                        <ClmnBlk>
                          <ClmnBlkProps>
                            <FCPT>0</FCPT>
                            <FCN>12</FCN>
                            <LCPT>0</LCPT>
                            <LCN>12</LCN>
                          </ClmnBlkProps>
                          <ClmnBlkPts>
                            <ClmnBlkPt>
                              <ClmnBlkPtProps>
                                <CBPT>5</CBPT>
                                <ST>18</ST>
                                <SON>20</SON>
                                <VOFFF><![CDATA[=§A¿0,3,0,1,7,3,1,-1,0,0,FALSE,FALSE§Z¿+§A¿0,3,0,1,8,3,1,-1,0,0,FALSE,FALSE§Z¿]]></VOFFF>
                              </ClmnBlkPtProps>
                            </ClmnBlkPt>
                          </ClmnBlkPts>
                        </ClmnBlk>
                        <ClmnBlk>
                          <ClmnBlkProps>
                            <FCPT>0</FCPT>
                            <FCN>15</FCN>
                            <LCPT>0</LCPT>
                            <LCN>15</LCN>
                          </ClmnBlkProps>
                          <ClmnBlkPts>
                            <ClmnBlkPt>
                              <ClmnBlkPtProps>
                                <CBPT>5</CBPT>
                                <ST>18</ST>
                                <SON>17</SON>
                                <VOFFF><![CDATA[=IFERROR(IF(§A¿1,1,1,1,20,0,2,1,1§Z¿=§A¿5,5,1,11,1,TRUE,TRUE§Z¿,§A¿0,3,0,1,9,2,1,-1,0,0,FALSE,FALSE§Z¿*§A¿0,3,0,1,18,2,1,2,0,0,TRUE,TRUE§Z¿,§A¿0,3,0,1,9,2,1,-1,0,0,FALSE,FALSE§Z¿/§A¿0,3,0,1,18,2,1,2,0,0,TRUE,TRUE§Z¿), 0)]]></VOFFF>
                              </ClmnBlkPtProps>
                            </ClmnBlkPt>
                          </ClmnBlkPts>
                        </ClmnBlk>
                        <ClmnBlk>
                          <ClmnBlkProps>
                            <FCPT>0</FCPT>
                            <FCN>17</FCN>
                            <LCPT>0</LCPT>
                            <LCN>17</LCN>
                          </ClmnBlkProps>
                          <ClmnBlkPts>
                            <ClmnBlkPt>
                              <ClmnBlkPtProps>
                                <CBPT>5</CBPT>
                                <ST>18</ST>
                                <SON>17</SON>
                                <VOFFF><![CDATA[=IFERROR(IF(§A¿1,1,1,1,20,0,2,1,1§Z¿=§A¿5,5,1,11,1,TRUE,TRUE§Z¿,§A¿0,3,0,1,9,3,1,-1,0,0,FALSE,FALSE§Z¿*§A¿0,3,0,1,18,2,1,2,0,0,TRUE,TRUE§Z¿,§A¿0,3,0,1,9,3,1,-1,0,0,FALSE,FALSE§Z¿/§A¿0,3,0,1,18,2,1,2,0,0,TRUE,TRUE§Z¿), 0)]]></VOFFF>
                              </ClmnBlkPtProps>
                            </ClmnBlkPt>
                          </ClmnBlkPts>
                        </ClmnBlk>
                      </ClmnBlks>
                      <TtlCtg/>
                    </Elmt>
                    <Elmt>
                      <ElmtProps>
                        <CPT>2</CPT>
                      </ElmtProps>
                      <ClmnBlks>
                        <ClmnBlk>
                          <ClmnBlkProps>
                            <FCPT>0</FCPT>
                            <FCN>7</FCN>
                            <LCPT>0</LCPT>
                            <LCN>7</LCN>
                          </ClmnBlkProps>
                          <ClmnBlkPts>
                            <ClmnBlkPt>
                              <ClmnBlkPtProps>
                                <CBPT>5</CBPT>
                                <ST>6</ST>
                                <SON>2</SON>
                                <VOFFF><![CDATA[# Doses]]></VOFFF>
                              </ClmnBlkPtProps>
                            </ClmnBlkPt>
                          </ClmnBlkPts>
                        </ClmnBlk>
                        <ClmnBlk>
                          <ClmnBlkProps>
                            <FCPT>0</FCPT>
                            <FCN>8</FCN>
                            <LCPT>0</LCPT>
                            <LCN>8</LCN>
                          </ClmnBlkProps>
                          <ClmnBlkPts>
                            <ClmnBlkPt>
                              <ClmnBlkPtProps>
                                <CBPT>5</CBPT>
                                <ST>18</ST>
                                <SON>4</SON>
                                <VOFFF><![CDATA[=IF(§A¿1,1,1,1,1,0,2,1,1§Z¿=§A¿5,5,1,7,1,TRUE,TRUE§Z¿,§A¿1,1,1,1,29,0,2,1,1§Z¿,§A¿1,1,1,1,29,0,3,1,1§Z¿)]]></VOFFF>
                              </ClmnBlkPtProps>
                            </ClmnBlkPt>
                          </ClmnBlkPts>
                        </ClmnBlk>
                      </ClmnBlks>
                      <TtlCtg/>
                    </Elmt>
                    <Elmt>
                      <ElmtProps>
                        <CPT>2</CPT>
                      </ElmtProps>
                      <ClmnBlks>
                        <ClmnBlk>
                          <ClmnBlkProps>
                            <FCPT>0</FCPT>
                            <FCN>3</FCN>
                            <LCPT>0</LCPT>
                            <LCN>3</LCN>
                          </ClmnBlkProps>
                          <ClmnBlkPts>
                            <ClmnBlkPt>
                              <ClmnBlkPtProps>
                                <CBPT>5</CBPT>
                                <ST>6</ST>
                                <VOFFF><![CDATA[Subtotal Vaccine Cost]]></VOFFF>
                              </ClmnBlkPtProps>
                            </ClmnBlkPt>
                          </ClmnBlkPts>
                        </ClmnBlk>
                        <ClmnBlk>
                          <ClmnBlkProps>
                            <FCPT>0</FCPT>
                            <FCN>10</FCN>
                            <LCPT>0</LCPT>
                            <LCN>10</LCN>
                          </ClmnBlkProps>
                          <ClmnBlkPts>
                            <ClmnBlkPt>
                              <ClmnBlkPtProps>
                                <CBPT>5</CBPT>
                                <ST>18</ST>
                                <SON>11</SON>
                                <VOFFF><![CDATA[=§A¿0,3,0,1,10,2,1,-1,0,0,FALSE,TRUE§Z¿*§A¿0,3,0,1,9,2,1,-1,0,0,FALSE,FALSE§Z¿]]></VOFFF>
                              </ClmnBlkPtProps>
                            </ClmnBlkPt>
                          </ClmnBlkPts>
                        </ClmnBlk>
                        <ClmnBlk>
                          <ClmnBlkProps>
                            <FCPT>0</FCPT>
                            <FCN>12</FCN>
                            <LCPT>0</LCPT>
                            <LCN>12</LCN>
                          </ClmnBlkProps>
                          <ClmnBlkPts>
                            <ClmnBlkPt>
                              <ClmnBlkPtProps>
                                <CBPT>5</CBPT>
                                <ST>18</ST>
                                <SON>11</SON>
                                <VOFFF><![CDATA[=§A¿0,3,0,1,10,2,1,-1,0,0,FALSE,TRUE§Z¿*§A¿0,3,0,1,9,3,1,-1,0,0,FALSE,FALSE§Z¿]]></VOFFF>
                              </ClmnBlkPtProps>
                            </ClmnBlkPt>
                          </ClmnBlkPts>
                        </ClmnBlk>
                        <ClmnBlk>
                          <ClmnBlkProps>
                            <FCPT>0</FCPT>
                            <FCN>15</FCN>
                            <LCPT>0</LCPT>
                            <LCN>15</LCN>
                          </ClmnBlkProps>
                          <ClmnBlkPts>
                            <ClmnBlkPt>
                              <ClmnBlkPtProps>
                                <CBPT>5</CBPT>
                                <ST>18</ST>
                                <SON>11</SON>
                                <VOFFF><![CDATA[=§A¿0,3,0,1,10,2,1,-1,0,0,FALSE,TRUE§Z¿*§A¿0,3,0,1,9,4,1,-1,0,0,FALSE,FALSE§Z¿]]></VOFFF>
                              </ClmnBlkPtProps>
                            </ClmnBlkPt>
                          </ClmnBlkPts>
                        </ClmnBlk>
                        <ClmnBlk>
                          <ClmnBlkProps>
                            <FCPT>0</FCPT>
                            <FCN>17</FCN>
                            <LCPT>0</LCPT>
                            <LCN>17</LCN>
                          </ClmnBlkProps>
                          <ClmnBlkPts>
                            <ClmnBlkPt>
                              <ClmnBlkPtProps>
                                <CBPT>5</CBPT>
                                <ST>18</ST>
                                <SON>11</SON>
                                <VOFFF><![CDATA[=§A¿0,3,0,1,10,2,1,-1,0,0,FALSE,TRUE§Z¿*§A¿0,3,0,1,9,5,1,-1,0,0,FALSE,FALSE§Z¿]]></VOFFF>
                              </ClmnBlkPtProps>
                            </ClmnBlkPt>
                          </ClmnBlkPts>
                        </ClmnBlk>
                      </ClmnBlks>
                      <TtlCtg/>
                    </Elmt>
                    <Elmt>
                      <ElmtProps>
                        <CPT>2</CPT>
                      </ElmtProps>
                      <ClmnBlks>
                        <ClmnBlk>
                          <ClmnBlkProps>
                            <FCPT>0</FCPT>
                            <FCN>3</FCN>
                            <LCPT>0</LCPT>
                            <LCN>3</LCN>
                          </ClmnBlkProps>
                          <ClmnBlkPts>
                            <ClmnBlkPt>
                              <ClmnBlkPtProps>
                                <CBPT>5</CBPT>
                                <ST>6</ST>
                                <VOFFF><![CDATA[Cross-Check Totals (should be same)]]></VOFFF>
                              </ClmnBlkPtProps>
                            </ClmnBlkPt>
                          </ClmnBlkPts>
                        </ClmnBlk>
                        <ClmnBlk>
                          <ClmnBlkProps>
                            <FCPT>0</FCPT>
                            <FCN>10</FCN>
                            <LCPT>0</LCPT>
                            <LCN>10</LCN>
                          </ClmnBlkProps>
                          <ClmnBlkPts>
                            <ClmnBlkPt>
                              <ClmnBlkPtProps>
                                <CBPT>5</CBPT>
                                <ST>18</ST>
                                <SON>4</SON>
                                <VOFFF><![CDATA[=§A¿0,1,0,1,51,5,1,-1,0,0,FALSE,FALSE§Z¿]]></VOFFF>
                              </ClmnBlkPtProps>
                            </ClmnBlkPt>
                          </ClmnBlkPts>
                        </ClmnBlk>
                        <ClmnBlk>
                          <ClmnBlkProps>
                            <FCPT>0</FCPT>
                            <FCN>12</FCN>
                            <LCPT>0</LCPT>
                            <LCN>12</LCN>
                          </ClmnBlkProps>
                          <ClmnBlkPts>
                            <ClmnBlkPt>
                              <ClmnBlkPtProps>
                                <CBPT>5</CBPT>
                                <ST>18</ST>
                                <SON>4</SON>
                                <VOFFF><![CDATA[=§A¿0,1,0,1,51,6,1,-1,0,0,FALSE,FALSE§Z¿]]></VOFFF>
                              </ClmnBlkPtProps>
                            </ClmnBlkPt>
                          </ClmnBlkPts>
                        </ClmnBlk>
                        <ClmnBlk>
                          <ClmnBlkProps>
                            <FCPT>0</FCPT>
                            <FCN>15</FCN>
                            <LCPT>0</LCPT>
                            <LCN>15</LCN>
                          </ClmnBlkProps>
                          <ClmnBlkPts>
                            <ClmnBlkPt>
                              <ClmnBlkPtProps>
                                <CBPT>5</CBPT>
                                <ST>18</ST>
                                <SON>4</SON>
                                <VOFFF><![CDATA[=§A¿0,1,0,1,51,7,1,-1,0,0,FALSE,FALSE§Z¿]]></VOFFF>
                              </ClmnBlkPtProps>
                            </ClmnBlkPt>
                          </ClmnBlkPts>
                        </ClmnBlk>
                        <ClmnBlk>
                          <ClmnBlkProps>
                            <FCPT>0</FCPT>
                            <FCN>17</FCN>
                            <LCPT>0</LCPT>
                            <LCN>17</LCN>
                          </ClmnBlkProps>
                          <ClmnBlkPts>
                            <ClmnBlkPt>
                              <ClmnBlkPtProps>
                                <CBPT>5</CBPT>
                                <ST>18</ST>
                                <SON>4</SON>
                                <VOFFF><![CDATA[=§A¿0,1,0,1,51,8,1,-1,0,0,FALSE,FALSE§Z¿]]></VOFFF>
                              </ClmnBlkPtProps>
                            </ClmnBlkPt>
                          </ClmnBlkPts>
                        </ClmnBlk>
                      </ClmnBlks>
                      <TtlCtg>
                        <TtlCtgProps>
                          <R>1</R>
                        </TtlCtgProps>
                      </TtlCtg>
                    </Elmt>
                    <Elmt>
                      <ElmtProps>
                        <CPT>2</CPT>
                      </ElmtProps>
                      <ClmnBlks>
                        <ClmnBlk>
                          <ClmnBlkProps>
                            <FCPT>0</FCPT>
                            <FCN>2</FCN>
                            <LCPT>0</LCPT>
                            <LCN>19</LCN>
                          </ClmnBlkProps>
                          <ClmnBlkPts>
                            <ClmnBlkPt>
                              <ClmnBlkPtProps>
                                <CBPT>5</CBPT>
                                <ST>-1</ST>
                                <SON>21</SON>
                                <VOFFF/>
                              </ClmnBlkPtProps>
                            </ClmnBlkPt>
                          </ClmnBlkPts>
                        </ClmnBlk>
                      </ClmnBlks>
                      <TtlCtg/>
                    </Elmt>
                    <Elmt>
                      <ElmtProps>
                        <CPT>2</CPT>
                      </ElmtProps>
                      <ClmnBlks>
                        <ClmnBlk>
                          <ClmnBlkProps>
                            <FCPT>0</FCPT>
                            <FCN>3</FCN>
                            <LCPT>0</LCPT>
                            <LCN>9</LCN>
                          </ClmnBlkProps>
                          <ClmnBlkPts>
                            <ClmnBlkPt>
                              <ClmnBlkPtProps>
                                <CBPT>5</CBPT>
                                <ST>26</ST>
                                <MC>True</MC>
                                <VOFFF><![CDATA[="Go to "&§A¿1,1,1,1,3,0,1,1,1§Z¿]]></VOFFF>
                              </ClmnBlkPtProps>
                              <Hlk>
                                <HlkProps>
                                  <CBPLI>3,1,14,1,1</CBPLI>
                                  <RT>0</RT>
                                  <RRRT>1</RRRT>
                                  <RCBPLI>1,1,3,1,1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4,1,3,0,1,1,1§Z¿]]></VOFFF>
                              </ClmnBlkPtProps>
                              <Hlk>
                                <HlkProps>
                                  <CBPLI>3,1,15,1,1</CBPLI>
                                  <RT>0</RT>
                                  <RRRT>1</RRRT>
                                  <RCBPLI>4,1,3,1,1</RCBPLI>
                                  <RCN>0</RCN>
                                  <RRNPT>1</RRNPT>
                                  <RRNN>1</RRNN>
                                  <TTDT>0</TTDT>
                                  <AGT>False</AGT>
                                  <CT/>
                                </HlkProps>
                              </Hlk>
                            </ClmnBlkPt>
                          </ClmnBlkPts>
                        </ClmnBlk>
                      </ClmnBlks>
                      <TtlCtg/>
                    </Elmt>
                    <Elmt>
                      <ElmtProps>
                        <CPT>2</CPT>
                      </ElmtProps>
                      <TtlCtg/>
                    </Elmt>
                    <Elmt>
                      <ElmtProps>
                        <CPT>2</CPT>
                      </ElmtProps>
                      <ClmnBlks>
                        <ClmnBlk>
                          <ClmnBlkProps>
                            <FCPT>0</FCPT>
                            <FCN>2</FCN>
                            <LCPT>0</LCPT>
                            <LCN>2</LCN>
                          </ClmnBlkProps>
                          <ClmnBlkPts>
                            <ClmnBlkPt>
                              <ClmnBlkPtProps>
                                <CBPT>5</CBPT>
                                <ST>6</ST>
                                <VOFFF><![CDATA[Currencies & Exchange Rates Reference Links (Developer Only. User Can Change in Step 1.d.)]]></VOFFF>
                              </ClmnBlkPtProps>
                            </ClmnBlkPt>
                          </ClmnBlkPts>
                        </ClmnBlk>
                      </ClmnBlks>
                      <TtlCtg/>
                    </Elmt>
                    <Elmt>
                      <ElmtProps>
                        <CPT>1</CPT>
                        <TOT>False</TOT>
                        <EGN>4</EGN>
                      </ElmtProps>
                      <ClmnBlks>
                        <ClmnBlk>
                          <ClmnBlkProps>
                            <FCPT>0</FCPT>
                            <FCN>3</FCN>
                            <LCPT>0</LCPT>
                            <LCN>3</LCN>
                          </ClmnBlkProps>
                          <ClmnBlkPts>
                            <ClmnBlkPt>
                              <ClmnBlkPtProps>
                                <CBPT>0</CBPT>
                                <ST>6</ST>
                                <VOFFF><![CDATA[=§A¿0,1,0,1,57,1,1,0,0,0,FALSE,FALSE§Z¿]]></VOFFF>
                                <UDAV><![CDATA[<CategoriesGroupName> Category <CategoryNumber>]]></UDAV>
                              </ClmnBlkPtProps>
                              <LnkInForms>
                                <LnkInForm>
                                  <LnkInFormProps>
                                    <CBPLI>3,1,18,1,1</CBPLI>
                                    <ELN>1</ELN>
                                    <FFF><![CDATA[=§A¿10,FALSE,0,1,0,FALSE§Z¿]]></FFF>
                                  </LnkInFormProps>
                                </LnkInForm>
                              </LnkInForms>
                            </ClmnBlkPt>
                            <ClmnBlkPt>
                              <ClmnBlkPtProps>
                                <CBPT>1</CBPT>
                                <ST>6</ST>
                                <VOFFF><![CDATA[="Total "&§A¿0,3,0,1,18,1,3,0,0,0,FALSE,FALSE§Z¿]]></VOFFF>
                                <UDAV><![CDATA[<CategoriesGroupName> Sub-Total <SubTotalNumber>]]></UDAV>
                              </ClmnBlkPtProps>
                            </ClmnBlkPt>
                            <ClmnBlkPt>
                              <ClmnBlkPtProps>
                                <CBPT>2</CBPT>
                                <ST>5</ST>
                                <VOFFF><![CDATA[=§A¿0,1,0,1,57,1,3,0,0,0,FALSE,FALSE§Z¿]]></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UDAV><![CDATA[Total <CategoriesGroupName>]]></UDAV>
                              </ClmnBlkPtProps>
                            </ClmnBlkPt>
                          </ClmnBlkPts>
                        </ClmnBlk>
                        <ClmnBlk>
                          <ClmnBlkProps>
                            <FCPT>0</FCPT>
                            <FCN>9</FCN>
                            <LCPT>0</LCPT>
                            <LCN>9</LCN>
                          </ClmnBlkProps>
                          <ClmnBlkPts>
                            <ClmnBlkPt>
                              <ClmnBlkPtProps>
                                <CBPT>0</CBPT>
                                <ST>18</ST>
                                <VOFFF><![CDATA[0]]></VOFFF>
                              </ClmnBlkPtProps>
                              <LnkInForms>
                                <LnkInForm>
                                  <LnkInFormProps>
                                    <CBPLI>3,1,18,2,1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tgs>
                            <Ctg>
                              <CtgProps>
                                <R>2</R>
                              </CtgProps>
                              <LnkIn>
                                <LnkInProps>
                                  <MN>33</MN>
                                  <CLI>3,1,18,False,1</CLI>
                                  <ELN>1</ELN>
                                  <LOOT>0</LOOT>
                                  <LOMN>3</LOMN>
                                  <LOMCN>2</LOMCN>
                                  <LOSN>1</LOSN>
                                  <LOEN>4</LOEN>
                                  <LOCN>1</LOCN>
                                </LnkInProps>
                              </LnkIn>
                            </Ctg>
                            <Ctg>
                              <CtgProps>
                                <R>3</R>
                              </CtgProps>
                              <LnkIn>
                                <LnkInProps>
                                  <MN>33</MN>
                                  <CLI>3,1,18,False,2</CLI>
                                  <ELN>1</ELN>
                                  <LOOT>0</LOOT>
                                  <LOMN>3</LOMN>
                                  <LOMCN>2</LOMCN>
                                  <LOSN>1</LOSN>
                                  <LOEN>4</LOEN>
                                  <LOCN>2</LOCN>
                                </LnkInProps>
                              </LnkIn>
                            </Ctg>
                          </Ctgs>
                        </SubTtl>
                      </SubTtls>
                      <TtlCtg/>
                      <ElmtLnksIn>
                        <ElmtLnk>
                          <ElmtLnkProps>
                            <ELI>3,1,18</ELI>
                            <ELN>1</ELN>
                            <ELGN>2</ELGN>
                            <MLG>1638744F-648F-4D87-8C2C-69B71D7C5AA6</MLG>
                            <ICBI>1,2</ICBI>
                            <ILBN/>
                            <LIBN>0</LIBN>
                          </ElmtLnkProps>
                        </ElmtLnk>
                      </ElmtLnksIn>
                    </Elmt>
                    <Elmt>
                      <ElmtProps>
                        <CPT>2</CPT>
                      </ElmtProps>
                      <TtlCtg/>
                    </Elmt>
                    <Elmt>
                      <ElmtProps>
                        <CPT>2</CPT>
                      </ElmtProps>
                      <TtlCtg/>
                    </Elmt>
                  </Elmts>
                </Sect>
              </Sects>
            </ModComp>
            <ModComp>
              <ModCompProps>
                <MN>33</MN>
                <MCN>4</MCN>
                <MCTK>OP</MCTK>
                <RT><![CDATA[<ModuleName> - Outputs]]></RT>
                <ERN>BPMMC129</ERN>
                <MCST>1</MCST>
                <IPMC>False</IPMC>
                <SN>33</SN>
                <LODS>True</LODS>
                <LST>False</LST>
                <HS>False</HS>
                <IBOA>3</IBOA>
                <IB>True</IB>
                <CI/>
                <PTI/>
                <PTP>False</PTP>
                <PTD><![CDATA[Annual time series periods.]]></PTD>
                <PTMCN>3</PTMCN>
                <CROL>0</CROL>
                <CCOL>0</CCOL>
                <AMFN>0</AMFN>
              </ModCompProps>
              <Sects>
                <Sect>
                  <SectProps>
                    <LI>4,1</LI>
                    <EGN>0</EGN>
                  </SectProps>
                  <Elmts>
                    <Elmt>
                      <ElmtProps>
                        <CPT>2</CPT>
                      </ElmtProps>
                      <TtlCtg/>
                    </Elmt>
                    <Elmt>
                      <ElmtProps>
                        <CPT>2</CPT>
                      </Elmt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99</CTHN>
                                <ST>3</ST>
                                <VOFFF><![CDATA[<ModuleComponentTitle>]]></VOFFF>
                              </ClmnBlkPtProps>
                              <RgeNmes>
                                <RgeNme>
                                  <RgeNmeProps>
                                    <CBPLI>4,1,3,1,1</CBPLI>
                                    <MCN>4</MCN>
                                    <SN>1</SN>
                                    <EN>3</EN>
                                    <CN>0</CN>
                                    <CBN>1</CBN>
                                    <CBPN>1</CBPN>
                                    <PT>1</PT>
                                    <CBPRNT>6</CBPRNT>
                                    <NT>12</NT>
                                    <SP1><![CDATA[Out_A]]></SP1>
                                    <SP2/>
                                    <FFF/>
                                    <CMT/>
                                  </RgeNmeProps>
                                </RgeNme>
                              </RgeNmes>
                            </ClmnBlkPt>
                          </ClmnBlkPts>
                        </ClmnBlk>
                      </ClmnBlk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1,1,3,0,1,1,1§Z¿]]></VOFFF>
                              </ClmnBlkPtProps>
                              <Hlk>
                                <HlkProps>
                                  <CBPLI>4,1,16,1,1</CBPLI>
                                  <RT>0</RT>
                                  <RRRT>1</RRRT>
                                  <RCBPLI>1,1,3,1,1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2,1,3,0,1,1,1§Z¿]]></VOFFF>
                              </ClmnBlkPtProps>
                              <Hlk>
                                <HlkProps>
                                  <CBPLI>4,1,17,1,1</CBPLI>
                                  <RT>0</RT>
                                  <RRRT>1</RRRT>
                                  <RCBPLI>2,1,3,1,1</RCBPLI>
                                  <RCN>0</RCN>
                                  <RRNPT>1</RRNPT>
                                  <RRNN>1</RRNN>
                                  <TTDT>0</TTDT>
                                  <AGT>False</AGT>
                                  <CT/>
                                </HlkProps>
                              </Hlk>
                            </ClmnBlkPt>
                          </ClmnBlkPts>
                        </ClmnBlk>
                      </ClmnBlks>
                      <TtlCtg/>
                    </Elmt>
                    <Elmt>
                      <ElmtProps>
                        <CPT>2</CPT>
                      </ElmtProps>
                      <ClmnBlks>
                        <ClmnBlk>
                          <ClmnBlkProps>
                            <FCPT>3</FCPT>
                            <FCN>3</FCN>
                            <FCOT>0</FCOT>
                            <FCOC>0</FCOC>
                            <FCPTBMCN>3</FCPTBMCN>
                            <FCPTBN>2</FCPTBN>
                            <LCPT>3</LCPT>
                            <LCN>10</LCN>
                            <LCOT>1</LCOT>
                            <LCOC>0</LCOC>
                            <LCPTBMCN>3</LCPTBMCN>
                            <LCPTBN>2</LCPTBN>
                          </ClmnBlkProps>
                          <ClmnBlkPts>
                            <ClmnBlkPt>
                              <ClmnBlkPtProps>
                                <CBPT>5</CBPT>
                                <ST>26</ST>
                                <MC>True</MC>
                                <VOFFF><![CDATA[="Go to "&§A¿1,1,3,1,3,0,1,1,1§Z¿]]></VOFFF>
                              </ClmnBlkPtProps>
                              <Hlk>
                                <HlkProps>
                                  <CBPLI>4,1,18,1,1</CBPLI>
                                  <RT>0</RT>
                                  <RRRT>1</RRRT>
                                  <RCBPLI>3,1,3,1,1</RCBPLI>
                                  <RCN>0</RCN>
                                  <RRNPT>1</RRNPT>
                                  <RRNN>1</RRNN>
                                  <TTDT>0</TTDT>
                                  <AGT>False</AGT>
                                  <CT/>
                                </HlkProps>
                              </Hlk>
                            </ClmnBlkPt>
                          </ClmnBlkPts>
                        </ClmnBlk>
                      </ClmnBlks>
                      <TtlCtg/>
                    </Elmt>
                  </Elmts>
                </Sect>
              </Sects>
            </ModComp>
            <ModComp>
              <ModCompProps>
                <MN>33</MN>
                <MCN>5</MCN>
                <MCTK>LU</MCTK>
                <RT><![CDATA[<ModuleName> - Lookups]]></RT>
                <ERN>BPMMC130</ERN>
                <MCST>3</MCST>
                <IPMC>False</IPMC>
                <SN>58</SN>
                <LODS>True</LODS>
                <LST>False</LST>
                <HS>False</HS>
                <IBOA>0</IBOA>
                <IB>True</IB>
                <CI/>
                <PTI/>
                <PTP>False</PTP>
                <PTD/>
                <PTMCN>0</PTMCN>
                <CROL>0</CROL>
                <CCOL>0</CCOL>
                <AMFN>0</AMFN>
              </ModCompProps>
              <Sects>
                <Sect>
                  <SectProps>
                    <LI>5,1</LI>
                    <EGN>0</EGN>
                  </SectProps>
                  <Elmts>
                    <Elmt>
                      <ElmtProps>
                        <CPT>2</CPT>
                      </ElmtProps>
                      <TtlCtg/>
                    </Elmt>
                    <Elmt>
                      <ElmtProps>
                        <CPT>2</CPT>
                      </ElmtProps>
                      <TtlCtg/>
                    </Elmt>
                    <Elmt>
                      <ElmtProps>
                        <CPT>2</CPT>
                      </ElmtProps>
                      <ClmnBlks>
                        <ClmnBlk>
                          <ClmnBlkProps>
                            <FCPT>0</FCPT>
                            <FCN>2</FCN>
                            <LCPT>0</LCPT>
                            <LCN>2</LCN>
                          </ClmnBlkProps>
                          <ClmnBlkPts>
                            <ClmnBlkPt>
                              <ClmnBlkPtProps>
                                <CBPT>5</CBPT>
                                <HCTHR>True</HCTHR>
                                <CTHN>100</CTHN>
                                <ST>3</ST>
                                <VOFFF><![CDATA[<ModuleComponentTitle>]]></VOFFF>
                              </ClmnBlkPtProps>
                            </ClmnBlkPt>
                          </ClmnBlkPts>
                        </ClmnBlk>
                      </ClmnBlks>
                      <TtlCtg/>
                    </Elmt>
                    <Elmt>
                      <ElmtProps>
                        <CPT>2</CPT>
                      </ElmtProps>
                      <TtlCtg/>
                    </Elmt>
                    <Elmt>
                      <ElmtProps>
                        <CPT>2</CPT>
                      </ElmtProps>
                      <ClmnBlks>
                        <ClmnBlk>
                          <ClmnBlkProps>
                            <FCPT>0</FCPT>
                            <FCN>3</FCN>
                            <LCPT>0</LCPT>
                            <LCN>3</LCN>
                          </ClmnBlkProps>
                          <ClmnBlkPts>
                            <ClmnBlkPt>
                              <ClmnBlkPtProps>
                                <CBPT>5</CBPT>
                                <ST>4</ST>
                                <VOFFF><![CDATA[Lookup Table Title]]></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1</EGN>
                      </ElmtProps>
                      <ClmnBlks>
                        <ClmnBlk>
                          <ClmnBlkProps>
                            <FCPT>0</FCPT>
                            <FCN>4</FCN>
                            <LCPT>0</LCPT>
                            <LCN>4</LCN>
                          </ClmnBlkProps>
                          <ClmnBlkPts>
                            <ClmnBlkPt>
                              <ClmnBlkPtProps>
                                <CBPT>0</CBPT>
                                <ST>25</ST>
                                <VOFFF/>
                              </ClmnBlkPtProps>
                              <RgeNmes>
                                <RgeNme>
                                  <RgeNmeProps>
                                    <CBPLI>5,1,7,1,1</CBPLI>
                                    <MCN>5</MCN>
                                    <SN>1</SN>
                                    <EN>7</EN>
                                    <CN>0</CN>
                                    <CBN>1</CBN>
                                    <CBPN>1</CBPN>
                                    <PT>1</PT>
                                    <CBPRNT>2</CBPRNT>
                                    <NT>11</NT>
                                    <SP1><![CDATA[PROS_RETRO]]></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Lookup Table Heading]]></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Vacc_PROS_RETRO]]></VOFFF>
                              </ClmnBlkPtProps>
                            </ClmnBlkPt>
                          </ClmnBlkPts>
                        </ClmnBlk>
                      </ClmnBlks>
                      <SubTtls>
                        <SubTtl>
                          <Ctgs>
                            <Ctg>
                              <LuTblLbl>
                                <LuTblLblProps>
                                  <CLI>5,1,7,False,1</CLI>
                                  <L><![CDATA[Prospective]]></L>
                                </LuTblLblProps>
                              </LuTblLbl>
                            </Ctg>
                            <Ctg>
                              <LuTblLbl>
                                <LuTblLblProps>
                                  <CLI>5,1,7,False,2</CLI>
                                  <L><![CDATA[Retrospective]]></L>
                                </LuTblLblProps>
                              </LuTblLbl>
                            </Ctg>
                          </Ctgs>
                        </SubTtl>
                      </SubTtls>
                      <TtlCtg/>
                    </Elmt>
                    <Elmt>
                      <ElmtProps>
                        <CPT>2</CPT>
                      </ElmtProps>
                      <TtlCtg/>
                    </Elmt>
                    <Elmt>
                      <ElmtProps>
                        <CPT>2</CPT>
                      </ElmtProps>
                      <ClmnBlks>
                        <ClmnBlk>
                          <ClmnBlkProps>
                            <FCPT>0</FCPT>
                            <FCN>3</FCN>
                            <LCPT>0</LCPT>
                            <LCN>3</LCN>
                          </ClmnBlkProps>
                          <ClmnBlkPts>
                            <ClmnBlkPt>
                              <ClmnBlkPtProps>
                                <CBPT>5</CBPT>
                                <ST>4</ST>
                                <VOFFF><![CDATA[Applied Currency]]></VOFFF>
                              </ClmnBlkPtProps>
                            </ClmnBlkPt>
                          </ClmnBlkPts>
                        </ClmnBlk>
                        <ClmnBlk>
                          <ClmnBlkProps>
                            <FCPT>0</FCPT>
                            <FCN>6</FCN>
                            <LCPT>0</LCPT>
                            <LCN>6</LCN>
                          </ClmnBlkProps>
                          <ClmnBlkPts>
                            <ClmnBlkPt>
                              <ClmnBlkPtProps>
                                <CBPT>5</CBPT>
                                <ST>4</ST>
                                <VOFFF><![CDATA[Names]]></VOFFF>
                              </ClmnBlkPtProps>
                            </ClmnBlkPt>
                          </ClmnBlkPts>
                        </ClmnBlk>
                      </ClmnBlks>
                      <TtlCtg/>
                    </Elmt>
                    <Elmt>
                      <ElmtProps>
                        <CPT>2</CPT>
                      </ElmtProps>
                      <TtlCtg/>
                    </Elmt>
                    <Elmt>
                      <ElmtProps>
                        <CPT>0</CPT>
                        <TOT>True</TOT>
                        <EGN>4</EGN>
                      </ElmtProps>
                      <ClmnBlks>
                        <ClmnBlk>
                          <ClmnBlkProps>
                            <FCPT>0</FCPT>
                            <FCN>4</FCN>
                            <LCPT>0</LCPT>
                            <LCN>4</LCN>
                          </ClmnBlkProps>
                          <ClmnBlkPts>
                            <ClmnBlkPt>
                              <ClmnBlkPtProps>
                                <CBPT>0</CBPT>
                                <ST>25</ST>
                                <VOFFF><![CDATA[=§A¿0,1,0,1,57,1,1,0,0,0,FALSE,FALSE§Z¿]]></VOFFF>
                              </ClmnBlkPtProps>
                              <RgeNmes>
                                <RgeNme>
                                  <RgeNmeProps>
                                    <CBPLI>5,1,11,1,1</CBPLI>
                                    <MCN>5</MCN>
                                    <SN>1</SN>
                                    <EN>11</EN>
                                    <CN>0</CN>
                                    <CBN>1</CBN>
                                    <CBPN>1</CBPN>
                                    <PT>1</PT>
                                    <CBPRNT>2</CBPRNT>
                                    <NT>11</NT>
                                    <SP1><![CDATA[Currency]]></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Applied Currenc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Vacc_Currency]]></VOFFF>
                              </ClmnBlkPtProps>
                            </ClmnBlkPt>
                          </ClmnBlkPts>
                        </ClmnBlk>
                      </ClmnBlks>
                      <SubTtls>
                        <SubTtl>
                          <Ctgs>
                            <Ctg>
                              <LuTblLbl>
                                <LuTblLblProps>
                                  <CLI>5,1,11,False,1</CLI>
                                  <L><![CDATA[Lookup Label <CategoryNumber>.]]></L>
                                </LuTblLblProps>
                              </LuTblLbl>
                            </Ctg>
                            <Ctg>
                              <LuTblLbl>
                                <LuTblLblProps>
                                  <CLI>5,1,11,False,2</CLI>
                                  <L><![CDATA[Lookup Label <CategoryNumber>.]]></L>
                                </LuTblLblProps>
                              </LuTblLbl>
                            </Ctg>
                          </Ctgs>
                        </SubTtl>
                      </SubTtl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TtlCtg/>
                    </Elmt>
                    <Elmt>
                      <ElmtProps>
                        <CPT>2</CPT>
                      </ElmtProps>
                      <ClmnBlks>
                        <ClmnBlk>
                          <ClmnBlkProps>
                            <FCPT>0</FCPT>
                            <FCN>3</FCN>
                            <LCPT>0</LCPT>
                            <LCN>9</LCN>
                          </ClmnBlkProps>
                          <ClmnBlkPts>
                            <ClmnBlkPt>
                              <ClmnBlkPtProps>
                                <CBPT>5</CBPT>
                                <ST>26</ST>
                                <MC>True</MC>
                                <VOFFF><![CDATA[="Go to "&§A¿1,1,1,1,3,0,1,1,1§Z¿]]></VOFFF>
                              </ClmnBlkPtProps>
                              <Hlk>
                                <HlkProps>
                                  <CBPLI>5,1,22,1,1</CBPLI>
                                  <RT>0</RT>
                                  <RRRT>1</RRRT>
                                  <RCBPLI>1,1,3,1,1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2,1,3,0,1,1,1§Z¿]]></VOFFF>
                              </ClmnBlkPtProps>
                              <Hlk>
                                <HlkProps>
                                  <CBPLI>5,1,23,1,1</CBPLI>
                                  <RT>0</RT>
                                  <RRRT>1</RRRT>
                                  <RCBPLI>2,1,3,1,1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3,1,3,0,1,1,1§Z¿]]></VOFFF>
                              </ClmnBlkPtProps>
                              <Hlk>
                                <HlkProps>
                                  <CBPLI>5,1,24,1,1</CBPLI>
                                  <RT>0</RT>
                                  <RRRT>1</RRRT>
                                  <RCBPLI>3,1,3,1,1</RCBPLI>
                                  <RCN>0</RCN>
                                  <RRNPT>1</RRNPT>
                                  <RRNN>1</RRNN>
                                  <TTDT>0</TTDT>
                                  <AGT>False</AGT>
                                  <CT/>
                                </HlkProps>
                              </Hlk>
                            </ClmnBlkPt>
                          </ClmnBlkPts>
                        </ClmnBlk>
                      </ClmnBlks>
                      <TtlCtg/>
                    </Elmt>
                    <Elmt>
                      <ElmtProps>
                        <CPT>2</CPT>
                      </ElmtProps>
                      <ClmnBlks>
                        <ClmnBlk>
                          <ClmnBlkProps>
                            <FCPT>0</FCPT>
                            <FCN>3</FCN>
                            <LCPT>0</LCPT>
                            <LCN>9</LCN>
                          </ClmnBlkProps>
                          <ClmnBlkPts>
                            <ClmnBlkPt>
                              <ClmnBlkPtProps>
                                <CBPT>5</CBPT>
                                <ST>26</ST>
                                <MC>True</MC>
                                <VOFFF><![CDATA[="Go to "&§A¿1,1,4,1,3,0,1,1,1§Z¿]]></VOFFF>
                              </ClmnBlkPtProps>
                              <Hlk>
                                <HlkProps>
                                  <CBPLI>5,1,25,1,1</CBPLI>
                                  <RT>0</RT>
                                  <RRRT>1</RRRT>
                                  <RCBPLI>4,1,3,1,1</RCBPLI>
                                  <RCN>0</RCN>
                                  <RRNPT>1</RRNPT>
                                  <RRNN>1</RRNN>
                                  <TTDT>0</TTDT>
                                  <AGT>False</AGT>
                                  <CT/>
                                </HlkProps>
                              </Hlk>
                            </ClmnBlkPt>
                          </ClmnBlkPts>
                        </ClmnBlk>
                      </ClmnBlks>
                      <TtlCtg/>
                    </Elmt>
                  </Elmts>
                </Sect>
              </Sects>
            </ModComp>
          </ModComps>
        </Mod>
      </Mods>
    </ModWkBk>
  </ModWkBks>
  <HV><![CDATA[DvFZjjsfIvqKVdkNeQ0kWfyKOh3gYMEYxAnFaTF+DNBwSeILan7K/FrUvSR/H6IM]]></HV>
</Proj>
</file>

<file path=customXml/itemProps1.xml><?xml version="1.0" encoding="utf-8"?>
<ds:datastoreItem xmlns:ds="http://schemas.openxmlformats.org/officeDocument/2006/customXml" ds:itemID="{4969E88B-E035-49F9-855A-AE100A3EA1C0}">
  <ds:schemaRefs>
    <ds:schemaRef ds:uri="http://schemas.microsoft.com/office/2006/metadata/properties"/>
    <ds:schemaRef ds:uri="http://schemas.microsoft.com/office/infopath/2007/PartnerControls"/>
    <ds:schemaRef ds:uri="http://schemas.microsoft.com/sharepoint/v3"/>
    <ds:schemaRef ds:uri="14c9eaec-fb32-4d62-8237-3ae2a8c3df22"/>
    <ds:schemaRef ds:uri="d159ad41-f995-48b1-ace8-2aeeec44a68a"/>
  </ds:schemaRefs>
</ds:datastoreItem>
</file>

<file path=customXml/itemProps2.xml><?xml version="1.0" encoding="utf-8"?>
<ds:datastoreItem xmlns:ds="http://schemas.openxmlformats.org/officeDocument/2006/customXml" ds:itemID="{EFA0235B-AC79-41E2-9EE2-B13C48E21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159ad41-f995-48b1-ace8-2aeeec44a68a"/>
    <ds:schemaRef ds:uri="14c9eaec-fb32-4d62-8237-3ae2a8c3df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CDAA86-B119-4F20-9869-5030CD2E97BC}">
  <ds:schemaRefs>
    <ds:schemaRef ds:uri="http://www.w3.org/2001/XMLSchema"/>
  </ds:schemaRefs>
</ds:datastoreItem>
</file>

<file path=customXml/itemProps4.xml><?xml version="1.0" encoding="utf-8"?>
<ds:datastoreItem xmlns:ds="http://schemas.openxmlformats.org/officeDocument/2006/customXml" ds:itemID="{96C5C353-BA0D-4081-A25E-8DB3D774DDEC}">
  <ds:schemaRefs>
    <ds:schemaRef ds:uri="http://schemas.microsoft.com/sharepoint/v3/contenttype/forms"/>
  </ds:schemaRefs>
</ds:datastoreItem>
</file>

<file path=customXml/itemProps5.xml><?xml version="1.0" encoding="utf-8"?>
<ds:datastoreItem xmlns:ds="http://schemas.openxmlformats.org/officeDocument/2006/customXml" ds:itemID="{ABB67515-8981-4AEA-9360-08A181FAB6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416</vt:i4>
      </vt:variant>
    </vt:vector>
  </HeadingPairs>
  <TitlesOfParts>
    <vt:vector size="485" baseType="lpstr">
      <vt:lpstr>Cover</vt:lpstr>
      <vt:lpstr>Contents</vt:lpstr>
      <vt:lpstr>Step1_SC</vt:lpstr>
      <vt:lpstr>TS_BA</vt:lpstr>
      <vt:lpstr>Lbl_BA</vt:lpstr>
      <vt:lpstr>Count_BA</vt:lpstr>
      <vt:lpstr>Count_Ann_TA</vt:lpstr>
      <vt:lpstr>CURR_TA</vt:lpstr>
      <vt:lpstr>RES_BA</vt:lpstr>
      <vt:lpstr>Step2_SC</vt:lpstr>
      <vt:lpstr>VACC_BA</vt:lpstr>
      <vt:lpstr>Vacc_Ann_TA</vt:lpstr>
      <vt:lpstr>MICRO_BA</vt:lpstr>
      <vt:lpstr>ACTIV_Ann_TA</vt:lpstr>
      <vt:lpstr>IEC_BA</vt:lpstr>
      <vt:lpstr>IEC_PROD_EST_BO</vt:lpstr>
      <vt:lpstr>TRAIN_BA</vt:lpstr>
      <vt:lpstr>SENS_BA</vt:lpstr>
      <vt:lpstr>MOB_BA</vt:lpstr>
      <vt:lpstr>SD1_BA</vt:lpstr>
      <vt:lpstr>SD2_BA</vt:lpstr>
      <vt:lpstr>Step3_SC</vt:lpstr>
      <vt:lpstr>Count_BO</vt:lpstr>
      <vt:lpstr>VACC_BO</vt:lpstr>
      <vt:lpstr>MICRO_BO</vt:lpstr>
      <vt:lpstr>SENS_BO</vt:lpstr>
      <vt:lpstr>IEC_BO</vt:lpstr>
      <vt:lpstr>TRAIN_BO</vt:lpstr>
      <vt:lpstr>MOB_BO</vt:lpstr>
      <vt:lpstr>ROUND1_BO</vt:lpstr>
      <vt:lpstr>ROUND2_BO</vt:lpstr>
      <vt:lpstr>Count_Ann_TO</vt:lpstr>
      <vt:lpstr>Vacc_Ann_TO</vt:lpstr>
      <vt:lpstr>App_SC</vt:lpstr>
      <vt:lpstr>TS_LU</vt:lpstr>
      <vt:lpstr>ACT_LU</vt:lpstr>
      <vt:lpstr>MICRO2_LU</vt:lpstr>
      <vt:lpstr>ACT_3_LU</vt:lpstr>
      <vt:lpstr>ACT_4_LU</vt:lpstr>
      <vt:lpstr>ACT_5_LU</vt:lpstr>
      <vt:lpstr>ACT_6_LU</vt:lpstr>
      <vt:lpstr>ACT_21_LU</vt:lpstr>
      <vt:lpstr>ACT_22_LU</vt:lpstr>
      <vt:lpstr>ACT_7_LU</vt:lpstr>
      <vt:lpstr>ACT_8_LU</vt:lpstr>
      <vt:lpstr>ACT_9_LU</vt:lpstr>
      <vt:lpstr>ACT_10_LU</vt:lpstr>
      <vt:lpstr>ACT_11_LU</vt:lpstr>
      <vt:lpstr>ACT_12_LU</vt:lpstr>
      <vt:lpstr>ACT_26_LU</vt:lpstr>
      <vt:lpstr>ACT_13_LU</vt:lpstr>
      <vt:lpstr>ACT_23_LU</vt:lpstr>
      <vt:lpstr>ACT_14_LU</vt:lpstr>
      <vt:lpstr>ACT_15_LU</vt:lpstr>
      <vt:lpstr>ACT_16_LU</vt:lpstr>
      <vt:lpstr>ACT_24_LU</vt:lpstr>
      <vt:lpstr>Count_LU</vt:lpstr>
      <vt:lpstr>Vacc_LU</vt:lpstr>
      <vt:lpstr>ACT_17_LU</vt:lpstr>
      <vt:lpstr>ACT_18_LU</vt:lpstr>
      <vt:lpstr>ACT_19_LU</vt:lpstr>
      <vt:lpstr>ACT_20_LU</vt:lpstr>
      <vt:lpstr>ACT_25_LU</vt:lpstr>
      <vt:lpstr>RES_LU</vt:lpstr>
      <vt:lpstr>Step4_SC</vt:lpstr>
      <vt:lpstr>Summary_BO</vt:lpstr>
      <vt:lpstr>Analysis_P_BO</vt:lpstr>
      <vt:lpstr>Appendix_SC</vt:lpstr>
      <vt:lpstr>Chks_BO</vt:lpstr>
      <vt:lpstr>ACT_12_RND1_HQA</vt:lpstr>
      <vt:lpstr>ACT_13_RND1_SITEB</vt:lpstr>
      <vt:lpstr>ACT_26_RND1_HQA</vt:lpstr>
      <vt:lpstr>Alt_Chks_Msg</vt:lpstr>
      <vt:lpstr>Alt_Chks_Ttl_Areas</vt:lpstr>
      <vt:lpstr>CA_Alt_Chks</vt:lpstr>
      <vt:lpstr>CA_Alt_Chks_Area_Names</vt:lpstr>
      <vt:lpstr>CA_Alt_Chks_Flags</vt:lpstr>
      <vt:lpstr>CA_Alt_Chks_Inc</vt:lpstr>
      <vt:lpstr>CA_Err_Chks</vt:lpstr>
      <vt:lpstr>CA_Err_Chks_Area_Names</vt:lpstr>
      <vt:lpstr>CA_Err_Chks_Flags</vt:lpstr>
      <vt:lpstr>CA_Err_Chks_Inc</vt:lpstr>
      <vt:lpstr>CB_Alt_Chks_Show_Msg</vt:lpstr>
      <vt:lpstr>CB_Err_Chks_Show_Msg</vt:lpstr>
      <vt:lpstr>DD_ACT_10_Meet1_Curr</vt:lpstr>
      <vt:lpstr>DD_ACT_11_Meet1_Curr</vt:lpstr>
      <vt:lpstr>DD_ACT_12_Meet1_Curr</vt:lpstr>
      <vt:lpstr>DD_ACT_13_Meet1_Curr</vt:lpstr>
      <vt:lpstr>DD_ACT_14_Meet1_Curr</vt:lpstr>
      <vt:lpstr>DD_ACT_15_Meet1_Curr</vt:lpstr>
      <vt:lpstr>DD_ACT_16_Meet1_Curr</vt:lpstr>
      <vt:lpstr>DD_ACT_17_Meet1_Curr</vt:lpstr>
      <vt:lpstr>DD_ACT_18_Meet1_Curr</vt:lpstr>
      <vt:lpstr>DD_ACT_19_Meet1_Curr</vt:lpstr>
      <vt:lpstr>DD_ACT_2_Meet1_Curr</vt:lpstr>
      <vt:lpstr>DD_ACT_20_Meet1_Curr</vt:lpstr>
      <vt:lpstr>DD_ACT_21_Meet1_Curr</vt:lpstr>
      <vt:lpstr>DD_ACT_22_Meet1_Curr</vt:lpstr>
      <vt:lpstr>DD_ACT_23_Meet1_Curr</vt:lpstr>
      <vt:lpstr>DD_ACT_24_Meet1_Curr</vt:lpstr>
      <vt:lpstr>DD_ACT_25_Meet1_Curr</vt:lpstr>
      <vt:lpstr>DD_ACT_26_Meet1_Curr</vt:lpstr>
      <vt:lpstr>DD_ACT_3_Meet1_Curr</vt:lpstr>
      <vt:lpstr>DD_ACT_4_Meet1_Curr</vt:lpstr>
      <vt:lpstr>DD_ACT_5_Meet1_Curr</vt:lpstr>
      <vt:lpstr>DD_ACT_6_Meet1_Curr</vt:lpstr>
      <vt:lpstr>DD_ACT_7_Meet1_Curr</vt:lpstr>
      <vt:lpstr>DD_ACT_8_Meet1_Curr</vt:lpstr>
      <vt:lpstr>DD_ACT_9_Meet1_Curr</vt:lpstr>
      <vt:lpstr>DD_ACT_Meet1_Curr</vt:lpstr>
      <vt:lpstr>DD_TS_Denom</vt:lpstr>
      <vt:lpstr>DD_TS_Fin_Yr_End_Mth</vt:lpstr>
      <vt:lpstr>Err_Chks_Msg</vt:lpstr>
      <vt:lpstr>Err_Chks_Ttl_Areas</vt:lpstr>
      <vt:lpstr>HL_ACT_10_SOC_MOB_4</vt:lpstr>
      <vt:lpstr>HL_ACT_11_RND1_SITEA</vt:lpstr>
      <vt:lpstr>HL_ACT_14_RND2_SITEA</vt:lpstr>
      <vt:lpstr>HL_ACT_15_RND2HQA</vt:lpstr>
      <vt:lpstr>HL_ACT_16_RND2_SITEB</vt:lpstr>
      <vt:lpstr>HL_ACT_2_Dist_Micro_Ass</vt:lpstr>
      <vt:lpstr>HL_ACT_2_Number_Dist_Micro</vt:lpstr>
      <vt:lpstr>HL_ACT_21_COMM_PRETEST</vt:lpstr>
      <vt:lpstr>HL_ACT_22_COMM_PROD</vt:lpstr>
      <vt:lpstr>HL_ACT_23_RND1_HQB</vt:lpstr>
      <vt:lpstr>HL_ACT_24_RND2_HQB</vt:lpstr>
      <vt:lpstr>HL_ACT_3_Number_Nat_Sens</vt:lpstr>
      <vt:lpstr>HL_ACT_4_SENS</vt:lpstr>
      <vt:lpstr>HL_ACT_5_Number_Local_Sens</vt:lpstr>
      <vt:lpstr>HL_ACT_6_COMM_DESIGN</vt:lpstr>
      <vt:lpstr>HL_ACT_7_SOC_MOB_1</vt:lpstr>
      <vt:lpstr>HL_ACT_8_SOC_MOB_2</vt:lpstr>
      <vt:lpstr>HL_ACT_9_SOC_MOB_3</vt:lpstr>
      <vt:lpstr>HL_ACT_Nat_Microplanning</vt:lpstr>
      <vt:lpstr>HL_ACT_Nat_Micrp_Out</vt:lpstr>
      <vt:lpstr>HL_ACT_Number_Nat_Micro</vt:lpstr>
      <vt:lpstr>HL_Alt_Chk</vt:lpstr>
      <vt:lpstr>HL_Cost_per_Statistics</vt:lpstr>
      <vt:lpstr>HL_Count_Ass</vt:lpstr>
      <vt:lpstr>HL_Count_Ass_A</vt:lpstr>
      <vt:lpstr>HL_Count_Out</vt:lpstr>
      <vt:lpstr>HL_Count_Out_A</vt:lpstr>
      <vt:lpstr>HL_Err_Chk</vt:lpstr>
      <vt:lpstr>HL_Home</vt:lpstr>
      <vt:lpstr>HL_RES_AnnDiscountRate</vt:lpstr>
      <vt:lpstr>HL_RES_Ass</vt:lpstr>
      <vt:lpstr>HL_RES_Curr_Options</vt:lpstr>
      <vt:lpstr>HL_RES_Exchange_Rates</vt:lpstr>
      <vt:lpstr>HL_Vacc_Applied_Currency</vt:lpstr>
      <vt:lpstr>HL_Vacc_Ass</vt:lpstr>
      <vt:lpstr>HL_Vacc_Ass_A</vt:lpstr>
      <vt:lpstr>HL_Vacc_NET_PROC_PROSP</vt:lpstr>
      <vt:lpstr>HL_Vacc_NET_PROC_REQ_RETRO</vt:lpstr>
      <vt:lpstr>HL_Vacc_Out</vt:lpstr>
      <vt:lpstr>HL_Vacc_Out_A</vt:lpstr>
      <vt:lpstr>HL_Vacc_PRICE_PER_DOSE_ECON</vt:lpstr>
      <vt:lpstr>HL_Vacc_PRICE_PER_DOSE_FIN</vt:lpstr>
      <vt:lpstr>HL_Vacc_Sel_Pros_Retro</vt:lpstr>
      <vt:lpstr>HL_Vacc_TOT_ADM_RETRO</vt:lpstr>
      <vt:lpstr>HL_Vacc_TOT_ADMIN_PROSP</vt:lpstr>
      <vt:lpstr>HL_Vacc_TOT_REQ_RETRO</vt:lpstr>
      <vt:lpstr>HL_Vacc_TOT_REQU_PROSP</vt:lpstr>
      <vt:lpstr>Lbl_Country</vt:lpstr>
      <vt:lpstr>Lbl_Facility_1</vt:lpstr>
      <vt:lpstr>Lbl_First_Admin_Div</vt:lpstr>
      <vt:lpstr>Lbl_Hospital_Facilities</vt:lpstr>
      <vt:lpstr>Lbl_Non_Hospital_Health_Facilities</vt:lpstr>
      <vt:lpstr>Lbl_Pop_Segment_1</vt:lpstr>
      <vt:lpstr>Lbl_Second_Admin_Div</vt:lpstr>
      <vt:lpstr>Lbl_Third_Admin_Div</vt:lpstr>
      <vt:lpstr>LU_ACT_10_Allowances</vt:lpstr>
      <vt:lpstr>LU_ACT_10_Equipment</vt:lpstr>
      <vt:lpstr>LU_ACT_10_Meet_Curr</vt:lpstr>
      <vt:lpstr>LU_ACT_10_ODCS</vt:lpstr>
      <vt:lpstr>LU_ACT_10_Pers_Res</vt:lpstr>
      <vt:lpstr>LU_ACT_10_Supplies</vt:lpstr>
      <vt:lpstr>LU_ACT_11_Allowances</vt:lpstr>
      <vt:lpstr>LU_ACT_11_Equipment</vt:lpstr>
      <vt:lpstr>LU_ACT_11_Meet_Curr</vt:lpstr>
      <vt:lpstr>LU_ACT_11_ODCS</vt:lpstr>
      <vt:lpstr>LU_ACT_11_Pers_Res</vt:lpstr>
      <vt:lpstr>LU_ACT_11_Supplies</vt:lpstr>
      <vt:lpstr>LU_ACT_12_Allowances</vt:lpstr>
      <vt:lpstr>LU_ACT_12_Equipment</vt:lpstr>
      <vt:lpstr>LU_ACT_12_Meet_Curr</vt:lpstr>
      <vt:lpstr>LU_ACT_12_ODCS</vt:lpstr>
      <vt:lpstr>LU_ACT_12_Pers_Res</vt:lpstr>
      <vt:lpstr>LU_ACT_12_Supplies</vt:lpstr>
      <vt:lpstr>LU_ACT_13_Allowances</vt:lpstr>
      <vt:lpstr>LU_ACT_13_Equipment</vt:lpstr>
      <vt:lpstr>LU_ACT_13_Meet_Curr</vt:lpstr>
      <vt:lpstr>LU_ACT_13_ODCS</vt:lpstr>
      <vt:lpstr>LU_ACT_13_Pers_Res</vt:lpstr>
      <vt:lpstr>LU_ACT_13_Supplies</vt:lpstr>
      <vt:lpstr>LU_ACT_14_Allowances</vt:lpstr>
      <vt:lpstr>LU_ACT_14_Equipment</vt:lpstr>
      <vt:lpstr>LU_ACT_14_Meet_Curr</vt:lpstr>
      <vt:lpstr>LU_ACT_14_ODCS</vt:lpstr>
      <vt:lpstr>LU_ACT_14_Pers_Res</vt:lpstr>
      <vt:lpstr>LU_ACT_14_Supplies</vt:lpstr>
      <vt:lpstr>LU_ACT_15_Allowances</vt:lpstr>
      <vt:lpstr>LU_ACT_15_Equipment</vt:lpstr>
      <vt:lpstr>LU_ACT_15_Meet_Curr</vt:lpstr>
      <vt:lpstr>LU_ACT_15_ODCS</vt:lpstr>
      <vt:lpstr>LU_ACT_15_Pers_Res</vt:lpstr>
      <vt:lpstr>LU_ACT_15_Supplies</vt:lpstr>
      <vt:lpstr>LU_ACT_16_Allowances</vt:lpstr>
      <vt:lpstr>LU_ACT_16_Equipment</vt:lpstr>
      <vt:lpstr>LU_ACT_16_Meet_Curr</vt:lpstr>
      <vt:lpstr>LU_ACT_16_ODCS</vt:lpstr>
      <vt:lpstr>LU_ACT_16_Pers_Res</vt:lpstr>
      <vt:lpstr>LU_ACT_16_Supplies</vt:lpstr>
      <vt:lpstr>LU_ACT_17_Allowances</vt:lpstr>
      <vt:lpstr>LU_ACT_17_Equipment</vt:lpstr>
      <vt:lpstr>LU_ACT_17_Meet_Curr</vt:lpstr>
      <vt:lpstr>LU_ACT_17_ODCS</vt:lpstr>
      <vt:lpstr>LU_ACT_17_Pers_Res</vt:lpstr>
      <vt:lpstr>LU_ACT_17_Supplies</vt:lpstr>
      <vt:lpstr>LU_ACT_18_Allowances</vt:lpstr>
      <vt:lpstr>LU_ACT_18_Equipment</vt:lpstr>
      <vt:lpstr>LU_ACT_18_Meet_Curr</vt:lpstr>
      <vt:lpstr>LU_ACT_18_ODCS</vt:lpstr>
      <vt:lpstr>LU_ACT_18_Pers_Res</vt:lpstr>
      <vt:lpstr>LU_ACT_18_Supplies</vt:lpstr>
      <vt:lpstr>LU_ACT_19_Allowances</vt:lpstr>
      <vt:lpstr>LU_ACT_19_Equipment</vt:lpstr>
      <vt:lpstr>LU_ACT_19_Meet_Curr</vt:lpstr>
      <vt:lpstr>LU_ACT_19_ODCS</vt:lpstr>
      <vt:lpstr>LU_ACT_19_Pers_Res</vt:lpstr>
      <vt:lpstr>LU_ACT_19_Supplies</vt:lpstr>
      <vt:lpstr>LU_ACT_2_Allowances</vt:lpstr>
      <vt:lpstr>LU_ACT_2_Equipment</vt:lpstr>
      <vt:lpstr>LU_ACT_2_Meet_Curr</vt:lpstr>
      <vt:lpstr>LU_ACT_2_ODCS</vt:lpstr>
      <vt:lpstr>LU_ACT_2_Pers_Res</vt:lpstr>
      <vt:lpstr>LU_ACT_2_Supplies</vt:lpstr>
      <vt:lpstr>LU_ACT_20_Allowances</vt:lpstr>
      <vt:lpstr>LU_ACT_20_Equipment</vt:lpstr>
      <vt:lpstr>LU_ACT_20_Meet_Curr</vt:lpstr>
      <vt:lpstr>LU_ACT_20_ODCS</vt:lpstr>
      <vt:lpstr>LU_ACT_20_Pers_Res</vt:lpstr>
      <vt:lpstr>LU_ACT_20_Supplies</vt:lpstr>
      <vt:lpstr>LU_ACT_21_Allowances</vt:lpstr>
      <vt:lpstr>LU_ACT_21_Equipment</vt:lpstr>
      <vt:lpstr>LU_ACT_21_Meet_Curr</vt:lpstr>
      <vt:lpstr>LU_ACT_21_ODCS</vt:lpstr>
      <vt:lpstr>LU_ACT_21_Pers_Res</vt:lpstr>
      <vt:lpstr>LU_ACT_21_Supplies</vt:lpstr>
      <vt:lpstr>LU_ACT_22_Allowances</vt:lpstr>
      <vt:lpstr>LU_ACT_22_Equipment</vt:lpstr>
      <vt:lpstr>LU_ACT_22_Meet_Curr</vt:lpstr>
      <vt:lpstr>LU_ACT_22_ODCS</vt:lpstr>
      <vt:lpstr>LU_ACT_22_Pers_Res</vt:lpstr>
      <vt:lpstr>LU_ACT_22_Supplies</vt:lpstr>
      <vt:lpstr>LU_ACT_23_Allowances</vt:lpstr>
      <vt:lpstr>LU_ACT_23_Equipment</vt:lpstr>
      <vt:lpstr>LU_ACT_23_Meet_Curr</vt:lpstr>
      <vt:lpstr>LU_ACT_23_ODCS</vt:lpstr>
      <vt:lpstr>LU_ACT_23_Pers_Res</vt:lpstr>
      <vt:lpstr>LU_ACT_23_Supplies</vt:lpstr>
      <vt:lpstr>LU_ACT_24_Allowances</vt:lpstr>
      <vt:lpstr>LU_ACT_24_Equipment</vt:lpstr>
      <vt:lpstr>LU_ACT_24_Meet_Curr</vt:lpstr>
      <vt:lpstr>LU_ACT_24_ODCS</vt:lpstr>
      <vt:lpstr>LU_ACT_24_Pers_Res</vt:lpstr>
      <vt:lpstr>LU_ACT_24_Supplies</vt:lpstr>
      <vt:lpstr>LU_ACT_25_Allowances</vt:lpstr>
      <vt:lpstr>LU_ACT_25_Equipment</vt:lpstr>
      <vt:lpstr>LU_ACT_25_Meet_Curr</vt:lpstr>
      <vt:lpstr>LU_ACT_25_ODCS</vt:lpstr>
      <vt:lpstr>LU_ACT_25_Pers_Res</vt:lpstr>
      <vt:lpstr>LU_ACT_25_Supplies</vt:lpstr>
      <vt:lpstr>LU_ACT_26_Allowances</vt:lpstr>
      <vt:lpstr>LU_ACT_26_Equipment</vt:lpstr>
      <vt:lpstr>LU_ACT_26_Meet_Curr</vt:lpstr>
      <vt:lpstr>LU_ACT_26_ODCS</vt:lpstr>
      <vt:lpstr>LU_ACT_26_Pers_Res</vt:lpstr>
      <vt:lpstr>LU_ACT_26_Supplies</vt:lpstr>
      <vt:lpstr>LU_ACT_3_Allowances</vt:lpstr>
      <vt:lpstr>LU_ACT_3_Equipment</vt:lpstr>
      <vt:lpstr>LU_ACT_3_Meet_Curr</vt:lpstr>
      <vt:lpstr>LU_ACT_3_ODCS</vt:lpstr>
      <vt:lpstr>LU_ACT_3_Pers_Res</vt:lpstr>
      <vt:lpstr>LU_ACT_3_Supplies</vt:lpstr>
      <vt:lpstr>LU_ACT_4_Allowances</vt:lpstr>
      <vt:lpstr>LU_ACT_4_Equipment</vt:lpstr>
      <vt:lpstr>LU_ACT_4_Meet_Curr</vt:lpstr>
      <vt:lpstr>LU_ACT_4_ODCS</vt:lpstr>
      <vt:lpstr>LU_ACT_4_Pers_Res</vt:lpstr>
      <vt:lpstr>LU_ACT_4_Supplies</vt:lpstr>
      <vt:lpstr>LU_ACT_5_Allowances</vt:lpstr>
      <vt:lpstr>LU_ACT_5_Equipment</vt:lpstr>
      <vt:lpstr>LU_ACT_5_Meet_Curr</vt:lpstr>
      <vt:lpstr>LU_ACT_5_ODCS</vt:lpstr>
      <vt:lpstr>LU_ACT_5_Pers_Res</vt:lpstr>
      <vt:lpstr>LU_ACT_5_Supplies</vt:lpstr>
      <vt:lpstr>LU_ACT_6_Allowances</vt:lpstr>
      <vt:lpstr>LU_ACT_6_Equipment</vt:lpstr>
      <vt:lpstr>LU_ACT_6_Meet_Curr</vt:lpstr>
      <vt:lpstr>LU_ACT_6_ODCS</vt:lpstr>
      <vt:lpstr>LU_ACT_6_Pers_Res</vt:lpstr>
      <vt:lpstr>LU_ACT_6_Supplies</vt:lpstr>
      <vt:lpstr>LU_ACT_7_Allowances</vt:lpstr>
      <vt:lpstr>LU_ACT_7_Equipment</vt:lpstr>
      <vt:lpstr>LU_ACT_7_Meet_Curr</vt:lpstr>
      <vt:lpstr>LU_ACT_7_ODCS</vt:lpstr>
      <vt:lpstr>LU_ACT_7_Pers_Res</vt:lpstr>
      <vt:lpstr>LU_ACT_7_Supplies</vt:lpstr>
      <vt:lpstr>LU_ACT_8_Allowances</vt:lpstr>
      <vt:lpstr>LU_ACT_8_Equipment</vt:lpstr>
      <vt:lpstr>LU_ACT_8_Meet_Curr</vt:lpstr>
      <vt:lpstr>LU_ACT_8_ODCS</vt:lpstr>
      <vt:lpstr>LU_ACT_8_Pers_Res</vt:lpstr>
      <vt:lpstr>LU_ACT_8_Supplies</vt:lpstr>
      <vt:lpstr>LU_ACT_9_Allowances</vt:lpstr>
      <vt:lpstr>LU_ACT_9_Equipment</vt:lpstr>
      <vt:lpstr>LU_ACT_9_Meet_Curr</vt:lpstr>
      <vt:lpstr>LU_ACT_9_ODCS</vt:lpstr>
      <vt:lpstr>LU_ACT_9_Pers_Res</vt:lpstr>
      <vt:lpstr>LU_ACT_9_Supplies</vt:lpstr>
      <vt:lpstr>LU_ACT_Allowances</vt:lpstr>
      <vt:lpstr>LU_ACT_Equipment</vt:lpstr>
      <vt:lpstr>LU_ACT_Meet_Curr</vt:lpstr>
      <vt:lpstr>LU_ACT_ODCS</vt:lpstr>
      <vt:lpstr>LU_ACT_Pers_Res</vt:lpstr>
      <vt:lpstr>LU_ACT_Supplies</vt:lpstr>
      <vt:lpstr>LU_RES_Allowances</vt:lpstr>
      <vt:lpstr>LU_RES_Curr</vt:lpstr>
      <vt:lpstr>LU_RES_Equip</vt:lpstr>
      <vt:lpstr>LU_RES_ODC</vt:lpstr>
      <vt:lpstr>LU_RES_Personnel</vt:lpstr>
      <vt:lpstr>LU_RES_Supplies</vt:lpstr>
      <vt:lpstr>LU_TS_Denom</vt:lpstr>
      <vt:lpstr>LU_TS_Denom_Conv</vt:lpstr>
      <vt:lpstr>LU_TS_Mth_Days</vt:lpstr>
      <vt:lpstr>LU_TS_Mth_Names</vt:lpstr>
      <vt:lpstr>LU_Vacc_Currency</vt:lpstr>
      <vt:lpstr>LU_Vacc_PROS_RETRO</vt:lpstr>
      <vt:lpstr>Model_Name</vt:lpstr>
      <vt:lpstr>ACT_10_LU!Print_Area</vt:lpstr>
      <vt:lpstr>ACT_11_LU!Print_Area</vt:lpstr>
      <vt:lpstr>ACT_12_LU!Print_Area</vt:lpstr>
      <vt:lpstr>ACT_13_LU!Print_Area</vt:lpstr>
      <vt:lpstr>ACT_14_LU!Print_Area</vt:lpstr>
      <vt:lpstr>ACT_15_LU!Print_Area</vt:lpstr>
      <vt:lpstr>ACT_16_LU!Print_Area</vt:lpstr>
      <vt:lpstr>ACT_17_LU!Print_Area</vt:lpstr>
      <vt:lpstr>ACT_18_LU!Print_Area</vt:lpstr>
      <vt:lpstr>ACT_19_LU!Print_Area</vt:lpstr>
      <vt:lpstr>ACT_20_LU!Print_Area</vt:lpstr>
      <vt:lpstr>ACT_21_LU!Print_Area</vt:lpstr>
      <vt:lpstr>ACT_22_LU!Print_Area</vt:lpstr>
      <vt:lpstr>ACT_23_LU!Print_Area</vt:lpstr>
      <vt:lpstr>ACT_24_LU!Print_Area</vt:lpstr>
      <vt:lpstr>ACT_25_LU!Print_Area</vt:lpstr>
      <vt:lpstr>ACT_26_LU!Print_Area</vt:lpstr>
      <vt:lpstr>ACT_3_LU!Print_Area</vt:lpstr>
      <vt:lpstr>ACT_4_LU!Print_Area</vt:lpstr>
      <vt:lpstr>ACT_5_LU!Print_Area</vt:lpstr>
      <vt:lpstr>ACT_6_LU!Print_Area</vt:lpstr>
      <vt:lpstr>ACT_7_LU!Print_Area</vt:lpstr>
      <vt:lpstr>ACT_8_LU!Print_Area</vt:lpstr>
      <vt:lpstr>ACT_9_LU!Print_Area</vt:lpstr>
      <vt:lpstr>ACT_LU!Print_Area</vt:lpstr>
      <vt:lpstr>ACTIV_Ann_TA!Print_Area</vt:lpstr>
      <vt:lpstr>Analysis_P_BO!Print_Area</vt:lpstr>
      <vt:lpstr>App_SC!Print_Area</vt:lpstr>
      <vt:lpstr>Appendix_SC!Print_Area</vt:lpstr>
      <vt:lpstr>Chks_BO!Print_Area</vt:lpstr>
      <vt:lpstr>Contents!Print_Area</vt:lpstr>
      <vt:lpstr>Count_Ann_TA!Print_Area</vt:lpstr>
      <vt:lpstr>Count_Ann_TO!Print_Area</vt:lpstr>
      <vt:lpstr>Count_BA!Print_Area</vt:lpstr>
      <vt:lpstr>Count_BO!Print_Area</vt:lpstr>
      <vt:lpstr>Count_LU!Print_Area</vt:lpstr>
      <vt:lpstr>Cover!Print_Area</vt:lpstr>
      <vt:lpstr>CURR_TA!Print_Area</vt:lpstr>
      <vt:lpstr>IEC_BA!Print_Area</vt:lpstr>
      <vt:lpstr>IEC_BO!Print_Area</vt:lpstr>
      <vt:lpstr>IEC_PROD_EST_BO!Print_Area</vt:lpstr>
      <vt:lpstr>Lbl_BA!Print_Area</vt:lpstr>
      <vt:lpstr>MICRO_BA!Print_Area</vt:lpstr>
      <vt:lpstr>MICRO_BO!Print_Area</vt:lpstr>
      <vt:lpstr>MICRO2_LU!Print_Area</vt:lpstr>
      <vt:lpstr>MOB_BA!Print_Area</vt:lpstr>
      <vt:lpstr>MOB_BO!Print_Area</vt:lpstr>
      <vt:lpstr>RES_BA!Print_Area</vt:lpstr>
      <vt:lpstr>RES_LU!Print_Area</vt:lpstr>
      <vt:lpstr>ROUND1_BO!Print_Area</vt:lpstr>
      <vt:lpstr>ROUND2_BO!Print_Area</vt:lpstr>
      <vt:lpstr>SD1_BA!Print_Area</vt:lpstr>
      <vt:lpstr>SD2_BA!Print_Area</vt:lpstr>
      <vt:lpstr>SENS_BA!Print_Area</vt:lpstr>
      <vt:lpstr>SENS_BO!Print_Area</vt:lpstr>
      <vt:lpstr>Step1_SC!Print_Area</vt:lpstr>
      <vt:lpstr>Step2_SC!Print_Area</vt:lpstr>
      <vt:lpstr>Step3_SC!Print_Area</vt:lpstr>
      <vt:lpstr>Step4_SC!Print_Area</vt:lpstr>
      <vt:lpstr>Summary_BO!Print_Area</vt:lpstr>
      <vt:lpstr>TRAIN_BA!Print_Area</vt:lpstr>
      <vt:lpstr>TRAIN_BO!Print_Area</vt:lpstr>
      <vt:lpstr>TS_BA!Print_Area</vt:lpstr>
      <vt:lpstr>TS_LU!Print_Area</vt:lpstr>
      <vt:lpstr>Vacc_Ann_TA!Print_Area</vt:lpstr>
      <vt:lpstr>Vacc_Ann_TO!Print_Area</vt:lpstr>
      <vt:lpstr>VACC_BA!Print_Area</vt:lpstr>
      <vt:lpstr>VACC_BO!Print_Area</vt:lpstr>
      <vt:lpstr>Vacc_LU!Print_Area</vt:lpstr>
      <vt:lpstr>ACT_10_LU!Print_Titles</vt:lpstr>
      <vt:lpstr>ACT_11_LU!Print_Titles</vt:lpstr>
      <vt:lpstr>ACT_12_LU!Print_Titles</vt:lpstr>
      <vt:lpstr>ACT_13_LU!Print_Titles</vt:lpstr>
      <vt:lpstr>ACT_14_LU!Print_Titles</vt:lpstr>
      <vt:lpstr>ACT_15_LU!Print_Titles</vt:lpstr>
      <vt:lpstr>ACT_16_LU!Print_Titles</vt:lpstr>
      <vt:lpstr>ACT_17_LU!Print_Titles</vt:lpstr>
      <vt:lpstr>ACT_18_LU!Print_Titles</vt:lpstr>
      <vt:lpstr>ACT_19_LU!Print_Titles</vt:lpstr>
      <vt:lpstr>ACT_20_LU!Print_Titles</vt:lpstr>
      <vt:lpstr>ACT_21_LU!Print_Titles</vt:lpstr>
      <vt:lpstr>ACT_22_LU!Print_Titles</vt:lpstr>
      <vt:lpstr>ACT_23_LU!Print_Titles</vt:lpstr>
      <vt:lpstr>ACT_24_LU!Print_Titles</vt:lpstr>
      <vt:lpstr>ACT_25_LU!Print_Titles</vt:lpstr>
      <vt:lpstr>ACT_26_LU!Print_Titles</vt:lpstr>
      <vt:lpstr>ACT_4_LU!Print_Titles</vt:lpstr>
      <vt:lpstr>ACT_5_LU!Print_Titles</vt:lpstr>
      <vt:lpstr>ACT_7_LU!Print_Titles</vt:lpstr>
      <vt:lpstr>ACT_8_LU!Print_Titles</vt:lpstr>
      <vt:lpstr>ACT_9_LU!Print_Titles</vt:lpstr>
      <vt:lpstr>ACTIV_Ann_TA!Print_Titles</vt:lpstr>
      <vt:lpstr>Analysis_P_BO!Print_Titles</vt:lpstr>
      <vt:lpstr>Chks_BO!Print_Titles</vt:lpstr>
      <vt:lpstr>Contents!Print_Titles</vt:lpstr>
      <vt:lpstr>Count_Ann_TA!Print_Titles</vt:lpstr>
      <vt:lpstr>Count_Ann_TO!Print_Titles</vt:lpstr>
      <vt:lpstr>Count_BA!Print_Titles</vt:lpstr>
      <vt:lpstr>Count_BO!Print_Titles</vt:lpstr>
      <vt:lpstr>CURR_TA!Print_Titles</vt:lpstr>
      <vt:lpstr>IEC_BA!Print_Titles</vt:lpstr>
      <vt:lpstr>IEC_BO!Print_Titles</vt:lpstr>
      <vt:lpstr>IEC_PROD_EST_BO!Print_Titles</vt:lpstr>
      <vt:lpstr>Lbl_BA!Print_Titles</vt:lpstr>
      <vt:lpstr>MICRO_BA!Print_Titles</vt:lpstr>
      <vt:lpstr>MICRO_BO!Print_Titles</vt:lpstr>
      <vt:lpstr>MICRO2_LU!Print_Titles</vt:lpstr>
      <vt:lpstr>MOB_BA!Print_Titles</vt:lpstr>
      <vt:lpstr>MOB_BO!Print_Titles</vt:lpstr>
      <vt:lpstr>RES_BA!Print_Titles</vt:lpstr>
      <vt:lpstr>ROUND1_BO!Print_Titles</vt:lpstr>
      <vt:lpstr>ROUND2_BO!Print_Titles</vt:lpstr>
      <vt:lpstr>SD1_BA!Print_Titles</vt:lpstr>
      <vt:lpstr>SD2_BA!Print_Titles</vt:lpstr>
      <vt:lpstr>SENS_BA!Print_Titles</vt:lpstr>
      <vt:lpstr>SENS_BO!Print_Titles</vt:lpstr>
      <vt:lpstr>Summary_BO!Print_Titles</vt:lpstr>
      <vt:lpstr>TRAIN_BA!Print_Titles</vt:lpstr>
      <vt:lpstr>TRAIN_BO!Print_Titles</vt:lpstr>
      <vt:lpstr>TS_BA!Print_Titles</vt:lpstr>
      <vt:lpstr>Vacc_Ann_TA!Print_Titles</vt:lpstr>
      <vt:lpstr>Vacc_Ann_TO!Print_Titles</vt:lpstr>
      <vt:lpstr>VACC_BA!Print_Titles</vt:lpstr>
      <vt:lpstr>VACC_BO!Print_Titles</vt:lpstr>
      <vt:lpstr>Vacc_LU!Print_Titles</vt:lpstr>
      <vt:lpstr>RES_Appl_Currency</vt:lpstr>
      <vt:lpstr>RES_Curr_1</vt:lpstr>
      <vt:lpstr>RES_Curr_2</vt:lpstr>
      <vt:lpstr>TS_Billion</vt:lpstr>
      <vt:lpstr>TS_Currency</vt:lpstr>
      <vt:lpstr>TS_Days_In_Wk</vt:lpstr>
      <vt:lpstr>TS_Denom_Conv_Fact</vt:lpstr>
      <vt:lpstr>TS_End_Date</vt:lpstr>
      <vt:lpstr>TS_First_Fin_Yr</vt:lpstr>
      <vt:lpstr>TS_Halves_In_Yr</vt:lpstr>
      <vt:lpstr>TS_Hrs_In_Day</vt:lpstr>
      <vt:lpstr>TS_Million</vt:lpstr>
      <vt:lpstr>TS_Mins_In_Hr</vt:lpstr>
      <vt:lpstr>TS_Mths_In_Half</vt:lpstr>
      <vt:lpstr>TS_Mths_In_Qtr</vt:lpstr>
      <vt:lpstr>TS_Mths_In_Yr</vt:lpstr>
      <vt:lpstr>TS_Qtrs_In_Half</vt:lpstr>
      <vt:lpstr>TS_Qtrs_In_Yr</vt:lpstr>
      <vt:lpstr>TS_Secs_In_Min</vt:lpstr>
      <vt:lpstr>TS_Start_Date</vt:lpstr>
      <vt:lpstr>TS_Term</vt:lpstr>
      <vt:lpstr>TS_Thousand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Christina Banks</cp:lastModifiedBy>
  <cp:lastPrinted>2015-07-21T19:36:27Z</cp:lastPrinted>
  <dcterms:created xsi:type="dcterms:W3CDTF">2015-06-01T19:45:01Z</dcterms:created>
  <dcterms:modified xsi:type="dcterms:W3CDTF">2023-11-16T15:55:43Z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XRCK">
    <vt:lpwstr>53|11757824,1|0,52|6780672,51|4204747,49|6697881,55|7929855,11|12632256,56|16777215</vt:lpwstr>
  </property>
  <property fmtid="{D5CDD505-2E9C-101B-9397-08002B2CF9AE}" pid="3" name="TBXBSCK">
    <vt:lpwstr>CO-4142|-4142/COC-4142|-4142/CS1-4142|-4142/S1S2-4142|-4142/S2BA15|-4142/BATA15|-4142/TABO-4142|-4142/BOTO-4142|-4142/TOLU-4142|-4142/LUMS-4142|-4142/MSCH-4142|-4142/CH</vt:lpwstr>
  </property>
  <property fmtid="{D5CDD505-2E9C-101B-9397-08002B2CF9AE}" pid="4" name="ModanoData">
    <vt:lpwstr>ModanoProject</vt:lpwstr>
  </property>
  <property fmtid="{D5CDD505-2E9C-101B-9397-08002B2CF9AE}" pid="5" name="ModanoRescue">
    <vt:lpwstr>mAcX/GxFvYvFqysD2aV1Vw==</vt:lpwstr>
  </property>
  <property fmtid="{D5CDD505-2E9C-101B-9397-08002B2CF9AE}" pid="6" name="MSIP_Label_4ebf9569-1bac-4dd4-8253-371ebfda3dfd_Enabled">
    <vt:lpwstr>true</vt:lpwstr>
  </property>
  <property fmtid="{D5CDD505-2E9C-101B-9397-08002B2CF9AE}" pid="7" name="MSIP_Label_4ebf9569-1bac-4dd4-8253-371ebfda3dfd_SetDate">
    <vt:lpwstr>2023-11-16T14:51:06Z</vt:lpwstr>
  </property>
  <property fmtid="{D5CDD505-2E9C-101B-9397-08002B2CF9AE}" pid="8" name="MSIP_Label_4ebf9569-1bac-4dd4-8253-371ebfda3dfd_Method">
    <vt:lpwstr>Standard</vt:lpwstr>
  </property>
  <property fmtid="{D5CDD505-2E9C-101B-9397-08002B2CF9AE}" pid="9" name="MSIP_Label_4ebf9569-1bac-4dd4-8253-371ebfda3dfd_Name">
    <vt:lpwstr>No label</vt:lpwstr>
  </property>
  <property fmtid="{D5CDD505-2E9C-101B-9397-08002B2CF9AE}" pid="10" name="MSIP_Label_4ebf9569-1bac-4dd4-8253-371ebfda3dfd_SiteId">
    <vt:lpwstr>cf18f47b-7e4a-4ac0-9e92-c216a1528ccc</vt:lpwstr>
  </property>
  <property fmtid="{D5CDD505-2E9C-101B-9397-08002B2CF9AE}" pid="11" name="MSIP_Label_4ebf9569-1bac-4dd4-8253-371ebfda3dfd_ActionId">
    <vt:lpwstr>3adf2946-dd11-4743-be94-a8edc3b24a4f</vt:lpwstr>
  </property>
  <property fmtid="{D5CDD505-2E9C-101B-9397-08002B2CF9AE}" pid="12" name="MSIP_Label_4ebf9569-1bac-4dd4-8253-371ebfda3dfd_ContentBits">
    <vt:lpwstr>0</vt:lpwstr>
  </property>
  <property fmtid="{D5CDD505-2E9C-101B-9397-08002B2CF9AE}" pid="13" name="ContentTypeId">
    <vt:lpwstr>0x010100303CBCB931EE5B41B7DC5B397BC983C8</vt:lpwstr>
  </property>
  <property fmtid="{D5CDD505-2E9C-101B-9397-08002B2CF9AE}" pid="14" name="MediaServiceImageTags">
    <vt:lpwstr/>
  </property>
</Properties>
</file>